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SUS\Documents\Data Base\Zobaliazh\debt_collection\Chips_Report\Excel_report\"/>
    </mc:Choice>
  </mc:AlternateContent>
  <xr:revisionPtr revIDLastSave="0" documentId="13_ncr:1_{F99167CD-ADF1-43EC-AEFE-A3A1E3FB1E5B}" xr6:coauthVersionLast="47" xr6:coauthVersionMax="47" xr10:uidLastSave="{00000000-0000-0000-0000-000000000000}"/>
  <bookViews>
    <workbookView xWindow="-110" yWindow="-110" windowWidth="19420" windowHeight="10300" tabRatio="751" firstSheet="28" activeTab="36" xr2:uid="{00000000-000D-0000-FFFF-FFFF00000000}"/>
  </bookViews>
  <sheets>
    <sheet name="Codes" sheetId="3" r:id="rId1"/>
    <sheet name="مانده سوفاله" sheetId="1" r:id="rId2"/>
    <sheet name="حسابهای دریافتنی" sheetId="4" r:id="rId3"/>
    <sheet name="درجریان وصول" sheetId="5" r:id="rId4"/>
    <sheet name="چکهای دریافتنی" sheetId="6" r:id="rId5"/>
    <sheet name="Sheet3" sheetId="11" r:id="rId6"/>
    <sheet name="4000212" sheetId="12" r:id="rId7"/>
    <sheet name="4000225" sheetId="13" r:id="rId8"/>
    <sheet name="4000301" sheetId="14" r:id="rId9"/>
    <sheet name="4000305" sheetId="15" r:id="rId10"/>
    <sheet name="4000309" sheetId="16" r:id="rId11"/>
    <sheet name="4000322" sheetId="17" r:id="rId12"/>
    <sheet name="14000329" sheetId="18" r:id="rId13"/>
    <sheet name="14000405" sheetId="19" r:id="rId14"/>
    <sheet name="14000412" sheetId="20" r:id="rId15"/>
    <sheet name="4000415" sheetId="21" r:id="rId16"/>
    <sheet name="4000420" sheetId="22" r:id="rId17"/>
    <sheet name="4000426" sheetId="23" r:id="rId18"/>
    <sheet name="4000502" sheetId="24" r:id="rId19"/>
    <sheet name="4000509" sheetId="25" r:id="rId20"/>
    <sheet name="4000516" sheetId="26" r:id="rId21"/>
    <sheet name="4000602" sheetId="27" r:id="rId22"/>
    <sheet name="4000613" sheetId="28" r:id="rId23"/>
    <sheet name="4000620" sheetId="29" r:id="rId24"/>
    <sheet name="4000627" sheetId="30" r:id="rId25"/>
    <sheet name="4000703" sheetId="31" r:id="rId26"/>
    <sheet name="4000710" sheetId="32" r:id="rId27"/>
    <sheet name="4000717" sheetId="33" r:id="rId28"/>
    <sheet name="4000724" sheetId="34" r:id="rId29"/>
    <sheet name="4000809" sheetId="35" r:id="rId30"/>
    <sheet name="4000816" sheetId="36" r:id="rId31"/>
    <sheet name="4000823" sheetId="37" r:id="rId32"/>
    <sheet name="4000830" sheetId="38" r:id="rId33"/>
    <sheet name="4000914" sheetId="39" r:id="rId34"/>
    <sheet name="4000921" sheetId="40" r:id="rId35"/>
    <sheet name="4000928" sheetId="41" r:id="rId36"/>
    <sheet name="Report" sheetId="42" r:id="rId37"/>
  </sheets>
  <definedNames>
    <definedName name="_xlnm._FilterDatabase" localSheetId="0" hidden="1">Codes!$A$1:$C$1</definedName>
    <definedName name="_xlnm._FilterDatabase" localSheetId="5" hidden="1">Sheet3!#REF!</definedName>
    <definedName name="_xlnm._FilterDatabase" localSheetId="2" hidden="1">'حسابهای دریافتنی'!$A$1:$H$134</definedName>
    <definedName name="_xlnm._FilterDatabase" localSheetId="1" hidden="1">'مانده سوفاله'!$A$1:$G$82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7" i="42" l="1"/>
  <c r="E177" i="42"/>
  <c r="D177" i="42"/>
  <c r="G176" i="42"/>
  <c r="E176" i="42"/>
  <c r="D176" i="42"/>
  <c r="G173" i="42"/>
  <c r="E173" i="42"/>
  <c r="D173" i="42"/>
  <c r="G174" i="42"/>
  <c r="E174" i="42"/>
  <c r="D174" i="42"/>
  <c r="G71" i="42"/>
  <c r="E71" i="42"/>
  <c r="D71" i="42"/>
  <c r="G167" i="42"/>
  <c r="E167" i="42"/>
  <c r="D167" i="42"/>
  <c r="G168" i="42"/>
  <c r="E168" i="42"/>
  <c r="D168" i="42"/>
  <c r="G166" i="42"/>
  <c r="E166" i="42"/>
  <c r="D166" i="42"/>
  <c r="G22" i="42"/>
  <c r="E22" i="42"/>
  <c r="D22" i="42"/>
  <c r="G56" i="42"/>
  <c r="E56" i="42"/>
  <c r="D56" i="42"/>
  <c r="G158" i="42"/>
  <c r="E158" i="42"/>
  <c r="D158" i="42"/>
  <c r="G163" i="42"/>
  <c r="E163" i="42"/>
  <c r="D163" i="42"/>
  <c r="G164" i="42"/>
  <c r="E164" i="42"/>
  <c r="D164" i="42"/>
  <c r="G162" i="42"/>
  <c r="E162" i="42"/>
  <c r="D162" i="42"/>
  <c r="G160" i="42"/>
  <c r="E160" i="42"/>
  <c r="D160" i="42"/>
  <c r="G159" i="42"/>
  <c r="E159" i="42"/>
  <c r="D159" i="42"/>
  <c r="G157" i="42"/>
  <c r="E157" i="42"/>
  <c r="D157" i="42"/>
  <c r="G41" i="42"/>
  <c r="E41" i="42"/>
  <c r="D41" i="42"/>
  <c r="G156" i="42"/>
  <c r="E156" i="42"/>
  <c r="D156" i="42"/>
  <c r="G155" i="42"/>
  <c r="E155" i="42"/>
  <c r="D155" i="42"/>
  <c r="G153" i="42"/>
  <c r="E153" i="42"/>
  <c r="D153" i="42"/>
  <c r="G152" i="42"/>
  <c r="E152" i="42"/>
  <c r="D152" i="42"/>
  <c r="G151" i="42"/>
  <c r="E151" i="42"/>
  <c r="D151" i="42"/>
  <c r="G149" i="42"/>
  <c r="E149" i="42"/>
  <c r="D149" i="42"/>
  <c r="G148" i="42"/>
  <c r="E148" i="42"/>
  <c r="D148" i="42"/>
  <c r="G147" i="42"/>
  <c r="E147" i="42"/>
  <c r="D147" i="42"/>
  <c r="G146" i="42"/>
  <c r="E146" i="42"/>
  <c r="D146" i="42"/>
  <c r="G145" i="42"/>
  <c r="E145" i="42"/>
  <c r="D145" i="42"/>
  <c r="G32" i="42"/>
  <c r="E32" i="42"/>
  <c r="D32" i="42"/>
  <c r="G144" i="42"/>
  <c r="E144" i="42"/>
  <c r="D144" i="42"/>
  <c r="G55" i="42"/>
  <c r="E55" i="42"/>
  <c r="D55" i="42"/>
  <c r="G143" i="42"/>
  <c r="E143" i="42"/>
  <c r="D143" i="42"/>
  <c r="G142" i="42"/>
  <c r="E142" i="42"/>
  <c r="D142" i="42"/>
  <c r="G141" i="42"/>
  <c r="E141" i="42"/>
  <c r="D141" i="42"/>
  <c r="G119" i="42"/>
  <c r="E119" i="42"/>
  <c r="D119" i="42"/>
  <c r="G140" i="42"/>
  <c r="E140" i="42"/>
  <c r="D140" i="42"/>
  <c r="G139" i="42"/>
  <c r="E139" i="42"/>
  <c r="D139" i="42"/>
  <c r="G138" i="42"/>
  <c r="E138" i="42"/>
  <c r="D138" i="42"/>
  <c r="G137" i="42"/>
  <c r="E137" i="42"/>
  <c r="D137" i="42"/>
  <c r="G44" i="42"/>
  <c r="E44" i="42"/>
  <c r="D44" i="42"/>
  <c r="G136" i="42"/>
  <c r="E136" i="42"/>
  <c r="D136" i="42"/>
  <c r="G135" i="42"/>
  <c r="E135" i="42"/>
  <c r="D135" i="42"/>
  <c r="G134" i="42"/>
  <c r="E134" i="42"/>
  <c r="D134" i="42"/>
  <c r="G133" i="42"/>
  <c r="E133" i="42"/>
  <c r="D133" i="42"/>
  <c r="G132" i="42"/>
  <c r="E132" i="42"/>
  <c r="D132" i="42"/>
  <c r="G131" i="42"/>
  <c r="E131" i="42"/>
  <c r="D131" i="42"/>
  <c r="G129" i="42"/>
  <c r="E129" i="42"/>
  <c r="D129" i="42"/>
  <c r="G128" i="42"/>
  <c r="E128" i="42"/>
  <c r="D128" i="42"/>
  <c r="G127" i="42"/>
  <c r="E127" i="42"/>
  <c r="D127" i="42"/>
  <c r="G126" i="42"/>
  <c r="E126" i="42"/>
  <c r="D126" i="42"/>
  <c r="G125" i="42"/>
  <c r="E125" i="42"/>
  <c r="D125" i="42"/>
  <c r="G124" i="42"/>
  <c r="E124" i="42"/>
  <c r="D124" i="42"/>
  <c r="G122" i="42"/>
  <c r="E122" i="42"/>
  <c r="D122" i="42"/>
  <c r="G121" i="42"/>
  <c r="E121" i="42"/>
  <c r="D121" i="42"/>
  <c r="G120" i="42"/>
  <c r="E120" i="42"/>
  <c r="D120" i="42"/>
  <c r="G118" i="42"/>
  <c r="E118" i="42"/>
  <c r="D118" i="42"/>
  <c r="G117" i="42"/>
  <c r="E117" i="42"/>
  <c r="D117" i="42"/>
  <c r="G116" i="42"/>
  <c r="E116" i="42"/>
  <c r="D116" i="42"/>
  <c r="G115" i="42"/>
  <c r="E115" i="42"/>
  <c r="D115" i="42"/>
  <c r="G114" i="42"/>
  <c r="E114" i="42"/>
  <c r="D114" i="42"/>
  <c r="G113" i="42"/>
  <c r="E113" i="42"/>
  <c r="D113" i="42"/>
  <c r="G112" i="42"/>
  <c r="E112" i="42"/>
  <c r="D112" i="42"/>
  <c r="G111" i="42"/>
  <c r="E111" i="42"/>
  <c r="D111" i="42"/>
  <c r="G110" i="42"/>
  <c r="E110" i="42"/>
  <c r="D110" i="42"/>
  <c r="G109" i="42"/>
  <c r="E109" i="42"/>
  <c r="D109" i="42"/>
  <c r="G108" i="42"/>
  <c r="E108" i="42"/>
  <c r="D108" i="42"/>
  <c r="G107" i="42"/>
  <c r="E107" i="42"/>
  <c r="D107" i="42"/>
  <c r="G106" i="42"/>
  <c r="E106" i="42"/>
  <c r="D106" i="42"/>
  <c r="G84" i="42"/>
  <c r="E84" i="42"/>
  <c r="D84" i="42"/>
  <c r="C84" i="42"/>
  <c r="G91" i="42"/>
  <c r="E91" i="42"/>
  <c r="D91" i="42"/>
  <c r="G83" i="42"/>
  <c r="E83" i="42"/>
  <c r="D83" i="42"/>
  <c r="G97" i="42"/>
  <c r="E97" i="42"/>
  <c r="D97" i="42"/>
  <c r="C97" i="42"/>
  <c r="G87" i="42"/>
  <c r="E87" i="42"/>
  <c r="D87" i="42"/>
  <c r="C87" i="42"/>
  <c r="G104" i="42"/>
  <c r="E104" i="42"/>
  <c r="D104" i="42"/>
  <c r="G88" i="42"/>
  <c r="E88" i="42"/>
  <c r="D88" i="42"/>
  <c r="C88" i="42"/>
  <c r="G86" i="42"/>
  <c r="E86" i="42"/>
  <c r="D86" i="42"/>
  <c r="C86" i="42"/>
  <c r="G85" i="42"/>
  <c r="E85" i="42"/>
  <c r="D85" i="42"/>
  <c r="C85" i="42"/>
  <c r="G93" i="42"/>
  <c r="E93" i="42"/>
  <c r="D93" i="42"/>
  <c r="C93" i="42"/>
  <c r="G3" i="42"/>
  <c r="E3" i="42"/>
  <c r="D3" i="42"/>
  <c r="G99" i="42"/>
  <c r="E99" i="42"/>
  <c r="D99" i="42"/>
  <c r="C99" i="42"/>
  <c r="G92" i="42"/>
  <c r="E92" i="42"/>
  <c r="D92" i="42"/>
  <c r="C92" i="42"/>
  <c r="G100" i="42"/>
  <c r="E100" i="42"/>
  <c r="D100" i="42"/>
  <c r="G90" i="42"/>
  <c r="E90" i="42"/>
  <c r="D90" i="42"/>
  <c r="C90" i="42"/>
  <c r="G154" i="42"/>
  <c r="E154" i="42"/>
  <c r="D154" i="42"/>
  <c r="G170" i="42"/>
  <c r="E170" i="42"/>
  <c r="D170" i="42"/>
  <c r="G11" i="42"/>
  <c r="E11" i="42"/>
  <c r="D11" i="42"/>
  <c r="G130" i="42"/>
  <c r="E130" i="42"/>
  <c r="D130" i="42"/>
  <c r="G27" i="42"/>
  <c r="E27" i="42"/>
  <c r="D27" i="42"/>
  <c r="G36" i="42"/>
  <c r="E36" i="42"/>
  <c r="D36" i="42"/>
  <c r="G51" i="42"/>
  <c r="E51" i="42"/>
  <c r="D51" i="42"/>
  <c r="G65" i="42"/>
  <c r="E65" i="42"/>
  <c r="D65" i="42"/>
  <c r="G43" i="42"/>
  <c r="E43" i="42"/>
  <c r="D43" i="42"/>
  <c r="G161" i="42"/>
  <c r="E161" i="42"/>
  <c r="D161" i="42"/>
  <c r="G169" i="42"/>
  <c r="E169" i="42"/>
  <c r="D169" i="42"/>
  <c r="G123" i="42"/>
  <c r="E123" i="42"/>
  <c r="D123" i="42"/>
  <c r="G89" i="42"/>
  <c r="E89" i="42"/>
  <c r="D89" i="42"/>
  <c r="G102" i="42"/>
  <c r="E102" i="42"/>
  <c r="D102" i="42"/>
  <c r="C102" i="42"/>
  <c r="G101" i="42"/>
  <c r="E101" i="42"/>
  <c r="D101" i="42"/>
  <c r="C101" i="42"/>
  <c r="G94" i="42"/>
  <c r="E94" i="42"/>
  <c r="D94" i="42"/>
  <c r="C94" i="42"/>
  <c r="G95" i="42"/>
  <c r="E95" i="42"/>
  <c r="D95" i="42"/>
  <c r="C95" i="42"/>
  <c r="G103" i="42"/>
  <c r="E103" i="42"/>
  <c r="D103" i="42"/>
  <c r="G98" i="42"/>
  <c r="E98" i="42"/>
  <c r="D98" i="42"/>
  <c r="G96" i="42"/>
  <c r="E96" i="42"/>
  <c r="D96" i="42"/>
  <c r="C96" i="42"/>
  <c r="G172" i="42"/>
  <c r="E172" i="42"/>
  <c r="D172" i="42"/>
  <c r="G171" i="42"/>
  <c r="E171" i="42"/>
  <c r="D171" i="42"/>
  <c r="G81" i="42"/>
  <c r="E81" i="42"/>
  <c r="D81" i="42"/>
  <c r="G80" i="42"/>
  <c r="E80" i="42"/>
  <c r="D80" i="42"/>
  <c r="G79" i="42"/>
  <c r="E79" i="42"/>
  <c r="D79" i="42"/>
  <c r="G78" i="42"/>
  <c r="E78" i="42"/>
  <c r="D78" i="42"/>
  <c r="G77" i="42"/>
  <c r="E77" i="42"/>
  <c r="D77" i="42"/>
  <c r="G76" i="42"/>
  <c r="E76" i="42"/>
  <c r="D76" i="42"/>
  <c r="G75" i="42"/>
  <c r="E75" i="42"/>
  <c r="D75" i="42"/>
  <c r="G74" i="42"/>
  <c r="E74" i="42"/>
  <c r="D74" i="42"/>
  <c r="G72" i="42"/>
  <c r="E72" i="42"/>
  <c r="D72" i="42"/>
  <c r="G70" i="42"/>
  <c r="E70" i="42"/>
  <c r="D70" i="42"/>
  <c r="G69" i="42"/>
  <c r="E69" i="42"/>
  <c r="D69" i="42"/>
  <c r="G68" i="42"/>
  <c r="E68" i="42"/>
  <c r="D68" i="42"/>
  <c r="G67" i="42"/>
  <c r="E67" i="42"/>
  <c r="D67" i="42"/>
  <c r="G66" i="42"/>
  <c r="E66" i="42"/>
  <c r="D66" i="42"/>
  <c r="G64" i="42"/>
  <c r="E64" i="42"/>
  <c r="D64" i="42"/>
  <c r="G63" i="42"/>
  <c r="E63" i="42"/>
  <c r="D63" i="42"/>
  <c r="G62" i="42"/>
  <c r="E62" i="42"/>
  <c r="D62" i="42"/>
  <c r="G61" i="42"/>
  <c r="E61" i="42"/>
  <c r="D61" i="42"/>
  <c r="G60" i="42"/>
  <c r="E60" i="42"/>
  <c r="D60" i="42"/>
  <c r="G59" i="42"/>
  <c r="E59" i="42"/>
  <c r="D59" i="42"/>
  <c r="G58" i="42"/>
  <c r="E58" i="42"/>
  <c r="D58" i="42"/>
  <c r="G57" i="42"/>
  <c r="E57" i="42"/>
  <c r="D57" i="42"/>
  <c r="G54" i="42"/>
  <c r="E54" i="42"/>
  <c r="D54" i="42"/>
  <c r="G53" i="42"/>
  <c r="E53" i="42"/>
  <c r="D53" i="42"/>
  <c r="C53" i="42"/>
  <c r="G52" i="42"/>
  <c r="E52" i="42"/>
  <c r="D52" i="42"/>
  <c r="G49" i="42"/>
  <c r="E49" i="42"/>
  <c r="D49" i="42"/>
  <c r="G48" i="42"/>
  <c r="E48" i="42"/>
  <c r="D48" i="42"/>
  <c r="G47" i="42"/>
  <c r="E47" i="42"/>
  <c r="D47" i="42"/>
  <c r="G105" i="42"/>
  <c r="E105" i="42"/>
  <c r="D105" i="42"/>
  <c r="G45" i="42"/>
  <c r="E45" i="42"/>
  <c r="D45" i="42"/>
  <c r="G39" i="42"/>
  <c r="E39" i="42"/>
  <c r="D39" i="42"/>
  <c r="G42" i="42"/>
  <c r="E42" i="42"/>
  <c r="D42" i="42"/>
  <c r="G40" i="42"/>
  <c r="E40" i="42"/>
  <c r="D40" i="42"/>
  <c r="G38" i="42"/>
  <c r="E38" i="42"/>
  <c r="D38" i="42"/>
  <c r="C38" i="42"/>
  <c r="G13" i="42"/>
  <c r="E13" i="42"/>
  <c r="D13" i="42"/>
  <c r="G31" i="42"/>
  <c r="E31" i="42"/>
  <c r="D31" i="42"/>
  <c r="G73" i="42"/>
  <c r="E73" i="42"/>
  <c r="D73" i="42"/>
  <c r="G35" i="42"/>
  <c r="E35" i="42"/>
  <c r="D35" i="42"/>
  <c r="G26" i="42"/>
  <c r="E26" i="42"/>
  <c r="D26" i="42"/>
  <c r="G33" i="42"/>
  <c r="E33" i="42"/>
  <c r="D33" i="42"/>
  <c r="C33" i="42"/>
  <c r="G82" i="42"/>
  <c r="E82" i="42"/>
  <c r="D82" i="42"/>
  <c r="G34" i="42"/>
  <c r="E34" i="42"/>
  <c r="D34" i="42"/>
  <c r="G29" i="42"/>
  <c r="E29" i="42"/>
  <c r="D29" i="42"/>
  <c r="G150" i="42"/>
  <c r="E150" i="42"/>
  <c r="D150" i="42"/>
  <c r="G46" i="42"/>
  <c r="E46" i="42"/>
  <c r="D46" i="42"/>
  <c r="C46" i="42"/>
  <c r="G24" i="42"/>
  <c r="E24" i="42"/>
  <c r="D24" i="42"/>
  <c r="G23" i="42"/>
  <c r="E23" i="42"/>
  <c r="D23" i="42"/>
  <c r="G165" i="42"/>
  <c r="E165" i="42"/>
  <c r="D165" i="42"/>
  <c r="G21" i="42"/>
  <c r="E21" i="42"/>
  <c r="D21" i="42"/>
  <c r="G28" i="42"/>
  <c r="E28" i="42"/>
  <c r="D28" i="42"/>
  <c r="G18" i="42"/>
  <c r="E18" i="42"/>
  <c r="D18" i="42"/>
  <c r="G17" i="42"/>
  <c r="E17" i="42"/>
  <c r="D17" i="42"/>
  <c r="G14" i="42"/>
  <c r="E14" i="42"/>
  <c r="D14" i="42"/>
  <c r="G15" i="42"/>
  <c r="E15" i="42"/>
  <c r="D15" i="42"/>
  <c r="C15" i="42"/>
  <c r="G50" i="42"/>
  <c r="E50" i="42"/>
  <c r="D50" i="42"/>
  <c r="G16" i="42"/>
  <c r="E16" i="42"/>
  <c r="D16" i="42"/>
  <c r="G12" i="42"/>
  <c r="E12" i="42"/>
  <c r="D12" i="42"/>
  <c r="G25" i="42"/>
  <c r="E25" i="42"/>
  <c r="D25" i="42"/>
  <c r="C25" i="42"/>
  <c r="G19" i="42"/>
  <c r="E19" i="42"/>
  <c r="D19" i="42"/>
  <c r="G175" i="42"/>
  <c r="E175" i="42"/>
  <c r="D175" i="42"/>
  <c r="C175" i="42"/>
  <c r="G30" i="42"/>
  <c r="E30" i="42"/>
  <c r="D30" i="42"/>
  <c r="C30" i="42"/>
  <c r="G20" i="42"/>
  <c r="E20" i="42"/>
  <c r="D20" i="42"/>
  <c r="G10" i="42"/>
  <c r="E10" i="42"/>
  <c r="D10" i="42"/>
  <c r="G37" i="42"/>
  <c r="E37" i="42"/>
  <c r="D37" i="42"/>
  <c r="G9" i="42"/>
  <c r="E9" i="42"/>
  <c r="D9" i="42"/>
  <c r="G8" i="42"/>
  <c r="E8" i="42"/>
  <c r="D8" i="42"/>
  <c r="G7" i="42"/>
  <c r="E7" i="42"/>
  <c r="D7" i="42"/>
  <c r="C7" i="42"/>
  <c r="G5" i="42"/>
  <c r="E5" i="42"/>
  <c r="D5" i="42"/>
  <c r="G6" i="42"/>
  <c r="E6" i="42"/>
  <c r="D6" i="42"/>
  <c r="G4" i="42"/>
  <c r="E4" i="42"/>
  <c r="D4" i="42"/>
  <c r="G2" i="42"/>
  <c r="E2" i="42"/>
  <c r="D2" i="42"/>
  <c r="H217" i="4"/>
  <c r="H216" i="4"/>
  <c r="H215" i="4"/>
  <c r="C154" i="42" s="1"/>
  <c r="H214" i="4"/>
  <c r="C170" i="42" s="1"/>
  <c r="H213" i="4"/>
  <c r="H212" i="4"/>
  <c r="C91" i="42" s="1"/>
  <c r="H211" i="4"/>
  <c r="H210" i="4"/>
  <c r="C161" i="42" s="1"/>
  <c r="H209" i="4"/>
  <c r="H208" i="4"/>
  <c r="H207" i="4"/>
  <c r="H206" i="4"/>
  <c r="H205" i="4"/>
  <c r="H204" i="4"/>
  <c r="H203" i="4"/>
  <c r="H202" i="4"/>
  <c r="C130" i="42" s="1"/>
  <c r="H201" i="4"/>
  <c r="H200" i="4"/>
  <c r="H199" i="4"/>
  <c r="H198" i="4"/>
  <c r="C169" i="42" s="1"/>
  <c r="H197" i="4"/>
  <c r="C123" i="42" s="1"/>
  <c r="H196" i="4"/>
  <c r="H195" i="4"/>
  <c r="H194" i="4"/>
  <c r="H193" i="4"/>
  <c r="C106" i="42" s="1"/>
  <c r="H192" i="4"/>
  <c r="C127" i="42" s="1"/>
  <c r="H191" i="4"/>
  <c r="H190" i="4"/>
  <c r="H189" i="4"/>
  <c r="C164" i="42" s="1"/>
  <c r="H188" i="4"/>
  <c r="C152" i="42" s="1"/>
  <c r="H187" i="4"/>
  <c r="H186" i="4"/>
  <c r="C119" i="42" s="1"/>
  <c r="H185" i="4"/>
  <c r="C133" i="42" s="1"/>
  <c r="H184" i="4"/>
  <c r="C118" i="42" s="1"/>
  <c r="H183" i="4"/>
  <c r="H182" i="4"/>
  <c r="C140" i="42" s="1"/>
  <c r="H181" i="4"/>
  <c r="H180" i="4"/>
  <c r="H179" i="4"/>
  <c r="C125" i="42" s="1"/>
  <c r="H178" i="4"/>
  <c r="C165" i="42" s="1"/>
  <c r="H177" i="4"/>
  <c r="C156" i="42" s="1"/>
  <c r="H176" i="4"/>
  <c r="C108" i="42" s="1"/>
  <c r="H175" i="4"/>
  <c r="C168" i="42" s="1"/>
  <c r="H174" i="4"/>
  <c r="C128" i="42" s="1"/>
  <c r="H173" i="4"/>
  <c r="C167" i="42" s="1"/>
  <c r="H172" i="4"/>
  <c r="H171" i="4"/>
  <c r="C141" i="42" s="1"/>
  <c r="H170" i="4"/>
  <c r="H169" i="4"/>
  <c r="C83" i="42" s="1"/>
  <c r="H168" i="4"/>
  <c r="C105" i="42" s="1"/>
  <c r="H167" i="4"/>
  <c r="C159" i="42" s="1"/>
  <c r="H166" i="4"/>
  <c r="C126" i="42" s="1"/>
  <c r="H165" i="4"/>
  <c r="C163" i="42" s="1"/>
  <c r="H164" i="4"/>
  <c r="C142" i="42" s="1"/>
  <c r="H163" i="4"/>
  <c r="H162" i="4"/>
  <c r="C138" i="42" s="1"/>
  <c r="H161" i="4"/>
  <c r="C115" i="42" s="1"/>
  <c r="H160" i="4"/>
  <c r="C173" i="42" s="1"/>
  <c r="H159" i="4"/>
  <c r="C131" i="42" s="1"/>
  <c r="H158" i="4"/>
  <c r="H157" i="4"/>
  <c r="H156" i="4"/>
  <c r="C171" i="42" s="1"/>
  <c r="H155" i="4"/>
  <c r="C157" i="42" s="1"/>
  <c r="H154" i="4"/>
  <c r="H153" i="4"/>
  <c r="H152" i="4"/>
  <c r="C155" i="42" s="1"/>
  <c r="H151" i="4"/>
  <c r="H150" i="4"/>
  <c r="C160" i="42" s="1"/>
  <c r="H149" i="4"/>
  <c r="C132" i="42" s="1"/>
  <c r="H148" i="4"/>
  <c r="H147" i="4"/>
  <c r="C109" i="42" s="1"/>
  <c r="H146" i="4"/>
  <c r="C104" i="42" s="1"/>
  <c r="H145" i="4"/>
  <c r="C89" i="42" s="1"/>
  <c r="H144" i="4"/>
  <c r="H143" i="4"/>
  <c r="H142" i="4"/>
  <c r="C120" i="42" s="1"/>
  <c r="H141" i="4"/>
  <c r="C136" i="42" s="1"/>
  <c r="H140" i="4"/>
  <c r="C107" i="42" s="1"/>
  <c r="H139" i="4"/>
  <c r="H138" i="4"/>
  <c r="C129" i="42" s="1"/>
  <c r="H137" i="4"/>
  <c r="C176" i="42" s="1"/>
  <c r="H136" i="4"/>
  <c r="H135" i="4"/>
  <c r="H134" i="4"/>
  <c r="H133" i="4"/>
  <c r="C117" i="42" s="1"/>
  <c r="H132" i="4"/>
  <c r="C143" i="42" s="1"/>
  <c r="H131" i="4"/>
  <c r="C149" i="42" s="1"/>
  <c r="H130" i="4"/>
  <c r="H129" i="4"/>
  <c r="H128" i="4"/>
  <c r="H127" i="4"/>
  <c r="C148" i="42" s="1"/>
  <c r="H126" i="4"/>
  <c r="C82" i="42" s="1"/>
  <c r="H125" i="4"/>
  <c r="C111" i="42" s="1"/>
  <c r="H124" i="4"/>
  <c r="H123" i="4"/>
  <c r="C112" i="42" s="1"/>
  <c r="H122" i="4"/>
  <c r="C177" i="42" s="1"/>
  <c r="H121" i="4"/>
  <c r="H120" i="4"/>
  <c r="C144" i="42" s="1"/>
  <c r="H119" i="4"/>
  <c r="H118" i="4"/>
  <c r="C122" i="42" s="1"/>
  <c r="H117" i="4"/>
  <c r="H116" i="4"/>
  <c r="H115" i="4"/>
  <c r="C166" i="42" s="1"/>
  <c r="H114" i="4"/>
  <c r="H113" i="4"/>
  <c r="C162" i="42" s="1"/>
  <c r="H112" i="4"/>
  <c r="H111" i="4"/>
  <c r="C147" i="42" s="1"/>
  <c r="H110" i="4"/>
  <c r="H109" i="4"/>
  <c r="C151" i="42" s="1"/>
  <c r="H108" i="4"/>
  <c r="C172" i="42" s="1"/>
  <c r="H107" i="4"/>
  <c r="C103" i="42" s="1"/>
  <c r="H106" i="4"/>
  <c r="C137" i="42" s="1"/>
  <c r="H105" i="4"/>
  <c r="C98" i="42" s="1"/>
  <c r="H104" i="4"/>
  <c r="C100" i="42" s="1"/>
  <c r="H103" i="4"/>
  <c r="C116" i="42" s="1"/>
  <c r="H102" i="4"/>
  <c r="C121" i="42" s="1"/>
  <c r="H101" i="4"/>
  <c r="C110" i="42" s="1"/>
  <c r="H100" i="4"/>
  <c r="C113" i="42" s="1"/>
  <c r="H99" i="4"/>
  <c r="C174" i="42" s="1"/>
  <c r="H98" i="4"/>
  <c r="C114" i="42" s="1"/>
  <c r="H97" i="4"/>
  <c r="C145" i="42" s="1"/>
  <c r="H96" i="4"/>
  <c r="H95" i="4"/>
  <c r="C124" i="42" s="1"/>
  <c r="H94" i="4"/>
  <c r="C146" i="42" s="1"/>
  <c r="H93" i="4"/>
  <c r="H92" i="4"/>
  <c r="C139" i="42" s="1"/>
  <c r="H91" i="4"/>
  <c r="H90" i="4"/>
  <c r="C135" i="42" s="1"/>
  <c r="H89" i="4"/>
  <c r="C134" i="42" s="1"/>
  <c r="H88" i="4"/>
  <c r="C150" i="42" s="1"/>
  <c r="H87" i="4"/>
  <c r="C158" i="42" s="1"/>
  <c r="H86" i="4"/>
  <c r="C153" i="42" s="1"/>
  <c r="H85" i="4"/>
  <c r="H84" i="4"/>
  <c r="H83" i="4"/>
  <c r="C81" i="42" s="1"/>
  <c r="H82" i="4"/>
  <c r="C80" i="42" s="1"/>
  <c r="H81" i="4"/>
  <c r="C79" i="42" s="1"/>
  <c r="H80" i="4"/>
  <c r="C78" i="42" s="1"/>
  <c r="H79" i="4"/>
  <c r="C77" i="42" s="1"/>
  <c r="H78" i="4"/>
  <c r="C76" i="42" s="1"/>
  <c r="H77" i="4"/>
  <c r="C75" i="42" s="1"/>
  <c r="H76" i="4"/>
  <c r="C74" i="42" s="1"/>
  <c r="H75" i="4"/>
  <c r="C73" i="42" s="1"/>
  <c r="H74" i="4"/>
  <c r="C72" i="42" s="1"/>
  <c r="H73" i="4"/>
  <c r="C71" i="42" s="1"/>
  <c r="H72" i="4"/>
  <c r="C70" i="42" s="1"/>
  <c r="H71" i="4"/>
  <c r="C69" i="42" s="1"/>
  <c r="H70" i="4"/>
  <c r="C68" i="42" s="1"/>
  <c r="H69" i="4"/>
  <c r="C67" i="42" s="1"/>
  <c r="H68" i="4"/>
  <c r="C66" i="42" s="1"/>
  <c r="H67" i="4"/>
  <c r="C65" i="42" s="1"/>
  <c r="H66" i="4"/>
  <c r="C64" i="42" s="1"/>
  <c r="H65" i="4"/>
  <c r="C63" i="42" s="1"/>
  <c r="H64" i="4"/>
  <c r="C62" i="42" s="1"/>
  <c r="H63" i="4"/>
  <c r="C61" i="42" s="1"/>
  <c r="H62" i="4"/>
  <c r="C60" i="42" s="1"/>
  <c r="H61" i="4"/>
  <c r="C59" i="42" s="1"/>
  <c r="H60" i="4"/>
  <c r="C58" i="42" s="1"/>
  <c r="H59" i="4"/>
  <c r="C57" i="42" s="1"/>
  <c r="H58" i="4"/>
  <c r="C56" i="42" s="1"/>
  <c r="H57" i="4"/>
  <c r="C55" i="42" s="1"/>
  <c r="H56" i="4"/>
  <c r="C54" i="42" s="1"/>
  <c r="H55" i="4"/>
  <c r="H54" i="4"/>
  <c r="C52" i="42" s="1"/>
  <c r="H53" i="4"/>
  <c r="C51" i="42" s="1"/>
  <c r="H52" i="4"/>
  <c r="H51" i="4"/>
  <c r="C50" i="42" s="1"/>
  <c r="H50" i="4"/>
  <c r="C49" i="42" s="1"/>
  <c r="H49" i="4"/>
  <c r="C48" i="42" s="1"/>
  <c r="H48" i="4"/>
  <c r="C47" i="42" s="1"/>
  <c r="H47" i="4"/>
  <c r="H46" i="4"/>
  <c r="C45" i="42" s="1"/>
  <c r="H45" i="4"/>
  <c r="C44" i="42" s="1"/>
  <c r="H44" i="4"/>
  <c r="C43" i="42" s="1"/>
  <c r="H43" i="4"/>
  <c r="C42" i="42" s="1"/>
  <c r="H42" i="4"/>
  <c r="C41" i="42" s="1"/>
  <c r="H41" i="4"/>
  <c r="C40" i="42" s="1"/>
  <c r="H40" i="4"/>
  <c r="C39" i="42" s="1"/>
  <c r="H39" i="4"/>
  <c r="H38" i="4"/>
  <c r="C37" i="42" s="1"/>
  <c r="H37" i="4"/>
  <c r="C36" i="42" s="1"/>
  <c r="H36" i="4"/>
  <c r="C35" i="42" s="1"/>
  <c r="H35" i="4"/>
  <c r="C34" i="42" s="1"/>
  <c r="H34" i="4"/>
  <c r="H33" i="4"/>
  <c r="C32" i="42" s="1"/>
  <c r="H32" i="4"/>
  <c r="C31" i="42" s="1"/>
  <c r="H31" i="4"/>
  <c r="H30" i="4"/>
  <c r="C29" i="42" s="1"/>
  <c r="H29" i="4"/>
  <c r="C28" i="42" s="1"/>
  <c r="H28" i="4"/>
  <c r="C27" i="42" s="1"/>
  <c r="H27" i="4"/>
  <c r="C26" i="42" s="1"/>
  <c r="H26" i="4"/>
  <c r="H25" i="4"/>
  <c r="C24" i="42" s="1"/>
  <c r="H24" i="4"/>
  <c r="C23" i="42" s="1"/>
  <c r="H23" i="4"/>
  <c r="C22" i="42" s="1"/>
  <c r="H22" i="4"/>
  <c r="C21" i="42" s="1"/>
  <c r="H21" i="4"/>
  <c r="C20" i="42" s="1"/>
  <c r="H20" i="4"/>
  <c r="H19" i="4"/>
  <c r="C19" i="42" s="1"/>
  <c r="H18" i="4"/>
  <c r="C18" i="42" s="1"/>
  <c r="H17" i="4"/>
  <c r="C17" i="42" s="1"/>
  <c r="H16" i="4"/>
  <c r="C16" i="42" s="1"/>
  <c r="H15" i="4"/>
  <c r="H14" i="4"/>
  <c r="C14" i="42" s="1"/>
  <c r="H13" i="4"/>
  <c r="C13" i="42" s="1"/>
  <c r="H12" i="4"/>
  <c r="C12" i="42" s="1"/>
  <c r="H11" i="4"/>
  <c r="C11" i="42" s="1"/>
  <c r="H10" i="4"/>
  <c r="C10" i="42" s="1"/>
  <c r="H9" i="4"/>
  <c r="C9" i="42" s="1"/>
  <c r="H8" i="4"/>
  <c r="C8" i="42" s="1"/>
  <c r="H7" i="4"/>
  <c r="H6" i="4"/>
  <c r="C6" i="42" s="1"/>
  <c r="H5" i="4"/>
  <c r="C5" i="42" s="1"/>
  <c r="H4" i="4"/>
  <c r="C4" i="42" s="1"/>
  <c r="H3" i="4"/>
  <c r="C3" i="42" s="1"/>
  <c r="H2" i="4"/>
  <c r="C2" i="42" s="1"/>
  <c r="F4" i="42" l="1"/>
  <c r="F132" i="42"/>
  <c r="F138" i="42"/>
  <c r="F9" i="42"/>
  <c r="F107" i="42"/>
  <c r="F110" i="42"/>
  <c r="F15" i="42"/>
  <c r="F40" i="42"/>
  <c r="F105" i="42"/>
  <c r="F47" i="42"/>
  <c r="F49" i="42"/>
  <c r="F52" i="42"/>
  <c r="F53" i="42"/>
  <c r="F103" i="42"/>
  <c r="F95" i="42"/>
  <c r="F154" i="42"/>
  <c r="F99" i="42"/>
  <c r="F56" i="42"/>
  <c r="F26" i="42"/>
  <c r="F68" i="42"/>
  <c r="F94" i="42"/>
  <c r="F91" i="42"/>
  <c r="F122" i="42"/>
  <c r="F146" i="42"/>
  <c r="F151" i="42"/>
  <c r="F123" i="42"/>
  <c r="F43" i="42"/>
  <c r="F65" i="42"/>
  <c r="F130" i="42"/>
  <c r="F170" i="42"/>
  <c r="F117" i="42"/>
  <c r="F139" i="42"/>
  <c r="F141" i="42"/>
  <c r="F28" i="42"/>
  <c r="F38" i="42"/>
  <c r="F72" i="42"/>
  <c r="F77" i="42"/>
  <c r="F79" i="42"/>
  <c r="F80" i="42"/>
  <c r="F81" i="42"/>
  <c r="F102" i="42"/>
  <c r="F93" i="42"/>
  <c r="F97" i="42"/>
  <c r="F136" i="42"/>
  <c r="F152" i="42"/>
  <c r="F156" i="42"/>
  <c r="F174" i="42"/>
  <c r="F20" i="42"/>
  <c r="F30" i="42"/>
  <c r="F19" i="42"/>
  <c r="F25" i="42"/>
  <c r="F12" i="42"/>
  <c r="F35" i="42"/>
  <c r="F31" i="42"/>
  <c r="F23" i="42"/>
  <c r="F24" i="42"/>
  <c r="F150" i="42"/>
  <c r="F29" i="42"/>
  <c r="F62" i="42"/>
  <c r="F124" i="42"/>
  <c r="F127" i="42"/>
  <c r="F55" i="42"/>
  <c r="F162" i="42"/>
  <c r="F175" i="42"/>
  <c r="F46" i="42"/>
  <c r="F39" i="42"/>
  <c r="F100" i="42"/>
  <c r="F128" i="42"/>
  <c r="F142" i="42"/>
  <c r="F41" i="42"/>
  <c r="D178" i="42"/>
  <c r="F6" i="42"/>
  <c r="F7" i="42"/>
  <c r="F8" i="42"/>
  <c r="F16" i="42"/>
  <c r="F14" i="42"/>
  <c r="F18" i="42"/>
  <c r="F34" i="42"/>
  <c r="F42" i="42"/>
  <c r="F48" i="42"/>
  <c r="F58" i="42"/>
  <c r="F60" i="42"/>
  <c r="F61" i="42"/>
  <c r="F74" i="42"/>
  <c r="F98" i="42"/>
  <c r="F83" i="42"/>
  <c r="F114" i="42"/>
  <c r="F133" i="42"/>
  <c r="F144" i="42"/>
  <c r="F160" i="42"/>
  <c r="F173" i="42"/>
  <c r="F37" i="42"/>
  <c r="F21" i="42"/>
  <c r="F76" i="42"/>
  <c r="F78" i="42"/>
  <c r="F111" i="42"/>
  <c r="F168" i="42"/>
  <c r="F5" i="42"/>
  <c r="F17" i="42"/>
  <c r="F57" i="42"/>
  <c r="F59" i="42"/>
  <c r="F64" i="42"/>
  <c r="F66" i="42"/>
  <c r="F67" i="42"/>
  <c r="F69" i="42"/>
  <c r="F70" i="42"/>
  <c r="F96" i="42"/>
  <c r="F101" i="42"/>
  <c r="F86" i="42"/>
  <c r="F88" i="42"/>
  <c r="F118" i="42"/>
  <c r="F44" i="42"/>
  <c r="F147" i="42"/>
  <c r="F164" i="42"/>
  <c r="F11" i="42"/>
  <c r="F27" i="42"/>
  <c r="F51" i="42"/>
  <c r="G178" i="42"/>
  <c r="F161" i="42"/>
  <c r="F169" i="42"/>
  <c r="F13" i="42"/>
  <c r="F2" i="42"/>
  <c r="C178" i="42"/>
  <c r="F50" i="42"/>
  <c r="F82" i="42"/>
  <c r="F33" i="42"/>
  <c r="F63" i="42"/>
  <c r="E178" i="42"/>
  <c r="F10" i="42"/>
  <c r="F165" i="42"/>
  <c r="F45" i="42"/>
  <c r="F172" i="42"/>
  <c r="F90" i="42"/>
  <c r="F92" i="42"/>
  <c r="F3" i="42"/>
  <c r="F73" i="42"/>
  <c r="F54" i="42"/>
  <c r="F75" i="42"/>
  <c r="F36" i="42"/>
  <c r="F85" i="42"/>
  <c r="F106" i="42"/>
  <c r="F112" i="42"/>
  <c r="F113" i="42"/>
  <c r="F120" i="42"/>
  <c r="F121" i="42"/>
  <c r="F129" i="42"/>
  <c r="F131" i="42"/>
  <c r="F137" i="42"/>
  <c r="F143" i="42"/>
  <c r="F148" i="42"/>
  <c r="F149" i="42"/>
  <c r="F157" i="42"/>
  <c r="F159" i="42"/>
  <c r="F163" i="42"/>
  <c r="F158" i="42"/>
  <c r="F167" i="42"/>
  <c r="F71" i="42"/>
  <c r="F171" i="42"/>
  <c r="F89" i="42"/>
  <c r="F104" i="42"/>
  <c r="F87" i="42"/>
  <c r="F84" i="42"/>
  <c r="F108" i="42"/>
  <c r="F109" i="42"/>
  <c r="F115" i="42"/>
  <c r="F116" i="42"/>
  <c r="F125" i="42"/>
  <c r="F126" i="42"/>
  <c r="F134" i="42"/>
  <c r="F135" i="42"/>
  <c r="F140" i="42"/>
  <c r="F119" i="42"/>
  <c r="F32" i="42"/>
  <c r="F145" i="42"/>
  <c r="F153" i="42"/>
  <c r="F155" i="42"/>
  <c r="F22" i="42"/>
  <c r="F166" i="42"/>
  <c r="F176" i="42"/>
  <c r="F177" i="42"/>
  <c r="G179" i="41"/>
  <c r="E179" i="41"/>
  <c r="D179" i="41"/>
  <c r="C179" i="41"/>
  <c r="G178" i="41"/>
  <c r="E178" i="41"/>
  <c r="D178" i="41"/>
  <c r="C178" i="41"/>
  <c r="G175" i="41"/>
  <c r="E175" i="41"/>
  <c r="D175" i="41"/>
  <c r="C175" i="41"/>
  <c r="G177" i="41"/>
  <c r="E177" i="41"/>
  <c r="D177" i="41"/>
  <c r="C177" i="41"/>
  <c r="G69" i="41"/>
  <c r="E69" i="41"/>
  <c r="D69" i="41"/>
  <c r="C69" i="41"/>
  <c r="G170" i="41"/>
  <c r="E170" i="41"/>
  <c r="D170" i="41"/>
  <c r="C170" i="41"/>
  <c r="G171" i="41"/>
  <c r="E171" i="41"/>
  <c r="D171" i="41"/>
  <c r="C171" i="41"/>
  <c r="G169" i="41"/>
  <c r="E169" i="41"/>
  <c r="D169" i="41"/>
  <c r="C169" i="41"/>
  <c r="G22" i="41"/>
  <c r="E22" i="41"/>
  <c r="D22" i="41"/>
  <c r="C22" i="41"/>
  <c r="G53" i="41"/>
  <c r="E53" i="41"/>
  <c r="D53" i="41"/>
  <c r="C53" i="41"/>
  <c r="G158" i="41"/>
  <c r="E158" i="41"/>
  <c r="D158" i="41"/>
  <c r="C158" i="41"/>
  <c r="G166" i="41"/>
  <c r="E166" i="41"/>
  <c r="D166" i="41"/>
  <c r="C166" i="41"/>
  <c r="G165" i="41"/>
  <c r="E165" i="41"/>
  <c r="D165" i="41"/>
  <c r="C165" i="41"/>
  <c r="G164" i="41"/>
  <c r="E164" i="41"/>
  <c r="D164" i="41"/>
  <c r="C164" i="41"/>
  <c r="G161" i="41"/>
  <c r="E161" i="41"/>
  <c r="D161" i="41"/>
  <c r="C161" i="41"/>
  <c r="G160" i="41"/>
  <c r="E160" i="41"/>
  <c r="D160" i="41"/>
  <c r="C160" i="41"/>
  <c r="G159" i="41"/>
  <c r="E159" i="41"/>
  <c r="D159" i="41"/>
  <c r="C159" i="41"/>
  <c r="G157" i="41"/>
  <c r="E157" i="41"/>
  <c r="D157" i="41"/>
  <c r="C157" i="41"/>
  <c r="G156" i="41"/>
  <c r="E156" i="41"/>
  <c r="D156" i="41"/>
  <c r="C156" i="41"/>
  <c r="G155" i="41"/>
  <c r="E155" i="41"/>
  <c r="D155" i="41"/>
  <c r="C155" i="41"/>
  <c r="G154" i="41"/>
  <c r="E154" i="41"/>
  <c r="D154" i="41"/>
  <c r="C154" i="41"/>
  <c r="G152" i="41"/>
  <c r="E152" i="41"/>
  <c r="D152" i="41"/>
  <c r="C152" i="41"/>
  <c r="G151" i="41"/>
  <c r="E151" i="41"/>
  <c r="D151" i="41"/>
  <c r="C151" i="41"/>
  <c r="G150" i="41"/>
  <c r="E150" i="41"/>
  <c r="D150" i="41"/>
  <c r="C150" i="41"/>
  <c r="G148" i="41"/>
  <c r="E148" i="41"/>
  <c r="D148" i="41"/>
  <c r="C148" i="41"/>
  <c r="G147" i="41"/>
  <c r="E147" i="41"/>
  <c r="D147" i="41"/>
  <c r="C147" i="41"/>
  <c r="G146" i="41"/>
  <c r="E146" i="41"/>
  <c r="D146" i="41"/>
  <c r="C146" i="41"/>
  <c r="G145" i="41"/>
  <c r="E145" i="41"/>
  <c r="D145" i="41"/>
  <c r="C145" i="41"/>
  <c r="G144" i="41"/>
  <c r="E144" i="41"/>
  <c r="D144" i="41"/>
  <c r="C144" i="41"/>
  <c r="G31" i="41"/>
  <c r="E31" i="41"/>
  <c r="D31" i="41"/>
  <c r="C31" i="41"/>
  <c r="G143" i="41"/>
  <c r="E143" i="41"/>
  <c r="D143" i="41"/>
  <c r="C143" i="41"/>
  <c r="G163" i="41"/>
  <c r="E163" i="41"/>
  <c r="D163" i="41"/>
  <c r="C163" i="41"/>
  <c r="G142" i="41"/>
  <c r="E142" i="41"/>
  <c r="D142" i="41"/>
  <c r="C142" i="41"/>
  <c r="G141" i="41"/>
  <c r="E141" i="41"/>
  <c r="D141" i="41"/>
  <c r="C141" i="41"/>
  <c r="G140" i="41"/>
  <c r="E140" i="41"/>
  <c r="D140" i="41"/>
  <c r="C140" i="41"/>
  <c r="G117" i="41"/>
  <c r="E117" i="41"/>
  <c r="D117" i="41"/>
  <c r="C117" i="41"/>
  <c r="G139" i="41"/>
  <c r="E139" i="41"/>
  <c r="D139" i="41"/>
  <c r="C139" i="41"/>
  <c r="G138" i="41"/>
  <c r="E138" i="41"/>
  <c r="D138" i="41"/>
  <c r="C138" i="41"/>
  <c r="G137" i="41"/>
  <c r="E137" i="41"/>
  <c r="D137" i="41"/>
  <c r="C137" i="41"/>
  <c r="G136" i="41"/>
  <c r="E136" i="41"/>
  <c r="D136" i="41"/>
  <c r="C136" i="41"/>
  <c r="G120" i="41"/>
  <c r="E120" i="41"/>
  <c r="D120" i="41"/>
  <c r="C120" i="41"/>
  <c r="G135" i="41"/>
  <c r="E135" i="41"/>
  <c r="D135" i="41"/>
  <c r="C135" i="41"/>
  <c r="G133" i="41"/>
  <c r="E133" i="41"/>
  <c r="D133" i="41"/>
  <c r="C133" i="41"/>
  <c r="G132" i="41"/>
  <c r="E132" i="41"/>
  <c r="D132" i="41"/>
  <c r="C132" i="41"/>
  <c r="G131" i="41"/>
  <c r="E131" i="41"/>
  <c r="D131" i="41"/>
  <c r="C131" i="41"/>
  <c r="G130" i="41"/>
  <c r="E130" i="41"/>
  <c r="D130" i="41"/>
  <c r="C130" i="41"/>
  <c r="G129" i="41"/>
  <c r="E129" i="41"/>
  <c r="D129" i="41"/>
  <c r="C129" i="41"/>
  <c r="G128" i="41"/>
  <c r="E128" i="41"/>
  <c r="D128" i="41"/>
  <c r="C128" i="41"/>
  <c r="G127" i="41"/>
  <c r="E127" i="41"/>
  <c r="D127" i="41"/>
  <c r="C127" i="41"/>
  <c r="G126" i="41"/>
  <c r="E126" i="41"/>
  <c r="D126" i="41"/>
  <c r="C126" i="41"/>
  <c r="G125" i="41"/>
  <c r="E125" i="41"/>
  <c r="D125" i="41"/>
  <c r="C125" i="41"/>
  <c r="G124" i="41"/>
  <c r="E124" i="41"/>
  <c r="D124" i="41"/>
  <c r="C124" i="41"/>
  <c r="G123" i="41"/>
  <c r="E123" i="41"/>
  <c r="D123" i="41"/>
  <c r="C123" i="41"/>
  <c r="G121" i="41"/>
  <c r="E121" i="41"/>
  <c r="D121" i="41"/>
  <c r="C121" i="41"/>
  <c r="G119" i="41"/>
  <c r="E119" i="41"/>
  <c r="D119" i="41"/>
  <c r="C119" i="41"/>
  <c r="G118" i="41"/>
  <c r="E118" i="41"/>
  <c r="D118" i="41"/>
  <c r="C118" i="41"/>
  <c r="G116" i="41"/>
  <c r="E116" i="41"/>
  <c r="D116" i="41"/>
  <c r="C116" i="41"/>
  <c r="G115" i="41"/>
  <c r="E115" i="41"/>
  <c r="D115" i="41"/>
  <c r="C115" i="41"/>
  <c r="G114" i="41"/>
  <c r="E114" i="41"/>
  <c r="D114" i="41"/>
  <c r="C114" i="41"/>
  <c r="G113" i="41"/>
  <c r="E113" i="41"/>
  <c r="D113" i="41"/>
  <c r="C113" i="41"/>
  <c r="G112" i="41"/>
  <c r="E112" i="41"/>
  <c r="D112" i="41"/>
  <c r="C112" i="41"/>
  <c r="G111" i="41"/>
  <c r="E111" i="41"/>
  <c r="D111" i="41"/>
  <c r="C111" i="41"/>
  <c r="G110" i="41"/>
  <c r="E110" i="41"/>
  <c r="D110" i="41"/>
  <c r="C110" i="41"/>
  <c r="G109" i="41"/>
  <c r="E109" i="41"/>
  <c r="D109" i="41"/>
  <c r="C109" i="41"/>
  <c r="G108" i="41"/>
  <c r="E108" i="41"/>
  <c r="D108" i="41"/>
  <c r="C108" i="41"/>
  <c r="G107" i="41"/>
  <c r="E107" i="41"/>
  <c r="D107" i="41"/>
  <c r="C107" i="41"/>
  <c r="G106" i="41"/>
  <c r="E106" i="41"/>
  <c r="D106" i="41"/>
  <c r="C106" i="41"/>
  <c r="G105" i="41"/>
  <c r="E105" i="41"/>
  <c r="D105" i="41"/>
  <c r="C105" i="41"/>
  <c r="G104" i="41"/>
  <c r="E104" i="41"/>
  <c r="D104" i="41"/>
  <c r="C104" i="41"/>
  <c r="G103" i="41"/>
  <c r="E103" i="41"/>
  <c r="D103" i="41"/>
  <c r="C103" i="41"/>
  <c r="G102" i="41"/>
  <c r="E102" i="41"/>
  <c r="D102" i="41"/>
  <c r="C102" i="41"/>
  <c r="G101" i="41"/>
  <c r="E101" i="41"/>
  <c r="D101" i="41"/>
  <c r="C101" i="41"/>
  <c r="G100" i="41"/>
  <c r="E100" i="41"/>
  <c r="D100" i="41"/>
  <c r="C100" i="41"/>
  <c r="G99" i="41"/>
  <c r="E99" i="41"/>
  <c r="D99" i="41"/>
  <c r="C99" i="41"/>
  <c r="G98" i="41"/>
  <c r="E98" i="41"/>
  <c r="D98" i="41"/>
  <c r="C98" i="41"/>
  <c r="G97" i="41"/>
  <c r="E97" i="41"/>
  <c r="D97" i="41"/>
  <c r="C97" i="41"/>
  <c r="G96" i="41"/>
  <c r="E96" i="41"/>
  <c r="D96" i="41"/>
  <c r="C96" i="41"/>
  <c r="G95" i="41"/>
  <c r="E95" i="41"/>
  <c r="D95" i="41"/>
  <c r="C95" i="41"/>
  <c r="G94" i="41"/>
  <c r="E94" i="41"/>
  <c r="D94" i="41"/>
  <c r="C94" i="41"/>
  <c r="G93" i="41"/>
  <c r="E93" i="41"/>
  <c r="D93" i="41"/>
  <c r="C93" i="41"/>
  <c r="G92" i="41"/>
  <c r="E92" i="41"/>
  <c r="D92" i="41"/>
  <c r="C92" i="41"/>
  <c r="G91" i="41"/>
  <c r="E91" i="41"/>
  <c r="D91" i="41"/>
  <c r="C91" i="41"/>
  <c r="G134" i="41"/>
  <c r="E134" i="41"/>
  <c r="D134" i="41"/>
  <c r="C134" i="41"/>
  <c r="G153" i="41"/>
  <c r="E153" i="41"/>
  <c r="D153" i="41"/>
  <c r="C153" i="41"/>
  <c r="G44" i="41"/>
  <c r="E44" i="41"/>
  <c r="D44" i="41"/>
  <c r="C44" i="41"/>
  <c r="G10" i="41"/>
  <c r="E10" i="41"/>
  <c r="D10" i="41"/>
  <c r="C10" i="41"/>
  <c r="G68" i="41"/>
  <c r="E68" i="41"/>
  <c r="D68" i="41"/>
  <c r="C68" i="41"/>
  <c r="G28" i="41"/>
  <c r="E28" i="41"/>
  <c r="D28" i="41"/>
  <c r="C28" i="41"/>
  <c r="G36" i="41"/>
  <c r="E36" i="41"/>
  <c r="D36" i="41"/>
  <c r="C36" i="41"/>
  <c r="G49" i="41"/>
  <c r="E49" i="41"/>
  <c r="D49" i="41"/>
  <c r="C49" i="41"/>
  <c r="G62" i="41"/>
  <c r="E62" i="41"/>
  <c r="D62" i="41"/>
  <c r="C62" i="41"/>
  <c r="G43" i="41"/>
  <c r="E43" i="41"/>
  <c r="D43" i="41"/>
  <c r="C43" i="41"/>
  <c r="G162" i="41"/>
  <c r="E162" i="41"/>
  <c r="D162" i="41"/>
  <c r="C162" i="41"/>
  <c r="G168" i="41"/>
  <c r="E168" i="41"/>
  <c r="D168" i="41"/>
  <c r="C168" i="41"/>
  <c r="G122" i="41"/>
  <c r="E122" i="41"/>
  <c r="D122" i="41"/>
  <c r="C122" i="41"/>
  <c r="G90" i="41"/>
  <c r="E90" i="41"/>
  <c r="D90" i="41"/>
  <c r="C90" i="41"/>
  <c r="G89" i="41"/>
  <c r="E89" i="41"/>
  <c r="D89" i="41"/>
  <c r="C89" i="41"/>
  <c r="G88" i="41"/>
  <c r="E88" i="41"/>
  <c r="D88" i="41"/>
  <c r="C88" i="41"/>
  <c r="G87" i="41"/>
  <c r="E87" i="41"/>
  <c r="D87" i="41"/>
  <c r="C87" i="41"/>
  <c r="G86" i="41"/>
  <c r="E86" i="41"/>
  <c r="D86" i="41"/>
  <c r="C86" i="41"/>
  <c r="G85" i="41"/>
  <c r="E85" i="41"/>
  <c r="D85" i="41"/>
  <c r="C85" i="41"/>
  <c r="G84" i="41"/>
  <c r="E84" i="41"/>
  <c r="D84" i="41"/>
  <c r="C84" i="41"/>
  <c r="G83" i="41"/>
  <c r="E83" i="41"/>
  <c r="D83" i="41"/>
  <c r="C83" i="41"/>
  <c r="G174" i="41"/>
  <c r="E174" i="41"/>
  <c r="D174" i="41"/>
  <c r="C174" i="41"/>
  <c r="G79" i="41"/>
  <c r="E79" i="41"/>
  <c r="D79" i="41"/>
  <c r="C79" i="41"/>
  <c r="G78" i="41"/>
  <c r="E78" i="41"/>
  <c r="D78" i="41"/>
  <c r="C78" i="41"/>
  <c r="G77" i="41"/>
  <c r="E77" i="41"/>
  <c r="D77" i="41"/>
  <c r="C77" i="41"/>
  <c r="G76" i="41"/>
  <c r="E76" i="41"/>
  <c r="D76" i="41"/>
  <c r="C76" i="41"/>
  <c r="G75" i="41"/>
  <c r="E75" i="41"/>
  <c r="D75" i="41"/>
  <c r="C75" i="41"/>
  <c r="G74" i="41"/>
  <c r="E74" i="41"/>
  <c r="D74" i="41"/>
  <c r="C74" i="41"/>
  <c r="G73" i="41"/>
  <c r="E73" i="41"/>
  <c r="D73" i="41"/>
  <c r="C73" i="41"/>
  <c r="G72" i="41"/>
  <c r="E72" i="41"/>
  <c r="D72" i="41"/>
  <c r="C72" i="41"/>
  <c r="G70" i="41"/>
  <c r="E70" i="41"/>
  <c r="D70" i="41"/>
  <c r="C70" i="41"/>
  <c r="G67" i="41"/>
  <c r="E67" i="41"/>
  <c r="D67" i="41"/>
  <c r="C67" i="41"/>
  <c r="G66" i="41"/>
  <c r="E66" i="41"/>
  <c r="D66" i="41"/>
  <c r="C66" i="41"/>
  <c r="G65" i="41"/>
  <c r="E65" i="41"/>
  <c r="D65" i="41"/>
  <c r="C65" i="41"/>
  <c r="G64" i="41"/>
  <c r="E64" i="41"/>
  <c r="D64" i="41"/>
  <c r="C64" i="41"/>
  <c r="G63" i="41"/>
  <c r="E63" i="41"/>
  <c r="D63" i="41"/>
  <c r="C63" i="41"/>
  <c r="G61" i="41"/>
  <c r="E61" i="41"/>
  <c r="D61" i="41"/>
  <c r="C61" i="41"/>
  <c r="G60" i="41"/>
  <c r="E60" i="41"/>
  <c r="D60" i="41"/>
  <c r="C60" i="41"/>
  <c r="G59" i="41"/>
  <c r="E59" i="41"/>
  <c r="D59" i="41"/>
  <c r="C59" i="41"/>
  <c r="G58" i="41"/>
  <c r="E58" i="41"/>
  <c r="D58" i="41"/>
  <c r="C58" i="41"/>
  <c r="G57" i="41"/>
  <c r="E57" i="41"/>
  <c r="D57" i="41"/>
  <c r="C57" i="41"/>
  <c r="G56" i="41"/>
  <c r="E56" i="41"/>
  <c r="D56" i="41"/>
  <c r="C56" i="41"/>
  <c r="G55" i="41"/>
  <c r="E55" i="41"/>
  <c r="D55" i="41"/>
  <c r="C55" i="41"/>
  <c r="G54" i="41"/>
  <c r="E54" i="41"/>
  <c r="D54" i="41"/>
  <c r="C54" i="41"/>
  <c r="G52" i="41"/>
  <c r="E52" i="41"/>
  <c r="D52" i="41"/>
  <c r="C52" i="41"/>
  <c r="G51" i="41"/>
  <c r="E51" i="41"/>
  <c r="D51" i="41"/>
  <c r="C51" i="41"/>
  <c r="G50" i="41"/>
  <c r="E50" i="41"/>
  <c r="D50" i="41"/>
  <c r="C50" i="41"/>
  <c r="G48" i="41"/>
  <c r="E48" i="41"/>
  <c r="D48" i="41"/>
  <c r="C48" i="41"/>
  <c r="G47" i="41"/>
  <c r="E47" i="41"/>
  <c r="D47" i="41"/>
  <c r="C47" i="41"/>
  <c r="G46" i="41"/>
  <c r="E46" i="41"/>
  <c r="D46" i="41"/>
  <c r="C46" i="41"/>
  <c r="G82" i="41"/>
  <c r="E82" i="41"/>
  <c r="D82" i="41"/>
  <c r="C82" i="41"/>
  <c r="G45" i="41"/>
  <c r="E45" i="41"/>
  <c r="D45" i="41"/>
  <c r="C45" i="41"/>
  <c r="G42" i="41"/>
  <c r="E42" i="41"/>
  <c r="D42" i="41"/>
  <c r="C42" i="41"/>
  <c r="G41" i="41"/>
  <c r="E41" i="41"/>
  <c r="D41" i="41"/>
  <c r="C41" i="41"/>
  <c r="G40" i="41"/>
  <c r="E40" i="41"/>
  <c r="D40" i="41"/>
  <c r="C40" i="41"/>
  <c r="G81" i="41"/>
  <c r="E81" i="41"/>
  <c r="D81" i="41"/>
  <c r="C81" i="41"/>
  <c r="G39" i="41"/>
  <c r="E39" i="41"/>
  <c r="D39" i="41"/>
  <c r="C39" i="41"/>
  <c r="G173" i="41"/>
  <c r="E173" i="41"/>
  <c r="D173" i="41"/>
  <c r="C173" i="41"/>
  <c r="G37" i="41"/>
  <c r="E37" i="41"/>
  <c r="D37" i="41"/>
  <c r="C37" i="41"/>
  <c r="G71" i="41"/>
  <c r="E71" i="41"/>
  <c r="D71" i="41"/>
  <c r="C71" i="41"/>
  <c r="G34" i="41"/>
  <c r="E34" i="41"/>
  <c r="D34" i="41"/>
  <c r="C34" i="41"/>
  <c r="G25" i="41"/>
  <c r="E25" i="41"/>
  <c r="D25" i="41"/>
  <c r="C25" i="41"/>
  <c r="G32" i="41"/>
  <c r="E32" i="41"/>
  <c r="D32" i="41"/>
  <c r="C32" i="41"/>
  <c r="G80" i="41"/>
  <c r="E80" i="41"/>
  <c r="D80" i="41"/>
  <c r="C80" i="41"/>
  <c r="G33" i="41"/>
  <c r="E33" i="41"/>
  <c r="D33" i="41"/>
  <c r="C33" i="41"/>
  <c r="G20" i="41"/>
  <c r="E20" i="41"/>
  <c r="D20" i="41"/>
  <c r="C20" i="41"/>
  <c r="G29" i="41"/>
  <c r="E29" i="41"/>
  <c r="D29" i="41"/>
  <c r="C29" i="41"/>
  <c r="G149" i="41"/>
  <c r="E149" i="41"/>
  <c r="D149" i="41"/>
  <c r="C149" i="41"/>
  <c r="G35" i="41"/>
  <c r="E35" i="41"/>
  <c r="D35" i="41"/>
  <c r="C35" i="41"/>
  <c r="G24" i="41"/>
  <c r="E24" i="41"/>
  <c r="D24" i="41"/>
  <c r="C24" i="41"/>
  <c r="G23" i="41"/>
  <c r="E23" i="41"/>
  <c r="D23" i="41"/>
  <c r="C23" i="41"/>
  <c r="G16" i="41"/>
  <c r="E16" i="41"/>
  <c r="D16" i="41"/>
  <c r="C16" i="41"/>
  <c r="G21" i="41"/>
  <c r="E21" i="41"/>
  <c r="D21" i="41"/>
  <c r="C21" i="41"/>
  <c r="G27" i="41"/>
  <c r="E27" i="41"/>
  <c r="D27" i="41"/>
  <c r="C27" i="41"/>
  <c r="G18" i="41"/>
  <c r="E18" i="41"/>
  <c r="D18" i="41"/>
  <c r="C18" i="41"/>
  <c r="G17" i="41"/>
  <c r="E17" i="41"/>
  <c r="D17" i="41"/>
  <c r="C17" i="41"/>
  <c r="G15" i="41"/>
  <c r="E15" i="41"/>
  <c r="D15" i="41"/>
  <c r="C15" i="41"/>
  <c r="G12" i="41"/>
  <c r="E12" i="41"/>
  <c r="D12" i="41"/>
  <c r="C12" i="41"/>
  <c r="G14" i="41"/>
  <c r="E14" i="41"/>
  <c r="D14" i="41"/>
  <c r="C14" i="41"/>
  <c r="G13" i="41"/>
  <c r="E13" i="41"/>
  <c r="D13" i="41"/>
  <c r="C13" i="41"/>
  <c r="G11" i="41"/>
  <c r="E11" i="41"/>
  <c r="D11" i="41"/>
  <c r="C11" i="41"/>
  <c r="G172" i="41"/>
  <c r="E172" i="41"/>
  <c r="D172" i="41"/>
  <c r="C172" i="41"/>
  <c r="G19" i="41"/>
  <c r="E19" i="41"/>
  <c r="D19" i="41"/>
  <c r="C19" i="41"/>
  <c r="G176" i="41"/>
  <c r="E176" i="41"/>
  <c r="D176" i="41"/>
  <c r="C176" i="41"/>
  <c r="G30" i="41"/>
  <c r="E30" i="41"/>
  <c r="D30" i="41"/>
  <c r="C30" i="41"/>
  <c r="G26" i="41"/>
  <c r="E26" i="41"/>
  <c r="D26" i="41"/>
  <c r="C26" i="41"/>
  <c r="G167" i="41"/>
  <c r="E167" i="41"/>
  <c r="D167" i="41"/>
  <c r="C167" i="41"/>
  <c r="G38" i="41"/>
  <c r="E38" i="41"/>
  <c r="D38" i="41"/>
  <c r="C38" i="41"/>
  <c r="G8" i="41"/>
  <c r="E8" i="41"/>
  <c r="D8" i="41"/>
  <c r="C8" i="41"/>
  <c r="G7" i="41"/>
  <c r="E7" i="41"/>
  <c r="D7" i="41"/>
  <c r="C7" i="41"/>
  <c r="G6" i="41"/>
  <c r="E6" i="41"/>
  <c r="D6" i="41"/>
  <c r="C6" i="41"/>
  <c r="G5" i="41"/>
  <c r="E5" i="41"/>
  <c r="D5" i="41"/>
  <c r="C5" i="41"/>
  <c r="G9" i="41"/>
  <c r="E9" i="41"/>
  <c r="D9" i="41"/>
  <c r="C9" i="41"/>
  <c r="G4" i="41"/>
  <c r="E4" i="41"/>
  <c r="D4" i="41"/>
  <c r="C4" i="41"/>
  <c r="G3" i="41"/>
  <c r="E3" i="41"/>
  <c r="D3" i="41"/>
  <c r="C3" i="41"/>
  <c r="F174" i="41" l="1"/>
  <c r="F91" i="41"/>
  <c r="F150" i="41"/>
  <c r="F20" i="41"/>
  <c r="F96" i="41"/>
  <c r="F33" i="41"/>
  <c r="F34" i="41"/>
  <c r="F47" i="41"/>
  <c r="F50" i="41"/>
  <c r="F99" i="41"/>
  <c r="F151" i="41"/>
  <c r="F155" i="41"/>
  <c r="F64" i="41"/>
  <c r="F170" i="41"/>
  <c r="F176" i="41"/>
  <c r="F19" i="41"/>
  <c r="F11" i="41"/>
  <c r="F15" i="41"/>
  <c r="F35" i="41"/>
  <c r="F149" i="41"/>
  <c r="F121" i="41"/>
  <c r="F132" i="41"/>
  <c r="F120" i="41"/>
  <c r="F137" i="41"/>
  <c r="F143" i="41"/>
  <c r="F146" i="41"/>
  <c r="F147" i="41"/>
  <c r="F168" i="41"/>
  <c r="F38" i="41"/>
  <c r="F76" i="41"/>
  <c r="F109" i="41"/>
  <c r="F128" i="41"/>
  <c r="F5" i="41"/>
  <c r="F17" i="41"/>
  <c r="F39" i="41"/>
  <c r="F60" i="41"/>
  <c r="F61" i="41"/>
  <c r="F84" i="41"/>
  <c r="F90" i="41"/>
  <c r="F103" i="41"/>
  <c r="F112" i="41"/>
  <c r="F116" i="41"/>
  <c r="F118" i="41"/>
  <c r="F138" i="41"/>
  <c r="F141" i="41"/>
  <c r="F157" i="41"/>
  <c r="F175" i="41"/>
  <c r="F51" i="41"/>
  <c r="F105" i="41"/>
  <c r="F53" i="41"/>
  <c r="F13" i="41"/>
  <c r="F42" i="41"/>
  <c r="F45" i="41"/>
  <c r="F46" i="41"/>
  <c r="F65" i="41"/>
  <c r="F72" i="41"/>
  <c r="F162" i="41"/>
  <c r="F36" i="41"/>
  <c r="F94" i="41"/>
  <c r="F98" i="41"/>
  <c r="F102" i="41"/>
  <c r="F123" i="41"/>
  <c r="F126" i="41"/>
  <c r="F165" i="41"/>
  <c r="F166" i="41"/>
  <c r="F30" i="41"/>
  <c r="F41" i="41"/>
  <c r="F134" i="41"/>
  <c r="G180" i="41"/>
  <c r="F79" i="41"/>
  <c r="F18" i="41"/>
  <c r="F16" i="41"/>
  <c r="F24" i="41"/>
  <c r="F52" i="41"/>
  <c r="F57" i="41"/>
  <c r="F59" i="41"/>
  <c r="F92" i="41"/>
  <c r="F97" i="41"/>
  <c r="F161" i="41"/>
  <c r="F115" i="41"/>
  <c r="F135" i="41"/>
  <c r="F156" i="41"/>
  <c r="F164" i="41"/>
  <c r="F167" i="41"/>
  <c r="F12" i="41"/>
  <c r="F32" i="41"/>
  <c r="F25" i="41"/>
  <c r="F81" i="41"/>
  <c r="F67" i="41"/>
  <c r="F70" i="41"/>
  <c r="F77" i="41"/>
  <c r="F83" i="41"/>
  <c r="F62" i="41"/>
  <c r="F49" i="41"/>
  <c r="F44" i="41"/>
  <c r="F107" i="41"/>
  <c r="F108" i="41"/>
  <c r="F113" i="41"/>
  <c r="F125" i="41"/>
  <c r="F117" i="41"/>
  <c r="F140" i="41"/>
  <c r="F31" i="41"/>
  <c r="F154" i="41"/>
  <c r="F169" i="41"/>
  <c r="F178" i="41"/>
  <c r="F101" i="41"/>
  <c r="F127" i="41"/>
  <c r="F145" i="41"/>
  <c r="F171" i="41"/>
  <c r="F9" i="41"/>
  <c r="F7" i="41"/>
  <c r="F8" i="41"/>
  <c r="F14" i="41"/>
  <c r="F21" i="41"/>
  <c r="F80" i="41"/>
  <c r="F37" i="41"/>
  <c r="F173" i="41"/>
  <c r="F48" i="41"/>
  <c r="F56" i="41"/>
  <c r="F66" i="41"/>
  <c r="F74" i="41"/>
  <c r="F75" i="41"/>
  <c r="F87" i="41"/>
  <c r="F43" i="41"/>
  <c r="F68" i="41"/>
  <c r="F10" i="41"/>
  <c r="F93" i="41"/>
  <c r="F106" i="41"/>
  <c r="F111" i="41"/>
  <c r="F124" i="41"/>
  <c r="F131" i="41"/>
  <c r="F139" i="41"/>
  <c r="F163" i="41"/>
  <c r="F152" i="41"/>
  <c r="F159" i="41"/>
  <c r="F160" i="41"/>
  <c r="F22" i="41"/>
  <c r="F69" i="41"/>
  <c r="F177" i="41"/>
  <c r="D180" i="41"/>
  <c r="F3" i="41"/>
  <c r="F6" i="41"/>
  <c r="F71" i="41"/>
  <c r="F73" i="41"/>
  <c r="F28" i="41"/>
  <c r="F110" i="41"/>
  <c r="F142" i="41"/>
  <c r="F4" i="41"/>
  <c r="C180" i="41"/>
  <c r="F27" i="41"/>
  <c r="F54" i="41"/>
  <c r="F55" i="41"/>
  <c r="F85" i="41"/>
  <c r="F89" i="41"/>
  <c r="F129" i="41"/>
  <c r="F130" i="41"/>
  <c r="E180" i="41"/>
  <c r="F172" i="41"/>
  <c r="F29" i="41"/>
  <c r="F82" i="41"/>
  <c r="F63" i="41"/>
  <c r="F122" i="41"/>
  <c r="F95" i="41"/>
  <c r="F104" i="41"/>
  <c r="F119" i="41"/>
  <c r="F136" i="41"/>
  <c r="F148" i="41"/>
  <c r="F158" i="41"/>
  <c r="F26" i="41"/>
  <c r="F23" i="41"/>
  <c r="F40" i="41"/>
  <c r="F58" i="41"/>
  <c r="F78" i="41"/>
  <c r="F86" i="41"/>
  <c r="F88" i="41"/>
  <c r="F153" i="41"/>
  <c r="F100" i="41"/>
  <c r="F114" i="41"/>
  <c r="F133" i="41"/>
  <c r="F144" i="41"/>
  <c r="F179" i="41"/>
  <c r="G177" i="40"/>
  <c r="E177" i="40"/>
  <c r="D177" i="40"/>
  <c r="C177" i="40"/>
  <c r="G176" i="40"/>
  <c r="E176" i="40"/>
  <c r="D176" i="40"/>
  <c r="C176" i="40"/>
  <c r="G167" i="40"/>
  <c r="E167" i="40"/>
  <c r="D167" i="40"/>
  <c r="C167" i="40"/>
  <c r="G175" i="40"/>
  <c r="E175" i="40"/>
  <c r="D175" i="40"/>
  <c r="C175" i="40"/>
  <c r="G75" i="40"/>
  <c r="E75" i="40"/>
  <c r="D75" i="40"/>
  <c r="C75" i="40"/>
  <c r="G169" i="40"/>
  <c r="E169" i="40"/>
  <c r="D169" i="40"/>
  <c r="C169" i="40"/>
  <c r="G170" i="40"/>
  <c r="E170" i="40"/>
  <c r="D170" i="40"/>
  <c r="C170" i="40"/>
  <c r="G171" i="40"/>
  <c r="E171" i="40"/>
  <c r="D171" i="40"/>
  <c r="C171" i="40"/>
  <c r="G168" i="40"/>
  <c r="E168" i="40"/>
  <c r="D168" i="40"/>
  <c r="C168" i="40"/>
  <c r="G57" i="40"/>
  <c r="E57" i="40"/>
  <c r="D57" i="40"/>
  <c r="C57" i="40"/>
  <c r="G165" i="40"/>
  <c r="E165" i="40"/>
  <c r="D165" i="40"/>
  <c r="C165" i="40"/>
  <c r="G158" i="40"/>
  <c r="E158" i="40"/>
  <c r="D158" i="40"/>
  <c r="C158" i="40"/>
  <c r="G164" i="40"/>
  <c r="E164" i="40"/>
  <c r="D164" i="40"/>
  <c r="C164" i="40"/>
  <c r="G163" i="40"/>
  <c r="E163" i="40"/>
  <c r="D163" i="40"/>
  <c r="C163" i="40"/>
  <c r="G162" i="40"/>
  <c r="E162" i="40"/>
  <c r="D162" i="40"/>
  <c r="C162" i="40"/>
  <c r="G161" i="40"/>
  <c r="E161" i="40"/>
  <c r="D161" i="40"/>
  <c r="C161" i="40"/>
  <c r="G160" i="40"/>
  <c r="E160" i="40"/>
  <c r="D160" i="40"/>
  <c r="C160" i="40"/>
  <c r="G159" i="40"/>
  <c r="E159" i="40"/>
  <c r="D159" i="40"/>
  <c r="C159" i="40"/>
  <c r="G157" i="40"/>
  <c r="E157" i="40"/>
  <c r="D157" i="40"/>
  <c r="C157" i="40"/>
  <c r="G156" i="40"/>
  <c r="E156" i="40"/>
  <c r="D156" i="40"/>
  <c r="C156" i="40"/>
  <c r="G155" i="40"/>
  <c r="E155" i="40"/>
  <c r="D155" i="40"/>
  <c r="C155" i="40"/>
  <c r="G154" i="40"/>
  <c r="E154" i="40"/>
  <c r="D154" i="40"/>
  <c r="C154" i="40"/>
  <c r="G152" i="40"/>
  <c r="E152" i="40"/>
  <c r="D152" i="40"/>
  <c r="C152" i="40"/>
  <c r="G151" i="40"/>
  <c r="E151" i="40"/>
  <c r="D151" i="40"/>
  <c r="C151" i="40"/>
  <c r="G150" i="40"/>
  <c r="E150" i="40"/>
  <c r="D150" i="40"/>
  <c r="C150" i="40"/>
  <c r="G149" i="40"/>
  <c r="E149" i="40"/>
  <c r="D149" i="40"/>
  <c r="C149" i="40"/>
  <c r="G148" i="40"/>
  <c r="E148" i="40"/>
  <c r="D148" i="40"/>
  <c r="C148" i="40"/>
  <c r="G147" i="40"/>
  <c r="E147" i="40"/>
  <c r="D147" i="40"/>
  <c r="C147" i="40"/>
  <c r="G146" i="40"/>
  <c r="E146" i="40"/>
  <c r="D146" i="40"/>
  <c r="C146" i="40"/>
  <c r="G145" i="40"/>
  <c r="E145" i="40"/>
  <c r="D145" i="40"/>
  <c r="C145" i="40"/>
  <c r="G34" i="40"/>
  <c r="E34" i="40"/>
  <c r="D34" i="40"/>
  <c r="C34" i="40"/>
  <c r="G144" i="40"/>
  <c r="E144" i="40"/>
  <c r="D144" i="40"/>
  <c r="C144" i="40"/>
  <c r="G172" i="40"/>
  <c r="E172" i="40"/>
  <c r="D172" i="40"/>
  <c r="C172" i="40"/>
  <c r="G143" i="40"/>
  <c r="E143" i="40"/>
  <c r="D143" i="40"/>
  <c r="C143" i="40"/>
  <c r="G142" i="40"/>
  <c r="E142" i="40"/>
  <c r="D142" i="40"/>
  <c r="C142" i="40"/>
  <c r="G141" i="40"/>
  <c r="E141" i="40"/>
  <c r="D141" i="40"/>
  <c r="C141" i="40"/>
  <c r="G140" i="40"/>
  <c r="E140" i="40"/>
  <c r="D140" i="40"/>
  <c r="C140" i="40"/>
  <c r="G139" i="40"/>
  <c r="E139" i="40"/>
  <c r="D139" i="40"/>
  <c r="C139" i="40"/>
  <c r="G137" i="40"/>
  <c r="E137" i="40"/>
  <c r="D137" i="40"/>
  <c r="C137" i="40"/>
  <c r="G136" i="40"/>
  <c r="E136" i="40"/>
  <c r="D136" i="40"/>
  <c r="C136" i="40"/>
  <c r="G135" i="40"/>
  <c r="E135" i="40"/>
  <c r="D135" i="40"/>
  <c r="C135" i="40"/>
  <c r="G53" i="40"/>
  <c r="E53" i="40"/>
  <c r="D53" i="40"/>
  <c r="C53" i="40"/>
  <c r="G134" i="40"/>
  <c r="E134" i="40"/>
  <c r="D134" i="40"/>
  <c r="C134" i="40"/>
  <c r="G133" i="40"/>
  <c r="E133" i="40"/>
  <c r="D133" i="40"/>
  <c r="C133" i="40"/>
  <c r="G132" i="40"/>
  <c r="E132" i="40"/>
  <c r="D132" i="40"/>
  <c r="C132" i="40"/>
  <c r="G131" i="40"/>
  <c r="E131" i="40"/>
  <c r="D131" i="40"/>
  <c r="C131" i="40"/>
  <c r="G130" i="40"/>
  <c r="E130" i="40"/>
  <c r="D130" i="40"/>
  <c r="C130" i="40"/>
  <c r="G129" i="40"/>
  <c r="E129" i="40"/>
  <c r="D129" i="40"/>
  <c r="C129" i="40"/>
  <c r="G128" i="40"/>
  <c r="E128" i="40"/>
  <c r="D128" i="40"/>
  <c r="C128" i="40"/>
  <c r="G127" i="40"/>
  <c r="E127" i="40"/>
  <c r="D127" i="40"/>
  <c r="C127" i="40"/>
  <c r="G126" i="40"/>
  <c r="E126" i="40"/>
  <c r="D126" i="40"/>
  <c r="C126" i="40"/>
  <c r="G125" i="40"/>
  <c r="E125" i="40"/>
  <c r="D125" i="40"/>
  <c r="C125" i="40"/>
  <c r="G124" i="40"/>
  <c r="E124" i="40"/>
  <c r="D124" i="40"/>
  <c r="C124" i="40"/>
  <c r="G123" i="40"/>
  <c r="E123" i="40"/>
  <c r="D123" i="40"/>
  <c r="C123" i="40"/>
  <c r="G121" i="40"/>
  <c r="E121" i="40"/>
  <c r="D121" i="40"/>
  <c r="C121" i="40"/>
  <c r="G120" i="40"/>
  <c r="E120" i="40"/>
  <c r="D120" i="40"/>
  <c r="C120" i="40"/>
  <c r="G119" i="40"/>
  <c r="E119" i="40"/>
  <c r="D119" i="40"/>
  <c r="C119" i="40"/>
  <c r="G118" i="40"/>
  <c r="E118" i="40"/>
  <c r="D118" i="40"/>
  <c r="C118" i="40"/>
  <c r="G117" i="40"/>
  <c r="E117" i="40"/>
  <c r="D117" i="40"/>
  <c r="C117" i="40"/>
  <c r="G116" i="40"/>
  <c r="E116" i="40"/>
  <c r="D116" i="40"/>
  <c r="C116" i="40"/>
  <c r="G115" i="40"/>
  <c r="E115" i="40"/>
  <c r="D115" i="40"/>
  <c r="C115" i="40"/>
  <c r="G114" i="40"/>
  <c r="E114" i="40"/>
  <c r="D114" i="40"/>
  <c r="C114" i="40"/>
  <c r="G113" i="40"/>
  <c r="E113" i="40"/>
  <c r="D113" i="40"/>
  <c r="C113" i="40"/>
  <c r="G112" i="40"/>
  <c r="E112" i="40"/>
  <c r="D112" i="40"/>
  <c r="C112" i="40"/>
  <c r="G111" i="40"/>
  <c r="E111" i="40"/>
  <c r="D111" i="40"/>
  <c r="C111" i="40"/>
  <c r="G110" i="40"/>
  <c r="E110" i="40"/>
  <c r="D110" i="40"/>
  <c r="C110" i="40"/>
  <c r="G109" i="40"/>
  <c r="E109" i="40"/>
  <c r="D109" i="40"/>
  <c r="C109" i="40"/>
  <c r="G108" i="40"/>
  <c r="E108" i="40"/>
  <c r="D108" i="40"/>
  <c r="C108" i="40"/>
  <c r="G107" i="40"/>
  <c r="E107" i="40"/>
  <c r="D107" i="40"/>
  <c r="C107" i="40"/>
  <c r="G106" i="40"/>
  <c r="E106" i="40"/>
  <c r="D106" i="40"/>
  <c r="C106" i="40"/>
  <c r="G104" i="40"/>
  <c r="E104" i="40"/>
  <c r="D104" i="40"/>
  <c r="C104" i="40"/>
  <c r="G97" i="40"/>
  <c r="E97" i="40"/>
  <c r="D97" i="40"/>
  <c r="C97" i="40"/>
  <c r="G105" i="40"/>
  <c r="E105" i="40"/>
  <c r="D105" i="40"/>
  <c r="C105" i="40"/>
  <c r="G91" i="40"/>
  <c r="E91" i="40"/>
  <c r="D91" i="40"/>
  <c r="C91" i="40"/>
  <c r="G101" i="40"/>
  <c r="E101" i="40"/>
  <c r="D101" i="40"/>
  <c r="C101" i="40"/>
  <c r="G100" i="40"/>
  <c r="E100" i="40"/>
  <c r="D100" i="40"/>
  <c r="C100" i="40"/>
  <c r="G102" i="40"/>
  <c r="E102" i="40"/>
  <c r="D102" i="40"/>
  <c r="C102" i="40"/>
  <c r="G103" i="40"/>
  <c r="E103" i="40"/>
  <c r="D103" i="40"/>
  <c r="C103" i="40"/>
  <c r="G95" i="40"/>
  <c r="E95" i="40"/>
  <c r="D95" i="40"/>
  <c r="C95" i="40"/>
  <c r="G89" i="40"/>
  <c r="E89" i="40"/>
  <c r="D89" i="40"/>
  <c r="C89" i="40"/>
  <c r="G96" i="40"/>
  <c r="E96" i="40"/>
  <c r="D96" i="40"/>
  <c r="C96" i="40"/>
  <c r="G88" i="40"/>
  <c r="E88" i="40"/>
  <c r="D88" i="40"/>
  <c r="C88" i="40"/>
  <c r="G98" i="40"/>
  <c r="E98" i="40"/>
  <c r="D98" i="40"/>
  <c r="C98" i="40"/>
  <c r="G122" i="40"/>
  <c r="E122" i="40"/>
  <c r="D122" i="40"/>
  <c r="C122" i="40"/>
  <c r="G74" i="40"/>
  <c r="E74" i="40"/>
  <c r="D74" i="40"/>
  <c r="C74" i="40"/>
  <c r="G44" i="40"/>
  <c r="E44" i="40"/>
  <c r="D44" i="40"/>
  <c r="C44" i="40"/>
  <c r="G67" i="40"/>
  <c r="E67" i="40"/>
  <c r="D67" i="40"/>
  <c r="C67" i="40"/>
  <c r="G166" i="40"/>
  <c r="E166" i="40"/>
  <c r="D166" i="40"/>
  <c r="C166" i="40"/>
  <c r="G26" i="40"/>
  <c r="E26" i="40"/>
  <c r="D26" i="40"/>
  <c r="C26" i="40"/>
  <c r="G33" i="40"/>
  <c r="E33" i="40"/>
  <c r="D33" i="40"/>
  <c r="C33" i="40"/>
  <c r="G73" i="40"/>
  <c r="E73" i="40"/>
  <c r="D73" i="40"/>
  <c r="C73" i="40"/>
  <c r="G14" i="40"/>
  <c r="E14" i="40"/>
  <c r="D14" i="40"/>
  <c r="C14" i="40"/>
  <c r="G45" i="40"/>
  <c r="E45" i="40"/>
  <c r="D45" i="40"/>
  <c r="C45" i="40"/>
  <c r="G153" i="40"/>
  <c r="E153" i="40"/>
  <c r="D153" i="40"/>
  <c r="C153" i="40"/>
  <c r="G99" i="40"/>
  <c r="E99" i="40"/>
  <c r="D99" i="40"/>
  <c r="C99" i="40"/>
  <c r="G86" i="40"/>
  <c r="E86" i="40"/>
  <c r="D86" i="40"/>
  <c r="C86" i="40"/>
  <c r="G87" i="40"/>
  <c r="E87" i="40"/>
  <c r="D87" i="40"/>
  <c r="C87" i="40"/>
  <c r="G94" i="40"/>
  <c r="E94" i="40"/>
  <c r="D94" i="40"/>
  <c r="C94" i="40"/>
  <c r="G93" i="40"/>
  <c r="E93" i="40"/>
  <c r="D93" i="40"/>
  <c r="C93" i="40"/>
  <c r="G85" i="40"/>
  <c r="E85" i="40"/>
  <c r="D85" i="40"/>
  <c r="C85" i="40"/>
  <c r="G90" i="40"/>
  <c r="E90" i="40"/>
  <c r="D90" i="40"/>
  <c r="C90" i="40"/>
  <c r="G92" i="40"/>
  <c r="E92" i="40"/>
  <c r="D92" i="40"/>
  <c r="C92" i="40"/>
  <c r="G173" i="40"/>
  <c r="E173" i="40"/>
  <c r="D173" i="40"/>
  <c r="C173" i="40"/>
  <c r="G84" i="40"/>
  <c r="E84" i="40"/>
  <c r="D84" i="40"/>
  <c r="C84" i="40"/>
  <c r="G83" i="40"/>
  <c r="E83" i="40"/>
  <c r="D83" i="40"/>
  <c r="C83" i="40"/>
  <c r="G82" i="40"/>
  <c r="E82" i="40"/>
  <c r="D82" i="40"/>
  <c r="C82" i="40"/>
  <c r="G81" i="40"/>
  <c r="E81" i="40"/>
  <c r="D81" i="40"/>
  <c r="C81" i="40"/>
  <c r="G80" i="40"/>
  <c r="E80" i="40"/>
  <c r="D80" i="40"/>
  <c r="C80" i="40"/>
  <c r="G79" i="40"/>
  <c r="E79" i="40"/>
  <c r="D79" i="40"/>
  <c r="C79" i="40"/>
  <c r="G78" i="40"/>
  <c r="E78" i="40"/>
  <c r="D78" i="40"/>
  <c r="C78" i="40"/>
  <c r="G77" i="40"/>
  <c r="E77" i="40"/>
  <c r="D77" i="40"/>
  <c r="C77" i="40"/>
  <c r="G76" i="40"/>
  <c r="E76" i="40"/>
  <c r="D76" i="40"/>
  <c r="C76" i="40"/>
  <c r="G72" i="40"/>
  <c r="E72" i="40"/>
  <c r="D72" i="40"/>
  <c r="C72" i="40"/>
  <c r="G71" i="40"/>
  <c r="E71" i="40"/>
  <c r="D71" i="40"/>
  <c r="C71" i="40"/>
  <c r="G70" i="40"/>
  <c r="E70" i="40"/>
  <c r="D70" i="40"/>
  <c r="C70" i="40"/>
  <c r="G69" i="40"/>
  <c r="E69" i="40"/>
  <c r="D69" i="40"/>
  <c r="C69" i="40"/>
  <c r="G68" i="40"/>
  <c r="E68" i="40"/>
  <c r="D68" i="40"/>
  <c r="C68" i="40"/>
  <c r="G66" i="40"/>
  <c r="E66" i="40"/>
  <c r="D66" i="40"/>
  <c r="C66" i="40"/>
  <c r="G65" i="40"/>
  <c r="E65" i="40"/>
  <c r="D65" i="40"/>
  <c r="C65" i="40"/>
  <c r="G64" i="40"/>
  <c r="E64" i="40"/>
  <c r="D64" i="40"/>
  <c r="C64" i="40"/>
  <c r="G63" i="40"/>
  <c r="E63" i="40"/>
  <c r="D63" i="40"/>
  <c r="C63" i="40"/>
  <c r="G62" i="40"/>
  <c r="E62" i="40"/>
  <c r="D62" i="40"/>
  <c r="C62" i="40"/>
  <c r="G61" i="40"/>
  <c r="E61" i="40"/>
  <c r="D61" i="40"/>
  <c r="C61" i="40"/>
  <c r="G60" i="40"/>
  <c r="E60" i="40"/>
  <c r="D60" i="40"/>
  <c r="C60" i="40"/>
  <c r="G59" i="40"/>
  <c r="E59" i="40"/>
  <c r="D59" i="40"/>
  <c r="C59" i="40"/>
  <c r="G56" i="40"/>
  <c r="E56" i="40"/>
  <c r="D56" i="40"/>
  <c r="C56" i="40"/>
  <c r="G55" i="40"/>
  <c r="E55" i="40"/>
  <c r="D55" i="40"/>
  <c r="C55" i="40"/>
  <c r="G54" i="40"/>
  <c r="E54" i="40"/>
  <c r="D54" i="40"/>
  <c r="C54" i="40"/>
  <c r="G52" i="40"/>
  <c r="E52" i="40"/>
  <c r="D52" i="40"/>
  <c r="C52" i="40"/>
  <c r="G51" i="40"/>
  <c r="E51" i="40"/>
  <c r="D51" i="40"/>
  <c r="C51" i="40"/>
  <c r="G50" i="40"/>
  <c r="E50" i="40"/>
  <c r="D50" i="40"/>
  <c r="C50" i="40"/>
  <c r="G49" i="40"/>
  <c r="E49" i="40"/>
  <c r="D49" i="40"/>
  <c r="C49" i="40"/>
  <c r="G48" i="40"/>
  <c r="E48" i="40"/>
  <c r="D48" i="40"/>
  <c r="C48" i="40"/>
  <c r="G43" i="40"/>
  <c r="E43" i="40"/>
  <c r="D43" i="40"/>
  <c r="C43" i="40"/>
  <c r="G42" i="40"/>
  <c r="E42" i="40"/>
  <c r="D42" i="40"/>
  <c r="C42" i="40"/>
  <c r="G41" i="40"/>
  <c r="E41" i="40"/>
  <c r="D41" i="40"/>
  <c r="C41" i="40"/>
  <c r="G40" i="40"/>
  <c r="E40" i="40"/>
  <c r="D40" i="40"/>
  <c r="C40" i="40"/>
  <c r="G39" i="40"/>
  <c r="E39" i="40"/>
  <c r="D39" i="40"/>
  <c r="C39" i="40"/>
  <c r="G32" i="40"/>
  <c r="E32" i="40"/>
  <c r="D32" i="40"/>
  <c r="C32" i="40"/>
  <c r="G37" i="40"/>
  <c r="E37" i="40"/>
  <c r="D37" i="40"/>
  <c r="C37" i="40"/>
  <c r="G138" i="40"/>
  <c r="E138" i="40"/>
  <c r="D138" i="40"/>
  <c r="C138" i="40"/>
  <c r="G36" i="40"/>
  <c r="E36" i="40"/>
  <c r="D36" i="40"/>
  <c r="C36" i="40"/>
  <c r="G29" i="40"/>
  <c r="E29" i="40"/>
  <c r="D29" i="40"/>
  <c r="C29" i="40"/>
  <c r="G35" i="40"/>
  <c r="E35" i="40"/>
  <c r="D35" i="40"/>
  <c r="C35" i="40"/>
  <c r="G46" i="40"/>
  <c r="E46" i="40"/>
  <c r="D46" i="40"/>
  <c r="C46" i="40"/>
  <c r="G58" i="40"/>
  <c r="E58" i="40"/>
  <c r="D58" i="40"/>
  <c r="C58" i="40"/>
  <c r="G28" i="40"/>
  <c r="E28" i="40"/>
  <c r="D28" i="40"/>
  <c r="C28" i="40"/>
  <c r="G27" i="40"/>
  <c r="E27" i="40"/>
  <c r="D27" i="40"/>
  <c r="C27" i="40"/>
  <c r="G25" i="40"/>
  <c r="E25" i="40"/>
  <c r="D25" i="40"/>
  <c r="C25" i="40"/>
  <c r="G24" i="40"/>
  <c r="E24" i="40"/>
  <c r="D24" i="40"/>
  <c r="C24" i="40"/>
  <c r="G23" i="40"/>
  <c r="E23" i="40"/>
  <c r="D23" i="40"/>
  <c r="C23" i="40"/>
  <c r="G38" i="40"/>
  <c r="E38" i="40"/>
  <c r="D38" i="40"/>
  <c r="C38" i="40"/>
  <c r="G22" i="40"/>
  <c r="E22" i="40"/>
  <c r="D22" i="40"/>
  <c r="C22" i="40"/>
  <c r="G31" i="40"/>
  <c r="E31" i="40"/>
  <c r="D31" i="40"/>
  <c r="C31" i="40"/>
  <c r="G19" i="40"/>
  <c r="E19" i="40"/>
  <c r="D19" i="40"/>
  <c r="C19" i="40"/>
  <c r="G18" i="40"/>
  <c r="E18" i="40"/>
  <c r="D18" i="40"/>
  <c r="C18" i="40"/>
  <c r="G20" i="40"/>
  <c r="E20" i="40"/>
  <c r="D20" i="40"/>
  <c r="C20" i="40"/>
  <c r="G17" i="40"/>
  <c r="E17" i="40"/>
  <c r="D17" i="40"/>
  <c r="C17" i="40"/>
  <c r="G16" i="40"/>
  <c r="E16" i="40"/>
  <c r="D16" i="40"/>
  <c r="C16" i="40"/>
  <c r="G15" i="40"/>
  <c r="E15" i="40"/>
  <c r="D15" i="40"/>
  <c r="C15" i="40"/>
  <c r="G13" i="40"/>
  <c r="E13" i="40"/>
  <c r="D13" i="40"/>
  <c r="C13" i="40"/>
  <c r="G47" i="40"/>
  <c r="E47" i="40"/>
  <c r="D47" i="40"/>
  <c r="C47" i="40"/>
  <c r="G21" i="40"/>
  <c r="E21" i="40"/>
  <c r="D21" i="40"/>
  <c r="C21" i="40"/>
  <c r="G174" i="40"/>
  <c r="E174" i="40"/>
  <c r="D174" i="40"/>
  <c r="C174" i="40"/>
  <c r="G30" i="40"/>
  <c r="E30" i="40"/>
  <c r="D30" i="40"/>
  <c r="C30" i="40"/>
  <c r="G12" i="40"/>
  <c r="E12" i="40"/>
  <c r="D12" i="40"/>
  <c r="C12" i="40"/>
  <c r="G11" i="40"/>
  <c r="E11" i="40"/>
  <c r="D11" i="40"/>
  <c r="C11" i="40"/>
  <c r="G9" i="40"/>
  <c r="E9" i="40"/>
  <c r="D9" i="40"/>
  <c r="C9" i="40"/>
  <c r="G8" i="40"/>
  <c r="E8" i="40"/>
  <c r="D8" i="40"/>
  <c r="C8" i="40"/>
  <c r="G7" i="40"/>
  <c r="E7" i="40"/>
  <c r="D7" i="40"/>
  <c r="C7" i="40"/>
  <c r="G10" i="40"/>
  <c r="E10" i="40"/>
  <c r="D10" i="40"/>
  <c r="C10" i="40"/>
  <c r="G6" i="40"/>
  <c r="E6" i="40"/>
  <c r="D6" i="40"/>
  <c r="C6" i="40"/>
  <c r="G5" i="40"/>
  <c r="E5" i="40"/>
  <c r="D5" i="40"/>
  <c r="C5" i="40"/>
  <c r="G4" i="40"/>
  <c r="E4" i="40"/>
  <c r="D4" i="40"/>
  <c r="C4" i="40"/>
  <c r="G3" i="40"/>
  <c r="E3" i="40"/>
  <c r="D3" i="40"/>
  <c r="C3" i="40"/>
  <c r="F154" i="40" l="1"/>
  <c r="F12" i="40"/>
  <c r="F41" i="40"/>
  <c r="F116" i="40"/>
  <c r="F85" i="40"/>
  <c r="F93" i="40"/>
  <c r="F94" i="40"/>
  <c r="F87" i="40"/>
  <c r="F98" i="40"/>
  <c r="F88" i="40"/>
  <c r="F74" i="40"/>
  <c r="F42" i="40"/>
  <c r="F50" i="40"/>
  <c r="F64" i="40"/>
  <c r="F69" i="40"/>
  <c r="F101" i="40"/>
  <c r="F155" i="40"/>
  <c r="F159" i="40"/>
  <c r="F171" i="40"/>
  <c r="F83" i="40"/>
  <c r="F31" i="40"/>
  <c r="F38" i="40"/>
  <c r="F23" i="40"/>
  <c r="F37" i="40"/>
  <c r="F32" i="40"/>
  <c r="F40" i="40"/>
  <c r="F125" i="40"/>
  <c r="F129" i="40"/>
  <c r="F130" i="40"/>
  <c r="F132" i="40"/>
  <c r="F133" i="40"/>
  <c r="F140" i="40"/>
  <c r="F144" i="40"/>
  <c r="F34" i="40"/>
  <c r="F145" i="40"/>
  <c r="F149" i="40"/>
  <c r="F151" i="40"/>
  <c r="F152" i="40"/>
  <c r="F7" i="40"/>
  <c r="F8" i="40"/>
  <c r="F11" i="40"/>
  <c r="F79" i="40"/>
  <c r="F80" i="40"/>
  <c r="F82" i="40"/>
  <c r="F91" i="40"/>
  <c r="F113" i="40"/>
  <c r="F115" i="40"/>
  <c r="F134" i="40"/>
  <c r="F136" i="40"/>
  <c r="F17" i="40"/>
  <c r="F92" i="40"/>
  <c r="F26" i="40"/>
  <c r="F75" i="40"/>
  <c r="F30" i="40"/>
  <c r="F13" i="40"/>
  <c r="F24" i="40"/>
  <c r="F59" i="40"/>
  <c r="F60" i="40"/>
  <c r="F62" i="40"/>
  <c r="F63" i="40"/>
  <c r="F84" i="40"/>
  <c r="F173" i="40"/>
  <c r="F86" i="40"/>
  <c r="F14" i="40"/>
  <c r="F104" i="40"/>
  <c r="F117" i="40"/>
  <c r="F121" i="40"/>
  <c r="F158" i="40"/>
  <c r="F57" i="40"/>
  <c r="F168" i="40"/>
  <c r="F18" i="40"/>
  <c r="F55" i="40"/>
  <c r="F90" i="40"/>
  <c r="F5" i="40"/>
  <c r="F29" i="40"/>
  <c r="F76" i="40"/>
  <c r="F109" i="40"/>
  <c r="F177" i="40"/>
  <c r="F127" i="40"/>
  <c r="F160" i="40"/>
  <c r="F175" i="40"/>
  <c r="F47" i="40"/>
  <c r="F28" i="40"/>
  <c r="F49" i="40"/>
  <c r="F54" i="40"/>
  <c r="F68" i="40"/>
  <c r="F166" i="40"/>
  <c r="F89" i="40"/>
  <c r="F106" i="40"/>
  <c r="F110" i="40"/>
  <c r="F120" i="40"/>
  <c r="F126" i="40"/>
  <c r="F135" i="40"/>
  <c r="F141" i="40"/>
  <c r="F172" i="40"/>
  <c r="F162" i="40"/>
  <c r="F67" i="40"/>
  <c r="F97" i="40"/>
  <c r="F111" i="40"/>
  <c r="F20" i="40"/>
  <c r="F4" i="40"/>
  <c r="F174" i="40"/>
  <c r="F16" i="40"/>
  <c r="F25" i="40"/>
  <c r="F46" i="40"/>
  <c r="F35" i="40"/>
  <c r="F43" i="40"/>
  <c r="F52" i="40"/>
  <c r="F65" i="40"/>
  <c r="F71" i="40"/>
  <c r="F72" i="40"/>
  <c r="F153" i="40"/>
  <c r="F33" i="40"/>
  <c r="F96" i="40"/>
  <c r="F100" i="40"/>
  <c r="F108" i="40"/>
  <c r="F118" i="40"/>
  <c r="F124" i="40"/>
  <c r="F53" i="40"/>
  <c r="F137" i="40"/>
  <c r="F139" i="40"/>
  <c r="F146" i="40"/>
  <c r="F150" i="40"/>
  <c r="F161" i="40"/>
  <c r="F165" i="40"/>
  <c r="F167" i="40"/>
  <c r="F176" i="40"/>
  <c r="F3" i="40"/>
  <c r="C178" i="40"/>
  <c r="G178" i="40"/>
  <c r="E178" i="40"/>
  <c r="F6" i="40"/>
  <c r="F36" i="40"/>
  <c r="F77" i="40"/>
  <c r="F10" i="40"/>
  <c r="F21" i="40"/>
  <c r="F19" i="40"/>
  <c r="F27" i="40"/>
  <c r="F138" i="40"/>
  <c r="F48" i="40"/>
  <c r="F56" i="40"/>
  <c r="F66" i="40"/>
  <c r="F78" i="40"/>
  <c r="F99" i="40"/>
  <c r="F45" i="40"/>
  <c r="F44" i="40"/>
  <c r="F103" i="40"/>
  <c r="F112" i="40"/>
  <c r="F119" i="40"/>
  <c r="F128" i="40"/>
  <c r="F142" i="40"/>
  <c r="F143" i="40"/>
  <c r="F147" i="40"/>
  <c r="F148" i="40"/>
  <c r="F156" i="40"/>
  <c r="F157" i="40"/>
  <c r="F163" i="40"/>
  <c r="F164" i="40"/>
  <c r="F170" i="40"/>
  <c r="F169" i="40"/>
  <c r="D178" i="40"/>
  <c r="F9" i="40"/>
  <c r="F15" i="40"/>
  <c r="F22" i="40"/>
  <c r="F58" i="40"/>
  <c r="F39" i="40"/>
  <c r="F51" i="40"/>
  <c r="F61" i="40"/>
  <c r="F70" i="40"/>
  <c r="F81" i="40"/>
  <c r="F73" i="40"/>
  <c r="F122" i="40"/>
  <c r="F95" i="40"/>
  <c r="F102" i="40"/>
  <c r="F105" i="40"/>
  <c r="F107" i="40"/>
  <c r="F114" i="40"/>
  <c r="F123" i="40"/>
  <c r="F131" i="40"/>
  <c r="C103" i="39"/>
  <c r="D103" i="39"/>
  <c r="E103" i="39"/>
  <c r="G103" i="39"/>
  <c r="G183" i="39"/>
  <c r="E183" i="39"/>
  <c r="D183" i="39"/>
  <c r="C183" i="39"/>
  <c r="G182" i="39"/>
  <c r="E182" i="39"/>
  <c r="D182" i="39"/>
  <c r="C182" i="39"/>
  <c r="G181" i="39"/>
  <c r="E181" i="39"/>
  <c r="D181" i="39"/>
  <c r="C181" i="39"/>
  <c r="G180" i="39"/>
  <c r="E180" i="39"/>
  <c r="D180" i="39"/>
  <c r="C180" i="39"/>
  <c r="G179" i="39"/>
  <c r="E179" i="39"/>
  <c r="D179" i="39"/>
  <c r="C179" i="39"/>
  <c r="G177" i="39"/>
  <c r="E177" i="39"/>
  <c r="D177" i="39"/>
  <c r="C177" i="39"/>
  <c r="G176" i="39"/>
  <c r="E176" i="39"/>
  <c r="D176" i="39"/>
  <c r="C176" i="39"/>
  <c r="G175" i="39"/>
  <c r="E175" i="39"/>
  <c r="D175" i="39"/>
  <c r="C175" i="39"/>
  <c r="G174" i="39"/>
  <c r="E174" i="39"/>
  <c r="D174" i="39"/>
  <c r="C174" i="39"/>
  <c r="G173" i="39"/>
  <c r="E173" i="39"/>
  <c r="D173" i="39"/>
  <c r="C173" i="39"/>
  <c r="G172" i="39"/>
  <c r="E172" i="39"/>
  <c r="D172" i="39"/>
  <c r="C172" i="39"/>
  <c r="G170" i="39"/>
  <c r="E170" i="39"/>
  <c r="D170" i="39"/>
  <c r="C170" i="39"/>
  <c r="G169" i="39"/>
  <c r="E169" i="39"/>
  <c r="D169" i="39"/>
  <c r="C169" i="39"/>
  <c r="G168" i="39"/>
  <c r="E168" i="39"/>
  <c r="D168" i="39"/>
  <c r="C168" i="39"/>
  <c r="G167" i="39"/>
  <c r="E167" i="39"/>
  <c r="D167" i="39"/>
  <c r="C167" i="39"/>
  <c r="G166" i="39"/>
  <c r="E166" i="39"/>
  <c r="D166" i="39"/>
  <c r="C166" i="39"/>
  <c r="G165" i="39"/>
  <c r="E165" i="39"/>
  <c r="D165" i="39"/>
  <c r="C165" i="39"/>
  <c r="G164" i="39"/>
  <c r="E164" i="39"/>
  <c r="D164" i="39"/>
  <c r="C164" i="39"/>
  <c r="G163" i="39"/>
  <c r="E163" i="39"/>
  <c r="D163" i="39"/>
  <c r="C163" i="39"/>
  <c r="G162" i="39"/>
  <c r="E162" i="39"/>
  <c r="D162" i="39"/>
  <c r="C162" i="39"/>
  <c r="G161" i="39"/>
  <c r="E161" i="39"/>
  <c r="D161" i="39"/>
  <c r="C161" i="39"/>
  <c r="G160" i="39"/>
  <c r="E160" i="39"/>
  <c r="D160" i="39"/>
  <c r="C160" i="39"/>
  <c r="G159" i="39"/>
  <c r="E159" i="39"/>
  <c r="D159" i="39"/>
  <c r="C159" i="39"/>
  <c r="G158" i="39"/>
  <c r="E158" i="39"/>
  <c r="D158" i="39"/>
  <c r="C158" i="39"/>
  <c r="G156" i="39"/>
  <c r="E156" i="39"/>
  <c r="D156" i="39"/>
  <c r="C156" i="39"/>
  <c r="G155" i="39"/>
  <c r="E155" i="39"/>
  <c r="D155" i="39"/>
  <c r="C155" i="39"/>
  <c r="G154" i="39"/>
  <c r="E154" i="39"/>
  <c r="D154" i="39"/>
  <c r="C154" i="39"/>
  <c r="G153" i="39"/>
  <c r="E153" i="39"/>
  <c r="D153" i="39"/>
  <c r="C153" i="39"/>
  <c r="G152" i="39"/>
  <c r="E152" i="39"/>
  <c r="D152" i="39"/>
  <c r="C152" i="39"/>
  <c r="G151" i="39"/>
  <c r="E151" i="39"/>
  <c r="D151" i="39"/>
  <c r="C151" i="39"/>
  <c r="G150" i="39"/>
  <c r="E150" i="39"/>
  <c r="D150" i="39"/>
  <c r="C150" i="39"/>
  <c r="G149" i="39"/>
  <c r="E149" i="39"/>
  <c r="D149" i="39"/>
  <c r="C149" i="39"/>
  <c r="G148" i="39"/>
  <c r="E148" i="39"/>
  <c r="D148" i="39"/>
  <c r="C148" i="39"/>
  <c r="G147" i="39"/>
  <c r="E147" i="39"/>
  <c r="D147" i="39"/>
  <c r="C147" i="39"/>
  <c r="G146" i="39"/>
  <c r="E146" i="39"/>
  <c r="D146" i="39"/>
  <c r="C146" i="39"/>
  <c r="G145" i="39"/>
  <c r="E145" i="39"/>
  <c r="D145" i="39"/>
  <c r="C145" i="39"/>
  <c r="G144" i="39"/>
  <c r="E144" i="39"/>
  <c r="D144" i="39"/>
  <c r="C144" i="39"/>
  <c r="G143" i="39"/>
  <c r="E143" i="39"/>
  <c r="D143" i="39"/>
  <c r="C143" i="39"/>
  <c r="G142" i="39"/>
  <c r="E142" i="39"/>
  <c r="D142" i="39"/>
  <c r="C142" i="39"/>
  <c r="G141" i="39"/>
  <c r="E141" i="39"/>
  <c r="D141" i="39"/>
  <c r="C141" i="39"/>
  <c r="G140" i="39"/>
  <c r="E140" i="39"/>
  <c r="D140" i="39"/>
  <c r="C140" i="39"/>
  <c r="G139" i="39"/>
  <c r="E139" i="39"/>
  <c r="D139" i="39"/>
  <c r="C139" i="39"/>
  <c r="G138" i="39"/>
  <c r="E138" i="39"/>
  <c r="D138" i="39"/>
  <c r="C138" i="39"/>
  <c r="G137" i="39"/>
  <c r="E137" i="39"/>
  <c r="D137" i="39"/>
  <c r="C137" i="39"/>
  <c r="G136" i="39"/>
  <c r="E136" i="39"/>
  <c r="D136" i="39"/>
  <c r="C136" i="39"/>
  <c r="G135" i="39"/>
  <c r="E135" i="39"/>
  <c r="D135" i="39"/>
  <c r="C135" i="39"/>
  <c r="G134" i="39"/>
  <c r="E134" i="39"/>
  <c r="D134" i="39"/>
  <c r="C134" i="39"/>
  <c r="G133" i="39"/>
  <c r="E133" i="39"/>
  <c r="D133" i="39"/>
  <c r="C133" i="39"/>
  <c r="G132" i="39"/>
  <c r="E132" i="39"/>
  <c r="D132" i="39"/>
  <c r="C132" i="39"/>
  <c r="G131" i="39"/>
  <c r="E131" i="39"/>
  <c r="D131" i="39"/>
  <c r="C131" i="39"/>
  <c r="G130" i="39"/>
  <c r="E130" i="39"/>
  <c r="D130" i="39"/>
  <c r="C130" i="39"/>
  <c r="G129" i="39"/>
  <c r="E129" i="39"/>
  <c r="D129" i="39"/>
  <c r="C129" i="39"/>
  <c r="G128" i="39"/>
  <c r="E128" i="39"/>
  <c r="D128" i="39"/>
  <c r="C128" i="39"/>
  <c r="G127" i="39"/>
  <c r="E127" i="39"/>
  <c r="D127" i="39"/>
  <c r="C127" i="39"/>
  <c r="G126" i="39"/>
  <c r="E126" i="39"/>
  <c r="D126" i="39"/>
  <c r="C126" i="39"/>
  <c r="G125" i="39"/>
  <c r="E125" i="39"/>
  <c r="D125" i="39"/>
  <c r="C125" i="39"/>
  <c r="G123" i="39"/>
  <c r="E123" i="39"/>
  <c r="D123" i="39"/>
  <c r="C123" i="39"/>
  <c r="G122" i="39"/>
  <c r="E122" i="39"/>
  <c r="D122" i="39"/>
  <c r="C122" i="39"/>
  <c r="G121" i="39"/>
  <c r="E121" i="39"/>
  <c r="D121" i="39"/>
  <c r="C121" i="39"/>
  <c r="G120" i="39"/>
  <c r="E120" i="39"/>
  <c r="D120" i="39"/>
  <c r="C120" i="39"/>
  <c r="G119" i="39"/>
  <c r="E119" i="39"/>
  <c r="D119" i="39"/>
  <c r="C119" i="39"/>
  <c r="G118" i="39"/>
  <c r="E118" i="39"/>
  <c r="D118" i="39"/>
  <c r="C118" i="39"/>
  <c r="G117" i="39"/>
  <c r="E117" i="39"/>
  <c r="D117" i="39"/>
  <c r="C117" i="39"/>
  <c r="G116" i="39"/>
  <c r="E116" i="39"/>
  <c r="D116" i="39"/>
  <c r="C116" i="39"/>
  <c r="G115" i="39"/>
  <c r="E115" i="39"/>
  <c r="D115" i="39"/>
  <c r="C115" i="39"/>
  <c r="G114" i="39"/>
  <c r="E114" i="39"/>
  <c r="D114" i="39"/>
  <c r="C114" i="39"/>
  <c r="G113" i="39"/>
  <c r="E113" i="39"/>
  <c r="D113" i="39"/>
  <c r="C113" i="39"/>
  <c r="G112" i="39"/>
  <c r="E112" i="39"/>
  <c r="D112" i="39"/>
  <c r="C112" i="39"/>
  <c r="G111" i="39"/>
  <c r="E111" i="39"/>
  <c r="D111" i="39"/>
  <c r="C111" i="39"/>
  <c r="G110" i="39"/>
  <c r="E110" i="39"/>
  <c r="D110" i="39"/>
  <c r="C110" i="39"/>
  <c r="G109" i="39"/>
  <c r="E109" i="39"/>
  <c r="D109" i="39"/>
  <c r="C109" i="39"/>
  <c r="G108" i="39"/>
  <c r="E108" i="39"/>
  <c r="D108" i="39"/>
  <c r="C108" i="39"/>
  <c r="G106" i="39"/>
  <c r="E106" i="39"/>
  <c r="D106" i="39"/>
  <c r="C106" i="39"/>
  <c r="G104" i="39"/>
  <c r="E104" i="39"/>
  <c r="D104" i="39"/>
  <c r="C104" i="39"/>
  <c r="G102" i="39"/>
  <c r="E102" i="39"/>
  <c r="D102" i="39"/>
  <c r="C102" i="39"/>
  <c r="G101" i="39"/>
  <c r="E101" i="39"/>
  <c r="D101" i="39"/>
  <c r="C101" i="39"/>
  <c r="G100" i="39"/>
  <c r="E100" i="39"/>
  <c r="D100" i="39"/>
  <c r="C100" i="39"/>
  <c r="G99" i="39"/>
  <c r="E99" i="39"/>
  <c r="D99" i="39"/>
  <c r="C99" i="39"/>
  <c r="G98" i="39"/>
  <c r="E98" i="39"/>
  <c r="D98" i="39"/>
  <c r="C98" i="39"/>
  <c r="G97" i="39"/>
  <c r="E97" i="39"/>
  <c r="D97" i="39"/>
  <c r="C97" i="39"/>
  <c r="G96" i="39"/>
  <c r="E96" i="39"/>
  <c r="D96" i="39"/>
  <c r="C96" i="39"/>
  <c r="G95" i="39"/>
  <c r="E95" i="39"/>
  <c r="D95" i="39"/>
  <c r="C95" i="39"/>
  <c r="G94" i="39"/>
  <c r="E94" i="39"/>
  <c r="D94" i="39"/>
  <c r="C94" i="39"/>
  <c r="G93" i="39"/>
  <c r="E93" i="39"/>
  <c r="D93" i="39"/>
  <c r="C93" i="39"/>
  <c r="G157" i="39"/>
  <c r="E157" i="39"/>
  <c r="D157" i="39"/>
  <c r="C157" i="39"/>
  <c r="G50" i="39"/>
  <c r="E50" i="39"/>
  <c r="D50" i="39"/>
  <c r="C50" i="39"/>
  <c r="G52" i="39"/>
  <c r="E52" i="39"/>
  <c r="D52" i="39"/>
  <c r="C52" i="39"/>
  <c r="G14" i="39"/>
  <c r="E14" i="39"/>
  <c r="D14" i="39"/>
  <c r="C14" i="39"/>
  <c r="G105" i="39"/>
  <c r="E105" i="39"/>
  <c r="D105" i="39"/>
  <c r="C105" i="39"/>
  <c r="G37" i="39"/>
  <c r="E37" i="39"/>
  <c r="D37" i="39"/>
  <c r="C37" i="39"/>
  <c r="G31" i="39"/>
  <c r="E31" i="39"/>
  <c r="D31" i="39"/>
  <c r="C31" i="39"/>
  <c r="G171" i="39"/>
  <c r="E171" i="39"/>
  <c r="D171" i="39"/>
  <c r="C171" i="39"/>
  <c r="G178" i="39"/>
  <c r="E178" i="39"/>
  <c r="D178" i="39"/>
  <c r="C178" i="39"/>
  <c r="G47" i="39"/>
  <c r="E47" i="39"/>
  <c r="D47" i="39"/>
  <c r="C47" i="39"/>
  <c r="G107" i="39"/>
  <c r="E107" i="39"/>
  <c r="D107" i="39"/>
  <c r="C107" i="39"/>
  <c r="G51" i="39"/>
  <c r="E51" i="39"/>
  <c r="D51" i="39"/>
  <c r="C51" i="39"/>
  <c r="G124" i="39"/>
  <c r="E124" i="39"/>
  <c r="D124" i="39"/>
  <c r="C124" i="39"/>
  <c r="G92" i="39"/>
  <c r="E92" i="39"/>
  <c r="D92" i="39"/>
  <c r="C92" i="39"/>
  <c r="G91" i="39"/>
  <c r="E91" i="39"/>
  <c r="D91" i="39"/>
  <c r="C91" i="39"/>
  <c r="G90" i="39"/>
  <c r="E90" i="39"/>
  <c r="D90" i="39"/>
  <c r="C90" i="39"/>
  <c r="G89" i="39"/>
  <c r="E89" i="39"/>
  <c r="D89" i="39"/>
  <c r="C89" i="39"/>
  <c r="G88" i="39"/>
  <c r="E88" i="39"/>
  <c r="D88" i="39"/>
  <c r="C88" i="39"/>
  <c r="G87" i="39"/>
  <c r="E87" i="39"/>
  <c r="D87" i="39"/>
  <c r="C87" i="39"/>
  <c r="G86" i="39"/>
  <c r="E86" i="39"/>
  <c r="D86" i="39"/>
  <c r="C86" i="39"/>
  <c r="G85" i="39"/>
  <c r="E85" i="39"/>
  <c r="D85" i="39"/>
  <c r="C85" i="39"/>
  <c r="G84" i="39"/>
  <c r="E84" i="39"/>
  <c r="D84" i="39"/>
  <c r="C84" i="39"/>
  <c r="G83" i="39"/>
  <c r="E83" i="39"/>
  <c r="D83" i="39"/>
  <c r="C83" i="39"/>
  <c r="G82" i="39"/>
  <c r="E82" i="39"/>
  <c r="D82" i="39"/>
  <c r="C82" i="39"/>
  <c r="G81" i="39"/>
  <c r="E81" i="39"/>
  <c r="D81" i="39"/>
  <c r="C81" i="39"/>
  <c r="G80" i="39"/>
  <c r="E80" i="39"/>
  <c r="D80" i="39"/>
  <c r="C80" i="39"/>
  <c r="G79" i="39"/>
  <c r="E79" i="39"/>
  <c r="D79" i="39"/>
  <c r="C79" i="39"/>
  <c r="G78" i="39"/>
  <c r="E78" i="39"/>
  <c r="D78" i="39"/>
  <c r="C78" i="39"/>
  <c r="G77" i="39"/>
  <c r="E77" i="39"/>
  <c r="D77" i="39"/>
  <c r="C77" i="39"/>
  <c r="G76" i="39"/>
  <c r="E76" i="39"/>
  <c r="D76" i="39"/>
  <c r="C76" i="39"/>
  <c r="G75" i="39"/>
  <c r="E75" i="39"/>
  <c r="D75" i="39"/>
  <c r="C75" i="39"/>
  <c r="G74" i="39"/>
  <c r="E74" i="39"/>
  <c r="D74" i="39"/>
  <c r="C74" i="39"/>
  <c r="G73" i="39"/>
  <c r="E73" i="39"/>
  <c r="D73" i="39"/>
  <c r="C73" i="39"/>
  <c r="G72" i="39"/>
  <c r="E72" i="39"/>
  <c r="D72" i="39"/>
  <c r="C72" i="39"/>
  <c r="G71" i="39"/>
  <c r="E71" i="39"/>
  <c r="D71" i="39"/>
  <c r="C71" i="39"/>
  <c r="G70" i="39"/>
  <c r="E70" i="39"/>
  <c r="D70" i="39"/>
  <c r="C70" i="39"/>
  <c r="G69" i="39"/>
  <c r="E69" i="39"/>
  <c r="D69" i="39"/>
  <c r="C69" i="39"/>
  <c r="G68" i="39"/>
  <c r="E68" i="39"/>
  <c r="D68" i="39"/>
  <c r="C68" i="39"/>
  <c r="G67" i="39"/>
  <c r="E67" i="39"/>
  <c r="D67" i="39"/>
  <c r="C67" i="39"/>
  <c r="G66" i="39"/>
  <c r="E66" i="39"/>
  <c r="D66" i="39"/>
  <c r="C66" i="39"/>
  <c r="G65" i="39"/>
  <c r="E65" i="39"/>
  <c r="D65" i="39"/>
  <c r="C65" i="39"/>
  <c r="G64" i="39"/>
  <c r="E64" i="39"/>
  <c r="D64" i="39"/>
  <c r="C64" i="39"/>
  <c r="G63" i="39"/>
  <c r="E63" i="39"/>
  <c r="D63" i="39"/>
  <c r="C63" i="39"/>
  <c r="G62" i="39"/>
  <c r="E62" i="39"/>
  <c r="D62" i="39"/>
  <c r="C62" i="39"/>
  <c r="G61" i="39"/>
  <c r="E61" i="39"/>
  <c r="D61" i="39"/>
  <c r="C61" i="39"/>
  <c r="G60" i="39"/>
  <c r="E60" i="39"/>
  <c r="D60" i="39"/>
  <c r="C60" i="39"/>
  <c r="G59" i="39"/>
  <c r="E59" i="39"/>
  <c r="D59" i="39"/>
  <c r="C59" i="39"/>
  <c r="G58" i="39"/>
  <c r="E58" i="39"/>
  <c r="D58" i="39"/>
  <c r="C58" i="39"/>
  <c r="G57" i="39"/>
  <c r="E57" i="39"/>
  <c r="D57" i="39"/>
  <c r="C57" i="39"/>
  <c r="G56" i="39"/>
  <c r="E56" i="39"/>
  <c r="D56" i="39"/>
  <c r="C56" i="39"/>
  <c r="G55" i="39"/>
  <c r="E55" i="39"/>
  <c r="D55" i="39"/>
  <c r="C55" i="39"/>
  <c r="G54" i="39"/>
  <c r="E54" i="39"/>
  <c r="D54" i="39"/>
  <c r="C54" i="39"/>
  <c r="G53" i="39"/>
  <c r="E53" i="39"/>
  <c r="D53" i="39"/>
  <c r="C53" i="39"/>
  <c r="G49" i="39"/>
  <c r="E49" i="39"/>
  <c r="D49" i="39"/>
  <c r="C49" i="39"/>
  <c r="G48" i="39"/>
  <c r="E48" i="39"/>
  <c r="D48" i="39"/>
  <c r="C48" i="39"/>
  <c r="G46" i="39"/>
  <c r="E46" i="39"/>
  <c r="D46" i="39"/>
  <c r="C46" i="39"/>
  <c r="G45" i="39"/>
  <c r="E45" i="39"/>
  <c r="D45" i="39"/>
  <c r="C45" i="39"/>
  <c r="G44" i="39"/>
  <c r="E44" i="39"/>
  <c r="D44" i="39"/>
  <c r="C44" i="39"/>
  <c r="G43" i="39"/>
  <c r="E43" i="39"/>
  <c r="D43" i="39"/>
  <c r="C43" i="39"/>
  <c r="G42" i="39"/>
  <c r="E42" i="39"/>
  <c r="D42" i="39"/>
  <c r="C42" i="39"/>
  <c r="G41" i="39"/>
  <c r="E41" i="39"/>
  <c r="D41" i="39"/>
  <c r="C41" i="39"/>
  <c r="G40" i="39"/>
  <c r="E40" i="39"/>
  <c r="D40" i="39"/>
  <c r="C40" i="39"/>
  <c r="G39" i="39"/>
  <c r="E39" i="39"/>
  <c r="D39" i="39"/>
  <c r="C39" i="39"/>
  <c r="G38" i="39"/>
  <c r="E38" i="39"/>
  <c r="D38" i="39"/>
  <c r="C38" i="39"/>
  <c r="G36" i="39"/>
  <c r="E36" i="39"/>
  <c r="D36" i="39"/>
  <c r="C36" i="39"/>
  <c r="G35" i="39"/>
  <c r="E35" i="39"/>
  <c r="D35" i="39"/>
  <c r="C35" i="39"/>
  <c r="G34" i="39"/>
  <c r="E34" i="39"/>
  <c r="D34" i="39"/>
  <c r="C34" i="39"/>
  <c r="G33" i="39"/>
  <c r="E33" i="39"/>
  <c r="D33" i="39"/>
  <c r="C33" i="39"/>
  <c r="G32" i="39"/>
  <c r="E32" i="39"/>
  <c r="D32" i="39"/>
  <c r="C32" i="39"/>
  <c r="G30" i="39"/>
  <c r="E30" i="39"/>
  <c r="D30" i="39"/>
  <c r="C30" i="39"/>
  <c r="G29" i="39"/>
  <c r="E29" i="39"/>
  <c r="D29" i="39"/>
  <c r="C29" i="39"/>
  <c r="G28" i="39"/>
  <c r="E28" i="39"/>
  <c r="D28" i="39"/>
  <c r="C28" i="39"/>
  <c r="G27" i="39"/>
  <c r="E27" i="39"/>
  <c r="D27" i="39"/>
  <c r="C27" i="39"/>
  <c r="G26" i="39"/>
  <c r="E26" i="39"/>
  <c r="D26" i="39"/>
  <c r="C26" i="39"/>
  <c r="G25" i="39"/>
  <c r="E25" i="39"/>
  <c r="D25" i="39"/>
  <c r="C25" i="39"/>
  <c r="G24" i="39"/>
  <c r="E24" i="39"/>
  <c r="D24" i="39"/>
  <c r="C24" i="39"/>
  <c r="G23" i="39"/>
  <c r="E23" i="39"/>
  <c r="D23" i="39"/>
  <c r="C23" i="39"/>
  <c r="G22" i="39"/>
  <c r="E22" i="39"/>
  <c r="D22" i="39"/>
  <c r="C22" i="39"/>
  <c r="G21" i="39"/>
  <c r="E21" i="39"/>
  <c r="D21" i="39"/>
  <c r="C21" i="39"/>
  <c r="G20" i="39"/>
  <c r="E20" i="39"/>
  <c r="D20" i="39"/>
  <c r="C20" i="39"/>
  <c r="G19" i="39"/>
  <c r="E19" i="39"/>
  <c r="D19" i="39"/>
  <c r="C19" i="39"/>
  <c r="G18" i="39"/>
  <c r="E18" i="39"/>
  <c r="D18" i="39"/>
  <c r="C18" i="39"/>
  <c r="G17" i="39"/>
  <c r="E17" i="39"/>
  <c r="D17" i="39"/>
  <c r="C17" i="39"/>
  <c r="G16" i="39"/>
  <c r="E16" i="39"/>
  <c r="D16" i="39"/>
  <c r="C16" i="39"/>
  <c r="G15" i="39"/>
  <c r="E15" i="39"/>
  <c r="D15" i="39"/>
  <c r="C15" i="39"/>
  <c r="G13" i="39"/>
  <c r="E13" i="39"/>
  <c r="D13" i="39"/>
  <c r="C13" i="39"/>
  <c r="G12" i="39"/>
  <c r="E12" i="39"/>
  <c r="D12" i="39"/>
  <c r="C12" i="39"/>
  <c r="G11" i="39"/>
  <c r="E11" i="39"/>
  <c r="D11" i="39"/>
  <c r="C11" i="39"/>
  <c r="G10" i="39"/>
  <c r="E10" i="39"/>
  <c r="D10" i="39"/>
  <c r="C10" i="39"/>
  <c r="G9" i="39"/>
  <c r="E9" i="39"/>
  <c r="D9" i="39"/>
  <c r="C9" i="39"/>
  <c r="G8" i="39"/>
  <c r="E8" i="39"/>
  <c r="D8" i="39"/>
  <c r="C8" i="39"/>
  <c r="G7" i="39"/>
  <c r="E7" i="39"/>
  <c r="D7" i="39"/>
  <c r="C7" i="39"/>
  <c r="G6" i="39"/>
  <c r="E6" i="39"/>
  <c r="D6" i="39"/>
  <c r="C6" i="39"/>
  <c r="G5" i="39"/>
  <c r="E5" i="39"/>
  <c r="D5" i="39"/>
  <c r="C5" i="39"/>
  <c r="G4" i="39"/>
  <c r="E4" i="39"/>
  <c r="D4" i="39"/>
  <c r="C4" i="39"/>
  <c r="G3" i="39"/>
  <c r="E3" i="39"/>
  <c r="D3" i="39"/>
  <c r="C3" i="39"/>
  <c r="F103" i="39" l="1"/>
  <c r="F115" i="39"/>
  <c r="F116" i="39"/>
  <c r="F119" i="39"/>
  <c r="F120" i="39"/>
  <c r="F121" i="39"/>
  <c r="F133" i="39"/>
  <c r="F136" i="39"/>
  <c r="F137" i="39"/>
  <c r="F181" i="39"/>
  <c r="F4" i="39"/>
  <c r="F7" i="39"/>
  <c r="F8" i="39"/>
  <c r="F55" i="39"/>
  <c r="F56" i="39"/>
  <c r="F57" i="39"/>
  <c r="F59" i="39"/>
  <c r="F69" i="39"/>
  <c r="F71" i="39"/>
  <c r="F72" i="39"/>
  <c r="F93" i="39"/>
  <c r="F94" i="39"/>
  <c r="F28" i="39"/>
  <c r="F30" i="39"/>
  <c r="F33" i="39"/>
  <c r="F40" i="39"/>
  <c r="F92" i="39"/>
  <c r="F107" i="39"/>
  <c r="F31" i="39"/>
  <c r="F105" i="39"/>
  <c r="F14" i="39"/>
  <c r="F160" i="39"/>
  <c r="F162" i="39"/>
  <c r="F173" i="39"/>
  <c r="F10" i="39"/>
  <c r="F73" i="39"/>
  <c r="F77" i="39"/>
  <c r="F85" i="39"/>
  <c r="F91" i="39"/>
  <c r="F99" i="39"/>
  <c r="F142" i="39"/>
  <c r="F151" i="39"/>
  <c r="F49" i="39"/>
  <c r="F26" i="39"/>
  <c r="F89" i="39"/>
  <c r="F113" i="39"/>
  <c r="F152" i="39"/>
  <c r="F156" i="39"/>
  <c r="F20" i="39"/>
  <c r="F24" i="39"/>
  <c r="F45" i="39"/>
  <c r="F65" i="39"/>
  <c r="F67" i="39"/>
  <c r="F82" i="39"/>
  <c r="F83" i="39"/>
  <c r="F84" i="39"/>
  <c r="F101" i="39"/>
  <c r="F111" i="39"/>
  <c r="F129" i="39"/>
  <c r="F131" i="39"/>
  <c r="F144" i="39"/>
  <c r="F146" i="39"/>
  <c r="F147" i="39"/>
  <c r="F148" i="39"/>
  <c r="F150" i="39"/>
  <c r="F174" i="39"/>
  <c r="F179" i="39"/>
  <c r="F12" i="39"/>
  <c r="F16" i="39"/>
  <c r="F35" i="39"/>
  <c r="F36" i="39"/>
  <c r="F38" i="39"/>
  <c r="F63" i="39"/>
  <c r="F79" i="39"/>
  <c r="F96" i="39"/>
  <c r="F97" i="39"/>
  <c r="F102" i="39"/>
  <c r="F122" i="39"/>
  <c r="F126" i="39"/>
  <c r="F164" i="39"/>
  <c r="F168" i="39"/>
  <c r="F169" i="39"/>
  <c r="F172" i="39"/>
  <c r="F27" i="39"/>
  <c r="F54" i="39"/>
  <c r="F64" i="39"/>
  <c r="F88" i="39"/>
  <c r="F127" i="39"/>
  <c r="F158" i="39"/>
  <c r="F183" i="39"/>
  <c r="F17" i="39"/>
  <c r="F23" i="39"/>
  <c r="F43" i="39"/>
  <c r="F44" i="39"/>
  <c r="F53" i="39"/>
  <c r="F62" i="39"/>
  <c r="F76" i="39"/>
  <c r="F80" i="39"/>
  <c r="F98" i="39"/>
  <c r="F100" i="39"/>
  <c r="F108" i="39"/>
  <c r="F109" i="39"/>
  <c r="F110" i="39"/>
  <c r="F118" i="39"/>
  <c r="F135" i="39"/>
  <c r="F139" i="39"/>
  <c r="F140" i="39"/>
  <c r="F141" i="39"/>
  <c r="F154" i="39"/>
  <c r="F155" i="39"/>
  <c r="F165" i="39"/>
  <c r="F177" i="39"/>
  <c r="F182" i="39"/>
  <c r="F11" i="39"/>
  <c r="F81" i="39"/>
  <c r="F167" i="39"/>
  <c r="F6" i="39"/>
  <c r="F13" i="39"/>
  <c r="F15" i="39"/>
  <c r="F21" i="39"/>
  <c r="F32" i="39"/>
  <c r="F42" i="39"/>
  <c r="F48" i="39"/>
  <c r="F61" i="39"/>
  <c r="F75" i="39"/>
  <c r="F86" i="39"/>
  <c r="F106" i="39"/>
  <c r="F114" i="39"/>
  <c r="F117" i="39"/>
  <c r="F134" i="39"/>
  <c r="F138" i="39"/>
  <c r="F153" i="39"/>
  <c r="F161" i="39"/>
  <c r="F163" i="39"/>
  <c r="F176" i="39"/>
  <c r="F50" i="39"/>
  <c r="F52" i="39"/>
  <c r="F37" i="39"/>
  <c r="F171" i="39"/>
  <c r="F47" i="39"/>
  <c r="G184" i="39"/>
  <c r="C184" i="39"/>
  <c r="F51" i="39"/>
  <c r="D184" i="39"/>
  <c r="F34" i="39"/>
  <c r="F68" i="39"/>
  <c r="F78" i="39"/>
  <c r="F124" i="39"/>
  <c r="F3" i="39"/>
  <c r="F9" i="39"/>
  <c r="F29" i="39"/>
  <c r="F60" i="39"/>
  <c r="F70" i="39"/>
  <c r="F157" i="39"/>
  <c r="F95" i="39"/>
  <c r="F104" i="39"/>
  <c r="F130" i="39"/>
  <c r="F170" i="39"/>
  <c r="F18" i="39"/>
  <c r="F19" i="39"/>
  <c r="F25" i="39"/>
  <c r="F41" i="39"/>
  <c r="F46" i="39"/>
  <c r="F66" i="39"/>
  <c r="F87" i="39"/>
  <c r="F90" i="39"/>
  <c r="F123" i="39"/>
  <c r="F125" i="39"/>
  <c r="F132" i="39"/>
  <c r="F145" i="39"/>
  <c r="F149" i="39"/>
  <c r="F166" i="39"/>
  <c r="F180" i="39"/>
  <c r="E184" i="39"/>
  <c r="F5" i="39"/>
  <c r="F22" i="39"/>
  <c r="F39" i="39"/>
  <c r="F58" i="39"/>
  <c r="F74" i="39"/>
  <c r="F178" i="39"/>
  <c r="F112" i="39"/>
  <c r="F128" i="39"/>
  <c r="F143" i="39"/>
  <c r="F159" i="39"/>
  <c r="F175" i="39"/>
  <c r="G175" i="38"/>
  <c r="E175" i="38"/>
  <c r="D175" i="38"/>
  <c r="C175" i="38"/>
  <c r="G71" i="38"/>
  <c r="E71" i="38"/>
  <c r="D71" i="38"/>
  <c r="C71" i="38"/>
  <c r="G179" i="38"/>
  <c r="E179" i="38"/>
  <c r="D179" i="38"/>
  <c r="C179" i="38"/>
  <c r="G101" i="38"/>
  <c r="E101" i="38"/>
  <c r="D101" i="38"/>
  <c r="C101" i="38"/>
  <c r="G9" i="38"/>
  <c r="E9" i="38"/>
  <c r="D9" i="38"/>
  <c r="C9" i="38"/>
  <c r="G28" i="38"/>
  <c r="E28" i="38"/>
  <c r="D28" i="38"/>
  <c r="C28" i="38"/>
  <c r="G165" i="38"/>
  <c r="E165" i="38"/>
  <c r="D165" i="38"/>
  <c r="C165" i="38"/>
  <c r="G33" i="38"/>
  <c r="E33" i="38"/>
  <c r="D33" i="38"/>
  <c r="C33" i="38"/>
  <c r="G12" i="38"/>
  <c r="E12" i="38"/>
  <c r="D12" i="38"/>
  <c r="C12" i="38"/>
  <c r="G100" i="38"/>
  <c r="E100" i="38"/>
  <c r="D100" i="38"/>
  <c r="C100" i="38"/>
  <c r="G159" i="38"/>
  <c r="E159" i="38"/>
  <c r="D159" i="38"/>
  <c r="C159" i="38"/>
  <c r="G166" i="38"/>
  <c r="E166" i="38"/>
  <c r="D166" i="38"/>
  <c r="C166" i="38"/>
  <c r="G176" i="38"/>
  <c r="E176" i="38"/>
  <c r="D176" i="38"/>
  <c r="C176" i="38"/>
  <c r="G68" i="38"/>
  <c r="E68" i="38"/>
  <c r="D68" i="38"/>
  <c r="C68" i="38"/>
  <c r="G139" i="38"/>
  <c r="E139" i="38"/>
  <c r="D139" i="38"/>
  <c r="C139" i="38"/>
  <c r="G102" i="38"/>
  <c r="E102" i="38"/>
  <c r="D102" i="38"/>
  <c r="C102" i="38"/>
  <c r="G125" i="38"/>
  <c r="E125" i="38"/>
  <c r="D125" i="38"/>
  <c r="C125" i="38"/>
  <c r="G162" i="38"/>
  <c r="E162" i="38"/>
  <c r="D162" i="38"/>
  <c r="C162" i="38"/>
  <c r="G156" i="38"/>
  <c r="E156" i="38"/>
  <c r="D156" i="38"/>
  <c r="C156" i="38"/>
  <c r="G108" i="38"/>
  <c r="E108" i="38"/>
  <c r="D108" i="38"/>
  <c r="C108" i="38"/>
  <c r="G172" i="38"/>
  <c r="E172" i="38"/>
  <c r="D172" i="38"/>
  <c r="C172" i="38"/>
  <c r="G157" i="38"/>
  <c r="E157" i="38"/>
  <c r="D157" i="38"/>
  <c r="C157" i="38"/>
  <c r="G42" i="38"/>
  <c r="E42" i="38"/>
  <c r="D42" i="38"/>
  <c r="C42" i="38"/>
  <c r="G99" i="38"/>
  <c r="E99" i="38"/>
  <c r="D99" i="38"/>
  <c r="C99" i="38"/>
  <c r="G161" i="38"/>
  <c r="E161" i="38"/>
  <c r="D161" i="38"/>
  <c r="C161" i="38"/>
  <c r="G36" i="38"/>
  <c r="E36" i="38"/>
  <c r="D36" i="38"/>
  <c r="C36" i="38"/>
  <c r="G137" i="38"/>
  <c r="E137" i="38"/>
  <c r="D137" i="38"/>
  <c r="C137" i="38"/>
  <c r="G46" i="38"/>
  <c r="E46" i="38"/>
  <c r="D46" i="38"/>
  <c r="C46" i="38"/>
  <c r="G59" i="38"/>
  <c r="E59" i="38"/>
  <c r="D59" i="38"/>
  <c r="C59" i="38"/>
  <c r="G98" i="38"/>
  <c r="E98" i="38"/>
  <c r="D98" i="38"/>
  <c r="C98" i="38"/>
  <c r="G97" i="38"/>
  <c r="E97" i="38"/>
  <c r="D97" i="38"/>
  <c r="C97" i="38"/>
  <c r="G14" i="38"/>
  <c r="E14" i="38"/>
  <c r="D14" i="38"/>
  <c r="C14" i="38"/>
  <c r="G43" i="38"/>
  <c r="E43" i="38"/>
  <c r="D43" i="38"/>
  <c r="C43" i="38"/>
  <c r="G79" i="38"/>
  <c r="E79" i="38"/>
  <c r="D79" i="38"/>
  <c r="C79" i="38"/>
  <c r="G155" i="38"/>
  <c r="E155" i="38"/>
  <c r="D155" i="38"/>
  <c r="C155" i="38"/>
  <c r="G13" i="38"/>
  <c r="E13" i="38"/>
  <c r="D13" i="38"/>
  <c r="C13" i="38"/>
  <c r="G73" i="38"/>
  <c r="E73" i="38"/>
  <c r="D73" i="38"/>
  <c r="C73" i="38"/>
  <c r="G130" i="38"/>
  <c r="E130" i="38"/>
  <c r="D130" i="38"/>
  <c r="C130" i="38"/>
  <c r="G4" i="38"/>
  <c r="E4" i="38"/>
  <c r="D4" i="38"/>
  <c r="C4" i="38"/>
  <c r="G44" i="38"/>
  <c r="E44" i="38"/>
  <c r="D44" i="38"/>
  <c r="C44" i="38"/>
  <c r="G64" i="38"/>
  <c r="E64" i="38"/>
  <c r="D64" i="38"/>
  <c r="C64" i="38"/>
  <c r="G96" i="38"/>
  <c r="E96" i="38"/>
  <c r="D96" i="38"/>
  <c r="C96" i="38"/>
  <c r="G63" i="38"/>
  <c r="E63" i="38"/>
  <c r="D63" i="38"/>
  <c r="C63" i="38"/>
  <c r="G120" i="38"/>
  <c r="E120" i="38"/>
  <c r="D120" i="38"/>
  <c r="C120" i="38"/>
  <c r="G134" i="38"/>
  <c r="E134" i="38"/>
  <c r="D134" i="38"/>
  <c r="C134" i="38"/>
  <c r="G75" i="38"/>
  <c r="E75" i="38"/>
  <c r="D75" i="38"/>
  <c r="C75" i="38"/>
  <c r="G129" i="38"/>
  <c r="E129" i="38"/>
  <c r="D129" i="38"/>
  <c r="C129" i="38"/>
  <c r="G48" i="38"/>
  <c r="E48" i="38"/>
  <c r="D48" i="38"/>
  <c r="C48" i="38"/>
  <c r="G16" i="38"/>
  <c r="E16" i="38"/>
  <c r="D16" i="38"/>
  <c r="C16" i="38"/>
  <c r="G151" i="38"/>
  <c r="E151" i="38"/>
  <c r="D151" i="38"/>
  <c r="C151" i="38"/>
  <c r="G95" i="38"/>
  <c r="E95" i="38"/>
  <c r="D95" i="38"/>
  <c r="C95" i="38"/>
  <c r="G58" i="38"/>
  <c r="E58" i="38"/>
  <c r="D58" i="38"/>
  <c r="C58" i="38"/>
  <c r="G74" i="38"/>
  <c r="E74" i="38"/>
  <c r="D74" i="38"/>
  <c r="C74" i="38"/>
  <c r="G111" i="38"/>
  <c r="E111" i="38"/>
  <c r="D111" i="38"/>
  <c r="C111" i="38"/>
  <c r="G45" i="38"/>
  <c r="E45" i="38"/>
  <c r="D45" i="38"/>
  <c r="C45" i="38"/>
  <c r="G70" i="38"/>
  <c r="E70" i="38"/>
  <c r="D70" i="38"/>
  <c r="C70" i="38"/>
  <c r="G144" i="38"/>
  <c r="E144" i="38"/>
  <c r="D144" i="38"/>
  <c r="C144" i="38"/>
  <c r="G15" i="38"/>
  <c r="E15" i="38"/>
  <c r="D15" i="38"/>
  <c r="C15" i="38"/>
  <c r="G94" i="38"/>
  <c r="E94" i="38"/>
  <c r="D94" i="38"/>
  <c r="C94" i="38"/>
  <c r="G77" i="38"/>
  <c r="E77" i="38"/>
  <c r="D77" i="38"/>
  <c r="C77" i="38"/>
  <c r="G149" i="38"/>
  <c r="E149" i="38"/>
  <c r="D149" i="38"/>
  <c r="C149" i="38"/>
  <c r="G93" i="38"/>
  <c r="E93" i="38"/>
  <c r="D93" i="38"/>
  <c r="C93" i="38"/>
  <c r="G41" i="38"/>
  <c r="E41" i="38"/>
  <c r="D41" i="38"/>
  <c r="C41" i="38"/>
  <c r="G37" i="38"/>
  <c r="E37" i="38"/>
  <c r="D37" i="38"/>
  <c r="C37" i="38"/>
  <c r="G7" i="38"/>
  <c r="E7" i="38"/>
  <c r="D7" i="38"/>
  <c r="C7" i="38"/>
  <c r="G92" i="38"/>
  <c r="E92" i="38"/>
  <c r="D92" i="38"/>
  <c r="C92" i="38"/>
  <c r="G152" i="38"/>
  <c r="E152" i="38"/>
  <c r="D152" i="38"/>
  <c r="C152" i="38"/>
  <c r="G21" i="38"/>
  <c r="E21" i="38"/>
  <c r="D21" i="38"/>
  <c r="C21" i="38"/>
  <c r="G91" i="38"/>
  <c r="E91" i="38"/>
  <c r="D91" i="38"/>
  <c r="C91" i="38"/>
  <c r="G117" i="38"/>
  <c r="E117" i="38"/>
  <c r="D117" i="38"/>
  <c r="C117" i="38"/>
  <c r="G113" i="38"/>
  <c r="E113" i="38"/>
  <c r="D113" i="38"/>
  <c r="C113" i="38"/>
  <c r="G60" i="38"/>
  <c r="E60" i="38"/>
  <c r="D60" i="38"/>
  <c r="C60" i="38"/>
  <c r="G115" i="38"/>
  <c r="E115" i="38"/>
  <c r="D115" i="38"/>
  <c r="C115" i="38"/>
  <c r="G147" i="38"/>
  <c r="E147" i="38"/>
  <c r="D147" i="38"/>
  <c r="C147" i="38"/>
  <c r="G170" i="38"/>
  <c r="E170" i="38"/>
  <c r="D170" i="38"/>
  <c r="C170" i="38"/>
  <c r="G145" i="38"/>
  <c r="E145" i="38"/>
  <c r="D145" i="38"/>
  <c r="C145" i="38"/>
  <c r="G124" i="38"/>
  <c r="E124" i="38"/>
  <c r="D124" i="38"/>
  <c r="C124" i="38"/>
  <c r="G90" i="38"/>
  <c r="E90" i="38"/>
  <c r="D90" i="38"/>
  <c r="C90" i="38"/>
  <c r="G72" i="38"/>
  <c r="E72" i="38"/>
  <c r="D72" i="38"/>
  <c r="C72" i="38"/>
  <c r="G148" i="38"/>
  <c r="E148" i="38"/>
  <c r="D148" i="38"/>
  <c r="C148" i="38"/>
  <c r="G78" i="38"/>
  <c r="E78" i="38"/>
  <c r="D78" i="38"/>
  <c r="C78" i="38"/>
  <c r="G104" i="38"/>
  <c r="E104" i="38"/>
  <c r="D104" i="38"/>
  <c r="C104" i="38"/>
  <c r="G52" i="38"/>
  <c r="E52" i="38"/>
  <c r="D52" i="38"/>
  <c r="C52" i="38"/>
  <c r="G55" i="38"/>
  <c r="E55" i="38"/>
  <c r="D55" i="38"/>
  <c r="C55" i="38"/>
  <c r="G138" i="38"/>
  <c r="E138" i="38"/>
  <c r="D138" i="38"/>
  <c r="C138" i="38"/>
  <c r="G26" i="38"/>
  <c r="E26" i="38"/>
  <c r="D26" i="38"/>
  <c r="C26" i="38"/>
  <c r="G106" i="38"/>
  <c r="E106" i="38"/>
  <c r="D106" i="38"/>
  <c r="C106" i="38"/>
  <c r="G69" i="38"/>
  <c r="E69" i="38"/>
  <c r="D69" i="38"/>
  <c r="C69" i="38"/>
  <c r="G30" i="38"/>
  <c r="E30" i="38"/>
  <c r="D30" i="38"/>
  <c r="C30" i="38"/>
  <c r="G27" i="38"/>
  <c r="E27" i="38"/>
  <c r="D27" i="38"/>
  <c r="C27" i="38"/>
  <c r="G24" i="38"/>
  <c r="E24" i="38"/>
  <c r="D24" i="38"/>
  <c r="C24" i="38"/>
  <c r="G133" i="38"/>
  <c r="E133" i="38"/>
  <c r="D133" i="38"/>
  <c r="C133" i="38"/>
  <c r="G23" i="38"/>
  <c r="E23" i="38"/>
  <c r="D23" i="38"/>
  <c r="C23" i="38"/>
  <c r="G132" i="38"/>
  <c r="E132" i="38"/>
  <c r="D132" i="38"/>
  <c r="C132" i="38"/>
  <c r="G40" i="38"/>
  <c r="E40" i="38"/>
  <c r="D40" i="38"/>
  <c r="C40" i="38"/>
  <c r="G61" i="38"/>
  <c r="E61" i="38"/>
  <c r="D61" i="38"/>
  <c r="C61" i="38"/>
  <c r="G76" i="38"/>
  <c r="E76" i="38"/>
  <c r="D76" i="38"/>
  <c r="C76" i="38"/>
  <c r="G10" i="38"/>
  <c r="E10" i="38"/>
  <c r="D10" i="38"/>
  <c r="C10" i="38"/>
  <c r="G56" i="38"/>
  <c r="E56" i="38"/>
  <c r="D56" i="38"/>
  <c r="C56" i="38"/>
  <c r="G167" i="38"/>
  <c r="E167" i="38"/>
  <c r="D167" i="38"/>
  <c r="C167" i="38"/>
  <c r="G53" i="38"/>
  <c r="E53" i="38"/>
  <c r="D53" i="38"/>
  <c r="C53" i="38"/>
  <c r="G3" i="38"/>
  <c r="E3" i="38"/>
  <c r="D3" i="38"/>
  <c r="C3" i="38"/>
  <c r="G29" i="38"/>
  <c r="E29" i="38"/>
  <c r="D29" i="38"/>
  <c r="C29" i="38"/>
  <c r="G47" i="38"/>
  <c r="E47" i="38"/>
  <c r="D47" i="38"/>
  <c r="C47" i="38"/>
  <c r="G154" i="38"/>
  <c r="E154" i="38"/>
  <c r="D154" i="38"/>
  <c r="C154" i="38"/>
  <c r="G105" i="38"/>
  <c r="E105" i="38"/>
  <c r="D105" i="38"/>
  <c r="C105" i="38"/>
  <c r="G25" i="38"/>
  <c r="E25" i="38"/>
  <c r="D25" i="38"/>
  <c r="C25" i="38"/>
  <c r="G143" i="38"/>
  <c r="E143" i="38"/>
  <c r="D143" i="38"/>
  <c r="C143" i="38"/>
  <c r="G127" i="38"/>
  <c r="E127" i="38"/>
  <c r="D127" i="38"/>
  <c r="C127" i="38"/>
  <c r="G153" i="38"/>
  <c r="E153" i="38"/>
  <c r="D153" i="38"/>
  <c r="C153" i="38"/>
  <c r="G66" i="38"/>
  <c r="E66" i="38"/>
  <c r="D66" i="38"/>
  <c r="C66" i="38"/>
  <c r="G131" i="38"/>
  <c r="E131" i="38"/>
  <c r="D131" i="38"/>
  <c r="C131" i="38"/>
  <c r="G119" i="38"/>
  <c r="E119" i="38"/>
  <c r="D119" i="38"/>
  <c r="C119" i="38"/>
  <c r="G65" i="38"/>
  <c r="E65" i="38"/>
  <c r="D65" i="38"/>
  <c r="C65" i="38"/>
  <c r="G128" i="38"/>
  <c r="E128" i="38"/>
  <c r="D128" i="38"/>
  <c r="C128" i="38"/>
  <c r="G177" i="38"/>
  <c r="E177" i="38"/>
  <c r="D177" i="38"/>
  <c r="C177" i="38"/>
  <c r="G140" i="38"/>
  <c r="E140" i="38"/>
  <c r="D140" i="38"/>
  <c r="C140" i="38"/>
  <c r="G81" i="38"/>
  <c r="E81" i="38"/>
  <c r="D81" i="38"/>
  <c r="C81" i="38"/>
  <c r="G146" i="38"/>
  <c r="E146" i="38"/>
  <c r="D146" i="38"/>
  <c r="C146" i="38"/>
  <c r="G126" i="38"/>
  <c r="E126" i="38"/>
  <c r="D126" i="38"/>
  <c r="C126" i="38"/>
  <c r="G141" i="38"/>
  <c r="E141" i="38"/>
  <c r="D141" i="38"/>
  <c r="C141" i="38"/>
  <c r="G31" i="38"/>
  <c r="E31" i="38"/>
  <c r="D31" i="38"/>
  <c r="C31" i="38"/>
  <c r="G49" i="38"/>
  <c r="E49" i="38"/>
  <c r="D49" i="38"/>
  <c r="C49" i="38"/>
  <c r="G50" i="38"/>
  <c r="E50" i="38"/>
  <c r="D50" i="38"/>
  <c r="C50" i="38"/>
  <c r="G11" i="38"/>
  <c r="E11" i="38"/>
  <c r="D11" i="38"/>
  <c r="C11" i="38"/>
  <c r="G51" i="38"/>
  <c r="E51" i="38"/>
  <c r="D51" i="38"/>
  <c r="C51" i="38"/>
  <c r="G116" i="38"/>
  <c r="E116" i="38"/>
  <c r="D116" i="38"/>
  <c r="C116" i="38"/>
  <c r="G22" i="38"/>
  <c r="E22" i="38"/>
  <c r="D22" i="38"/>
  <c r="C22" i="38"/>
  <c r="G160" i="38"/>
  <c r="E160" i="38"/>
  <c r="D160" i="38"/>
  <c r="C160" i="38"/>
  <c r="G174" i="38"/>
  <c r="E174" i="38"/>
  <c r="D174" i="38"/>
  <c r="C174" i="38"/>
  <c r="G82" i="38"/>
  <c r="E82" i="38"/>
  <c r="D82" i="38"/>
  <c r="C82" i="38"/>
  <c r="G103" i="38"/>
  <c r="E103" i="38"/>
  <c r="D103" i="38"/>
  <c r="C103" i="38"/>
  <c r="G158" i="38"/>
  <c r="E158" i="38"/>
  <c r="D158" i="38"/>
  <c r="C158" i="38"/>
  <c r="G80" i="38"/>
  <c r="E80" i="38"/>
  <c r="D80" i="38"/>
  <c r="C80" i="38"/>
  <c r="G35" i="38"/>
  <c r="E35" i="38"/>
  <c r="D35" i="38"/>
  <c r="C35" i="38"/>
  <c r="G38" i="38"/>
  <c r="E38" i="38"/>
  <c r="D38" i="38"/>
  <c r="C38" i="38"/>
  <c r="G171" i="38"/>
  <c r="E171" i="38"/>
  <c r="D171" i="38"/>
  <c r="C171" i="38"/>
  <c r="G34" i="38"/>
  <c r="E34" i="38"/>
  <c r="D34" i="38"/>
  <c r="C34" i="38"/>
  <c r="G163" i="38"/>
  <c r="E163" i="38"/>
  <c r="D163" i="38"/>
  <c r="C163" i="38"/>
  <c r="G168" i="38"/>
  <c r="E168" i="38"/>
  <c r="D168" i="38"/>
  <c r="C168" i="38"/>
  <c r="G123" i="38"/>
  <c r="E123" i="38"/>
  <c r="D123" i="38"/>
  <c r="C123" i="38"/>
  <c r="G62" i="38"/>
  <c r="E62" i="38"/>
  <c r="D62" i="38"/>
  <c r="C62" i="38"/>
  <c r="G164" i="38"/>
  <c r="E164" i="38"/>
  <c r="D164" i="38"/>
  <c r="C164" i="38"/>
  <c r="G109" i="38"/>
  <c r="E109" i="38"/>
  <c r="D109" i="38"/>
  <c r="C109" i="38"/>
  <c r="G89" i="38"/>
  <c r="E89" i="38"/>
  <c r="D89" i="38"/>
  <c r="C89" i="38"/>
  <c r="G18" i="38"/>
  <c r="E18" i="38"/>
  <c r="D18" i="38"/>
  <c r="C18" i="38"/>
  <c r="G150" i="38"/>
  <c r="E150" i="38"/>
  <c r="D150" i="38"/>
  <c r="C150" i="38"/>
  <c r="G107" i="38"/>
  <c r="E107" i="38"/>
  <c r="D107" i="38"/>
  <c r="C107" i="38"/>
  <c r="G118" i="38"/>
  <c r="E118" i="38"/>
  <c r="D118" i="38"/>
  <c r="C118" i="38"/>
  <c r="G142" i="38"/>
  <c r="E142" i="38"/>
  <c r="D142" i="38"/>
  <c r="C142" i="38"/>
  <c r="G20" i="38"/>
  <c r="E20" i="38"/>
  <c r="D20" i="38"/>
  <c r="C20" i="38"/>
  <c r="G19" i="38"/>
  <c r="E19" i="38"/>
  <c r="D19" i="38"/>
  <c r="C19" i="38"/>
  <c r="G8" i="38"/>
  <c r="E8" i="38"/>
  <c r="D8" i="38"/>
  <c r="C8" i="38"/>
  <c r="G173" i="38"/>
  <c r="E173" i="38"/>
  <c r="D173" i="38"/>
  <c r="C173" i="38"/>
  <c r="G114" i="38"/>
  <c r="E114" i="38"/>
  <c r="D114" i="38"/>
  <c r="C114" i="38"/>
  <c r="G88" i="38"/>
  <c r="E88" i="38"/>
  <c r="D88" i="38"/>
  <c r="C88" i="38"/>
  <c r="G112" i="38"/>
  <c r="E112" i="38"/>
  <c r="D112" i="38"/>
  <c r="C112" i="38"/>
  <c r="G122" i="38"/>
  <c r="E122" i="38"/>
  <c r="D122" i="38"/>
  <c r="C122" i="38"/>
  <c r="G87" i="38"/>
  <c r="E87" i="38"/>
  <c r="D87" i="38"/>
  <c r="C87" i="38"/>
  <c r="G67" i="38"/>
  <c r="E67" i="38"/>
  <c r="D67" i="38"/>
  <c r="C67" i="38"/>
  <c r="G169" i="38"/>
  <c r="E169" i="38"/>
  <c r="D169" i="38"/>
  <c r="C169" i="38"/>
  <c r="G17" i="38"/>
  <c r="E17" i="38"/>
  <c r="D17" i="38"/>
  <c r="C17" i="38"/>
  <c r="G6" i="38"/>
  <c r="E6" i="38"/>
  <c r="D6" i="38"/>
  <c r="C6" i="38"/>
  <c r="G86" i="38"/>
  <c r="E86" i="38"/>
  <c r="D86" i="38"/>
  <c r="C86" i="38"/>
  <c r="G39" i="38"/>
  <c r="E39" i="38"/>
  <c r="D39" i="38"/>
  <c r="C39" i="38"/>
  <c r="G85" i="38"/>
  <c r="E85" i="38"/>
  <c r="D85" i="38"/>
  <c r="C85" i="38"/>
  <c r="G54" i="38"/>
  <c r="E54" i="38"/>
  <c r="D54" i="38"/>
  <c r="C54" i="38"/>
  <c r="G136" i="38"/>
  <c r="E136" i="38"/>
  <c r="D136" i="38"/>
  <c r="C136" i="38"/>
  <c r="G84" i="38"/>
  <c r="E84" i="38"/>
  <c r="D84" i="38"/>
  <c r="C84" i="38"/>
  <c r="G121" i="38"/>
  <c r="E121" i="38"/>
  <c r="D121" i="38"/>
  <c r="C121" i="38"/>
  <c r="G110" i="38"/>
  <c r="E110" i="38"/>
  <c r="D110" i="38"/>
  <c r="C110" i="38"/>
  <c r="G83" i="38"/>
  <c r="E83" i="38"/>
  <c r="D83" i="38"/>
  <c r="C83" i="38"/>
  <c r="G178" i="38"/>
  <c r="E178" i="38"/>
  <c r="D178" i="38"/>
  <c r="C178" i="38"/>
  <c r="G32" i="38"/>
  <c r="E32" i="38"/>
  <c r="D32" i="38"/>
  <c r="C32" i="38"/>
  <c r="G57" i="38"/>
  <c r="E57" i="38"/>
  <c r="D57" i="38"/>
  <c r="C57" i="38"/>
  <c r="G135" i="38"/>
  <c r="E135" i="38"/>
  <c r="D135" i="38"/>
  <c r="C135" i="38"/>
  <c r="G5" i="38"/>
  <c r="E5" i="38"/>
  <c r="D5" i="38"/>
  <c r="C5" i="38"/>
  <c r="F138" i="38" l="1"/>
  <c r="F71" i="38"/>
  <c r="F67" i="38"/>
  <c r="F134" i="38"/>
  <c r="F55" i="38"/>
  <c r="F78" i="38"/>
  <c r="F170" i="38"/>
  <c r="F111" i="38"/>
  <c r="F150" i="38"/>
  <c r="F18" i="38"/>
  <c r="F123" i="38"/>
  <c r="F171" i="38"/>
  <c r="F38" i="38"/>
  <c r="F80" i="38"/>
  <c r="F3" i="38"/>
  <c r="F167" i="38"/>
  <c r="F40" i="38"/>
  <c r="F132" i="38"/>
  <c r="F30" i="38"/>
  <c r="F106" i="38"/>
  <c r="F102" i="38"/>
  <c r="F128" i="38"/>
  <c r="F149" i="38"/>
  <c r="F77" i="38"/>
  <c r="F70" i="38"/>
  <c r="F45" i="38"/>
  <c r="F137" i="38"/>
  <c r="F161" i="38"/>
  <c r="F162" i="38"/>
  <c r="F166" i="38"/>
  <c r="F32" i="38"/>
  <c r="F178" i="38"/>
  <c r="F110" i="38"/>
  <c r="F121" i="38"/>
  <c r="F169" i="38"/>
  <c r="F158" i="38"/>
  <c r="F174" i="38"/>
  <c r="F81" i="38"/>
  <c r="F97" i="38"/>
  <c r="F98" i="38"/>
  <c r="F135" i="38"/>
  <c r="F39" i="38"/>
  <c r="F87" i="38"/>
  <c r="F50" i="38"/>
  <c r="F31" i="38"/>
  <c r="F126" i="38"/>
  <c r="F146" i="38"/>
  <c r="F143" i="38"/>
  <c r="F92" i="38"/>
  <c r="F151" i="38"/>
  <c r="F129" i="38"/>
  <c r="F73" i="38"/>
  <c r="F42" i="38"/>
  <c r="F157" i="38"/>
  <c r="F108" i="38"/>
  <c r="F156" i="38"/>
  <c r="F9" i="38"/>
  <c r="F179" i="38"/>
  <c r="D180" i="38"/>
  <c r="F112" i="38"/>
  <c r="F84" i="38"/>
  <c r="F8" i="38"/>
  <c r="F19" i="38"/>
  <c r="F20" i="38"/>
  <c r="F22" i="38"/>
  <c r="F65" i="38"/>
  <c r="F131" i="38"/>
  <c r="F117" i="38"/>
  <c r="F91" i="38"/>
  <c r="F15" i="38"/>
  <c r="F63" i="38"/>
  <c r="F59" i="38"/>
  <c r="F159" i="38"/>
  <c r="F28" i="38"/>
  <c r="F107" i="38"/>
  <c r="F154" i="38"/>
  <c r="F41" i="38"/>
  <c r="G180" i="38"/>
  <c r="F54" i="38"/>
  <c r="F24" i="38"/>
  <c r="F115" i="38"/>
  <c r="F144" i="38"/>
  <c r="F58" i="38"/>
  <c r="F75" i="38"/>
  <c r="F96" i="38"/>
  <c r="F46" i="38"/>
  <c r="F68" i="38"/>
  <c r="F12" i="38"/>
  <c r="C180" i="38"/>
  <c r="F6" i="38"/>
  <c r="F114" i="38"/>
  <c r="F173" i="38"/>
  <c r="F89" i="38"/>
  <c r="F109" i="38"/>
  <c r="F168" i="38"/>
  <c r="F141" i="38"/>
  <c r="F119" i="38"/>
  <c r="F127" i="38"/>
  <c r="F47" i="38"/>
  <c r="F10" i="38"/>
  <c r="F104" i="38"/>
  <c r="F147" i="38"/>
  <c r="F21" i="38"/>
  <c r="F152" i="38"/>
  <c r="F44" i="38"/>
  <c r="F130" i="38"/>
  <c r="F36" i="38"/>
  <c r="F125" i="38"/>
  <c r="F100" i="38"/>
  <c r="F175" i="38"/>
  <c r="F34" i="38"/>
  <c r="F177" i="38"/>
  <c r="F29" i="38"/>
  <c r="F53" i="38"/>
  <c r="F148" i="38"/>
  <c r="F113" i="38"/>
  <c r="F7" i="38"/>
  <c r="F88" i="38"/>
  <c r="F103" i="38"/>
  <c r="F160" i="38"/>
  <c r="F116" i="38"/>
  <c r="F51" i="38"/>
  <c r="F11" i="38"/>
  <c r="F66" i="38"/>
  <c r="F105" i="38"/>
  <c r="F56" i="38"/>
  <c r="F52" i="38"/>
  <c r="F124" i="38"/>
  <c r="F60" i="38"/>
  <c r="F37" i="38"/>
  <c r="F74" i="38"/>
  <c r="F95" i="38"/>
  <c r="F120" i="38"/>
  <c r="F155" i="38"/>
  <c r="F43" i="38"/>
  <c r="F139" i="38"/>
  <c r="F101" i="38"/>
  <c r="F83" i="38"/>
  <c r="F142" i="38"/>
  <c r="F118" i="38"/>
  <c r="F82" i="38"/>
  <c r="F25" i="38"/>
  <c r="F57" i="38"/>
  <c r="F17" i="38"/>
  <c r="F76" i="38"/>
  <c r="F61" i="38"/>
  <c r="F69" i="38"/>
  <c r="F72" i="38"/>
  <c r="F90" i="38"/>
  <c r="F14" i="38"/>
  <c r="F99" i="38"/>
  <c r="F93" i="38"/>
  <c r="F79" i="38"/>
  <c r="F165" i="38"/>
  <c r="F4" i="38"/>
  <c r="F136" i="38"/>
  <c r="F86" i="38"/>
  <c r="F122" i="38"/>
  <c r="F164" i="38"/>
  <c r="F62" i="38"/>
  <c r="F35" i="38"/>
  <c r="F140" i="38"/>
  <c r="F153" i="38"/>
  <c r="F23" i="38"/>
  <c r="F133" i="38"/>
  <c r="F26" i="38"/>
  <c r="F94" i="38"/>
  <c r="F48" i="38"/>
  <c r="F64" i="38"/>
  <c r="F172" i="38"/>
  <c r="F33" i="38"/>
  <c r="E180" i="38"/>
  <c r="F5" i="38"/>
  <c r="F85" i="38"/>
  <c r="F163" i="38"/>
  <c r="F49" i="38"/>
  <c r="F27" i="38"/>
  <c r="F145" i="38"/>
  <c r="F16" i="38"/>
  <c r="F13" i="38"/>
  <c r="F176" i="38"/>
  <c r="C93" i="37"/>
  <c r="D93" i="37"/>
  <c r="E93" i="37"/>
  <c r="G93" i="37"/>
  <c r="C94" i="37"/>
  <c r="D94" i="37"/>
  <c r="E94" i="37"/>
  <c r="G94" i="37"/>
  <c r="C95" i="37"/>
  <c r="D95" i="37"/>
  <c r="E95" i="37"/>
  <c r="G95" i="37"/>
  <c r="C96" i="37"/>
  <c r="D96" i="37"/>
  <c r="E96" i="37"/>
  <c r="G96" i="37"/>
  <c r="G180" i="37"/>
  <c r="E180" i="37"/>
  <c r="D180" i="37"/>
  <c r="C180" i="37"/>
  <c r="G69" i="37"/>
  <c r="E69" i="37"/>
  <c r="D69" i="37"/>
  <c r="C69" i="37"/>
  <c r="G179" i="37"/>
  <c r="E179" i="37"/>
  <c r="D179" i="37"/>
  <c r="C179" i="37"/>
  <c r="G45" i="37"/>
  <c r="E45" i="37"/>
  <c r="D45" i="37"/>
  <c r="C45" i="37"/>
  <c r="G99" i="37"/>
  <c r="E99" i="37"/>
  <c r="D99" i="37"/>
  <c r="C99" i="37"/>
  <c r="G8" i="37"/>
  <c r="E8" i="37"/>
  <c r="D8" i="37"/>
  <c r="C8" i="37"/>
  <c r="G27" i="37"/>
  <c r="E27" i="37"/>
  <c r="D27" i="37"/>
  <c r="C27" i="37"/>
  <c r="G163" i="37"/>
  <c r="E163" i="37"/>
  <c r="D163" i="37"/>
  <c r="C163" i="37"/>
  <c r="G30" i="37"/>
  <c r="E30" i="37"/>
  <c r="D30" i="37"/>
  <c r="C30" i="37"/>
  <c r="G17" i="37"/>
  <c r="E17" i="37"/>
  <c r="D17" i="37"/>
  <c r="C17" i="37"/>
  <c r="G61" i="37"/>
  <c r="E61" i="37"/>
  <c r="D61" i="37"/>
  <c r="C61" i="37"/>
  <c r="G165" i="37"/>
  <c r="E165" i="37"/>
  <c r="D165" i="37"/>
  <c r="C165" i="37"/>
  <c r="G65" i="37"/>
  <c r="E65" i="37"/>
  <c r="D65" i="37"/>
  <c r="C65" i="37"/>
  <c r="G139" i="37"/>
  <c r="E139" i="37"/>
  <c r="D139" i="37"/>
  <c r="C139" i="37"/>
  <c r="G101" i="37"/>
  <c r="E101" i="37"/>
  <c r="D101" i="37"/>
  <c r="C101" i="37"/>
  <c r="G124" i="37"/>
  <c r="E124" i="37"/>
  <c r="D124" i="37"/>
  <c r="C124" i="37"/>
  <c r="G172" i="37"/>
  <c r="E172" i="37"/>
  <c r="D172" i="37"/>
  <c r="C172" i="37"/>
  <c r="G154" i="37"/>
  <c r="E154" i="37"/>
  <c r="D154" i="37"/>
  <c r="C154" i="37"/>
  <c r="G107" i="37"/>
  <c r="E107" i="37"/>
  <c r="D107" i="37"/>
  <c r="C107" i="37"/>
  <c r="G171" i="37"/>
  <c r="E171" i="37"/>
  <c r="D171" i="37"/>
  <c r="C171" i="37"/>
  <c r="G155" i="37"/>
  <c r="E155" i="37"/>
  <c r="D155" i="37"/>
  <c r="C155" i="37"/>
  <c r="G40" i="37"/>
  <c r="E40" i="37"/>
  <c r="D40" i="37"/>
  <c r="C40" i="37"/>
  <c r="G13" i="37"/>
  <c r="E13" i="37"/>
  <c r="D13" i="37"/>
  <c r="C13" i="37"/>
  <c r="G100" i="37"/>
  <c r="E100" i="37"/>
  <c r="D100" i="37"/>
  <c r="C100" i="37"/>
  <c r="G158" i="37"/>
  <c r="E158" i="37"/>
  <c r="D158" i="37"/>
  <c r="C158" i="37"/>
  <c r="G48" i="37"/>
  <c r="E48" i="37"/>
  <c r="D48" i="37"/>
  <c r="C48" i="37"/>
  <c r="G137" i="37"/>
  <c r="E137" i="37"/>
  <c r="D137" i="37"/>
  <c r="C137" i="37"/>
  <c r="G161" i="37"/>
  <c r="E161" i="37"/>
  <c r="D161" i="37"/>
  <c r="C161" i="37"/>
  <c r="G54" i="37"/>
  <c r="E54" i="37"/>
  <c r="D54" i="37"/>
  <c r="C54" i="37"/>
  <c r="G87" i="37"/>
  <c r="E87" i="37"/>
  <c r="D87" i="37"/>
  <c r="C87" i="37"/>
  <c r="G12" i="37"/>
  <c r="E12" i="37"/>
  <c r="D12" i="37"/>
  <c r="C12" i="37"/>
  <c r="G41" i="37"/>
  <c r="E41" i="37"/>
  <c r="D41" i="37"/>
  <c r="C41" i="37"/>
  <c r="G77" i="37"/>
  <c r="E77" i="37"/>
  <c r="D77" i="37"/>
  <c r="C77" i="37"/>
  <c r="G153" i="37"/>
  <c r="E153" i="37"/>
  <c r="D153" i="37"/>
  <c r="C153" i="37"/>
  <c r="G178" i="37"/>
  <c r="E178" i="37"/>
  <c r="D178" i="37"/>
  <c r="C178" i="37"/>
  <c r="G71" i="37"/>
  <c r="E71" i="37"/>
  <c r="D71" i="37"/>
  <c r="C71" i="37"/>
  <c r="G129" i="37"/>
  <c r="E129" i="37"/>
  <c r="D129" i="37"/>
  <c r="C129" i="37"/>
  <c r="G3" i="37"/>
  <c r="E3" i="37"/>
  <c r="D3" i="37"/>
  <c r="C3" i="37"/>
  <c r="G42" i="37"/>
  <c r="E42" i="37"/>
  <c r="D42" i="37"/>
  <c r="C42" i="37"/>
  <c r="G59" i="37"/>
  <c r="E59" i="37"/>
  <c r="D59" i="37"/>
  <c r="C59" i="37"/>
  <c r="G58" i="37"/>
  <c r="E58" i="37"/>
  <c r="D58" i="37"/>
  <c r="C58" i="37"/>
  <c r="G120" i="37"/>
  <c r="E120" i="37"/>
  <c r="D120" i="37"/>
  <c r="C120" i="37"/>
  <c r="G133" i="37"/>
  <c r="E133" i="37"/>
  <c r="D133" i="37"/>
  <c r="C133" i="37"/>
  <c r="G73" i="37"/>
  <c r="E73" i="37"/>
  <c r="D73" i="37"/>
  <c r="C73" i="37"/>
  <c r="G128" i="37"/>
  <c r="E128" i="37"/>
  <c r="D128" i="37"/>
  <c r="C128" i="37"/>
  <c r="G50" i="37"/>
  <c r="E50" i="37"/>
  <c r="D50" i="37"/>
  <c r="C50" i="37"/>
  <c r="G16" i="37"/>
  <c r="E16" i="37"/>
  <c r="D16" i="37"/>
  <c r="C16" i="37"/>
  <c r="G149" i="37"/>
  <c r="E149" i="37"/>
  <c r="D149" i="37"/>
  <c r="C149" i="37"/>
  <c r="G97" i="37"/>
  <c r="E97" i="37"/>
  <c r="D97" i="37"/>
  <c r="C97" i="37"/>
  <c r="G176" i="37"/>
  <c r="E176" i="37"/>
  <c r="D176" i="37"/>
  <c r="C176" i="37"/>
  <c r="G72" i="37"/>
  <c r="E72" i="37"/>
  <c r="D72" i="37"/>
  <c r="C72" i="37"/>
  <c r="G110" i="37"/>
  <c r="E110" i="37"/>
  <c r="D110" i="37"/>
  <c r="C110" i="37"/>
  <c r="G43" i="37"/>
  <c r="E43" i="37"/>
  <c r="D43" i="37"/>
  <c r="C43" i="37"/>
  <c r="G68" i="37"/>
  <c r="E68" i="37"/>
  <c r="D68" i="37"/>
  <c r="C68" i="37"/>
  <c r="G144" i="37"/>
  <c r="E144" i="37"/>
  <c r="D144" i="37"/>
  <c r="C144" i="37"/>
  <c r="G15" i="37"/>
  <c r="E15" i="37"/>
  <c r="D15" i="37"/>
  <c r="C15" i="37"/>
  <c r="G98" i="37"/>
  <c r="E98" i="37"/>
  <c r="D98" i="37"/>
  <c r="C98" i="37"/>
  <c r="G75" i="37"/>
  <c r="E75" i="37"/>
  <c r="D75" i="37"/>
  <c r="C75" i="37"/>
  <c r="G148" i="37"/>
  <c r="E148" i="37"/>
  <c r="D148" i="37"/>
  <c r="C148" i="37"/>
  <c r="G91" i="37"/>
  <c r="E91" i="37"/>
  <c r="D91" i="37"/>
  <c r="C91" i="37"/>
  <c r="G39" i="37"/>
  <c r="E39" i="37"/>
  <c r="D39" i="37"/>
  <c r="C39" i="37"/>
  <c r="G35" i="37"/>
  <c r="E35" i="37"/>
  <c r="D35" i="37"/>
  <c r="C35" i="37"/>
  <c r="G6" i="37"/>
  <c r="E6" i="37"/>
  <c r="D6" i="37"/>
  <c r="C6" i="37"/>
  <c r="G85" i="37"/>
  <c r="E85" i="37"/>
  <c r="D85" i="37"/>
  <c r="C85" i="37"/>
  <c r="G150" i="37"/>
  <c r="E150" i="37"/>
  <c r="D150" i="37"/>
  <c r="C150" i="37"/>
  <c r="G92" i="37"/>
  <c r="E92" i="37"/>
  <c r="D92" i="37"/>
  <c r="C92" i="37"/>
  <c r="G21" i="37"/>
  <c r="E21" i="37"/>
  <c r="D21" i="37"/>
  <c r="C21" i="37"/>
  <c r="G84" i="37"/>
  <c r="E84" i="37"/>
  <c r="D84" i="37"/>
  <c r="C84" i="37"/>
  <c r="G116" i="37"/>
  <c r="E116" i="37"/>
  <c r="D116" i="37"/>
  <c r="C116" i="37"/>
  <c r="G112" i="37"/>
  <c r="E112" i="37"/>
  <c r="D112" i="37"/>
  <c r="C112" i="37"/>
  <c r="G55" i="37"/>
  <c r="E55" i="37"/>
  <c r="D55" i="37"/>
  <c r="C55" i="37"/>
  <c r="G114" i="37"/>
  <c r="E114" i="37"/>
  <c r="D114" i="37"/>
  <c r="C114" i="37"/>
  <c r="G146" i="37"/>
  <c r="E146" i="37"/>
  <c r="D146" i="37"/>
  <c r="C146" i="37"/>
  <c r="G168" i="37"/>
  <c r="E168" i="37"/>
  <c r="D168" i="37"/>
  <c r="C168" i="37"/>
  <c r="G145" i="37"/>
  <c r="E145" i="37"/>
  <c r="D145" i="37"/>
  <c r="C145" i="37"/>
  <c r="G123" i="37"/>
  <c r="E123" i="37"/>
  <c r="D123" i="37"/>
  <c r="C123" i="37"/>
  <c r="G70" i="37"/>
  <c r="E70" i="37"/>
  <c r="D70" i="37"/>
  <c r="C70" i="37"/>
  <c r="G147" i="37"/>
  <c r="E147" i="37"/>
  <c r="D147" i="37"/>
  <c r="C147" i="37"/>
  <c r="G76" i="37"/>
  <c r="E76" i="37"/>
  <c r="D76" i="37"/>
  <c r="C76" i="37"/>
  <c r="G103" i="37"/>
  <c r="E103" i="37"/>
  <c r="D103" i="37"/>
  <c r="C103" i="37"/>
  <c r="G47" i="37"/>
  <c r="E47" i="37"/>
  <c r="D47" i="37"/>
  <c r="C47" i="37"/>
  <c r="G51" i="37"/>
  <c r="E51" i="37"/>
  <c r="D51" i="37"/>
  <c r="C51" i="37"/>
  <c r="G138" i="37"/>
  <c r="E138" i="37"/>
  <c r="D138" i="37"/>
  <c r="C138" i="37"/>
  <c r="G14" i="37"/>
  <c r="E14" i="37"/>
  <c r="D14" i="37"/>
  <c r="C14" i="37"/>
  <c r="G105" i="37"/>
  <c r="E105" i="37"/>
  <c r="D105" i="37"/>
  <c r="C105" i="37"/>
  <c r="G66" i="37"/>
  <c r="E66" i="37"/>
  <c r="D66" i="37"/>
  <c r="C66" i="37"/>
  <c r="G175" i="37"/>
  <c r="E175" i="37"/>
  <c r="D175" i="37"/>
  <c r="C175" i="37"/>
  <c r="G33" i="37"/>
  <c r="E33" i="37"/>
  <c r="D33" i="37"/>
  <c r="C33" i="37"/>
  <c r="G24" i="37"/>
  <c r="E24" i="37"/>
  <c r="D24" i="37"/>
  <c r="C24" i="37"/>
  <c r="G131" i="37"/>
  <c r="E131" i="37"/>
  <c r="D131" i="37"/>
  <c r="C131" i="37"/>
  <c r="G22" i="37"/>
  <c r="E22" i="37"/>
  <c r="D22" i="37"/>
  <c r="C22" i="37"/>
  <c r="G130" i="37"/>
  <c r="E130" i="37"/>
  <c r="D130" i="37"/>
  <c r="C130" i="37"/>
  <c r="G38" i="37"/>
  <c r="E38" i="37"/>
  <c r="D38" i="37"/>
  <c r="C38" i="37"/>
  <c r="G56" i="37"/>
  <c r="E56" i="37"/>
  <c r="D56" i="37"/>
  <c r="C56" i="37"/>
  <c r="G74" i="37"/>
  <c r="E74" i="37"/>
  <c r="D74" i="37"/>
  <c r="C74" i="37"/>
  <c r="G10" i="37"/>
  <c r="E10" i="37"/>
  <c r="D10" i="37"/>
  <c r="C10" i="37"/>
  <c r="G52" i="37"/>
  <c r="E52" i="37"/>
  <c r="D52" i="37"/>
  <c r="C52" i="37"/>
  <c r="G166" i="37"/>
  <c r="E166" i="37"/>
  <c r="D166" i="37"/>
  <c r="C166" i="37"/>
  <c r="G49" i="37"/>
  <c r="E49" i="37"/>
  <c r="D49" i="37"/>
  <c r="C49" i="37"/>
  <c r="G7" i="37"/>
  <c r="E7" i="37"/>
  <c r="D7" i="37"/>
  <c r="C7" i="37"/>
  <c r="G31" i="37"/>
  <c r="E31" i="37"/>
  <c r="D31" i="37"/>
  <c r="C31" i="37"/>
  <c r="G44" i="37"/>
  <c r="E44" i="37"/>
  <c r="D44" i="37"/>
  <c r="C44" i="37"/>
  <c r="G152" i="37"/>
  <c r="E152" i="37"/>
  <c r="D152" i="37"/>
  <c r="C152" i="37"/>
  <c r="G104" i="37"/>
  <c r="E104" i="37"/>
  <c r="D104" i="37"/>
  <c r="C104" i="37"/>
  <c r="G26" i="37"/>
  <c r="E26" i="37"/>
  <c r="D26" i="37"/>
  <c r="C26" i="37"/>
  <c r="G143" i="37"/>
  <c r="E143" i="37"/>
  <c r="D143" i="37"/>
  <c r="C143" i="37"/>
  <c r="G126" i="37"/>
  <c r="E126" i="37"/>
  <c r="D126" i="37"/>
  <c r="C126" i="37"/>
  <c r="G151" i="37"/>
  <c r="E151" i="37"/>
  <c r="D151" i="37"/>
  <c r="C151" i="37"/>
  <c r="G63" i="37"/>
  <c r="E63" i="37"/>
  <c r="D63" i="37"/>
  <c r="C63" i="37"/>
  <c r="G81" i="37"/>
  <c r="E81" i="37"/>
  <c r="D81" i="37"/>
  <c r="C81" i="37"/>
  <c r="G118" i="37"/>
  <c r="E118" i="37"/>
  <c r="D118" i="37"/>
  <c r="C118" i="37"/>
  <c r="G60" i="37"/>
  <c r="E60" i="37"/>
  <c r="D60" i="37"/>
  <c r="C60" i="37"/>
  <c r="G170" i="37"/>
  <c r="E170" i="37"/>
  <c r="D170" i="37"/>
  <c r="C170" i="37"/>
  <c r="G127" i="37"/>
  <c r="E127" i="37"/>
  <c r="D127" i="37"/>
  <c r="C127" i="37"/>
  <c r="G174" i="37"/>
  <c r="E174" i="37"/>
  <c r="D174" i="37"/>
  <c r="C174" i="37"/>
  <c r="G140" i="37"/>
  <c r="E140" i="37"/>
  <c r="D140" i="37"/>
  <c r="C140" i="37"/>
  <c r="G79" i="37"/>
  <c r="E79" i="37"/>
  <c r="D79" i="37"/>
  <c r="C79" i="37"/>
  <c r="G164" i="37"/>
  <c r="E164" i="37"/>
  <c r="D164" i="37"/>
  <c r="C164" i="37"/>
  <c r="G125" i="37"/>
  <c r="E125" i="37"/>
  <c r="D125" i="37"/>
  <c r="C125" i="37"/>
  <c r="G141" i="37"/>
  <c r="E141" i="37"/>
  <c r="D141" i="37"/>
  <c r="C141" i="37"/>
  <c r="G132" i="37"/>
  <c r="E132" i="37"/>
  <c r="D132" i="37"/>
  <c r="C132" i="37"/>
  <c r="G102" i="37"/>
  <c r="E102" i="37"/>
  <c r="D102" i="37"/>
  <c r="C102" i="37"/>
  <c r="G34" i="37"/>
  <c r="E34" i="37"/>
  <c r="D34" i="37"/>
  <c r="C34" i="37"/>
  <c r="G11" i="37"/>
  <c r="E11" i="37"/>
  <c r="D11" i="37"/>
  <c r="C11" i="37"/>
  <c r="G46" i="37"/>
  <c r="E46" i="37"/>
  <c r="D46" i="37"/>
  <c r="C46" i="37"/>
  <c r="G115" i="37"/>
  <c r="E115" i="37"/>
  <c r="D115" i="37"/>
  <c r="C115" i="37"/>
  <c r="G37" i="37"/>
  <c r="E37" i="37"/>
  <c r="D37" i="37"/>
  <c r="C37" i="37"/>
  <c r="G157" i="37"/>
  <c r="E157" i="37"/>
  <c r="D157" i="37"/>
  <c r="C157" i="37"/>
  <c r="G169" i="37"/>
  <c r="E169" i="37"/>
  <c r="D169" i="37"/>
  <c r="C169" i="37"/>
  <c r="G80" i="37"/>
  <c r="E80" i="37"/>
  <c r="D80" i="37"/>
  <c r="C80" i="37"/>
  <c r="G62" i="37"/>
  <c r="E62" i="37"/>
  <c r="D62" i="37"/>
  <c r="C62" i="37"/>
  <c r="G156" i="37"/>
  <c r="E156" i="37"/>
  <c r="D156" i="37"/>
  <c r="C156" i="37"/>
  <c r="G78" i="37"/>
  <c r="E78" i="37"/>
  <c r="D78" i="37"/>
  <c r="C78" i="37"/>
  <c r="G159" i="37"/>
  <c r="E159" i="37"/>
  <c r="D159" i="37"/>
  <c r="C159" i="37"/>
  <c r="G167" i="37"/>
  <c r="E167" i="37"/>
  <c r="D167" i="37"/>
  <c r="C167" i="37"/>
  <c r="G67" i="37"/>
  <c r="E67" i="37"/>
  <c r="D67" i="37"/>
  <c r="C67" i="37"/>
  <c r="G119" i="37"/>
  <c r="E119" i="37"/>
  <c r="D119" i="37"/>
  <c r="C119" i="37"/>
  <c r="G57" i="37"/>
  <c r="E57" i="37"/>
  <c r="D57" i="37"/>
  <c r="C57" i="37"/>
  <c r="G160" i="37"/>
  <c r="E160" i="37"/>
  <c r="D160" i="37"/>
  <c r="C160" i="37"/>
  <c r="G108" i="37"/>
  <c r="E108" i="37"/>
  <c r="D108" i="37"/>
  <c r="C108" i="37"/>
  <c r="G28" i="37"/>
  <c r="E28" i="37"/>
  <c r="D28" i="37"/>
  <c r="C28" i="37"/>
  <c r="G23" i="37"/>
  <c r="E23" i="37"/>
  <c r="D23" i="37"/>
  <c r="C23" i="37"/>
  <c r="G36" i="37"/>
  <c r="E36" i="37"/>
  <c r="D36" i="37"/>
  <c r="C36" i="37"/>
  <c r="G106" i="37"/>
  <c r="E106" i="37"/>
  <c r="D106" i="37"/>
  <c r="C106" i="37"/>
  <c r="G82" i="37"/>
  <c r="E82" i="37"/>
  <c r="D82" i="37"/>
  <c r="C82" i="37"/>
  <c r="G117" i="37"/>
  <c r="E117" i="37"/>
  <c r="D117" i="37"/>
  <c r="C117" i="37"/>
  <c r="G142" i="37"/>
  <c r="E142" i="37"/>
  <c r="D142" i="37"/>
  <c r="C142" i="37"/>
  <c r="G19" i="37"/>
  <c r="E19" i="37"/>
  <c r="D19" i="37"/>
  <c r="C19" i="37"/>
  <c r="G18" i="37"/>
  <c r="E18" i="37"/>
  <c r="D18" i="37"/>
  <c r="C18" i="37"/>
  <c r="G9" i="37"/>
  <c r="E9" i="37"/>
  <c r="D9" i="37"/>
  <c r="C9" i="37"/>
  <c r="G134" i="37"/>
  <c r="E134" i="37"/>
  <c r="D134" i="37"/>
  <c r="C134" i="37"/>
  <c r="G113" i="37"/>
  <c r="E113" i="37"/>
  <c r="D113" i="37"/>
  <c r="C113" i="37"/>
  <c r="G83" i="37"/>
  <c r="E83" i="37"/>
  <c r="D83" i="37"/>
  <c r="C83" i="37"/>
  <c r="G111" i="37"/>
  <c r="E111" i="37"/>
  <c r="D111" i="37"/>
  <c r="C111" i="37"/>
  <c r="G122" i="37"/>
  <c r="E122" i="37"/>
  <c r="D122" i="37"/>
  <c r="C122" i="37"/>
  <c r="G90" i="37"/>
  <c r="E90" i="37"/>
  <c r="D90" i="37"/>
  <c r="C90" i="37"/>
  <c r="G64" i="37"/>
  <c r="E64" i="37"/>
  <c r="D64" i="37"/>
  <c r="C64" i="37"/>
  <c r="G32" i="37"/>
  <c r="E32" i="37"/>
  <c r="D32" i="37"/>
  <c r="C32" i="37"/>
  <c r="G25" i="37"/>
  <c r="E25" i="37"/>
  <c r="D25" i="37"/>
  <c r="C25" i="37"/>
  <c r="G5" i="37"/>
  <c r="E5" i="37"/>
  <c r="D5" i="37"/>
  <c r="C5" i="37"/>
  <c r="G89" i="37"/>
  <c r="E89" i="37"/>
  <c r="D89" i="37"/>
  <c r="C89" i="37"/>
  <c r="G20" i="37"/>
  <c r="E20" i="37"/>
  <c r="D20" i="37"/>
  <c r="C20" i="37"/>
  <c r="G173" i="37"/>
  <c r="E173" i="37"/>
  <c r="D173" i="37"/>
  <c r="C173" i="37"/>
  <c r="G162" i="37"/>
  <c r="E162" i="37"/>
  <c r="D162" i="37"/>
  <c r="C162" i="37"/>
  <c r="G136" i="37"/>
  <c r="E136" i="37"/>
  <c r="D136" i="37"/>
  <c r="C136" i="37"/>
  <c r="G86" i="37"/>
  <c r="E86" i="37"/>
  <c r="D86" i="37"/>
  <c r="C86" i="37"/>
  <c r="G121" i="37"/>
  <c r="E121" i="37"/>
  <c r="D121" i="37"/>
  <c r="C121" i="37"/>
  <c r="G109" i="37"/>
  <c r="E109" i="37"/>
  <c r="D109" i="37"/>
  <c r="C109" i="37"/>
  <c r="G88" i="37"/>
  <c r="E88" i="37"/>
  <c r="D88" i="37"/>
  <c r="C88" i="37"/>
  <c r="G177" i="37"/>
  <c r="E177" i="37"/>
  <c r="D177" i="37"/>
  <c r="C177" i="37"/>
  <c r="G29" i="37"/>
  <c r="E29" i="37"/>
  <c r="D29" i="37"/>
  <c r="C29" i="37"/>
  <c r="G53" i="37"/>
  <c r="E53" i="37"/>
  <c r="D53" i="37"/>
  <c r="C53" i="37"/>
  <c r="G135" i="37"/>
  <c r="E135" i="37"/>
  <c r="D135" i="37"/>
  <c r="C135" i="37"/>
  <c r="G4" i="37"/>
  <c r="E4" i="37"/>
  <c r="D4" i="37"/>
  <c r="C4" i="37"/>
  <c r="F94" i="37" l="1"/>
  <c r="F95" i="37"/>
  <c r="F96" i="37"/>
  <c r="F93" i="37"/>
  <c r="F86" i="37"/>
  <c r="F136" i="37"/>
  <c r="F173" i="37"/>
  <c r="F89" i="37"/>
  <c r="F76" i="37"/>
  <c r="F37" i="37"/>
  <c r="F141" i="37"/>
  <c r="F143" i="37"/>
  <c r="F49" i="37"/>
  <c r="F10" i="37"/>
  <c r="F56" i="37"/>
  <c r="F73" i="37"/>
  <c r="F48" i="37"/>
  <c r="F13" i="37"/>
  <c r="F171" i="37"/>
  <c r="F107" i="37"/>
  <c r="F172" i="37"/>
  <c r="F124" i="37"/>
  <c r="F21" i="37"/>
  <c r="F92" i="37"/>
  <c r="F150" i="37"/>
  <c r="F6" i="37"/>
  <c r="F39" i="37"/>
  <c r="F148" i="37"/>
  <c r="F129" i="37"/>
  <c r="F122" i="37"/>
  <c r="F60" i="37"/>
  <c r="F118" i="37"/>
  <c r="F82" i="37"/>
  <c r="F105" i="37"/>
  <c r="F30" i="37"/>
  <c r="F163" i="37"/>
  <c r="F45" i="37"/>
  <c r="F180" i="37"/>
  <c r="F113" i="37"/>
  <c r="F18" i="37"/>
  <c r="F142" i="37"/>
  <c r="F23" i="37"/>
  <c r="F28" i="37"/>
  <c r="F11" i="37"/>
  <c r="F102" i="37"/>
  <c r="F131" i="37"/>
  <c r="F24" i="37"/>
  <c r="F175" i="37"/>
  <c r="F138" i="37"/>
  <c r="F47" i="37"/>
  <c r="F112" i="37"/>
  <c r="F161" i="37"/>
  <c r="F120" i="37"/>
  <c r="F29" i="37"/>
  <c r="F88" i="37"/>
  <c r="F109" i="37"/>
  <c r="F162" i="37"/>
  <c r="F5" i="37"/>
  <c r="F127" i="37"/>
  <c r="F152" i="37"/>
  <c r="F31" i="37"/>
  <c r="F58" i="37"/>
  <c r="F178" i="37"/>
  <c r="F153" i="37"/>
  <c r="F64" i="37"/>
  <c r="F119" i="37"/>
  <c r="F67" i="37"/>
  <c r="F130" i="37"/>
  <c r="F4" i="37"/>
  <c r="F53" i="37"/>
  <c r="F83" i="37"/>
  <c r="F156" i="37"/>
  <c r="F80" i="37"/>
  <c r="F169" i="37"/>
  <c r="G181" i="37"/>
  <c r="F90" i="37"/>
  <c r="F19" i="37"/>
  <c r="F57" i="37"/>
  <c r="F46" i="37"/>
  <c r="F34" i="37"/>
  <c r="F170" i="37"/>
  <c r="F104" i="37"/>
  <c r="F44" i="37"/>
  <c r="F166" i="37"/>
  <c r="F52" i="37"/>
  <c r="F74" i="37"/>
  <c r="F51" i="37"/>
  <c r="F103" i="37"/>
  <c r="F55" i="37"/>
  <c r="F84" i="37"/>
  <c r="F85" i="37"/>
  <c r="F35" i="37"/>
  <c r="F91" i="37"/>
  <c r="F75" i="37"/>
  <c r="F98" i="37"/>
  <c r="F133" i="37"/>
  <c r="F158" i="37"/>
  <c r="F100" i="37"/>
  <c r="F40" i="37"/>
  <c r="F155" i="37"/>
  <c r="F154" i="37"/>
  <c r="F101" i="37"/>
  <c r="F139" i="37"/>
  <c r="F65" i="37"/>
  <c r="F165" i="37"/>
  <c r="F61" i="37"/>
  <c r="F17" i="37"/>
  <c r="F27" i="37"/>
  <c r="F8" i="37"/>
  <c r="F99" i="37"/>
  <c r="F179" i="37"/>
  <c r="F69" i="37"/>
  <c r="F79" i="37"/>
  <c r="F151" i="37"/>
  <c r="F70" i="37"/>
  <c r="F123" i="37"/>
  <c r="F145" i="37"/>
  <c r="F176" i="37"/>
  <c r="F16" i="37"/>
  <c r="F50" i="37"/>
  <c r="F59" i="37"/>
  <c r="E181" i="37"/>
  <c r="F135" i="37"/>
  <c r="F20" i="37"/>
  <c r="F25" i="37"/>
  <c r="F134" i="37"/>
  <c r="F106" i="37"/>
  <c r="F78" i="37"/>
  <c r="F62" i="37"/>
  <c r="F164" i="37"/>
  <c r="F140" i="37"/>
  <c r="F63" i="37"/>
  <c r="F33" i="37"/>
  <c r="F168" i="37"/>
  <c r="F146" i="37"/>
  <c r="F144" i="37"/>
  <c r="F68" i="37"/>
  <c r="F43" i="37"/>
  <c r="F110" i="37"/>
  <c r="F72" i="37"/>
  <c r="F149" i="37"/>
  <c r="F42" i="37"/>
  <c r="F12" i="37"/>
  <c r="F87" i="37"/>
  <c r="D181" i="37"/>
  <c r="F121" i="37"/>
  <c r="F32" i="37"/>
  <c r="F111" i="37"/>
  <c r="F117" i="37"/>
  <c r="F36" i="37"/>
  <c r="F108" i="37"/>
  <c r="F167" i="37"/>
  <c r="F157" i="37"/>
  <c r="F132" i="37"/>
  <c r="F174" i="37"/>
  <c r="F126" i="37"/>
  <c r="F7" i="37"/>
  <c r="F38" i="37"/>
  <c r="F66" i="37"/>
  <c r="F147" i="37"/>
  <c r="F114" i="37"/>
  <c r="F116" i="37"/>
  <c r="F177" i="37"/>
  <c r="F9" i="37"/>
  <c r="F160" i="37"/>
  <c r="F159" i="37"/>
  <c r="F115" i="37"/>
  <c r="F125" i="37"/>
  <c r="F81" i="37"/>
  <c r="F26" i="37"/>
  <c r="F22" i="37"/>
  <c r="F14" i="37"/>
  <c r="F128" i="37"/>
  <c r="F3" i="37"/>
  <c r="F77" i="37"/>
  <c r="F15" i="37"/>
  <c r="F97" i="37"/>
  <c r="F71" i="37"/>
  <c r="F41" i="37"/>
  <c r="F54" i="37"/>
  <c r="F137" i="37"/>
  <c r="C181" i="37"/>
  <c r="G166" i="36"/>
  <c r="E166" i="36"/>
  <c r="D166" i="36"/>
  <c r="C166" i="36"/>
  <c r="G66" i="36"/>
  <c r="E66" i="36"/>
  <c r="D66" i="36"/>
  <c r="C66" i="36"/>
  <c r="G175" i="36"/>
  <c r="E175" i="36"/>
  <c r="D175" i="36"/>
  <c r="C175" i="36"/>
  <c r="G98" i="36"/>
  <c r="E98" i="36"/>
  <c r="D98" i="36"/>
  <c r="C98" i="36"/>
  <c r="G171" i="36"/>
  <c r="E171" i="36"/>
  <c r="D171" i="36"/>
  <c r="C171" i="36"/>
  <c r="G23" i="36"/>
  <c r="E23" i="36"/>
  <c r="D23" i="36"/>
  <c r="C23" i="36"/>
  <c r="G161" i="36"/>
  <c r="E161" i="36"/>
  <c r="D161" i="36"/>
  <c r="C161" i="36"/>
  <c r="G97" i="36"/>
  <c r="E97" i="36"/>
  <c r="D97" i="36"/>
  <c r="C97" i="36"/>
  <c r="G28" i="36"/>
  <c r="E28" i="36"/>
  <c r="D28" i="36"/>
  <c r="C28" i="36"/>
  <c r="G13" i="36"/>
  <c r="E13" i="36"/>
  <c r="D13" i="36"/>
  <c r="C13" i="36"/>
  <c r="G60" i="36"/>
  <c r="E60" i="36"/>
  <c r="D60" i="36"/>
  <c r="C60" i="36"/>
  <c r="G162" i="36"/>
  <c r="E162" i="36"/>
  <c r="D162" i="36"/>
  <c r="C162" i="36"/>
  <c r="G63" i="36"/>
  <c r="E63" i="36"/>
  <c r="D63" i="36"/>
  <c r="C63" i="36"/>
  <c r="G136" i="36"/>
  <c r="E136" i="36"/>
  <c r="D136" i="36"/>
  <c r="C136" i="36"/>
  <c r="G99" i="36"/>
  <c r="E99" i="36"/>
  <c r="D99" i="36"/>
  <c r="C99" i="36"/>
  <c r="G123" i="36"/>
  <c r="E123" i="36"/>
  <c r="D123" i="36"/>
  <c r="C123" i="36"/>
  <c r="G168" i="36"/>
  <c r="E168" i="36"/>
  <c r="D168" i="36"/>
  <c r="C168" i="36"/>
  <c r="G153" i="36"/>
  <c r="E153" i="36"/>
  <c r="D153" i="36"/>
  <c r="C153" i="36"/>
  <c r="G106" i="36"/>
  <c r="E106" i="36"/>
  <c r="D106" i="36"/>
  <c r="C106" i="36"/>
  <c r="G154" i="36"/>
  <c r="E154" i="36"/>
  <c r="D154" i="36"/>
  <c r="C154" i="36"/>
  <c r="G36" i="36"/>
  <c r="E36" i="36"/>
  <c r="D36" i="36"/>
  <c r="C36" i="36"/>
  <c r="G96" i="36"/>
  <c r="E96" i="36"/>
  <c r="D96" i="36"/>
  <c r="C96" i="36"/>
  <c r="G52" i="36"/>
  <c r="E52" i="36"/>
  <c r="D52" i="36"/>
  <c r="C52" i="36"/>
  <c r="G45" i="36"/>
  <c r="E45" i="36"/>
  <c r="D45" i="36"/>
  <c r="C45" i="36"/>
  <c r="G134" i="36"/>
  <c r="E134" i="36"/>
  <c r="D134" i="36"/>
  <c r="C134" i="36"/>
  <c r="G159" i="36"/>
  <c r="E159" i="36"/>
  <c r="D159" i="36"/>
  <c r="C159" i="36"/>
  <c r="G53" i="36"/>
  <c r="E53" i="36"/>
  <c r="D53" i="36"/>
  <c r="C53" i="36"/>
  <c r="G95" i="36"/>
  <c r="E95" i="36"/>
  <c r="D95" i="36"/>
  <c r="C95" i="36"/>
  <c r="G94" i="36"/>
  <c r="E94" i="36"/>
  <c r="D94" i="36"/>
  <c r="C94" i="36"/>
  <c r="G11" i="36"/>
  <c r="E11" i="36"/>
  <c r="D11" i="36"/>
  <c r="C11" i="36"/>
  <c r="G37" i="36"/>
  <c r="E37" i="36"/>
  <c r="D37" i="36"/>
  <c r="C37" i="36"/>
  <c r="G74" i="36"/>
  <c r="E74" i="36"/>
  <c r="D74" i="36"/>
  <c r="C74" i="36"/>
  <c r="G152" i="36"/>
  <c r="E152" i="36"/>
  <c r="D152" i="36"/>
  <c r="C152" i="36"/>
  <c r="G172" i="36"/>
  <c r="E172" i="36"/>
  <c r="D172" i="36"/>
  <c r="C172" i="36"/>
  <c r="G68" i="36"/>
  <c r="E68" i="36"/>
  <c r="D68" i="36"/>
  <c r="C68" i="36"/>
  <c r="G128" i="36"/>
  <c r="E128" i="36"/>
  <c r="D128" i="36"/>
  <c r="C128" i="36"/>
  <c r="G3" i="36"/>
  <c r="E3" i="36"/>
  <c r="D3" i="36"/>
  <c r="C3" i="36"/>
  <c r="G38" i="36"/>
  <c r="E38" i="36"/>
  <c r="D38" i="36"/>
  <c r="C38" i="36"/>
  <c r="G58" i="36"/>
  <c r="E58" i="36"/>
  <c r="D58" i="36"/>
  <c r="C58" i="36"/>
  <c r="G93" i="36"/>
  <c r="E93" i="36"/>
  <c r="D93" i="36"/>
  <c r="C93" i="36"/>
  <c r="G160" i="36"/>
  <c r="E160" i="36"/>
  <c r="D160" i="36"/>
  <c r="C160" i="36"/>
  <c r="G57" i="36"/>
  <c r="E57" i="36"/>
  <c r="D57" i="36"/>
  <c r="C57" i="36"/>
  <c r="G119" i="36"/>
  <c r="E119" i="36"/>
  <c r="D119" i="36"/>
  <c r="C119" i="36"/>
  <c r="G131" i="36"/>
  <c r="E131" i="36"/>
  <c r="D131" i="36"/>
  <c r="C131" i="36"/>
  <c r="G70" i="36"/>
  <c r="E70" i="36"/>
  <c r="D70" i="36"/>
  <c r="C70" i="36"/>
  <c r="G127" i="36"/>
  <c r="E127" i="36"/>
  <c r="D127" i="36"/>
  <c r="C127" i="36"/>
  <c r="G47" i="36"/>
  <c r="E47" i="36"/>
  <c r="D47" i="36"/>
  <c r="C47" i="36"/>
  <c r="G14" i="36"/>
  <c r="E14" i="36"/>
  <c r="D14" i="36"/>
  <c r="C14" i="36"/>
  <c r="G147" i="36"/>
  <c r="E147" i="36"/>
  <c r="D147" i="36"/>
  <c r="C147" i="36"/>
  <c r="G92" i="36"/>
  <c r="E92" i="36"/>
  <c r="D92" i="36"/>
  <c r="C92" i="36"/>
  <c r="G26" i="36"/>
  <c r="E26" i="36"/>
  <c r="D26" i="36"/>
  <c r="C26" i="36"/>
  <c r="G69" i="36"/>
  <c r="E69" i="36"/>
  <c r="D69" i="36"/>
  <c r="C69" i="36"/>
  <c r="G109" i="36"/>
  <c r="E109" i="36"/>
  <c r="D109" i="36"/>
  <c r="C109" i="36"/>
  <c r="G39" i="36"/>
  <c r="E39" i="36"/>
  <c r="D39" i="36"/>
  <c r="C39" i="36"/>
  <c r="G65" i="36"/>
  <c r="E65" i="36"/>
  <c r="D65" i="36"/>
  <c r="C65" i="36"/>
  <c r="G141" i="36"/>
  <c r="E141" i="36"/>
  <c r="D141" i="36"/>
  <c r="C141" i="36"/>
  <c r="G12" i="36"/>
  <c r="E12" i="36"/>
  <c r="D12" i="36"/>
  <c r="C12" i="36"/>
  <c r="G91" i="36"/>
  <c r="E91" i="36"/>
  <c r="D91" i="36"/>
  <c r="C91" i="36"/>
  <c r="G72" i="36"/>
  <c r="E72" i="36"/>
  <c r="D72" i="36"/>
  <c r="C72" i="36"/>
  <c r="G145" i="36"/>
  <c r="E145" i="36"/>
  <c r="D145" i="36"/>
  <c r="C145" i="36"/>
  <c r="G90" i="36"/>
  <c r="E90" i="36"/>
  <c r="D90" i="36"/>
  <c r="C90" i="36"/>
  <c r="G35" i="36"/>
  <c r="E35" i="36"/>
  <c r="D35" i="36"/>
  <c r="C35" i="36"/>
  <c r="G31" i="36"/>
  <c r="E31" i="36"/>
  <c r="D31" i="36"/>
  <c r="C31" i="36"/>
  <c r="G6" i="36"/>
  <c r="E6" i="36"/>
  <c r="D6" i="36"/>
  <c r="C6" i="36"/>
  <c r="G89" i="36"/>
  <c r="E89" i="36"/>
  <c r="D89" i="36"/>
  <c r="C89" i="36"/>
  <c r="G148" i="36"/>
  <c r="E148" i="36"/>
  <c r="D148" i="36"/>
  <c r="C148" i="36"/>
  <c r="G17" i="36"/>
  <c r="E17" i="36"/>
  <c r="D17" i="36"/>
  <c r="C17" i="36"/>
  <c r="G88" i="36"/>
  <c r="E88" i="36"/>
  <c r="D88" i="36"/>
  <c r="C88" i="36"/>
  <c r="G115" i="36"/>
  <c r="E115" i="36"/>
  <c r="D115" i="36"/>
  <c r="C115" i="36"/>
  <c r="G111" i="36"/>
  <c r="E111" i="36"/>
  <c r="D111" i="36"/>
  <c r="C111" i="36"/>
  <c r="G54" i="36"/>
  <c r="E54" i="36"/>
  <c r="D54" i="36"/>
  <c r="C54" i="36"/>
  <c r="G113" i="36"/>
  <c r="E113" i="36"/>
  <c r="D113" i="36"/>
  <c r="C113" i="36"/>
  <c r="G143" i="36"/>
  <c r="E143" i="36"/>
  <c r="D143" i="36"/>
  <c r="C143" i="36"/>
  <c r="G165" i="36"/>
  <c r="E165" i="36"/>
  <c r="D165" i="36"/>
  <c r="C165" i="36"/>
  <c r="G142" i="36"/>
  <c r="E142" i="36"/>
  <c r="D142" i="36"/>
  <c r="C142" i="36"/>
  <c r="G122" i="36"/>
  <c r="E122" i="36"/>
  <c r="D122" i="36"/>
  <c r="C122" i="36"/>
  <c r="G87" i="36"/>
  <c r="E87" i="36"/>
  <c r="D87" i="36"/>
  <c r="C87" i="36"/>
  <c r="G67" i="36"/>
  <c r="E67" i="36"/>
  <c r="D67" i="36"/>
  <c r="C67" i="36"/>
  <c r="G144" i="36"/>
  <c r="E144" i="36"/>
  <c r="D144" i="36"/>
  <c r="C144" i="36"/>
  <c r="G73" i="36"/>
  <c r="E73" i="36"/>
  <c r="D73" i="36"/>
  <c r="C73" i="36"/>
  <c r="G101" i="36"/>
  <c r="E101" i="36"/>
  <c r="D101" i="36"/>
  <c r="C101" i="36"/>
  <c r="G44" i="36"/>
  <c r="E44" i="36"/>
  <c r="D44" i="36"/>
  <c r="C44" i="36"/>
  <c r="G48" i="36"/>
  <c r="E48" i="36"/>
  <c r="D48" i="36"/>
  <c r="C48" i="36"/>
  <c r="G135" i="36"/>
  <c r="E135" i="36"/>
  <c r="D135" i="36"/>
  <c r="C135" i="36"/>
  <c r="G15" i="36"/>
  <c r="E15" i="36"/>
  <c r="D15" i="36"/>
  <c r="C15" i="36"/>
  <c r="G104" i="36"/>
  <c r="E104" i="36"/>
  <c r="D104" i="36"/>
  <c r="C104" i="36"/>
  <c r="G64" i="36"/>
  <c r="E64" i="36"/>
  <c r="D64" i="36"/>
  <c r="C64" i="36"/>
  <c r="G76" i="36"/>
  <c r="E76" i="36"/>
  <c r="D76" i="36"/>
  <c r="C76" i="36"/>
  <c r="G29" i="36"/>
  <c r="E29" i="36"/>
  <c r="D29" i="36"/>
  <c r="C29" i="36"/>
  <c r="G20" i="36"/>
  <c r="E20" i="36"/>
  <c r="D20" i="36"/>
  <c r="C20" i="36"/>
  <c r="G130" i="36"/>
  <c r="E130" i="36"/>
  <c r="D130" i="36"/>
  <c r="C130" i="36"/>
  <c r="G18" i="36"/>
  <c r="E18" i="36"/>
  <c r="D18" i="36"/>
  <c r="C18" i="36"/>
  <c r="G129" i="36"/>
  <c r="E129" i="36"/>
  <c r="D129" i="36"/>
  <c r="C129" i="36"/>
  <c r="G146" i="36"/>
  <c r="E146" i="36"/>
  <c r="D146" i="36"/>
  <c r="C146" i="36"/>
  <c r="G55" i="36"/>
  <c r="E55" i="36"/>
  <c r="D55" i="36"/>
  <c r="C55" i="36"/>
  <c r="G71" i="36"/>
  <c r="E71" i="36"/>
  <c r="D71" i="36"/>
  <c r="C71" i="36"/>
  <c r="G8" i="36"/>
  <c r="E8" i="36"/>
  <c r="D8" i="36"/>
  <c r="C8" i="36"/>
  <c r="G49" i="36"/>
  <c r="E49" i="36"/>
  <c r="D49" i="36"/>
  <c r="C49" i="36"/>
  <c r="G163" i="36"/>
  <c r="E163" i="36"/>
  <c r="D163" i="36"/>
  <c r="C163" i="36"/>
  <c r="G46" i="36"/>
  <c r="E46" i="36"/>
  <c r="D46" i="36"/>
  <c r="C46" i="36"/>
  <c r="G7" i="36"/>
  <c r="E7" i="36"/>
  <c r="D7" i="36"/>
  <c r="C7" i="36"/>
  <c r="G16" i="36"/>
  <c r="E16" i="36"/>
  <c r="D16" i="36"/>
  <c r="C16" i="36"/>
  <c r="G40" i="36"/>
  <c r="E40" i="36"/>
  <c r="D40" i="36"/>
  <c r="C40" i="36"/>
  <c r="G150" i="36"/>
  <c r="E150" i="36"/>
  <c r="D150" i="36"/>
  <c r="C150" i="36"/>
  <c r="G102" i="36"/>
  <c r="E102" i="36"/>
  <c r="D102" i="36"/>
  <c r="C102" i="36"/>
  <c r="G22" i="36"/>
  <c r="E22" i="36"/>
  <c r="D22" i="36"/>
  <c r="C22" i="36"/>
  <c r="G140" i="36"/>
  <c r="E140" i="36"/>
  <c r="D140" i="36"/>
  <c r="C140" i="36"/>
  <c r="G125" i="36"/>
  <c r="E125" i="36"/>
  <c r="D125" i="36"/>
  <c r="C125" i="36"/>
  <c r="G149" i="36"/>
  <c r="E149" i="36"/>
  <c r="D149" i="36"/>
  <c r="C149" i="36"/>
  <c r="G61" i="36"/>
  <c r="E61" i="36"/>
  <c r="D61" i="36"/>
  <c r="C61" i="36"/>
  <c r="G86" i="36"/>
  <c r="E86" i="36"/>
  <c r="D86" i="36"/>
  <c r="C86" i="36"/>
  <c r="G117" i="36"/>
  <c r="E117" i="36"/>
  <c r="D117" i="36"/>
  <c r="C117" i="36"/>
  <c r="G59" i="36"/>
  <c r="E59" i="36"/>
  <c r="D59" i="36"/>
  <c r="C59" i="36"/>
  <c r="G126" i="36"/>
  <c r="E126" i="36"/>
  <c r="D126" i="36"/>
  <c r="C126" i="36"/>
  <c r="G103" i="36"/>
  <c r="E103" i="36"/>
  <c r="D103" i="36"/>
  <c r="C103" i="36"/>
  <c r="G137" i="36"/>
  <c r="E137" i="36"/>
  <c r="D137" i="36"/>
  <c r="C137" i="36"/>
  <c r="G169" i="36"/>
  <c r="E169" i="36"/>
  <c r="D169" i="36"/>
  <c r="C169" i="36"/>
  <c r="G85" i="36"/>
  <c r="E85" i="36"/>
  <c r="D85" i="36"/>
  <c r="C85" i="36"/>
  <c r="G124" i="36"/>
  <c r="E124" i="36"/>
  <c r="D124" i="36"/>
  <c r="C124" i="36"/>
  <c r="G138" i="36"/>
  <c r="E138" i="36"/>
  <c r="D138" i="36"/>
  <c r="C138" i="36"/>
  <c r="G167" i="36"/>
  <c r="E167" i="36"/>
  <c r="D167" i="36"/>
  <c r="C167" i="36"/>
  <c r="G43" i="36"/>
  <c r="E43" i="36"/>
  <c r="D43" i="36"/>
  <c r="C43" i="36"/>
  <c r="G114" i="36"/>
  <c r="E114" i="36"/>
  <c r="D114" i="36"/>
  <c r="C114" i="36"/>
  <c r="G156" i="36"/>
  <c r="E156" i="36"/>
  <c r="D156" i="36"/>
  <c r="C156" i="36"/>
  <c r="G50" i="36"/>
  <c r="E50" i="36"/>
  <c r="D50" i="36"/>
  <c r="C50" i="36"/>
  <c r="G77" i="36"/>
  <c r="E77" i="36"/>
  <c r="D77" i="36"/>
  <c r="C77" i="36"/>
  <c r="G100" i="36"/>
  <c r="E100" i="36"/>
  <c r="D100" i="36"/>
  <c r="C100" i="36"/>
  <c r="G155" i="36"/>
  <c r="E155" i="36"/>
  <c r="D155" i="36"/>
  <c r="C155" i="36"/>
  <c r="G75" i="36"/>
  <c r="E75" i="36"/>
  <c r="D75" i="36"/>
  <c r="C75" i="36"/>
  <c r="G30" i="36"/>
  <c r="E30" i="36"/>
  <c r="D30" i="36"/>
  <c r="C30" i="36"/>
  <c r="G41" i="36"/>
  <c r="E41" i="36"/>
  <c r="D41" i="36"/>
  <c r="C41" i="36"/>
  <c r="G173" i="36"/>
  <c r="E173" i="36"/>
  <c r="D173" i="36"/>
  <c r="C173" i="36"/>
  <c r="G33" i="36"/>
  <c r="E33" i="36"/>
  <c r="D33" i="36"/>
  <c r="C33" i="36"/>
  <c r="G157" i="36"/>
  <c r="E157" i="36"/>
  <c r="D157" i="36"/>
  <c r="C157" i="36"/>
  <c r="G164" i="36"/>
  <c r="E164" i="36"/>
  <c r="D164" i="36"/>
  <c r="C164" i="36"/>
  <c r="G56" i="36"/>
  <c r="E56" i="36"/>
  <c r="D56" i="36"/>
  <c r="C56" i="36"/>
  <c r="G158" i="36"/>
  <c r="E158" i="36"/>
  <c r="D158" i="36"/>
  <c r="C158" i="36"/>
  <c r="G118" i="36"/>
  <c r="E118" i="36"/>
  <c r="D118" i="36"/>
  <c r="C118" i="36"/>
  <c r="G107" i="36"/>
  <c r="E107" i="36"/>
  <c r="D107" i="36"/>
  <c r="C107" i="36"/>
  <c r="G84" i="36"/>
  <c r="E84" i="36"/>
  <c r="D84" i="36"/>
  <c r="C84" i="36"/>
  <c r="G24" i="36"/>
  <c r="E24" i="36"/>
  <c r="D24" i="36"/>
  <c r="C24" i="36"/>
  <c r="G151" i="36"/>
  <c r="E151" i="36"/>
  <c r="D151" i="36"/>
  <c r="C151" i="36"/>
  <c r="G105" i="36"/>
  <c r="E105" i="36"/>
  <c r="D105" i="36"/>
  <c r="C105" i="36"/>
  <c r="G83" i="36"/>
  <c r="E83" i="36"/>
  <c r="D83" i="36"/>
  <c r="C83" i="36"/>
  <c r="G116" i="36"/>
  <c r="E116" i="36"/>
  <c r="D116" i="36"/>
  <c r="C116" i="36"/>
  <c r="G139" i="36"/>
  <c r="E139" i="36"/>
  <c r="D139" i="36"/>
  <c r="C139" i="36"/>
  <c r="G25" i="36"/>
  <c r="E25" i="36"/>
  <c r="D25" i="36"/>
  <c r="C25" i="36"/>
  <c r="G10" i="36"/>
  <c r="E10" i="36"/>
  <c r="D10" i="36"/>
  <c r="C10" i="36"/>
  <c r="G9" i="36"/>
  <c r="E9" i="36"/>
  <c r="D9" i="36"/>
  <c r="C9" i="36"/>
  <c r="G132" i="36"/>
  <c r="E132" i="36"/>
  <c r="D132" i="36"/>
  <c r="C132" i="36"/>
  <c r="G112" i="36"/>
  <c r="E112" i="36"/>
  <c r="D112" i="36"/>
  <c r="C112" i="36"/>
  <c r="G82" i="36"/>
  <c r="E82" i="36"/>
  <c r="D82" i="36"/>
  <c r="C82" i="36"/>
  <c r="G110" i="36"/>
  <c r="E110" i="36"/>
  <c r="D110" i="36"/>
  <c r="C110" i="36"/>
  <c r="G121" i="36"/>
  <c r="E121" i="36"/>
  <c r="D121" i="36"/>
  <c r="C121" i="36"/>
  <c r="G81" i="36"/>
  <c r="E81" i="36"/>
  <c r="D81" i="36"/>
  <c r="C81" i="36"/>
  <c r="G62" i="36"/>
  <c r="E62" i="36"/>
  <c r="D62" i="36"/>
  <c r="C62" i="36"/>
  <c r="G32" i="36"/>
  <c r="E32" i="36"/>
  <c r="D32" i="36"/>
  <c r="C32" i="36"/>
  <c r="G21" i="36"/>
  <c r="E21" i="36"/>
  <c r="D21" i="36"/>
  <c r="C21" i="36"/>
  <c r="G5" i="36"/>
  <c r="E5" i="36"/>
  <c r="D5" i="36"/>
  <c r="C5" i="36"/>
  <c r="G80" i="36"/>
  <c r="E80" i="36"/>
  <c r="D80" i="36"/>
  <c r="C80" i="36"/>
  <c r="G19" i="36"/>
  <c r="E19" i="36"/>
  <c r="D19" i="36"/>
  <c r="C19" i="36"/>
  <c r="G170" i="36"/>
  <c r="E170" i="36"/>
  <c r="D170" i="36"/>
  <c r="C170" i="36"/>
  <c r="G42" i="36"/>
  <c r="E42" i="36"/>
  <c r="D42" i="36"/>
  <c r="C42" i="36"/>
  <c r="G133" i="36"/>
  <c r="E133" i="36"/>
  <c r="D133" i="36"/>
  <c r="C133" i="36"/>
  <c r="G79" i="36"/>
  <c r="E79" i="36"/>
  <c r="D79" i="36"/>
  <c r="C79" i="36"/>
  <c r="G120" i="36"/>
  <c r="E120" i="36"/>
  <c r="D120" i="36"/>
  <c r="C120" i="36"/>
  <c r="G108" i="36"/>
  <c r="E108" i="36"/>
  <c r="D108" i="36"/>
  <c r="C108" i="36"/>
  <c r="G78" i="36"/>
  <c r="E78" i="36"/>
  <c r="D78" i="36"/>
  <c r="C78" i="36"/>
  <c r="G174" i="36"/>
  <c r="E174" i="36"/>
  <c r="D174" i="36"/>
  <c r="C174" i="36"/>
  <c r="G27" i="36"/>
  <c r="E27" i="36"/>
  <c r="D27" i="36"/>
  <c r="C27" i="36"/>
  <c r="G51" i="36"/>
  <c r="E51" i="36"/>
  <c r="D51" i="36"/>
  <c r="C51" i="36"/>
  <c r="G34" i="36"/>
  <c r="E34" i="36"/>
  <c r="D34" i="36"/>
  <c r="C34" i="36"/>
  <c r="G4" i="36"/>
  <c r="E4" i="36"/>
  <c r="D4" i="36"/>
  <c r="C4" i="36"/>
  <c r="F165" i="36" l="1"/>
  <c r="F115" i="36"/>
  <c r="F47" i="36"/>
  <c r="F83" i="36"/>
  <c r="F151" i="36"/>
  <c r="F158" i="36"/>
  <c r="F56" i="36"/>
  <c r="F164" i="36"/>
  <c r="F157" i="36"/>
  <c r="F33" i="36"/>
  <c r="F173" i="36"/>
  <c r="F114" i="36"/>
  <c r="F43" i="36"/>
  <c r="F167" i="36"/>
  <c r="F7" i="36"/>
  <c r="F18" i="36"/>
  <c r="F130" i="36"/>
  <c r="F29" i="36"/>
  <c r="F76" i="36"/>
  <c r="F64" i="36"/>
  <c r="F67" i="36"/>
  <c r="F87" i="36"/>
  <c r="F122" i="36"/>
  <c r="F142" i="36"/>
  <c r="F110" i="36"/>
  <c r="F125" i="36"/>
  <c r="F31" i="36"/>
  <c r="F91" i="36"/>
  <c r="F12" i="36"/>
  <c r="F65" i="36"/>
  <c r="F92" i="36"/>
  <c r="F14" i="36"/>
  <c r="F168" i="36"/>
  <c r="F34" i="36"/>
  <c r="F79" i="36"/>
  <c r="F133" i="36"/>
  <c r="F170" i="36"/>
  <c r="F19" i="36"/>
  <c r="F169" i="36"/>
  <c r="F152" i="36"/>
  <c r="F53" i="36"/>
  <c r="F96" i="36"/>
  <c r="F154" i="36"/>
  <c r="F72" i="36"/>
  <c r="F120" i="36"/>
  <c r="F62" i="36"/>
  <c r="F25" i="36"/>
  <c r="F107" i="36"/>
  <c r="F156" i="36"/>
  <c r="F59" i="36"/>
  <c r="F49" i="36"/>
  <c r="F144" i="36"/>
  <c r="F54" i="36"/>
  <c r="F111" i="36"/>
  <c r="F26" i="36"/>
  <c r="F119" i="36"/>
  <c r="F160" i="36"/>
  <c r="F37" i="36"/>
  <c r="F136" i="36"/>
  <c r="F166" i="36"/>
  <c r="F116" i="36"/>
  <c r="F146" i="36"/>
  <c r="F94" i="36"/>
  <c r="F174" i="36"/>
  <c r="F32" i="36"/>
  <c r="F82" i="36"/>
  <c r="F112" i="36"/>
  <c r="F132" i="36"/>
  <c r="F155" i="36"/>
  <c r="F103" i="36"/>
  <c r="F22" i="36"/>
  <c r="F102" i="36"/>
  <c r="F150" i="36"/>
  <c r="F16" i="36"/>
  <c r="F48" i="36"/>
  <c r="F113" i="36"/>
  <c r="F148" i="36"/>
  <c r="F89" i="36"/>
  <c r="F70" i="36"/>
  <c r="F3" i="36"/>
  <c r="F128" i="36"/>
  <c r="F68" i="36"/>
  <c r="F172" i="36"/>
  <c r="F134" i="36"/>
  <c r="F161" i="36"/>
  <c r="F23" i="36"/>
  <c r="F98" i="36"/>
  <c r="F51" i="36"/>
  <c r="F108" i="36"/>
  <c r="F21" i="36"/>
  <c r="F84" i="36"/>
  <c r="F77" i="36"/>
  <c r="F50" i="36"/>
  <c r="F149" i="36"/>
  <c r="F71" i="36"/>
  <c r="F55" i="36"/>
  <c r="F101" i="36"/>
  <c r="F73" i="36"/>
  <c r="F143" i="36"/>
  <c r="F58" i="36"/>
  <c r="F38" i="36"/>
  <c r="F11" i="36"/>
  <c r="F45" i="36"/>
  <c r="F52" i="36"/>
  <c r="F123" i="36"/>
  <c r="F28" i="36"/>
  <c r="F97" i="36"/>
  <c r="F27" i="36"/>
  <c r="F80" i="36"/>
  <c r="F81" i="36"/>
  <c r="F9" i="36"/>
  <c r="F10" i="36"/>
  <c r="F30" i="36"/>
  <c r="F75" i="36"/>
  <c r="F124" i="36"/>
  <c r="F85" i="36"/>
  <c r="F86" i="36"/>
  <c r="F163" i="36"/>
  <c r="F15" i="36"/>
  <c r="F135" i="36"/>
  <c r="F88" i="36"/>
  <c r="F90" i="36"/>
  <c r="F145" i="36"/>
  <c r="F109" i="36"/>
  <c r="F127" i="36"/>
  <c r="F74" i="36"/>
  <c r="F106" i="36"/>
  <c r="F153" i="36"/>
  <c r="F60" i="36"/>
  <c r="F66" i="36"/>
  <c r="F4" i="36"/>
  <c r="C176" i="36"/>
  <c r="F78" i="36"/>
  <c r="F42" i="36"/>
  <c r="F5" i="36"/>
  <c r="F121" i="36"/>
  <c r="E176" i="36"/>
  <c r="D176" i="36"/>
  <c r="F139" i="36"/>
  <c r="F105" i="36"/>
  <c r="F100" i="36"/>
  <c r="F137" i="36"/>
  <c r="F61" i="36"/>
  <c r="F40" i="36"/>
  <c r="F8" i="36"/>
  <c r="F20" i="36"/>
  <c r="F44" i="36"/>
  <c r="F17" i="36"/>
  <c r="F6" i="36"/>
  <c r="F141" i="36"/>
  <c r="F69" i="36"/>
  <c r="F147" i="36"/>
  <c r="F57" i="36"/>
  <c r="F159" i="36"/>
  <c r="F36" i="36"/>
  <c r="F63" i="36"/>
  <c r="F13" i="36"/>
  <c r="F171" i="36"/>
  <c r="G176" i="36"/>
  <c r="F24" i="36"/>
  <c r="F118" i="36"/>
  <c r="F41" i="36"/>
  <c r="F138" i="36"/>
  <c r="F126" i="36"/>
  <c r="F117" i="36"/>
  <c r="F140" i="36"/>
  <c r="F46" i="36"/>
  <c r="F129" i="36"/>
  <c r="F104" i="36"/>
  <c r="F35" i="36"/>
  <c r="F39" i="36"/>
  <c r="F131" i="36"/>
  <c r="F93" i="36"/>
  <c r="F95" i="36"/>
  <c r="F99" i="36"/>
  <c r="F162" i="36"/>
  <c r="F175" i="36"/>
  <c r="G162" i="35" l="1"/>
  <c r="E162" i="35"/>
  <c r="D162" i="35"/>
  <c r="C162" i="35"/>
  <c r="G67" i="35"/>
  <c r="E67" i="35"/>
  <c r="D67" i="35"/>
  <c r="C67" i="35"/>
  <c r="G171" i="35"/>
  <c r="E171" i="35"/>
  <c r="D171" i="35"/>
  <c r="C171" i="35"/>
  <c r="G98" i="35"/>
  <c r="E98" i="35"/>
  <c r="D98" i="35"/>
  <c r="C98" i="35"/>
  <c r="G8" i="35"/>
  <c r="E8" i="35"/>
  <c r="D8" i="35"/>
  <c r="C8" i="35"/>
  <c r="G18" i="35"/>
  <c r="E18" i="35"/>
  <c r="D18" i="35"/>
  <c r="C18" i="35"/>
  <c r="G158" i="35"/>
  <c r="E158" i="35"/>
  <c r="D158" i="35"/>
  <c r="C158" i="35"/>
  <c r="G29" i="35"/>
  <c r="E29" i="35"/>
  <c r="D29" i="35"/>
  <c r="C29" i="35"/>
  <c r="G23" i="35"/>
  <c r="E23" i="35"/>
  <c r="D23" i="35"/>
  <c r="C23" i="35"/>
  <c r="G159" i="35"/>
  <c r="E159" i="35"/>
  <c r="D159" i="35"/>
  <c r="C159" i="35"/>
  <c r="G64" i="35"/>
  <c r="E64" i="35"/>
  <c r="D64" i="35"/>
  <c r="C64" i="35"/>
  <c r="G135" i="35"/>
  <c r="E135" i="35"/>
  <c r="D135" i="35"/>
  <c r="C135" i="35"/>
  <c r="G99" i="35"/>
  <c r="E99" i="35"/>
  <c r="D99" i="35"/>
  <c r="C99" i="35"/>
  <c r="G122" i="35"/>
  <c r="E122" i="35"/>
  <c r="D122" i="35"/>
  <c r="C122" i="35"/>
  <c r="G157" i="35"/>
  <c r="E157" i="35"/>
  <c r="D157" i="35"/>
  <c r="C157" i="35"/>
  <c r="G151" i="35"/>
  <c r="E151" i="35"/>
  <c r="D151" i="35"/>
  <c r="C151" i="35"/>
  <c r="G106" i="35"/>
  <c r="E106" i="35"/>
  <c r="D106" i="35"/>
  <c r="C106" i="35"/>
  <c r="G152" i="35"/>
  <c r="E152" i="35"/>
  <c r="D152" i="35"/>
  <c r="C152" i="35"/>
  <c r="G155" i="35"/>
  <c r="E155" i="35"/>
  <c r="D155" i="35"/>
  <c r="C155" i="35"/>
  <c r="G37" i="35"/>
  <c r="E37" i="35"/>
  <c r="D37" i="35"/>
  <c r="C37" i="35"/>
  <c r="G42" i="35"/>
  <c r="E42" i="35"/>
  <c r="D42" i="35"/>
  <c r="C42" i="35"/>
  <c r="G100" i="35"/>
  <c r="E100" i="35"/>
  <c r="D100" i="35"/>
  <c r="C100" i="35"/>
  <c r="G54" i="35"/>
  <c r="E54" i="35"/>
  <c r="D54" i="35"/>
  <c r="C54" i="35"/>
  <c r="G45" i="35"/>
  <c r="E45" i="35"/>
  <c r="D45" i="35"/>
  <c r="C45" i="35"/>
  <c r="G31" i="35"/>
  <c r="E31" i="35"/>
  <c r="D31" i="35"/>
  <c r="C31" i="35"/>
  <c r="G133" i="35"/>
  <c r="E133" i="35"/>
  <c r="D133" i="35"/>
  <c r="C133" i="35"/>
  <c r="G168" i="35"/>
  <c r="E168" i="35"/>
  <c r="D168" i="35"/>
  <c r="C168" i="35"/>
  <c r="G34" i="35"/>
  <c r="E34" i="35"/>
  <c r="D34" i="35"/>
  <c r="C34" i="35"/>
  <c r="G117" i="35"/>
  <c r="E117" i="35"/>
  <c r="D117" i="35"/>
  <c r="C117" i="35"/>
  <c r="G169" i="35"/>
  <c r="E169" i="35"/>
  <c r="D169" i="35"/>
  <c r="C169" i="35"/>
  <c r="G55" i="35"/>
  <c r="E55" i="35"/>
  <c r="D55" i="35"/>
  <c r="C55" i="35"/>
  <c r="G97" i="35"/>
  <c r="E97" i="35"/>
  <c r="D97" i="35"/>
  <c r="C97" i="35"/>
  <c r="G96" i="35"/>
  <c r="E96" i="35"/>
  <c r="D96" i="35"/>
  <c r="C96" i="35"/>
  <c r="G13" i="35"/>
  <c r="E13" i="35"/>
  <c r="D13" i="35"/>
  <c r="C13" i="35"/>
  <c r="G38" i="35"/>
  <c r="E38" i="35"/>
  <c r="D38" i="35"/>
  <c r="C38" i="35"/>
  <c r="G76" i="35"/>
  <c r="E76" i="35"/>
  <c r="D76" i="35"/>
  <c r="C76" i="35"/>
  <c r="G150" i="35"/>
  <c r="E150" i="35"/>
  <c r="D150" i="35"/>
  <c r="C150" i="35"/>
  <c r="G167" i="35"/>
  <c r="E167" i="35"/>
  <c r="D167" i="35"/>
  <c r="C167" i="35"/>
  <c r="G70" i="35"/>
  <c r="E70" i="35"/>
  <c r="D70" i="35"/>
  <c r="C70" i="35"/>
  <c r="G127" i="35"/>
  <c r="E127" i="35"/>
  <c r="D127" i="35"/>
  <c r="C127" i="35"/>
  <c r="G3" i="35"/>
  <c r="E3" i="35"/>
  <c r="D3" i="35"/>
  <c r="C3" i="35"/>
  <c r="G26" i="35"/>
  <c r="E26" i="35"/>
  <c r="D26" i="35"/>
  <c r="C26" i="35"/>
  <c r="G60" i="35"/>
  <c r="E60" i="35"/>
  <c r="D60" i="35"/>
  <c r="C60" i="35"/>
  <c r="G95" i="35"/>
  <c r="E95" i="35"/>
  <c r="D95" i="35"/>
  <c r="C95" i="35"/>
  <c r="G59" i="35"/>
  <c r="E59" i="35"/>
  <c r="D59" i="35"/>
  <c r="C59" i="35"/>
  <c r="G118" i="35"/>
  <c r="E118" i="35"/>
  <c r="D118" i="35"/>
  <c r="C118" i="35"/>
  <c r="G130" i="35"/>
  <c r="E130" i="35"/>
  <c r="D130" i="35"/>
  <c r="C130" i="35"/>
  <c r="G72" i="35"/>
  <c r="E72" i="35"/>
  <c r="D72" i="35"/>
  <c r="C72" i="35"/>
  <c r="G126" i="35"/>
  <c r="E126" i="35"/>
  <c r="D126" i="35"/>
  <c r="C126" i="35"/>
  <c r="G48" i="35"/>
  <c r="E48" i="35"/>
  <c r="D48" i="35"/>
  <c r="C48" i="35"/>
  <c r="G12" i="35"/>
  <c r="E12" i="35"/>
  <c r="D12" i="35"/>
  <c r="C12" i="35"/>
  <c r="G146" i="35"/>
  <c r="E146" i="35"/>
  <c r="D146" i="35"/>
  <c r="C146" i="35"/>
  <c r="G94" i="35"/>
  <c r="E94" i="35"/>
  <c r="D94" i="35"/>
  <c r="C94" i="35"/>
  <c r="E27" i="35"/>
  <c r="D27" i="35"/>
  <c r="C27" i="35"/>
  <c r="G71" i="35"/>
  <c r="E71" i="35"/>
  <c r="D71" i="35"/>
  <c r="C71" i="35"/>
  <c r="G109" i="35"/>
  <c r="E109" i="35"/>
  <c r="D109" i="35"/>
  <c r="C109" i="35"/>
  <c r="G39" i="35"/>
  <c r="E39" i="35"/>
  <c r="D39" i="35"/>
  <c r="C39" i="35"/>
  <c r="G66" i="35"/>
  <c r="E66" i="35"/>
  <c r="D66" i="35"/>
  <c r="C66" i="35"/>
  <c r="G140" i="35"/>
  <c r="E140" i="35"/>
  <c r="D140" i="35"/>
  <c r="C140" i="35"/>
  <c r="G16" i="35"/>
  <c r="E16" i="35"/>
  <c r="D16" i="35"/>
  <c r="C16" i="35"/>
  <c r="G93" i="35"/>
  <c r="E93" i="35"/>
  <c r="D93" i="35"/>
  <c r="C93" i="35"/>
  <c r="G74" i="35"/>
  <c r="E74" i="35"/>
  <c r="D74" i="35"/>
  <c r="C74" i="35"/>
  <c r="G144" i="35"/>
  <c r="E144" i="35"/>
  <c r="D144" i="35"/>
  <c r="C144" i="35"/>
  <c r="G92" i="35"/>
  <c r="E92" i="35"/>
  <c r="D92" i="35"/>
  <c r="C92" i="35"/>
  <c r="G36" i="35"/>
  <c r="E36" i="35"/>
  <c r="D36" i="35"/>
  <c r="C36" i="35"/>
  <c r="G32" i="35"/>
  <c r="E32" i="35"/>
  <c r="D32" i="35"/>
  <c r="C32" i="35"/>
  <c r="G7" i="35"/>
  <c r="E7" i="35"/>
  <c r="D7" i="35"/>
  <c r="C7" i="35"/>
  <c r="G91" i="35"/>
  <c r="E91" i="35"/>
  <c r="D91" i="35"/>
  <c r="C91" i="35"/>
  <c r="G147" i="35"/>
  <c r="E147" i="35"/>
  <c r="D147" i="35"/>
  <c r="C147" i="35"/>
  <c r="G24" i="35"/>
  <c r="E24" i="35"/>
  <c r="D24" i="35"/>
  <c r="C24" i="35"/>
  <c r="G90" i="35"/>
  <c r="E90" i="35"/>
  <c r="D90" i="35"/>
  <c r="C90" i="35"/>
  <c r="G114" i="35"/>
  <c r="E114" i="35"/>
  <c r="D114" i="35"/>
  <c r="C114" i="35"/>
  <c r="G111" i="35"/>
  <c r="E111" i="35"/>
  <c r="D111" i="35"/>
  <c r="C111" i="35"/>
  <c r="G56" i="35"/>
  <c r="E56" i="35"/>
  <c r="D56" i="35"/>
  <c r="C56" i="35"/>
  <c r="G112" i="35"/>
  <c r="E112" i="35"/>
  <c r="D112" i="35"/>
  <c r="C112" i="35"/>
  <c r="G142" i="35"/>
  <c r="E142" i="35"/>
  <c r="D142" i="35"/>
  <c r="C142" i="35"/>
  <c r="G161" i="35"/>
  <c r="E161" i="35"/>
  <c r="D161" i="35"/>
  <c r="C161" i="35"/>
  <c r="G141" i="35"/>
  <c r="E141" i="35"/>
  <c r="D141" i="35"/>
  <c r="C141" i="35"/>
  <c r="G121" i="35"/>
  <c r="E121" i="35"/>
  <c r="D121" i="35"/>
  <c r="C121" i="35"/>
  <c r="G89" i="35"/>
  <c r="E89" i="35"/>
  <c r="D89" i="35"/>
  <c r="C89" i="35"/>
  <c r="G68" i="35"/>
  <c r="E68" i="35"/>
  <c r="D68" i="35"/>
  <c r="C68" i="35"/>
  <c r="G143" i="35"/>
  <c r="E143" i="35"/>
  <c r="D143" i="35"/>
  <c r="C143" i="35"/>
  <c r="G75" i="35"/>
  <c r="E75" i="35"/>
  <c r="D75" i="35"/>
  <c r="C75" i="35"/>
  <c r="G101" i="35"/>
  <c r="E101" i="35"/>
  <c r="D101" i="35"/>
  <c r="C101" i="35"/>
  <c r="G44" i="35"/>
  <c r="E44" i="35"/>
  <c r="D44" i="35"/>
  <c r="C44" i="35"/>
  <c r="G49" i="35"/>
  <c r="E49" i="35"/>
  <c r="D49" i="35"/>
  <c r="C49" i="35"/>
  <c r="G134" i="35"/>
  <c r="E134" i="35"/>
  <c r="D134" i="35"/>
  <c r="C134" i="35"/>
  <c r="G14" i="35"/>
  <c r="E14" i="35"/>
  <c r="D14" i="35"/>
  <c r="C14" i="35"/>
  <c r="G104" i="35"/>
  <c r="E104" i="35"/>
  <c r="D104" i="35"/>
  <c r="C104" i="35"/>
  <c r="G65" i="35"/>
  <c r="E65" i="35"/>
  <c r="D65" i="35"/>
  <c r="C65" i="35"/>
  <c r="G78" i="35"/>
  <c r="E78" i="35"/>
  <c r="D78" i="35"/>
  <c r="C78" i="35"/>
  <c r="G47" i="35"/>
  <c r="E47" i="35"/>
  <c r="D47" i="35"/>
  <c r="C47" i="35"/>
  <c r="G17" i="35"/>
  <c r="E17" i="35"/>
  <c r="D17" i="35"/>
  <c r="C17" i="35"/>
  <c r="G129" i="35"/>
  <c r="E129" i="35"/>
  <c r="D129" i="35"/>
  <c r="C129" i="35"/>
  <c r="G15" i="35"/>
  <c r="E15" i="35"/>
  <c r="D15" i="35"/>
  <c r="C15" i="35"/>
  <c r="G128" i="35"/>
  <c r="E128" i="35"/>
  <c r="D128" i="35"/>
  <c r="C128" i="35"/>
  <c r="G145" i="35"/>
  <c r="E145" i="35"/>
  <c r="D145" i="35"/>
  <c r="C145" i="35"/>
  <c r="G57" i="35"/>
  <c r="E57" i="35"/>
  <c r="D57" i="35"/>
  <c r="C57" i="35"/>
  <c r="G73" i="35"/>
  <c r="E73" i="35"/>
  <c r="D73" i="35"/>
  <c r="C73" i="35"/>
  <c r="G11" i="35"/>
  <c r="E11" i="35"/>
  <c r="D11" i="35"/>
  <c r="C11" i="35"/>
  <c r="G50" i="35"/>
  <c r="E50" i="35"/>
  <c r="D50" i="35"/>
  <c r="C50" i="35"/>
  <c r="G160" i="35"/>
  <c r="E160" i="35"/>
  <c r="D160" i="35"/>
  <c r="C160" i="35"/>
  <c r="G46" i="35"/>
  <c r="E46" i="35"/>
  <c r="D46" i="35"/>
  <c r="C46" i="35"/>
  <c r="G5" i="35"/>
  <c r="E5" i="35"/>
  <c r="D5" i="35"/>
  <c r="C5" i="35"/>
  <c r="G19" i="35"/>
  <c r="E19" i="35"/>
  <c r="D19" i="35"/>
  <c r="C19" i="35"/>
  <c r="G40" i="35"/>
  <c r="E40" i="35"/>
  <c r="D40" i="35"/>
  <c r="C40" i="35"/>
  <c r="G149" i="35"/>
  <c r="E149" i="35"/>
  <c r="D149" i="35"/>
  <c r="C149" i="35"/>
  <c r="G102" i="35"/>
  <c r="E102" i="35"/>
  <c r="D102" i="35"/>
  <c r="C102" i="35"/>
  <c r="G22" i="35"/>
  <c r="E22" i="35"/>
  <c r="D22" i="35"/>
  <c r="C22" i="35"/>
  <c r="G139" i="35"/>
  <c r="E139" i="35"/>
  <c r="D139" i="35"/>
  <c r="C139" i="35"/>
  <c r="G124" i="35"/>
  <c r="E124" i="35"/>
  <c r="D124" i="35"/>
  <c r="C124" i="35"/>
  <c r="G148" i="35"/>
  <c r="E148" i="35"/>
  <c r="D148" i="35"/>
  <c r="C148" i="35"/>
  <c r="G62" i="35"/>
  <c r="E62" i="35"/>
  <c r="D62" i="35"/>
  <c r="C62" i="35"/>
  <c r="G88" i="35"/>
  <c r="E88" i="35"/>
  <c r="D88" i="35"/>
  <c r="C88" i="35"/>
  <c r="G116" i="35"/>
  <c r="E116" i="35"/>
  <c r="D116" i="35"/>
  <c r="C116" i="35"/>
  <c r="G61" i="35"/>
  <c r="E61" i="35"/>
  <c r="D61" i="35"/>
  <c r="C61" i="35"/>
  <c r="G125" i="35"/>
  <c r="E125" i="35"/>
  <c r="D125" i="35"/>
  <c r="C125" i="35"/>
  <c r="G103" i="35"/>
  <c r="E103" i="35"/>
  <c r="D103" i="35"/>
  <c r="C103" i="35"/>
  <c r="G136" i="35"/>
  <c r="E136" i="35"/>
  <c r="D136" i="35"/>
  <c r="C136" i="35"/>
  <c r="G166" i="35"/>
  <c r="E166" i="35"/>
  <c r="D166" i="35"/>
  <c r="C166" i="35"/>
  <c r="G87" i="35"/>
  <c r="E87" i="35"/>
  <c r="D87" i="35"/>
  <c r="C87" i="35"/>
  <c r="G123" i="35"/>
  <c r="E123" i="35"/>
  <c r="D123" i="35"/>
  <c r="C123" i="35"/>
  <c r="G137" i="35"/>
  <c r="E137" i="35"/>
  <c r="D137" i="35"/>
  <c r="C137" i="35"/>
  <c r="G165" i="35"/>
  <c r="E165" i="35"/>
  <c r="D165" i="35"/>
  <c r="C165" i="35"/>
  <c r="G43" i="35"/>
  <c r="E43" i="35"/>
  <c r="D43" i="35"/>
  <c r="C43" i="35"/>
  <c r="G113" i="35"/>
  <c r="E113" i="35"/>
  <c r="D113" i="35"/>
  <c r="C113" i="35"/>
  <c r="G154" i="35"/>
  <c r="E154" i="35"/>
  <c r="D154" i="35"/>
  <c r="C154" i="35"/>
  <c r="G51" i="35"/>
  <c r="E51" i="35"/>
  <c r="D51" i="35"/>
  <c r="C51" i="35"/>
  <c r="G79" i="35"/>
  <c r="E79" i="35"/>
  <c r="D79" i="35"/>
  <c r="C79" i="35"/>
  <c r="G153" i="35"/>
  <c r="E153" i="35"/>
  <c r="D153" i="35"/>
  <c r="C153" i="35"/>
  <c r="G77" i="35"/>
  <c r="E77" i="35"/>
  <c r="D77" i="35"/>
  <c r="C77" i="35"/>
  <c r="G33" i="35"/>
  <c r="E33" i="35"/>
  <c r="D33" i="35"/>
  <c r="C33" i="35"/>
  <c r="G58" i="35"/>
  <c r="E58" i="35"/>
  <c r="D58" i="35"/>
  <c r="C58" i="35"/>
  <c r="G156" i="35"/>
  <c r="E156" i="35"/>
  <c r="D156" i="35"/>
  <c r="C156" i="35"/>
  <c r="G107" i="35"/>
  <c r="E107" i="35"/>
  <c r="D107" i="35"/>
  <c r="C107" i="35"/>
  <c r="G86" i="35"/>
  <c r="E86" i="35"/>
  <c r="D86" i="35"/>
  <c r="C86" i="35"/>
  <c r="G20" i="35"/>
  <c r="E20" i="35"/>
  <c r="D20" i="35"/>
  <c r="C20" i="35"/>
  <c r="G163" i="35"/>
  <c r="E163" i="35"/>
  <c r="D163" i="35"/>
  <c r="C163" i="35"/>
  <c r="G105" i="35"/>
  <c r="E105" i="35"/>
  <c r="D105" i="35"/>
  <c r="C105" i="35"/>
  <c r="G85" i="35"/>
  <c r="E85" i="35"/>
  <c r="D85" i="35"/>
  <c r="C85" i="35"/>
  <c r="G115" i="35"/>
  <c r="E115" i="35"/>
  <c r="D115" i="35"/>
  <c r="C115" i="35"/>
  <c r="G138" i="35"/>
  <c r="E138" i="35"/>
  <c r="D138" i="35"/>
  <c r="C138" i="35"/>
  <c r="G25" i="35"/>
  <c r="E25" i="35"/>
  <c r="D25" i="35"/>
  <c r="C25" i="35"/>
  <c r="G10" i="35"/>
  <c r="E10" i="35"/>
  <c r="D10" i="35"/>
  <c r="C10" i="35"/>
  <c r="G9" i="35"/>
  <c r="E9" i="35"/>
  <c r="D9" i="35"/>
  <c r="C9" i="35"/>
  <c r="G131" i="35"/>
  <c r="E131" i="35"/>
  <c r="D131" i="35"/>
  <c r="C131" i="35"/>
  <c r="G69" i="35"/>
  <c r="E69" i="35"/>
  <c r="D69" i="35"/>
  <c r="C69" i="35"/>
  <c r="G84" i="35"/>
  <c r="E84" i="35"/>
  <c r="D84" i="35"/>
  <c r="C84" i="35"/>
  <c r="G110" i="35"/>
  <c r="E110" i="35"/>
  <c r="D110" i="35"/>
  <c r="C110" i="35"/>
  <c r="G120" i="35"/>
  <c r="E120" i="35"/>
  <c r="D120" i="35"/>
  <c r="C120" i="35"/>
  <c r="G83" i="35"/>
  <c r="E83" i="35"/>
  <c r="D83" i="35"/>
  <c r="C83" i="35"/>
  <c r="G63" i="35"/>
  <c r="E63" i="35"/>
  <c r="D63" i="35"/>
  <c r="C63" i="35"/>
  <c r="G41" i="35"/>
  <c r="E41" i="35"/>
  <c r="D41" i="35"/>
  <c r="C41" i="35"/>
  <c r="G30" i="35"/>
  <c r="E30" i="35"/>
  <c r="D30" i="35"/>
  <c r="C30" i="35"/>
  <c r="G6" i="35"/>
  <c r="E6" i="35"/>
  <c r="D6" i="35"/>
  <c r="C6" i="35"/>
  <c r="G82" i="35"/>
  <c r="E82" i="35"/>
  <c r="D82" i="35"/>
  <c r="C82" i="35"/>
  <c r="G21" i="35"/>
  <c r="E21" i="35"/>
  <c r="D21" i="35"/>
  <c r="C21" i="35"/>
  <c r="G164" i="35"/>
  <c r="E164" i="35"/>
  <c r="D164" i="35"/>
  <c r="C164" i="35"/>
  <c r="G53" i="35"/>
  <c r="E53" i="35"/>
  <c r="D53" i="35"/>
  <c r="C53" i="35"/>
  <c r="G132" i="35"/>
  <c r="E132" i="35"/>
  <c r="D132" i="35"/>
  <c r="C132" i="35"/>
  <c r="G81" i="35"/>
  <c r="E81" i="35"/>
  <c r="D81" i="35"/>
  <c r="C81" i="35"/>
  <c r="G119" i="35"/>
  <c r="E119" i="35"/>
  <c r="D119" i="35"/>
  <c r="C119" i="35"/>
  <c r="G108" i="35"/>
  <c r="E108" i="35"/>
  <c r="D108" i="35"/>
  <c r="C108" i="35"/>
  <c r="G80" i="35"/>
  <c r="E80" i="35"/>
  <c r="D80" i="35"/>
  <c r="C80" i="35"/>
  <c r="G170" i="35"/>
  <c r="E170" i="35"/>
  <c r="D170" i="35"/>
  <c r="C170" i="35"/>
  <c r="G28" i="35"/>
  <c r="E28" i="35"/>
  <c r="D28" i="35"/>
  <c r="C28" i="35"/>
  <c r="G52" i="35"/>
  <c r="E52" i="35"/>
  <c r="D52" i="35"/>
  <c r="C52" i="35"/>
  <c r="G35" i="35"/>
  <c r="E35" i="35"/>
  <c r="D35" i="35"/>
  <c r="C35" i="35"/>
  <c r="G4" i="35"/>
  <c r="E4" i="35"/>
  <c r="D4" i="35"/>
  <c r="C4" i="35"/>
  <c r="F170" i="35" l="1"/>
  <c r="F131" i="35"/>
  <c r="F38" i="35"/>
  <c r="F55" i="35"/>
  <c r="F133" i="35"/>
  <c r="F24" i="35"/>
  <c r="F91" i="35"/>
  <c r="F43" i="35"/>
  <c r="F165" i="35"/>
  <c r="F103" i="35"/>
  <c r="F125" i="35"/>
  <c r="F61" i="35"/>
  <c r="F121" i="35"/>
  <c r="F112" i="35"/>
  <c r="F111" i="35"/>
  <c r="F86" i="35"/>
  <c r="F153" i="35"/>
  <c r="F70" i="35"/>
  <c r="F171" i="35"/>
  <c r="F162" i="35"/>
  <c r="F46" i="35"/>
  <c r="F50" i="35"/>
  <c r="F104" i="35"/>
  <c r="F49" i="35"/>
  <c r="F94" i="35"/>
  <c r="F72" i="35"/>
  <c r="F130" i="35"/>
  <c r="F23" i="35"/>
  <c r="F41" i="35"/>
  <c r="F63" i="35"/>
  <c r="F110" i="35"/>
  <c r="F84" i="35"/>
  <c r="F69" i="35"/>
  <c r="F62" i="35"/>
  <c r="F149" i="35"/>
  <c r="F36" i="35"/>
  <c r="F16" i="35"/>
  <c r="F39" i="35"/>
  <c r="F99" i="35"/>
  <c r="F21" i="35"/>
  <c r="F115" i="35"/>
  <c r="F85" i="35"/>
  <c r="F137" i="35"/>
  <c r="F166" i="35"/>
  <c r="F116" i="35"/>
  <c r="F44" i="35"/>
  <c r="F161" i="35"/>
  <c r="F71" i="35"/>
  <c r="F95" i="35"/>
  <c r="F157" i="35"/>
  <c r="F159" i="35"/>
  <c r="F119" i="35"/>
  <c r="F81" i="35"/>
  <c r="F25" i="35"/>
  <c r="F33" i="35"/>
  <c r="F145" i="35"/>
  <c r="F128" i="35"/>
  <c r="F78" i="35"/>
  <c r="F74" i="35"/>
  <c r="F66" i="35"/>
  <c r="F96" i="35"/>
  <c r="F97" i="35"/>
  <c r="F117" i="35"/>
  <c r="F35" i="35"/>
  <c r="F31" i="35"/>
  <c r="F108" i="35"/>
  <c r="F120" i="35"/>
  <c r="F138" i="35"/>
  <c r="F154" i="35"/>
  <c r="F136" i="35"/>
  <c r="F124" i="35"/>
  <c r="F139" i="35"/>
  <c r="F11" i="35"/>
  <c r="F143" i="35"/>
  <c r="F27" i="35"/>
  <c r="F100" i="35"/>
  <c r="F80" i="35"/>
  <c r="F6" i="35"/>
  <c r="D172" i="35"/>
  <c r="F52" i="35"/>
  <c r="F28" i="35"/>
  <c r="F53" i="35"/>
  <c r="F82" i="35"/>
  <c r="F83" i="35"/>
  <c r="F9" i="35"/>
  <c r="F10" i="35"/>
  <c r="F20" i="35"/>
  <c r="F107" i="35"/>
  <c r="F58" i="35"/>
  <c r="F51" i="35"/>
  <c r="F19" i="35"/>
  <c r="F152" i="35"/>
  <c r="F98" i="35"/>
  <c r="F102" i="35"/>
  <c r="F57" i="35"/>
  <c r="F129" i="35"/>
  <c r="F75" i="35"/>
  <c r="F89" i="35"/>
  <c r="F56" i="35"/>
  <c r="F147" i="35"/>
  <c r="F118" i="35"/>
  <c r="F26" i="35"/>
  <c r="F127" i="35"/>
  <c r="F13" i="35"/>
  <c r="F54" i="35"/>
  <c r="F42" i="35"/>
  <c r="F135" i="35"/>
  <c r="F18" i="35"/>
  <c r="F105" i="35"/>
  <c r="F163" i="35"/>
  <c r="F77" i="35"/>
  <c r="F123" i="35"/>
  <c r="F87" i="35"/>
  <c r="F88" i="35"/>
  <c r="F40" i="35"/>
  <c r="F5" i="35"/>
  <c r="F160" i="35"/>
  <c r="F17" i="35"/>
  <c r="F65" i="35"/>
  <c r="F14" i="35"/>
  <c r="F134" i="35"/>
  <c r="F114" i="35"/>
  <c r="F90" i="35"/>
  <c r="F7" i="35"/>
  <c r="F32" i="35"/>
  <c r="F92" i="35"/>
  <c r="F144" i="35"/>
  <c r="F140" i="35"/>
  <c r="F109" i="35"/>
  <c r="F146" i="35"/>
  <c r="F48" i="35"/>
  <c r="F126" i="35"/>
  <c r="F59" i="35"/>
  <c r="F150" i="35"/>
  <c r="F76" i="35"/>
  <c r="F169" i="35"/>
  <c r="F34" i="35"/>
  <c r="F168" i="35"/>
  <c r="F37" i="35"/>
  <c r="F106" i="35"/>
  <c r="F151" i="35"/>
  <c r="F64" i="35"/>
  <c r="F8" i="35"/>
  <c r="F67" i="35"/>
  <c r="E172" i="35"/>
  <c r="F4" i="35"/>
  <c r="F164" i="35"/>
  <c r="F47" i="35"/>
  <c r="F141" i="35"/>
  <c r="F12" i="35"/>
  <c r="F167" i="35"/>
  <c r="F155" i="35"/>
  <c r="F132" i="35"/>
  <c r="F156" i="35"/>
  <c r="F113" i="35"/>
  <c r="F22" i="35"/>
  <c r="F15" i="35"/>
  <c r="F68" i="35"/>
  <c r="F93" i="35"/>
  <c r="F3" i="35"/>
  <c r="F158" i="35"/>
  <c r="C172" i="35"/>
  <c r="G172" i="35"/>
  <c r="F30" i="35"/>
  <c r="F79" i="35"/>
  <c r="F148" i="35"/>
  <c r="F73" i="35"/>
  <c r="F101" i="35"/>
  <c r="F142" i="35"/>
  <c r="F60" i="35"/>
  <c r="F45" i="35"/>
  <c r="F122" i="35"/>
  <c r="F29" i="35"/>
  <c r="G164" i="34"/>
  <c r="E164" i="34"/>
  <c r="D164" i="34"/>
  <c r="C164" i="34"/>
  <c r="G64" i="34"/>
  <c r="E64" i="34"/>
  <c r="D64" i="34"/>
  <c r="C64" i="34"/>
  <c r="G170" i="34"/>
  <c r="E170" i="34"/>
  <c r="D170" i="34"/>
  <c r="C170" i="34"/>
  <c r="G96" i="34"/>
  <c r="E96" i="34"/>
  <c r="D96" i="34"/>
  <c r="C96" i="34"/>
  <c r="G10" i="34"/>
  <c r="E10" i="34"/>
  <c r="D10" i="34"/>
  <c r="C10" i="34"/>
  <c r="G27" i="34"/>
  <c r="E27" i="34"/>
  <c r="D27" i="34"/>
  <c r="C27" i="34"/>
  <c r="G159" i="34"/>
  <c r="E159" i="34"/>
  <c r="D159" i="34"/>
  <c r="C159" i="34"/>
  <c r="G36" i="34"/>
  <c r="E36" i="34"/>
  <c r="D36" i="34"/>
  <c r="C36" i="34"/>
  <c r="G21" i="34"/>
  <c r="E21" i="34"/>
  <c r="D21" i="34"/>
  <c r="C21" i="34"/>
  <c r="G161" i="34"/>
  <c r="E161" i="34"/>
  <c r="D161" i="34"/>
  <c r="C161" i="34"/>
  <c r="G60" i="34"/>
  <c r="E60" i="34"/>
  <c r="D60" i="34"/>
  <c r="C60" i="34"/>
  <c r="G133" i="34"/>
  <c r="E133" i="34"/>
  <c r="D133" i="34"/>
  <c r="C133" i="34"/>
  <c r="G97" i="34"/>
  <c r="E97" i="34"/>
  <c r="D97" i="34"/>
  <c r="C97" i="34"/>
  <c r="G120" i="34"/>
  <c r="E120" i="34"/>
  <c r="D120" i="34"/>
  <c r="C120" i="34"/>
  <c r="G168" i="34"/>
  <c r="E168" i="34"/>
  <c r="D168" i="34"/>
  <c r="C168" i="34"/>
  <c r="G151" i="34"/>
  <c r="E151" i="34"/>
  <c r="D151" i="34"/>
  <c r="C151" i="34"/>
  <c r="G103" i="34"/>
  <c r="E103" i="34"/>
  <c r="D103" i="34"/>
  <c r="C103" i="34"/>
  <c r="G157" i="34"/>
  <c r="E157" i="34"/>
  <c r="D157" i="34"/>
  <c r="C157" i="34"/>
  <c r="G32" i="34"/>
  <c r="E32" i="34"/>
  <c r="D32" i="34"/>
  <c r="C32" i="34"/>
  <c r="G95" i="34"/>
  <c r="E95" i="34"/>
  <c r="D95" i="34"/>
  <c r="C95" i="34"/>
  <c r="G50" i="34"/>
  <c r="E50" i="34"/>
  <c r="D50" i="34"/>
  <c r="C50" i="34"/>
  <c r="G156" i="34"/>
  <c r="E156" i="34"/>
  <c r="D156" i="34"/>
  <c r="C156" i="34"/>
  <c r="G131" i="34"/>
  <c r="E131" i="34"/>
  <c r="D131" i="34"/>
  <c r="C131" i="34"/>
  <c r="G150" i="34"/>
  <c r="E150" i="34"/>
  <c r="D150" i="34"/>
  <c r="C150" i="34"/>
  <c r="G52" i="34"/>
  <c r="E52" i="34"/>
  <c r="D52" i="34"/>
  <c r="C52" i="34"/>
  <c r="G94" i="34"/>
  <c r="E94" i="34"/>
  <c r="D94" i="34"/>
  <c r="C94" i="34"/>
  <c r="G93" i="34"/>
  <c r="E93" i="34"/>
  <c r="D93" i="34"/>
  <c r="C93" i="34"/>
  <c r="G34" i="34"/>
  <c r="E34" i="34"/>
  <c r="D34" i="34"/>
  <c r="C34" i="34"/>
  <c r="G92" i="34"/>
  <c r="E92" i="34"/>
  <c r="D92" i="34"/>
  <c r="C92" i="34"/>
  <c r="G73" i="34"/>
  <c r="E73" i="34"/>
  <c r="D73" i="34"/>
  <c r="C73" i="34"/>
  <c r="G149" i="34"/>
  <c r="E149" i="34"/>
  <c r="D149" i="34"/>
  <c r="C149" i="34"/>
  <c r="G14" i="34"/>
  <c r="E14" i="34"/>
  <c r="D14" i="34"/>
  <c r="C14" i="34"/>
  <c r="G66" i="34"/>
  <c r="E66" i="34"/>
  <c r="D66" i="34"/>
  <c r="C66" i="34"/>
  <c r="G125" i="34"/>
  <c r="E125" i="34"/>
  <c r="D125" i="34"/>
  <c r="C125" i="34"/>
  <c r="G3" i="34"/>
  <c r="E3" i="34"/>
  <c r="D3" i="34"/>
  <c r="C3" i="34"/>
  <c r="G75" i="34"/>
  <c r="E75" i="34"/>
  <c r="D75" i="34"/>
  <c r="C75" i="34"/>
  <c r="G57" i="34"/>
  <c r="E57" i="34"/>
  <c r="D57" i="34"/>
  <c r="C57" i="34"/>
  <c r="G91" i="34"/>
  <c r="E91" i="34"/>
  <c r="D91" i="34"/>
  <c r="C91" i="34"/>
  <c r="G56" i="34"/>
  <c r="E56" i="34"/>
  <c r="D56" i="34"/>
  <c r="C56" i="34"/>
  <c r="G116" i="34"/>
  <c r="E116" i="34"/>
  <c r="D116" i="34"/>
  <c r="C116" i="34"/>
  <c r="G128" i="34"/>
  <c r="E128" i="34"/>
  <c r="D128" i="34"/>
  <c r="C128" i="34"/>
  <c r="G69" i="34"/>
  <c r="E69" i="34"/>
  <c r="D69" i="34"/>
  <c r="C69" i="34"/>
  <c r="G124" i="34"/>
  <c r="E124" i="34"/>
  <c r="D124" i="34"/>
  <c r="C124" i="34"/>
  <c r="G43" i="34"/>
  <c r="E43" i="34"/>
  <c r="D43" i="34"/>
  <c r="C43" i="34"/>
  <c r="G11" i="34"/>
  <c r="E11" i="34"/>
  <c r="D11" i="34"/>
  <c r="C11" i="34"/>
  <c r="G145" i="34"/>
  <c r="E145" i="34"/>
  <c r="D145" i="34"/>
  <c r="C145" i="34"/>
  <c r="G90" i="34"/>
  <c r="E90" i="34"/>
  <c r="D90" i="34"/>
  <c r="C90" i="34"/>
  <c r="E19" i="34"/>
  <c r="D19" i="34"/>
  <c r="C19" i="34"/>
  <c r="G67" i="34"/>
  <c r="E67" i="34"/>
  <c r="D67" i="34"/>
  <c r="C67" i="34"/>
  <c r="G106" i="34"/>
  <c r="E106" i="34"/>
  <c r="D106" i="34"/>
  <c r="C106" i="34"/>
  <c r="G33" i="34"/>
  <c r="E33" i="34"/>
  <c r="D33" i="34"/>
  <c r="C33" i="34"/>
  <c r="G63" i="34"/>
  <c r="E63" i="34"/>
  <c r="D63" i="34"/>
  <c r="C63" i="34"/>
  <c r="G139" i="34"/>
  <c r="E139" i="34"/>
  <c r="D139" i="34"/>
  <c r="C139" i="34"/>
  <c r="G16" i="34"/>
  <c r="E16" i="34"/>
  <c r="D16" i="34"/>
  <c r="C16" i="34"/>
  <c r="G89" i="34"/>
  <c r="E89" i="34"/>
  <c r="D89" i="34"/>
  <c r="C89" i="34"/>
  <c r="G38" i="34"/>
  <c r="E38" i="34"/>
  <c r="D38" i="34"/>
  <c r="C38" i="34"/>
  <c r="G144" i="34"/>
  <c r="E144" i="34"/>
  <c r="D144" i="34"/>
  <c r="C144" i="34"/>
  <c r="G88" i="34"/>
  <c r="E88" i="34"/>
  <c r="D88" i="34"/>
  <c r="C88" i="34"/>
  <c r="G29" i="34"/>
  <c r="E29" i="34"/>
  <c r="D29" i="34"/>
  <c r="C29" i="34"/>
  <c r="G28" i="34"/>
  <c r="E28" i="34"/>
  <c r="D28" i="34"/>
  <c r="C28" i="34"/>
  <c r="G9" i="34"/>
  <c r="E9" i="34"/>
  <c r="D9" i="34"/>
  <c r="C9" i="34"/>
  <c r="G87" i="34"/>
  <c r="E87" i="34"/>
  <c r="D87" i="34"/>
  <c r="C87" i="34"/>
  <c r="G146" i="34"/>
  <c r="E146" i="34"/>
  <c r="D146" i="34"/>
  <c r="C146" i="34"/>
  <c r="G86" i="34"/>
  <c r="E86" i="34"/>
  <c r="D86" i="34"/>
  <c r="C86" i="34"/>
  <c r="G22" i="34"/>
  <c r="E22" i="34"/>
  <c r="D22" i="34"/>
  <c r="C22" i="34"/>
  <c r="G62" i="34"/>
  <c r="E62" i="34"/>
  <c r="D62" i="34"/>
  <c r="C62" i="34"/>
  <c r="G111" i="34"/>
  <c r="E111" i="34"/>
  <c r="D111" i="34"/>
  <c r="C111" i="34"/>
  <c r="G108" i="34"/>
  <c r="E108" i="34"/>
  <c r="D108" i="34"/>
  <c r="C108" i="34"/>
  <c r="G53" i="34"/>
  <c r="E53" i="34"/>
  <c r="D53" i="34"/>
  <c r="C53" i="34"/>
  <c r="G109" i="34"/>
  <c r="E109" i="34"/>
  <c r="D109" i="34"/>
  <c r="C109" i="34"/>
  <c r="G142" i="34"/>
  <c r="E142" i="34"/>
  <c r="D142" i="34"/>
  <c r="C142" i="34"/>
  <c r="G163" i="34"/>
  <c r="E163" i="34"/>
  <c r="D163" i="34"/>
  <c r="C163" i="34"/>
  <c r="G141" i="34"/>
  <c r="E141" i="34"/>
  <c r="D141" i="34"/>
  <c r="C141" i="34"/>
  <c r="G119" i="34"/>
  <c r="E119" i="34"/>
  <c r="D119" i="34"/>
  <c r="C119" i="34"/>
  <c r="G85" i="34"/>
  <c r="E85" i="34"/>
  <c r="D85" i="34"/>
  <c r="C85" i="34"/>
  <c r="G65" i="34"/>
  <c r="E65" i="34"/>
  <c r="D65" i="34"/>
  <c r="C65" i="34"/>
  <c r="G143" i="34"/>
  <c r="E143" i="34"/>
  <c r="D143" i="34"/>
  <c r="C143" i="34"/>
  <c r="G72" i="34"/>
  <c r="E72" i="34"/>
  <c r="D72" i="34"/>
  <c r="C72" i="34"/>
  <c r="G99" i="34"/>
  <c r="E99" i="34"/>
  <c r="D99" i="34"/>
  <c r="C99" i="34"/>
  <c r="G40" i="34"/>
  <c r="E40" i="34"/>
  <c r="D40" i="34"/>
  <c r="C40" i="34"/>
  <c r="G44" i="34"/>
  <c r="E44" i="34"/>
  <c r="D44" i="34"/>
  <c r="C44" i="34"/>
  <c r="G132" i="34"/>
  <c r="E132" i="34"/>
  <c r="D132" i="34"/>
  <c r="C132" i="34"/>
  <c r="G12" i="34"/>
  <c r="E12" i="34"/>
  <c r="D12" i="34"/>
  <c r="C12" i="34"/>
  <c r="G101" i="34"/>
  <c r="E101" i="34"/>
  <c r="D101" i="34"/>
  <c r="C101" i="34"/>
  <c r="G61" i="34"/>
  <c r="E61" i="34"/>
  <c r="D61" i="34"/>
  <c r="C61" i="34"/>
  <c r="G76" i="34"/>
  <c r="E76" i="34"/>
  <c r="D76" i="34"/>
  <c r="C76" i="34"/>
  <c r="G42" i="34"/>
  <c r="E42" i="34"/>
  <c r="D42" i="34"/>
  <c r="C42" i="34"/>
  <c r="G18" i="34"/>
  <c r="E18" i="34"/>
  <c r="D18" i="34"/>
  <c r="C18" i="34"/>
  <c r="G127" i="34"/>
  <c r="E127" i="34"/>
  <c r="D127" i="34"/>
  <c r="C127" i="34"/>
  <c r="G13" i="34"/>
  <c r="E13" i="34"/>
  <c r="D13" i="34"/>
  <c r="C13" i="34"/>
  <c r="G126" i="34"/>
  <c r="E126" i="34"/>
  <c r="D126" i="34"/>
  <c r="C126" i="34"/>
  <c r="G24" i="34"/>
  <c r="E24" i="34"/>
  <c r="D24" i="34"/>
  <c r="C24" i="34"/>
  <c r="G54" i="34"/>
  <c r="E54" i="34"/>
  <c r="D54" i="34"/>
  <c r="C54" i="34"/>
  <c r="G71" i="34"/>
  <c r="E71" i="34"/>
  <c r="D71" i="34"/>
  <c r="C71" i="34"/>
  <c r="G7" i="34"/>
  <c r="E7" i="34"/>
  <c r="D7" i="34"/>
  <c r="C7" i="34"/>
  <c r="G45" i="34"/>
  <c r="E45" i="34"/>
  <c r="D45" i="34"/>
  <c r="C45" i="34"/>
  <c r="G165" i="34"/>
  <c r="E165" i="34"/>
  <c r="D165" i="34"/>
  <c r="C165" i="34"/>
  <c r="G41" i="34"/>
  <c r="E41" i="34"/>
  <c r="D41" i="34"/>
  <c r="C41" i="34"/>
  <c r="G8" i="34"/>
  <c r="E8" i="34"/>
  <c r="D8" i="34"/>
  <c r="C8" i="34"/>
  <c r="G35" i="34"/>
  <c r="E35" i="34"/>
  <c r="D35" i="34"/>
  <c r="C35" i="34"/>
  <c r="G37" i="34"/>
  <c r="E37" i="34"/>
  <c r="D37" i="34"/>
  <c r="C37" i="34"/>
  <c r="G148" i="34"/>
  <c r="E148" i="34"/>
  <c r="D148" i="34"/>
  <c r="C148" i="34"/>
  <c r="G140" i="34"/>
  <c r="E140" i="34"/>
  <c r="D140" i="34"/>
  <c r="C140" i="34"/>
  <c r="G20" i="34"/>
  <c r="E20" i="34"/>
  <c r="D20" i="34"/>
  <c r="C20" i="34"/>
  <c r="G138" i="34"/>
  <c r="E138" i="34"/>
  <c r="D138" i="34"/>
  <c r="C138" i="34"/>
  <c r="G122" i="34"/>
  <c r="E122" i="34"/>
  <c r="D122" i="34"/>
  <c r="C122" i="34"/>
  <c r="G147" i="34"/>
  <c r="E147" i="34"/>
  <c r="D147" i="34"/>
  <c r="C147" i="34"/>
  <c r="G113" i="34"/>
  <c r="E113" i="34"/>
  <c r="D113" i="34"/>
  <c r="C113" i="34"/>
  <c r="G58" i="34"/>
  <c r="E58" i="34"/>
  <c r="D58" i="34"/>
  <c r="C58" i="34"/>
  <c r="G123" i="34"/>
  <c r="E123" i="34"/>
  <c r="D123" i="34"/>
  <c r="C123" i="34"/>
  <c r="G100" i="34"/>
  <c r="E100" i="34"/>
  <c r="D100" i="34"/>
  <c r="C100" i="34"/>
  <c r="G134" i="34"/>
  <c r="E134" i="34"/>
  <c r="D134" i="34"/>
  <c r="C134" i="34"/>
  <c r="G49" i="34"/>
  <c r="E49" i="34"/>
  <c r="D49" i="34"/>
  <c r="C49" i="34"/>
  <c r="G154" i="34"/>
  <c r="E154" i="34"/>
  <c r="D154" i="34"/>
  <c r="C154" i="34"/>
  <c r="G121" i="34"/>
  <c r="E121" i="34"/>
  <c r="D121" i="34"/>
  <c r="C121" i="34"/>
  <c r="G136" i="34"/>
  <c r="E136" i="34"/>
  <c r="D136" i="34"/>
  <c r="C136" i="34"/>
  <c r="G169" i="34"/>
  <c r="E169" i="34"/>
  <c r="D169" i="34"/>
  <c r="C169" i="34"/>
  <c r="G115" i="34"/>
  <c r="E115" i="34"/>
  <c r="D115" i="34"/>
  <c r="C115" i="34"/>
  <c r="G39" i="34"/>
  <c r="E39" i="34"/>
  <c r="D39" i="34"/>
  <c r="C39" i="34"/>
  <c r="G110" i="34"/>
  <c r="E110" i="34"/>
  <c r="D110" i="34"/>
  <c r="C110" i="34"/>
  <c r="G98" i="34"/>
  <c r="E98" i="34"/>
  <c r="D98" i="34"/>
  <c r="C98" i="34"/>
  <c r="G153" i="34"/>
  <c r="E153" i="34"/>
  <c r="D153" i="34"/>
  <c r="C153" i="34"/>
  <c r="G46" i="34"/>
  <c r="E46" i="34"/>
  <c r="D46" i="34"/>
  <c r="C46" i="34"/>
  <c r="G77" i="34"/>
  <c r="E77" i="34"/>
  <c r="D77" i="34"/>
  <c r="C77" i="34"/>
  <c r="G30" i="34"/>
  <c r="E30" i="34"/>
  <c r="D30" i="34"/>
  <c r="C30" i="34"/>
  <c r="G152" i="34"/>
  <c r="E152" i="34"/>
  <c r="D152" i="34"/>
  <c r="C152" i="34"/>
  <c r="G74" i="34"/>
  <c r="E74" i="34"/>
  <c r="D74" i="34"/>
  <c r="C74" i="34"/>
  <c r="G135" i="34"/>
  <c r="E135" i="34"/>
  <c r="D135" i="34"/>
  <c r="C135" i="34"/>
  <c r="G158" i="34"/>
  <c r="E158" i="34"/>
  <c r="D158" i="34"/>
  <c r="C158" i="34"/>
  <c r="G70" i="34"/>
  <c r="E70" i="34"/>
  <c r="D70" i="34"/>
  <c r="C70" i="34"/>
  <c r="G114" i="34"/>
  <c r="E114" i="34"/>
  <c r="D114" i="34"/>
  <c r="C114" i="34"/>
  <c r="G55" i="34"/>
  <c r="E55" i="34"/>
  <c r="D55" i="34"/>
  <c r="C55" i="34"/>
  <c r="G155" i="34"/>
  <c r="E155" i="34"/>
  <c r="D155" i="34"/>
  <c r="C155" i="34"/>
  <c r="G104" i="34"/>
  <c r="E104" i="34"/>
  <c r="D104" i="34"/>
  <c r="C104" i="34"/>
  <c r="G84" i="34"/>
  <c r="E84" i="34"/>
  <c r="D84" i="34"/>
  <c r="C84" i="34"/>
  <c r="G17" i="34"/>
  <c r="E17" i="34"/>
  <c r="D17" i="34"/>
  <c r="C17" i="34"/>
  <c r="G160" i="34"/>
  <c r="E160" i="34"/>
  <c r="D160" i="34"/>
  <c r="C160" i="34"/>
  <c r="G102" i="34"/>
  <c r="E102" i="34"/>
  <c r="D102" i="34"/>
  <c r="C102" i="34"/>
  <c r="G83" i="34"/>
  <c r="E83" i="34"/>
  <c r="D83" i="34"/>
  <c r="C83" i="34"/>
  <c r="G112" i="34"/>
  <c r="E112" i="34"/>
  <c r="D112" i="34"/>
  <c r="C112" i="34"/>
  <c r="G137" i="34"/>
  <c r="E137" i="34"/>
  <c r="D137" i="34"/>
  <c r="C137" i="34"/>
  <c r="G23" i="34"/>
  <c r="E23" i="34"/>
  <c r="D23" i="34"/>
  <c r="C23" i="34"/>
  <c r="G162" i="34"/>
  <c r="E162" i="34"/>
  <c r="D162" i="34"/>
  <c r="C162" i="34"/>
  <c r="G5" i="34"/>
  <c r="E5" i="34"/>
  <c r="D5" i="34"/>
  <c r="C5" i="34"/>
  <c r="G129" i="34"/>
  <c r="E129" i="34"/>
  <c r="D129" i="34"/>
  <c r="C129" i="34"/>
  <c r="G68" i="34"/>
  <c r="E68" i="34"/>
  <c r="D68" i="34"/>
  <c r="C68" i="34"/>
  <c r="G82" i="34"/>
  <c r="E82" i="34"/>
  <c r="D82" i="34"/>
  <c r="C82" i="34"/>
  <c r="G107" i="34"/>
  <c r="E107" i="34"/>
  <c r="D107" i="34"/>
  <c r="C107" i="34"/>
  <c r="G118" i="34"/>
  <c r="E118" i="34"/>
  <c r="D118" i="34"/>
  <c r="C118" i="34"/>
  <c r="G81" i="34"/>
  <c r="E81" i="34"/>
  <c r="D81" i="34"/>
  <c r="C81" i="34"/>
  <c r="G59" i="34"/>
  <c r="E59" i="34"/>
  <c r="D59" i="34"/>
  <c r="C59" i="34"/>
  <c r="G15" i="34"/>
  <c r="E15" i="34"/>
  <c r="D15" i="34"/>
  <c r="C15" i="34"/>
  <c r="G51" i="34"/>
  <c r="E51" i="34"/>
  <c r="D51" i="34"/>
  <c r="C51" i="34"/>
  <c r="G6" i="34"/>
  <c r="E6" i="34"/>
  <c r="D6" i="34"/>
  <c r="C6" i="34"/>
  <c r="G80" i="34"/>
  <c r="E80" i="34"/>
  <c r="D80" i="34"/>
  <c r="C80" i="34"/>
  <c r="G26" i="34"/>
  <c r="E26" i="34"/>
  <c r="D26" i="34"/>
  <c r="C26" i="34"/>
  <c r="G167" i="34"/>
  <c r="E167" i="34"/>
  <c r="D167" i="34"/>
  <c r="C167" i="34"/>
  <c r="G48" i="34"/>
  <c r="E48" i="34"/>
  <c r="D48" i="34"/>
  <c r="C48" i="34"/>
  <c r="G130" i="34"/>
  <c r="E130" i="34"/>
  <c r="D130" i="34"/>
  <c r="C130" i="34"/>
  <c r="G79" i="34"/>
  <c r="E79" i="34"/>
  <c r="D79" i="34"/>
  <c r="C79" i="34"/>
  <c r="G117" i="34"/>
  <c r="E117" i="34"/>
  <c r="D117" i="34"/>
  <c r="C117" i="34"/>
  <c r="G105" i="34"/>
  <c r="E105" i="34"/>
  <c r="D105" i="34"/>
  <c r="C105" i="34"/>
  <c r="G78" i="34"/>
  <c r="E78" i="34"/>
  <c r="D78" i="34"/>
  <c r="C78" i="34"/>
  <c r="G166" i="34"/>
  <c r="E166" i="34"/>
  <c r="D166" i="34"/>
  <c r="C166" i="34"/>
  <c r="G25" i="34"/>
  <c r="E25" i="34"/>
  <c r="D25" i="34"/>
  <c r="C25" i="34"/>
  <c r="G47" i="34"/>
  <c r="E47" i="34"/>
  <c r="D47" i="34"/>
  <c r="C47" i="34"/>
  <c r="G31" i="34"/>
  <c r="E31" i="34"/>
  <c r="D31" i="34"/>
  <c r="C31" i="34"/>
  <c r="G4" i="34"/>
  <c r="E4" i="34"/>
  <c r="D4" i="34"/>
  <c r="C4" i="34"/>
  <c r="F83" i="34" l="1"/>
  <c r="F84" i="34"/>
  <c r="F155" i="34"/>
  <c r="F55" i="34"/>
  <c r="F70" i="34"/>
  <c r="F77" i="34"/>
  <c r="F46" i="34"/>
  <c r="F110" i="34"/>
  <c r="F39" i="34"/>
  <c r="F115" i="34"/>
  <c r="F148" i="34"/>
  <c r="F71" i="34"/>
  <c r="F54" i="34"/>
  <c r="F13" i="34"/>
  <c r="F127" i="34"/>
  <c r="F76" i="34"/>
  <c r="F99" i="34"/>
  <c r="F72" i="34"/>
  <c r="F65" i="34"/>
  <c r="F85" i="34"/>
  <c r="F119" i="34"/>
  <c r="F108" i="34"/>
  <c r="F90" i="34"/>
  <c r="F87" i="34"/>
  <c r="F89" i="34"/>
  <c r="F16" i="34"/>
  <c r="F63" i="34"/>
  <c r="F157" i="34"/>
  <c r="F105" i="34"/>
  <c r="F130" i="34"/>
  <c r="F51" i="34"/>
  <c r="F58" i="34"/>
  <c r="F66" i="34"/>
  <c r="F34" i="34"/>
  <c r="F52" i="34"/>
  <c r="F156" i="34"/>
  <c r="F50" i="34"/>
  <c r="F95" i="34"/>
  <c r="F41" i="34"/>
  <c r="F45" i="34"/>
  <c r="F111" i="34"/>
  <c r="F29" i="34"/>
  <c r="F92" i="34"/>
  <c r="F164" i="34"/>
  <c r="F48" i="34"/>
  <c r="F68" i="34"/>
  <c r="F129" i="34"/>
  <c r="F102" i="34"/>
  <c r="F17" i="34"/>
  <c r="F35" i="34"/>
  <c r="F142" i="34"/>
  <c r="F53" i="34"/>
  <c r="F116" i="34"/>
  <c r="F120" i="34"/>
  <c r="F133" i="34"/>
  <c r="F96" i="34"/>
  <c r="F25" i="34"/>
  <c r="F136" i="34"/>
  <c r="F49" i="34"/>
  <c r="F147" i="34"/>
  <c r="F20" i="34"/>
  <c r="F140" i="34"/>
  <c r="F61" i="34"/>
  <c r="F163" i="34"/>
  <c r="F146" i="34"/>
  <c r="F57" i="34"/>
  <c r="F75" i="34"/>
  <c r="F3" i="34"/>
  <c r="F125" i="34"/>
  <c r="F168" i="34"/>
  <c r="F36" i="34"/>
  <c r="F159" i="34"/>
  <c r="F27" i="34"/>
  <c r="F158" i="34"/>
  <c r="C171" i="34"/>
  <c r="F78" i="34"/>
  <c r="F118" i="34"/>
  <c r="F166" i="34"/>
  <c r="F8" i="34"/>
  <c r="F28" i="34"/>
  <c r="F43" i="34"/>
  <c r="F149" i="34"/>
  <c r="F6" i="34"/>
  <c r="F162" i="34"/>
  <c r="F137" i="34"/>
  <c r="F135" i="34"/>
  <c r="F152" i="34"/>
  <c r="F113" i="34"/>
  <c r="F101" i="34"/>
  <c r="F44" i="34"/>
  <c r="F33" i="34"/>
  <c r="F91" i="34"/>
  <c r="F131" i="34"/>
  <c r="F161" i="34"/>
  <c r="F23" i="34"/>
  <c r="F160" i="34"/>
  <c r="F114" i="34"/>
  <c r="F98" i="34"/>
  <c r="F169" i="34"/>
  <c r="F123" i="34"/>
  <c r="F138" i="34"/>
  <c r="F126" i="34"/>
  <c r="F42" i="34"/>
  <c r="F141" i="34"/>
  <c r="F86" i="34"/>
  <c r="F11" i="34"/>
  <c r="F128" i="34"/>
  <c r="F14" i="34"/>
  <c r="F94" i="34"/>
  <c r="F97" i="34"/>
  <c r="F79" i="34"/>
  <c r="F59" i="34"/>
  <c r="F82" i="34"/>
  <c r="D171" i="34"/>
  <c r="F31" i="34"/>
  <c r="F117" i="34"/>
  <c r="F26" i="34"/>
  <c r="F15" i="34"/>
  <c r="F107" i="34"/>
  <c r="F112" i="34"/>
  <c r="F104" i="34"/>
  <c r="F74" i="34"/>
  <c r="F153" i="34"/>
  <c r="F121" i="34"/>
  <c r="F154" i="34"/>
  <c r="F100" i="34"/>
  <c r="F122" i="34"/>
  <c r="F165" i="34"/>
  <c r="F24" i="34"/>
  <c r="F12" i="34"/>
  <c r="F132" i="34"/>
  <c r="F143" i="34"/>
  <c r="F109" i="34"/>
  <c r="F62" i="34"/>
  <c r="F88" i="34"/>
  <c r="F144" i="34"/>
  <c r="F38" i="34"/>
  <c r="F106" i="34"/>
  <c r="F19" i="34"/>
  <c r="F124" i="34"/>
  <c r="F69" i="34"/>
  <c r="F73" i="34"/>
  <c r="F93" i="34"/>
  <c r="F103" i="34"/>
  <c r="F151" i="34"/>
  <c r="F170" i="34"/>
  <c r="F64" i="34"/>
  <c r="G171" i="34"/>
  <c r="F80" i="34"/>
  <c r="F81" i="34"/>
  <c r="F5" i="34"/>
  <c r="F10" i="34"/>
  <c r="F47" i="34"/>
  <c r="E171" i="34"/>
  <c r="F4" i="34"/>
  <c r="F167" i="34"/>
  <c r="F30" i="34"/>
  <c r="F134" i="34"/>
  <c r="F37" i="34"/>
  <c r="F7" i="34"/>
  <c r="F18" i="34"/>
  <c r="F40" i="34"/>
  <c r="F22" i="34"/>
  <c r="F9" i="34"/>
  <c r="F139" i="34"/>
  <c r="F67" i="34"/>
  <c r="F145" i="34"/>
  <c r="F56" i="34"/>
  <c r="F150" i="34"/>
  <c r="F32" i="34"/>
  <c r="F60" i="34"/>
  <c r="F21" i="34"/>
  <c r="G165" i="33"/>
  <c r="E165" i="33"/>
  <c r="D165" i="33"/>
  <c r="C165" i="33"/>
  <c r="G65" i="33"/>
  <c r="E65" i="33"/>
  <c r="D65" i="33"/>
  <c r="C65" i="33"/>
  <c r="G172" i="33"/>
  <c r="E172" i="33"/>
  <c r="D172" i="33"/>
  <c r="C172" i="33"/>
  <c r="G97" i="33"/>
  <c r="E97" i="33"/>
  <c r="D97" i="33"/>
  <c r="C97" i="33"/>
  <c r="G10" i="33"/>
  <c r="E10" i="33"/>
  <c r="D10" i="33"/>
  <c r="C10" i="33"/>
  <c r="G45" i="33"/>
  <c r="E45" i="33"/>
  <c r="D45" i="33"/>
  <c r="C45" i="33"/>
  <c r="G161" i="33"/>
  <c r="E161" i="33"/>
  <c r="D161" i="33"/>
  <c r="C161" i="33"/>
  <c r="G96" i="33"/>
  <c r="E96" i="33"/>
  <c r="D96" i="33"/>
  <c r="C96" i="33"/>
  <c r="G19" i="33"/>
  <c r="E19" i="33"/>
  <c r="D19" i="33"/>
  <c r="C19" i="33"/>
  <c r="G162" i="33"/>
  <c r="E162" i="33"/>
  <c r="D162" i="33"/>
  <c r="C162" i="33"/>
  <c r="G33" i="33"/>
  <c r="E33" i="33"/>
  <c r="D33" i="33"/>
  <c r="C33" i="33"/>
  <c r="G61" i="33"/>
  <c r="E61" i="33"/>
  <c r="D61" i="33"/>
  <c r="C61" i="33"/>
  <c r="G134" i="33"/>
  <c r="E134" i="33"/>
  <c r="D134" i="33"/>
  <c r="C134" i="33"/>
  <c r="G98" i="33"/>
  <c r="E98" i="33"/>
  <c r="D98" i="33"/>
  <c r="C98" i="33"/>
  <c r="G121" i="33"/>
  <c r="E121" i="33"/>
  <c r="D121" i="33"/>
  <c r="C121" i="33"/>
  <c r="G26" i="33"/>
  <c r="E26" i="33"/>
  <c r="D26" i="33"/>
  <c r="C26" i="33"/>
  <c r="G151" i="33"/>
  <c r="E151" i="33"/>
  <c r="D151" i="33"/>
  <c r="C151" i="33"/>
  <c r="G105" i="33"/>
  <c r="E105" i="33"/>
  <c r="D105" i="33"/>
  <c r="C105" i="33"/>
  <c r="G159" i="33"/>
  <c r="E159" i="33"/>
  <c r="D159" i="33"/>
  <c r="C159" i="33"/>
  <c r="G31" i="33"/>
  <c r="E31" i="33"/>
  <c r="D31" i="33"/>
  <c r="C31" i="33"/>
  <c r="G95" i="33"/>
  <c r="E95" i="33"/>
  <c r="D95" i="33"/>
  <c r="C95" i="33"/>
  <c r="G51" i="33"/>
  <c r="E51" i="33"/>
  <c r="D51" i="33"/>
  <c r="C51" i="33"/>
  <c r="G156" i="33"/>
  <c r="E156" i="33"/>
  <c r="D156" i="33"/>
  <c r="C156" i="33"/>
  <c r="G132" i="33"/>
  <c r="E132" i="33"/>
  <c r="D132" i="33"/>
  <c r="C132" i="33"/>
  <c r="G150" i="33"/>
  <c r="E150" i="33"/>
  <c r="D150" i="33"/>
  <c r="C150" i="33"/>
  <c r="G53" i="33"/>
  <c r="E53" i="33"/>
  <c r="D53" i="33"/>
  <c r="C53" i="33"/>
  <c r="G94" i="33"/>
  <c r="E94" i="33"/>
  <c r="D94" i="33"/>
  <c r="C94" i="33"/>
  <c r="G93" i="33"/>
  <c r="E93" i="33"/>
  <c r="D93" i="33"/>
  <c r="C93" i="33"/>
  <c r="G35" i="33"/>
  <c r="E35" i="33"/>
  <c r="D35" i="33"/>
  <c r="C35" i="33"/>
  <c r="G92" i="33"/>
  <c r="E92" i="33"/>
  <c r="D92" i="33"/>
  <c r="C92" i="33"/>
  <c r="G73" i="33"/>
  <c r="E73" i="33"/>
  <c r="D73" i="33"/>
  <c r="C73" i="33"/>
  <c r="G149" i="33"/>
  <c r="E149" i="33"/>
  <c r="D149" i="33"/>
  <c r="C149" i="33"/>
  <c r="G15" i="33"/>
  <c r="E15" i="33"/>
  <c r="D15" i="33"/>
  <c r="C15" i="33"/>
  <c r="G67" i="33"/>
  <c r="E67" i="33"/>
  <c r="D67" i="33"/>
  <c r="C67" i="33"/>
  <c r="G126" i="33"/>
  <c r="E126" i="33"/>
  <c r="D126" i="33"/>
  <c r="C126" i="33"/>
  <c r="G3" i="33"/>
  <c r="E3" i="33"/>
  <c r="D3" i="33"/>
  <c r="C3" i="33"/>
  <c r="G75" i="33"/>
  <c r="E75" i="33"/>
  <c r="D75" i="33"/>
  <c r="C75" i="33"/>
  <c r="G58" i="33"/>
  <c r="E58" i="33"/>
  <c r="D58" i="33"/>
  <c r="C58" i="33"/>
  <c r="G91" i="33"/>
  <c r="E91" i="33"/>
  <c r="D91" i="33"/>
  <c r="C91" i="33"/>
  <c r="G57" i="33"/>
  <c r="E57" i="33"/>
  <c r="D57" i="33"/>
  <c r="C57" i="33"/>
  <c r="G117" i="33"/>
  <c r="E117" i="33"/>
  <c r="D117" i="33"/>
  <c r="C117" i="33"/>
  <c r="G129" i="33"/>
  <c r="E129" i="33"/>
  <c r="D129" i="33"/>
  <c r="C129" i="33"/>
  <c r="G69" i="33"/>
  <c r="E69" i="33"/>
  <c r="D69" i="33"/>
  <c r="C69" i="33"/>
  <c r="G125" i="33"/>
  <c r="E125" i="33"/>
  <c r="D125" i="33"/>
  <c r="C125" i="33"/>
  <c r="G47" i="33"/>
  <c r="E47" i="33"/>
  <c r="D47" i="33"/>
  <c r="C47" i="33"/>
  <c r="G11" i="33"/>
  <c r="E11" i="33"/>
  <c r="D11" i="33"/>
  <c r="C11" i="33"/>
  <c r="G170" i="33"/>
  <c r="E170" i="33"/>
  <c r="D170" i="33"/>
  <c r="C170" i="33"/>
  <c r="G90" i="33"/>
  <c r="E90" i="33"/>
  <c r="D90" i="33"/>
  <c r="C90" i="33"/>
  <c r="E171" i="33"/>
  <c r="D171" i="33"/>
  <c r="C171" i="33"/>
  <c r="G68" i="33"/>
  <c r="E68" i="33"/>
  <c r="D68" i="33"/>
  <c r="C68" i="33"/>
  <c r="G108" i="33"/>
  <c r="E108" i="33"/>
  <c r="D108" i="33"/>
  <c r="C108" i="33"/>
  <c r="G34" i="33"/>
  <c r="E34" i="33"/>
  <c r="D34" i="33"/>
  <c r="C34" i="33"/>
  <c r="G63" i="33"/>
  <c r="E63" i="33"/>
  <c r="D63" i="33"/>
  <c r="C63" i="33"/>
  <c r="G140" i="33"/>
  <c r="E140" i="33"/>
  <c r="D140" i="33"/>
  <c r="C140" i="33"/>
  <c r="G24" i="33"/>
  <c r="E24" i="33"/>
  <c r="D24" i="33"/>
  <c r="C24" i="33"/>
  <c r="G89" i="33"/>
  <c r="E89" i="33"/>
  <c r="D89" i="33"/>
  <c r="C89" i="33"/>
  <c r="G39" i="33"/>
  <c r="E39" i="33"/>
  <c r="D39" i="33"/>
  <c r="C39" i="33"/>
  <c r="G145" i="33"/>
  <c r="E145" i="33"/>
  <c r="D145" i="33"/>
  <c r="C145" i="33"/>
  <c r="G88" i="33"/>
  <c r="E88" i="33"/>
  <c r="D88" i="33"/>
  <c r="C88" i="33"/>
  <c r="G29" i="33"/>
  <c r="E29" i="33"/>
  <c r="D29" i="33"/>
  <c r="C29" i="33"/>
  <c r="G28" i="33"/>
  <c r="E28" i="33"/>
  <c r="D28" i="33"/>
  <c r="C28" i="33"/>
  <c r="G9" i="33"/>
  <c r="E9" i="33"/>
  <c r="D9" i="33"/>
  <c r="C9" i="33"/>
  <c r="G87" i="33"/>
  <c r="E87" i="33"/>
  <c r="D87" i="33"/>
  <c r="C87" i="33"/>
  <c r="G146" i="33"/>
  <c r="E146" i="33"/>
  <c r="D146" i="33"/>
  <c r="C146" i="33"/>
  <c r="G17" i="33"/>
  <c r="E17" i="33"/>
  <c r="D17" i="33"/>
  <c r="C17" i="33"/>
  <c r="G86" i="33"/>
  <c r="E86" i="33"/>
  <c r="D86" i="33"/>
  <c r="C86" i="33"/>
  <c r="G113" i="33"/>
  <c r="E113" i="33"/>
  <c r="D113" i="33"/>
  <c r="C113" i="33"/>
  <c r="G110" i="33"/>
  <c r="E110" i="33"/>
  <c r="D110" i="33"/>
  <c r="C110" i="33"/>
  <c r="G54" i="33"/>
  <c r="E54" i="33"/>
  <c r="D54" i="33"/>
  <c r="C54" i="33"/>
  <c r="G111" i="33"/>
  <c r="E111" i="33"/>
  <c r="D111" i="33"/>
  <c r="C111" i="33"/>
  <c r="G143" i="33"/>
  <c r="E143" i="33"/>
  <c r="D143" i="33"/>
  <c r="C143" i="33"/>
  <c r="G164" i="33"/>
  <c r="E164" i="33"/>
  <c r="D164" i="33"/>
  <c r="C164" i="33"/>
  <c r="G142" i="33"/>
  <c r="E142" i="33"/>
  <c r="D142" i="33"/>
  <c r="C142" i="33"/>
  <c r="G120" i="33"/>
  <c r="E120" i="33"/>
  <c r="D120" i="33"/>
  <c r="C120" i="33"/>
  <c r="G85" i="33"/>
  <c r="E85" i="33"/>
  <c r="D85" i="33"/>
  <c r="C85" i="33"/>
  <c r="G66" i="33"/>
  <c r="E66" i="33"/>
  <c r="D66" i="33"/>
  <c r="C66" i="33"/>
  <c r="G144" i="33"/>
  <c r="E144" i="33"/>
  <c r="D144" i="33"/>
  <c r="C144" i="33"/>
  <c r="G72" i="33"/>
  <c r="E72" i="33"/>
  <c r="D72" i="33"/>
  <c r="C72" i="33"/>
  <c r="G100" i="33"/>
  <c r="E100" i="33"/>
  <c r="D100" i="33"/>
  <c r="C100" i="33"/>
  <c r="G43" i="33"/>
  <c r="E43" i="33"/>
  <c r="D43" i="33"/>
  <c r="C43" i="33"/>
  <c r="G133" i="33"/>
  <c r="E133" i="33"/>
  <c r="D133" i="33"/>
  <c r="C133" i="33"/>
  <c r="G12" i="33"/>
  <c r="E12" i="33"/>
  <c r="D12" i="33"/>
  <c r="C12" i="33"/>
  <c r="G103" i="33"/>
  <c r="E103" i="33"/>
  <c r="D103" i="33"/>
  <c r="C103" i="33"/>
  <c r="G62" i="33"/>
  <c r="E62" i="33"/>
  <c r="D62" i="33"/>
  <c r="C62" i="33"/>
  <c r="G76" i="33"/>
  <c r="E76" i="33"/>
  <c r="D76" i="33"/>
  <c r="C76" i="33"/>
  <c r="G37" i="33"/>
  <c r="E37" i="33"/>
  <c r="D37" i="33"/>
  <c r="C37" i="33"/>
  <c r="G153" i="33"/>
  <c r="E153" i="33"/>
  <c r="D153" i="33"/>
  <c r="C153" i="33"/>
  <c r="G128" i="33"/>
  <c r="E128" i="33"/>
  <c r="D128" i="33"/>
  <c r="C128" i="33"/>
  <c r="G14" i="33"/>
  <c r="E14" i="33"/>
  <c r="D14" i="33"/>
  <c r="C14" i="33"/>
  <c r="G127" i="33"/>
  <c r="E127" i="33"/>
  <c r="D127" i="33"/>
  <c r="C127" i="33"/>
  <c r="G21" i="33"/>
  <c r="E21" i="33"/>
  <c r="D21" i="33"/>
  <c r="C21" i="33"/>
  <c r="G55" i="33"/>
  <c r="E55" i="33"/>
  <c r="D55" i="33"/>
  <c r="C55" i="33"/>
  <c r="G71" i="33"/>
  <c r="E71" i="33"/>
  <c r="D71" i="33"/>
  <c r="C71" i="33"/>
  <c r="G6" i="33"/>
  <c r="E6" i="33"/>
  <c r="D6" i="33"/>
  <c r="C6" i="33"/>
  <c r="G48" i="33"/>
  <c r="E48" i="33"/>
  <c r="D48" i="33"/>
  <c r="C48" i="33"/>
  <c r="G166" i="33"/>
  <c r="E166" i="33"/>
  <c r="D166" i="33"/>
  <c r="C166" i="33"/>
  <c r="G44" i="33"/>
  <c r="E44" i="33"/>
  <c r="D44" i="33"/>
  <c r="C44" i="33"/>
  <c r="G7" i="33"/>
  <c r="E7" i="33"/>
  <c r="D7" i="33"/>
  <c r="C7" i="33"/>
  <c r="G36" i="33"/>
  <c r="E36" i="33"/>
  <c r="D36" i="33"/>
  <c r="C36" i="33"/>
  <c r="G38" i="33"/>
  <c r="E38" i="33"/>
  <c r="D38" i="33"/>
  <c r="C38" i="33"/>
  <c r="G148" i="33"/>
  <c r="E148" i="33"/>
  <c r="D148" i="33"/>
  <c r="C148" i="33"/>
  <c r="G141" i="33"/>
  <c r="E141" i="33"/>
  <c r="D141" i="33"/>
  <c r="C141" i="33"/>
  <c r="G18" i="33"/>
  <c r="E18" i="33"/>
  <c r="D18" i="33"/>
  <c r="C18" i="33"/>
  <c r="G139" i="33"/>
  <c r="E139" i="33"/>
  <c r="D139" i="33"/>
  <c r="C139" i="33"/>
  <c r="G123" i="33"/>
  <c r="E123" i="33"/>
  <c r="D123" i="33"/>
  <c r="C123" i="33"/>
  <c r="G147" i="33"/>
  <c r="E147" i="33"/>
  <c r="D147" i="33"/>
  <c r="C147" i="33"/>
  <c r="G46" i="33"/>
  <c r="E46" i="33"/>
  <c r="D46" i="33"/>
  <c r="C46" i="33"/>
  <c r="G115" i="33"/>
  <c r="E115" i="33"/>
  <c r="D115" i="33"/>
  <c r="C115" i="33"/>
  <c r="G59" i="33"/>
  <c r="E59" i="33"/>
  <c r="D59" i="33"/>
  <c r="C59" i="33"/>
  <c r="G124" i="33"/>
  <c r="E124" i="33"/>
  <c r="D124" i="33"/>
  <c r="C124" i="33"/>
  <c r="G102" i="33"/>
  <c r="E102" i="33"/>
  <c r="D102" i="33"/>
  <c r="C102" i="33"/>
  <c r="G135" i="33"/>
  <c r="E135" i="33"/>
  <c r="D135" i="33"/>
  <c r="C135" i="33"/>
  <c r="G50" i="33"/>
  <c r="E50" i="33"/>
  <c r="D50" i="33"/>
  <c r="C50" i="33"/>
  <c r="G157" i="33"/>
  <c r="E157" i="33"/>
  <c r="D157" i="33"/>
  <c r="C157" i="33"/>
  <c r="G122" i="33"/>
  <c r="E122" i="33"/>
  <c r="D122" i="33"/>
  <c r="C122" i="33"/>
  <c r="G137" i="33"/>
  <c r="E137" i="33"/>
  <c r="D137" i="33"/>
  <c r="C137" i="33"/>
  <c r="G169" i="33"/>
  <c r="E169" i="33"/>
  <c r="D169" i="33"/>
  <c r="C169" i="33"/>
  <c r="G27" i="33"/>
  <c r="E27" i="33"/>
  <c r="D27" i="33"/>
  <c r="C27" i="33"/>
  <c r="G42" i="33"/>
  <c r="E42" i="33"/>
  <c r="D42" i="33"/>
  <c r="C42" i="33"/>
  <c r="G112" i="33"/>
  <c r="E112" i="33"/>
  <c r="D112" i="33"/>
  <c r="C112" i="33"/>
  <c r="G40" i="33"/>
  <c r="E40" i="33"/>
  <c r="D40" i="33"/>
  <c r="C40" i="33"/>
  <c r="G158" i="33"/>
  <c r="E158" i="33"/>
  <c r="D158" i="33"/>
  <c r="C158" i="33"/>
  <c r="G168" i="33"/>
  <c r="E168" i="33"/>
  <c r="D168" i="33"/>
  <c r="C168" i="33"/>
  <c r="G77" i="33"/>
  <c r="E77" i="33"/>
  <c r="D77" i="33"/>
  <c r="C77" i="33"/>
  <c r="G99" i="33"/>
  <c r="E99" i="33"/>
  <c r="D99" i="33"/>
  <c r="C99" i="33"/>
  <c r="G152" i="33"/>
  <c r="E152" i="33"/>
  <c r="D152" i="33"/>
  <c r="C152" i="33"/>
  <c r="G74" i="33"/>
  <c r="E74" i="33"/>
  <c r="D74" i="33"/>
  <c r="C74" i="33"/>
  <c r="G13" i="33"/>
  <c r="E13" i="33"/>
  <c r="D13" i="33"/>
  <c r="C13" i="33"/>
  <c r="G136" i="33"/>
  <c r="E136" i="33"/>
  <c r="D136" i="33"/>
  <c r="C136" i="33"/>
  <c r="G70" i="33"/>
  <c r="E70" i="33"/>
  <c r="D70" i="33"/>
  <c r="C70" i="33"/>
  <c r="G101" i="33"/>
  <c r="E101" i="33"/>
  <c r="D101" i="33"/>
  <c r="C101" i="33"/>
  <c r="G116" i="33"/>
  <c r="E116" i="33"/>
  <c r="D116" i="33"/>
  <c r="C116" i="33"/>
  <c r="G56" i="33"/>
  <c r="E56" i="33"/>
  <c r="D56" i="33"/>
  <c r="C56" i="33"/>
  <c r="G155" i="33"/>
  <c r="E155" i="33"/>
  <c r="D155" i="33"/>
  <c r="C155" i="33"/>
  <c r="G106" i="33"/>
  <c r="E106" i="33"/>
  <c r="D106" i="33"/>
  <c r="C106" i="33"/>
  <c r="G84" i="33"/>
  <c r="E84" i="33"/>
  <c r="D84" i="33"/>
  <c r="C84" i="33"/>
  <c r="G154" i="33"/>
  <c r="E154" i="33"/>
  <c r="D154" i="33"/>
  <c r="C154" i="33"/>
  <c r="G23" i="33"/>
  <c r="E23" i="33"/>
  <c r="D23" i="33"/>
  <c r="C23" i="33"/>
  <c r="G160" i="33"/>
  <c r="E160" i="33"/>
  <c r="D160" i="33"/>
  <c r="C160" i="33"/>
  <c r="G104" i="33"/>
  <c r="E104" i="33"/>
  <c r="D104" i="33"/>
  <c r="C104" i="33"/>
  <c r="G83" i="33"/>
  <c r="E83" i="33"/>
  <c r="D83" i="33"/>
  <c r="C83" i="33"/>
  <c r="G114" i="33"/>
  <c r="E114" i="33"/>
  <c r="D114" i="33"/>
  <c r="C114" i="33"/>
  <c r="G138" i="33"/>
  <c r="E138" i="33"/>
  <c r="D138" i="33"/>
  <c r="C138" i="33"/>
  <c r="G20" i="33"/>
  <c r="E20" i="33"/>
  <c r="D20" i="33"/>
  <c r="C20" i="33"/>
  <c r="G163" i="33"/>
  <c r="E163" i="33"/>
  <c r="D163" i="33"/>
  <c r="C163" i="33"/>
  <c r="G5" i="33"/>
  <c r="E5" i="33"/>
  <c r="D5" i="33"/>
  <c r="C5" i="33"/>
  <c r="G130" i="33"/>
  <c r="E130" i="33"/>
  <c r="D130" i="33"/>
  <c r="C130" i="33"/>
  <c r="G64" i="33"/>
  <c r="E64" i="33"/>
  <c r="D64" i="33"/>
  <c r="C64" i="33"/>
  <c r="G82" i="33"/>
  <c r="E82" i="33"/>
  <c r="D82" i="33"/>
  <c r="C82" i="33"/>
  <c r="G109" i="33"/>
  <c r="E109" i="33"/>
  <c r="D109" i="33"/>
  <c r="C109" i="33"/>
  <c r="G119" i="33"/>
  <c r="E119" i="33"/>
  <c r="D119" i="33"/>
  <c r="C119" i="33"/>
  <c r="G81" i="33"/>
  <c r="E81" i="33"/>
  <c r="D81" i="33"/>
  <c r="C81" i="33"/>
  <c r="G60" i="33"/>
  <c r="E60" i="33"/>
  <c r="D60" i="33"/>
  <c r="C60" i="33"/>
  <c r="G16" i="33"/>
  <c r="E16" i="33"/>
  <c r="D16" i="33"/>
  <c r="C16" i="33"/>
  <c r="G52" i="33"/>
  <c r="E52" i="33"/>
  <c r="D52" i="33"/>
  <c r="C52" i="33"/>
  <c r="G8" i="33"/>
  <c r="E8" i="33"/>
  <c r="D8" i="33"/>
  <c r="C8" i="33"/>
  <c r="G80" i="33"/>
  <c r="E80" i="33"/>
  <c r="D80" i="33"/>
  <c r="C80" i="33"/>
  <c r="G25" i="33"/>
  <c r="E25" i="33"/>
  <c r="D25" i="33"/>
  <c r="C25" i="33"/>
  <c r="G41" i="33"/>
  <c r="E41" i="33"/>
  <c r="D41" i="33"/>
  <c r="C41" i="33"/>
  <c r="G131" i="33"/>
  <c r="E131" i="33"/>
  <c r="D131" i="33"/>
  <c r="C131" i="33"/>
  <c r="G79" i="33"/>
  <c r="E79" i="33"/>
  <c r="D79" i="33"/>
  <c r="C79" i="33"/>
  <c r="G118" i="33"/>
  <c r="E118" i="33"/>
  <c r="D118" i="33"/>
  <c r="C118" i="33"/>
  <c r="G107" i="33"/>
  <c r="E107" i="33"/>
  <c r="D107" i="33"/>
  <c r="C107" i="33"/>
  <c r="G78" i="33"/>
  <c r="E78" i="33"/>
  <c r="D78" i="33"/>
  <c r="C78" i="33"/>
  <c r="G167" i="33"/>
  <c r="E167" i="33"/>
  <c r="D167" i="33"/>
  <c r="C167" i="33"/>
  <c r="G22" i="33"/>
  <c r="E22" i="33"/>
  <c r="D22" i="33"/>
  <c r="C22" i="33"/>
  <c r="G49" i="33"/>
  <c r="E49" i="33"/>
  <c r="D49" i="33"/>
  <c r="C49" i="33"/>
  <c r="G30" i="33"/>
  <c r="E30" i="33"/>
  <c r="D30" i="33"/>
  <c r="C30" i="33"/>
  <c r="G4" i="33"/>
  <c r="E4" i="33"/>
  <c r="D4" i="33"/>
  <c r="C4" i="33"/>
  <c r="G32" i="33"/>
  <c r="E32" i="33"/>
  <c r="D32" i="33"/>
  <c r="C32" i="33"/>
  <c r="F165" i="33" l="1"/>
  <c r="F8" i="33"/>
  <c r="F129" i="33"/>
  <c r="F68" i="33"/>
  <c r="F64" i="33"/>
  <c r="F20" i="33"/>
  <c r="F138" i="33"/>
  <c r="F160" i="33"/>
  <c r="F36" i="33"/>
  <c r="F7" i="33"/>
  <c r="F48" i="33"/>
  <c r="F6" i="33"/>
  <c r="F128" i="33"/>
  <c r="F62" i="33"/>
  <c r="F103" i="33"/>
  <c r="F43" i="33"/>
  <c r="F22" i="33"/>
  <c r="F61" i="33"/>
  <c r="F124" i="33"/>
  <c r="F28" i="33"/>
  <c r="F34" i="33"/>
  <c r="F51" i="33"/>
  <c r="F84" i="33"/>
  <c r="F99" i="33"/>
  <c r="F168" i="33"/>
  <c r="F135" i="33"/>
  <c r="F72" i="33"/>
  <c r="F15" i="33"/>
  <c r="F149" i="33"/>
  <c r="F92" i="33"/>
  <c r="F132" i="33"/>
  <c r="F139" i="33"/>
  <c r="F60" i="33"/>
  <c r="F119" i="33"/>
  <c r="F82" i="33"/>
  <c r="F17" i="33"/>
  <c r="F134" i="33"/>
  <c r="F10" i="33"/>
  <c r="F4" i="33"/>
  <c r="F30" i="33"/>
  <c r="F56" i="33"/>
  <c r="F136" i="33"/>
  <c r="F152" i="33"/>
  <c r="F27" i="33"/>
  <c r="F50" i="33"/>
  <c r="F127" i="33"/>
  <c r="F120" i="33"/>
  <c r="F142" i="33"/>
  <c r="F164" i="33"/>
  <c r="F90" i="33"/>
  <c r="F11" i="33"/>
  <c r="F47" i="33"/>
  <c r="F75" i="33"/>
  <c r="F94" i="33"/>
  <c r="F26" i="33"/>
  <c r="F45" i="33"/>
  <c r="F78" i="33"/>
  <c r="F79" i="33"/>
  <c r="F115" i="33"/>
  <c r="F55" i="33"/>
  <c r="F54" i="33"/>
  <c r="F113" i="33"/>
  <c r="F117" i="33"/>
  <c r="F91" i="33"/>
  <c r="F35" i="33"/>
  <c r="F31" i="33"/>
  <c r="F19" i="33"/>
  <c r="F169" i="33"/>
  <c r="F40" i="33"/>
  <c r="C173" i="33"/>
  <c r="F83" i="33"/>
  <c r="F148" i="33"/>
  <c r="F87" i="33"/>
  <c r="F67" i="33"/>
  <c r="F118" i="33"/>
  <c r="F109" i="33"/>
  <c r="F106" i="33"/>
  <c r="F116" i="33"/>
  <c r="F102" i="33"/>
  <c r="F153" i="33"/>
  <c r="F144" i="33"/>
  <c r="F140" i="33"/>
  <c r="F93" i="33"/>
  <c r="F150" i="33"/>
  <c r="F151" i="33"/>
  <c r="D173" i="33"/>
  <c r="F130" i="33"/>
  <c r="F163" i="33"/>
  <c r="F154" i="33"/>
  <c r="F74" i="33"/>
  <c r="F157" i="33"/>
  <c r="F133" i="33"/>
  <c r="F145" i="33"/>
  <c r="F24" i="33"/>
  <c r="F108" i="33"/>
  <c r="F53" i="33"/>
  <c r="F162" i="33"/>
  <c r="F161" i="33"/>
  <c r="F172" i="33"/>
  <c r="F41" i="33"/>
  <c r="F16" i="33"/>
  <c r="F114" i="33"/>
  <c r="F158" i="33"/>
  <c r="F123" i="33"/>
  <c r="F21" i="33"/>
  <c r="F111" i="33"/>
  <c r="F39" i="33"/>
  <c r="F171" i="33"/>
  <c r="F69" i="33"/>
  <c r="F57" i="33"/>
  <c r="E173" i="33"/>
  <c r="F107" i="33"/>
  <c r="F131" i="33"/>
  <c r="F23" i="33"/>
  <c r="F155" i="33"/>
  <c r="F112" i="33"/>
  <c r="F42" i="33"/>
  <c r="F137" i="33"/>
  <c r="F18" i="33"/>
  <c r="F141" i="33"/>
  <c r="F44" i="33"/>
  <c r="F14" i="33"/>
  <c r="F66" i="33"/>
  <c r="F85" i="33"/>
  <c r="F146" i="33"/>
  <c r="F29" i="33"/>
  <c r="F89" i="33"/>
  <c r="F3" i="33"/>
  <c r="F126" i="33"/>
  <c r="F95" i="33"/>
  <c r="F159" i="33"/>
  <c r="F98" i="33"/>
  <c r="F97" i="33"/>
  <c r="G173" i="33"/>
  <c r="F32" i="33"/>
  <c r="F104" i="33"/>
  <c r="F38" i="33"/>
  <c r="F9" i="33"/>
  <c r="F170" i="33"/>
  <c r="F167" i="33"/>
  <c r="F25" i="33"/>
  <c r="F101" i="33"/>
  <c r="F70" i="33"/>
  <c r="F59" i="33"/>
  <c r="F37" i="33"/>
  <c r="F76" i="33"/>
  <c r="F110" i="33"/>
  <c r="F63" i="33"/>
  <c r="F33" i="33"/>
  <c r="F65" i="33"/>
  <c r="F49" i="33"/>
  <c r="F80" i="33"/>
  <c r="F81" i="33"/>
  <c r="F5" i="33"/>
  <c r="F13" i="33"/>
  <c r="F122" i="33"/>
  <c r="F46" i="33"/>
  <c r="F166" i="33"/>
  <c r="F12" i="33"/>
  <c r="F86" i="33"/>
  <c r="F88" i="33"/>
  <c r="F125" i="33"/>
  <c r="F73" i="33"/>
  <c r="F105" i="33"/>
  <c r="F52" i="33"/>
  <c r="F77" i="33"/>
  <c r="F147" i="33"/>
  <c r="F71" i="33"/>
  <c r="F100" i="33"/>
  <c r="F143" i="33"/>
  <c r="F58" i="33"/>
  <c r="F156" i="33"/>
  <c r="F121" i="33"/>
  <c r="F96" i="33"/>
  <c r="G165" i="32"/>
  <c r="E165" i="32"/>
  <c r="D165" i="32"/>
  <c r="C165" i="32"/>
  <c r="G70" i="32"/>
  <c r="E70" i="32"/>
  <c r="D70" i="32"/>
  <c r="C70" i="32"/>
  <c r="G174" i="32"/>
  <c r="E174" i="32"/>
  <c r="D174" i="32"/>
  <c r="C174" i="32"/>
  <c r="G99" i="32"/>
  <c r="E99" i="32"/>
  <c r="D99" i="32"/>
  <c r="C99" i="32"/>
  <c r="G10" i="32"/>
  <c r="E10" i="32"/>
  <c r="D10" i="32"/>
  <c r="C10" i="32"/>
  <c r="G48" i="32"/>
  <c r="E48" i="32"/>
  <c r="D48" i="32"/>
  <c r="C48" i="32"/>
  <c r="G161" i="32"/>
  <c r="E161" i="32"/>
  <c r="D161" i="32"/>
  <c r="C161" i="32"/>
  <c r="G19" i="32"/>
  <c r="E19" i="32"/>
  <c r="D19" i="32"/>
  <c r="C19" i="32"/>
  <c r="G98" i="32"/>
  <c r="E98" i="32"/>
  <c r="D98" i="32"/>
  <c r="C98" i="32"/>
  <c r="G162" i="32"/>
  <c r="E162" i="32"/>
  <c r="D162" i="32"/>
  <c r="C162" i="32"/>
  <c r="G34" i="32"/>
  <c r="E34" i="32"/>
  <c r="D34" i="32"/>
  <c r="C34" i="32"/>
  <c r="G126" i="32"/>
  <c r="E126" i="32"/>
  <c r="D126" i="32"/>
  <c r="C126" i="32"/>
  <c r="G66" i="32"/>
  <c r="E66" i="32"/>
  <c r="D66" i="32"/>
  <c r="C66" i="32"/>
  <c r="G137" i="32"/>
  <c r="E137" i="32"/>
  <c r="D137" i="32"/>
  <c r="C137" i="32"/>
  <c r="G100" i="32"/>
  <c r="E100" i="32"/>
  <c r="D100" i="32"/>
  <c r="C100" i="32"/>
  <c r="G123" i="32"/>
  <c r="E123" i="32"/>
  <c r="D123" i="32"/>
  <c r="C123" i="32"/>
  <c r="G13" i="32"/>
  <c r="E13" i="32"/>
  <c r="D13" i="32"/>
  <c r="C13" i="32"/>
  <c r="G155" i="32"/>
  <c r="E155" i="32"/>
  <c r="D155" i="32"/>
  <c r="C155" i="32"/>
  <c r="G107" i="32"/>
  <c r="E107" i="32"/>
  <c r="D107" i="32"/>
  <c r="C107" i="32"/>
  <c r="G160" i="32"/>
  <c r="E160" i="32"/>
  <c r="D160" i="32"/>
  <c r="C160" i="32"/>
  <c r="G31" i="32"/>
  <c r="E31" i="32"/>
  <c r="D31" i="32"/>
  <c r="C31" i="32"/>
  <c r="G173" i="32"/>
  <c r="E173" i="32"/>
  <c r="D173" i="32"/>
  <c r="C173" i="32"/>
  <c r="G97" i="32"/>
  <c r="E97" i="32"/>
  <c r="D97" i="32"/>
  <c r="C97" i="32"/>
  <c r="G56" i="32"/>
  <c r="E56" i="32"/>
  <c r="D56" i="32"/>
  <c r="C56" i="32"/>
  <c r="G159" i="32"/>
  <c r="E159" i="32"/>
  <c r="D159" i="32"/>
  <c r="C159" i="32"/>
  <c r="G135" i="32"/>
  <c r="E135" i="32"/>
  <c r="D135" i="32"/>
  <c r="C135" i="32"/>
  <c r="G172" i="32"/>
  <c r="E172" i="32"/>
  <c r="D172" i="32"/>
  <c r="C172" i="32"/>
  <c r="G58" i="32"/>
  <c r="E58" i="32"/>
  <c r="D58" i="32"/>
  <c r="C58" i="32"/>
  <c r="G96" i="32"/>
  <c r="E96" i="32"/>
  <c r="D96" i="32"/>
  <c r="C96" i="32"/>
  <c r="G95" i="32"/>
  <c r="E95" i="32"/>
  <c r="D95" i="32"/>
  <c r="C95" i="32"/>
  <c r="G37" i="32"/>
  <c r="E37" i="32"/>
  <c r="D37" i="32"/>
  <c r="C37" i="32"/>
  <c r="G94" i="32"/>
  <c r="E94" i="32"/>
  <c r="D94" i="32"/>
  <c r="C94" i="32"/>
  <c r="G78" i="32"/>
  <c r="E78" i="32"/>
  <c r="D78" i="32"/>
  <c r="C78" i="32"/>
  <c r="G154" i="32"/>
  <c r="E154" i="32"/>
  <c r="D154" i="32"/>
  <c r="C154" i="32"/>
  <c r="G170" i="32"/>
  <c r="E170" i="32"/>
  <c r="D170" i="32"/>
  <c r="C170" i="32"/>
  <c r="G72" i="32"/>
  <c r="E72" i="32"/>
  <c r="D72" i="32"/>
  <c r="C72" i="32"/>
  <c r="G129" i="32"/>
  <c r="E129" i="32"/>
  <c r="D129" i="32"/>
  <c r="C129" i="32"/>
  <c r="G3" i="32"/>
  <c r="E3" i="32"/>
  <c r="D3" i="32"/>
  <c r="C3" i="32"/>
  <c r="G80" i="32"/>
  <c r="E80" i="32"/>
  <c r="D80" i="32"/>
  <c r="C80" i="32"/>
  <c r="G63" i="32"/>
  <c r="E63" i="32"/>
  <c r="D63" i="32"/>
  <c r="C63" i="32"/>
  <c r="G93" i="32"/>
  <c r="E93" i="32"/>
  <c r="D93" i="32"/>
  <c r="C93" i="32"/>
  <c r="G62" i="32"/>
  <c r="E62" i="32"/>
  <c r="D62" i="32"/>
  <c r="C62" i="32"/>
  <c r="G119" i="32"/>
  <c r="E119" i="32"/>
  <c r="D119" i="32"/>
  <c r="C119" i="32"/>
  <c r="G132" i="32"/>
  <c r="E132" i="32"/>
  <c r="D132" i="32"/>
  <c r="C132" i="32"/>
  <c r="G74" i="32"/>
  <c r="E74" i="32"/>
  <c r="D74" i="32"/>
  <c r="C74" i="32"/>
  <c r="G128" i="32"/>
  <c r="E128" i="32"/>
  <c r="D128" i="32"/>
  <c r="C128" i="32"/>
  <c r="G51" i="32"/>
  <c r="E51" i="32"/>
  <c r="D51" i="32"/>
  <c r="C51" i="32"/>
  <c r="G11" i="32"/>
  <c r="E11" i="32"/>
  <c r="D11" i="32"/>
  <c r="C11" i="32"/>
  <c r="G171" i="32"/>
  <c r="E171" i="32"/>
  <c r="D171" i="32"/>
  <c r="C171" i="32"/>
  <c r="G92" i="32"/>
  <c r="E92" i="32"/>
  <c r="D92" i="32"/>
  <c r="C92" i="32"/>
  <c r="E49" i="32"/>
  <c r="D49" i="32"/>
  <c r="C49" i="32"/>
  <c r="G73" i="32"/>
  <c r="E73" i="32"/>
  <c r="D73" i="32"/>
  <c r="C73" i="32"/>
  <c r="G110" i="32"/>
  <c r="E110" i="32"/>
  <c r="D110" i="32"/>
  <c r="C110" i="32"/>
  <c r="G35" i="32"/>
  <c r="E35" i="32"/>
  <c r="D35" i="32"/>
  <c r="C35" i="32"/>
  <c r="G68" i="32"/>
  <c r="E68" i="32"/>
  <c r="D68" i="32"/>
  <c r="C68" i="32"/>
  <c r="G144" i="32"/>
  <c r="E144" i="32"/>
  <c r="D144" i="32"/>
  <c r="C144" i="32"/>
  <c r="G36" i="32"/>
  <c r="E36" i="32"/>
  <c r="D36" i="32"/>
  <c r="C36" i="32"/>
  <c r="G91" i="32"/>
  <c r="E91" i="32"/>
  <c r="D91" i="32"/>
  <c r="C91" i="32"/>
  <c r="G41" i="32"/>
  <c r="E41" i="32"/>
  <c r="D41" i="32"/>
  <c r="C41" i="32"/>
  <c r="G149" i="32"/>
  <c r="E149" i="32"/>
  <c r="D149" i="32"/>
  <c r="C149" i="32"/>
  <c r="G90" i="32"/>
  <c r="E90" i="32"/>
  <c r="D90" i="32"/>
  <c r="C90" i="32"/>
  <c r="G30" i="32"/>
  <c r="E30" i="32"/>
  <c r="D30" i="32"/>
  <c r="C30" i="32"/>
  <c r="G26" i="32"/>
  <c r="E26" i="32"/>
  <c r="D26" i="32"/>
  <c r="C26" i="32"/>
  <c r="G9" i="32"/>
  <c r="E9" i="32"/>
  <c r="D9" i="32"/>
  <c r="C9" i="32"/>
  <c r="G89" i="32"/>
  <c r="E89" i="32"/>
  <c r="D89" i="32"/>
  <c r="C89" i="32"/>
  <c r="G150" i="32"/>
  <c r="E150" i="32"/>
  <c r="D150" i="32"/>
  <c r="C150" i="32"/>
  <c r="G17" i="32"/>
  <c r="E17" i="32"/>
  <c r="D17" i="32"/>
  <c r="C17" i="32"/>
  <c r="G28" i="32"/>
  <c r="E28" i="32"/>
  <c r="D28" i="32"/>
  <c r="C28" i="32"/>
  <c r="G115" i="32"/>
  <c r="E115" i="32"/>
  <c r="D115" i="32"/>
  <c r="C115" i="32"/>
  <c r="G112" i="32"/>
  <c r="E112" i="32"/>
  <c r="D112" i="32"/>
  <c r="C112" i="32"/>
  <c r="G59" i="32"/>
  <c r="E59" i="32"/>
  <c r="D59" i="32"/>
  <c r="C59" i="32"/>
  <c r="G113" i="32"/>
  <c r="E113" i="32"/>
  <c r="D113" i="32"/>
  <c r="C113" i="32"/>
  <c r="G147" i="32"/>
  <c r="E147" i="32"/>
  <c r="D147" i="32"/>
  <c r="C147" i="32"/>
  <c r="G164" i="32"/>
  <c r="E164" i="32"/>
  <c r="D164" i="32"/>
  <c r="C164" i="32"/>
  <c r="G146" i="32"/>
  <c r="E146" i="32"/>
  <c r="D146" i="32"/>
  <c r="C146" i="32"/>
  <c r="G122" i="32"/>
  <c r="E122" i="32"/>
  <c r="D122" i="32"/>
  <c r="C122" i="32"/>
  <c r="G71" i="32"/>
  <c r="E71" i="32"/>
  <c r="D71" i="32"/>
  <c r="C71" i="32"/>
  <c r="G148" i="32"/>
  <c r="E148" i="32"/>
  <c r="D148" i="32"/>
  <c r="C148" i="32"/>
  <c r="G77" i="32"/>
  <c r="E77" i="32"/>
  <c r="D77" i="32"/>
  <c r="C77" i="32"/>
  <c r="G102" i="32"/>
  <c r="E102" i="32"/>
  <c r="D102" i="32"/>
  <c r="C102" i="32"/>
  <c r="G46" i="32"/>
  <c r="E46" i="32"/>
  <c r="D46" i="32"/>
  <c r="C46" i="32"/>
  <c r="G136" i="32"/>
  <c r="E136" i="32"/>
  <c r="D136" i="32"/>
  <c r="C136" i="32"/>
  <c r="G12" i="32"/>
  <c r="E12" i="32"/>
  <c r="D12" i="32"/>
  <c r="C12" i="32"/>
  <c r="G105" i="32"/>
  <c r="E105" i="32"/>
  <c r="D105" i="32"/>
  <c r="C105" i="32"/>
  <c r="G67" i="32"/>
  <c r="E67" i="32"/>
  <c r="D67" i="32"/>
  <c r="C67" i="32"/>
  <c r="G81" i="32"/>
  <c r="E81" i="32"/>
  <c r="D81" i="32"/>
  <c r="C81" i="32"/>
  <c r="G24" i="32"/>
  <c r="E24" i="32"/>
  <c r="D24" i="32"/>
  <c r="C24" i="32"/>
  <c r="G157" i="32"/>
  <c r="E157" i="32"/>
  <c r="D157" i="32"/>
  <c r="C157" i="32"/>
  <c r="G131" i="32"/>
  <c r="E131" i="32"/>
  <c r="D131" i="32"/>
  <c r="C131" i="32"/>
  <c r="G15" i="32"/>
  <c r="E15" i="32"/>
  <c r="D15" i="32"/>
  <c r="C15" i="32"/>
  <c r="G130" i="32"/>
  <c r="E130" i="32"/>
  <c r="D130" i="32"/>
  <c r="C130" i="32"/>
  <c r="G21" i="32"/>
  <c r="E21" i="32"/>
  <c r="D21" i="32"/>
  <c r="C21" i="32"/>
  <c r="G60" i="32"/>
  <c r="E60" i="32"/>
  <c r="D60" i="32"/>
  <c r="C60" i="32"/>
  <c r="G76" i="32"/>
  <c r="E76" i="32"/>
  <c r="D76" i="32"/>
  <c r="C76" i="32"/>
  <c r="G8" i="32"/>
  <c r="E8" i="32"/>
  <c r="D8" i="32"/>
  <c r="C8" i="32"/>
  <c r="G53" i="32"/>
  <c r="E53" i="32"/>
  <c r="D53" i="32"/>
  <c r="C53" i="32"/>
  <c r="G166" i="32"/>
  <c r="E166" i="32"/>
  <c r="D166" i="32"/>
  <c r="C166" i="32"/>
  <c r="G47" i="32"/>
  <c r="E47" i="32"/>
  <c r="D47" i="32"/>
  <c r="C47" i="32"/>
  <c r="G6" i="32"/>
  <c r="E6" i="32"/>
  <c r="D6" i="32"/>
  <c r="C6" i="32"/>
  <c r="G38" i="32"/>
  <c r="E38" i="32"/>
  <c r="D38" i="32"/>
  <c r="C38" i="32"/>
  <c r="G39" i="32"/>
  <c r="E39" i="32"/>
  <c r="D39" i="32"/>
  <c r="C39" i="32"/>
  <c r="G152" i="32"/>
  <c r="E152" i="32"/>
  <c r="D152" i="32"/>
  <c r="C152" i="32"/>
  <c r="G145" i="32"/>
  <c r="E145" i="32"/>
  <c r="D145" i="32"/>
  <c r="C145" i="32"/>
  <c r="G27" i="32"/>
  <c r="E27" i="32"/>
  <c r="D27" i="32"/>
  <c r="C27" i="32"/>
  <c r="G143" i="32"/>
  <c r="E143" i="32"/>
  <c r="D143" i="32"/>
  <c r="C143" i="32"/>
  <c r="G125" i="32"/>
  <c r="E125" i="32"/>
  <c r="D125" i="32"/>
  <c r="C125" i="32"/>
  <c r="G151" i="32"/>
  <c r="E151" i="32"/>
  <c r="D151" i="32"/>
  <c r="C151" i="32"/>
  <c r="G50" i="32"/>
  <c r="E50" i="32"/>
  <c r="D50" i="32"/>
  <c r="C50" i="32"/>
  <c r="G117" i="32"/>
  <c r="E117" i="32"/>
  <c r="D117" i="32"/>
  <c r="C117" i="32"/>
  <c r="G64" i="32"/>
  <c r="E64" i="32"/>
  <c r="D64" i="32"/>
  <c r="C64" i="32"/>
  <c r="G127" i="32"/>
  <c r="E127" i="32"/>
  <c r="D127" i="32"/>
  <c r="C127" i="32"/>
  <c r="G104" i="32"/>
  <c r="E104" i="32"/>
  <c r="D104" i="32"/>
  <c r="C104" i="32"/>
  <c r="G138" i="32"/>
  <c r="E138" i="32"/>
  <c r="D138" i="32"/>
  <c r="C138" i="32"/>
  <c r="G55" i="32"/>
  <c r="E55" i="32"/>
  <c r="D55" i="32"/>
  <c r="C55" i="32"/>
  <c r="G141" i="32"/>
  <c r="E141" i="32"/>
  <c r="D141" i="32"/>
  <c r="C141" i="32"/>
  <c r="G124" i="32"/>
  <c r="E124" i="32"/>
  <c r="D124" i="32"/>
  <c r="C124" i="32"/>
  <c r="G140" i="32"/>
  <c r="E140" i="32"/>
  <c r="D140" i="32"/>
  <c r="C140" i="32"/>
  <c r="G18" i="32"/>
  <c r="E18" i="32"/>
  <c r="D18" i="32"/>
  <c r="C18" i="32"/>
  <c r="G25" i="32"/>
  <c r="E25" i="32"/>
  <c r="D25" i="32"/>
  <c r="C25" i="32"/>
  <c r="G45" i="32"/>
  <c r="E45" i="32"/>
  <c r="D45" i="32"/>
  <c r="C45" i="32"/>
  <c r="G114" i="32"/>
  <c r="E114" i="32"/>
  <c r="D114" i="32"/>
  <c r="C114" i="32"/>
  <c r="G168" i="32"/>
  <c r="E168" i="32"/>
  <c r="D168" i="32"/>
  <c r="C168" i="32"/>
  <c r="G153" i="32"/>
  <c r="E153" i="32"/>
  <c r="D153" i="32"/>
  <c r="C153" i="32"/>
  <c r="G167" i="32"/>
  <c r="E167" i="32"/>
  <c r="D167" i="32"/>
  <c r="C167" i="32"/>
  <c r="G52" i="32"/>
  <c r="E52" i="32"/>
  <c r="D52" i="32"/>
  <c r="C52" i="32"/>
  <c r="G43" i="32"/>
  <c r="E43" i="32"/>
  <c r="D43" i="32"/>
  <c r="C43" i="32"/>
  <c r="G156" i="32"/>
  <c r="E156" i="32"/>
  <c r="D156" i="32"/>
  <c r="C156" i="32"/>
  <c r="G79" i="32"/>
  <c r="E79" i="32"/>
  <c r="D79" i="32"/>
  <c r="C79" i="32"/>
  <c r="G101" i="32"/>
  <c r="E101" i="32"/>
  <c r="D101" i="32"/>
  <c r="C101" i="32"/>
  <c r="G14" i="32"/>
  <c r="E14" i="32"/>
  <c r="D14" i="32"/>
  <c r="C14" i="32"/>
  <c r="G75" i="32"/>
  <c r="E75" i="32"/>
  <c r="D75" i="32"/>
  <c r="C75" i="32"/>
  <c r="G139" i="32"/>
  <c r="E139" i="32"/>
  <c r="D139" i="32"/>
  <c r="C139" i="32"/>
  <c r="G40" i="32"/>
  <c r="E40" i="32"/>
  <c r="D40" i="32"/>
  <c r="C40" i="32"/>
  <c r="G103" i="32"/>
  <c r="E103" i="32"/>
  <c r="D103" i="32"/>
  <c r="C103" i="32"/>
  <c r="G61" i="32"/>
  <c r="E61" i="32"/>
  <c r="D61" i="32"/>
  <c r="C61" i="32"/>
  <c r="G158" i="32"/>
  <c r="E158" i="32"/>
  <c r="D158" i="32"/>
  <c r="C158" i="32"/>
  <c r="G118" i="32"/>
  <c r="E118" i="32"/>
  <c r="D118" i="32"/>
  <c r="C118" i="32"/>
  <c r="G108" i="32"/>
  <c r="E108" i="32"/>
  <c r="D108" i="32"/>
  <c r="C108" i="32"/>
  <c r="G88" i="32"/>
  <c r="E88" i="32"/>
  <c r="D88" i="32"/>
  <c r="C88" i="32"/>
  <c r="G23" i="32"/>
  <c r="E23" i="32"/>
  <c r="D23" i="32"/>
  <c r="C23" i="32"/>
  <c r="G32" i="32"/>
  <c r="E32" i="32"/>
  <c r="D32" i="32"/>
  <c r="C32" i="32"/>
  <c r="G106" i="32"/>
  <c r="E106" i="32"/>
  <c r="D106" i="32"/>
  <c r="C106" i="32"/>
  <c r="G87" i="32"/>
  <c r="E87" i="32"/>
  <c r="D87" i="32"/>
  <c r="C87" i="32"/>
  <c r="G116" i="32"/>
  <c r="E116" i="32"/>
  <c r="D116" i="32"/>
  <c r="C116" i="32"/>
  <c r="G142" i="32"/>
  <c r="E142" i="32"/>
  <c r="D142" i="32"/>
  <c r="C142" i="32"/>
  <c r="G20" i="32"/>
  <c r="E20" i="32"/>
  <c r="D20" i="32"/>
  <c r="C20" i="32"/>
  <c r="G163" i="32"/>
  <c r="E163" i="32"/>
  <c r="D163" i="32"/>
  <c r="C163" i="32"/>
  <c r="G5" i="32"/>
  <c r="E5" i="32"/>
  <c r="D5" i="32"/>
  <c r="C5" i="32"/>
  <c r="G133" i="32"/>
  <c r="E133" i="32"/>
  <c r="D133" i="32"/>
  <c r="C133" i="32"/>
  <c r="G69" i="32"/>
  <c r="E69" i="32"/>
  <c r="D69" i="32"/>
  <c r="C69" i="32"/>
  <c r="G86" i="32"/>
  <c r="E86" i="32"/>
  <c r="D86" i="32"/>
  <c r="C86" i="32"/>
  <c r="G111" i="32"/>
  <c r="E111" i="32"/>
  <c r="D111" i="32"/>
  <c r="C111" i="32"/>
  <c r="G121" i="32"/>
  <c r="E121" i="32"/>
  <c r="D121" i="32"/>
  <c r="C121" i="32"/>
  <c r="G85" i="32"/>
  <c r="E85" i="32"/>
  <c r="D85" i="32"/>
  <c r="C85" i="32"/>
  <c r="G65" i="32"/>
  <c r="E65" i="32"/>
  <c r="D65" i="32"/>
  <c r="C65" i="32"/>
  <c r="G29" i="32"/>
  <c r="E29" i="32"/>
  <c r="D29" i="32"/>
  <c r="C29" i="32"/>
  <c r="G57" i="32"/>
  <c r="E57" i="32"/>
  <c r="D57" i="32"/>
  <c r="C57" i="32"/>
  <c r="G7" i="32"/>
  <c r="E7" i="32"/>
  <c r="D7" i="32"/>
  <c r="C7" i="32"/>
  <c r="G84" i="32"/>
  <c r="E84" i="32"/>
  <c r="D84" i="32"/>
  <c r="C84" i="32"/>
  <c r="G16" i="32"/>
  <c r="E16" i="32"/>
  <c r="D16" i="32"/>
  <c r="C16" i="32"/>
  <c r="G44" i="32"/>
  <c r="E44" i="32"/>
  <c r="D44" i="32"/>
  <c r="C44" i="32"/>
  <c r="G134" i="32"/>
  <c r="E134" i="32"/>
  <c r="D134" i="32"/>
  <c r="C134" i="32"/>
  <c r="G83" i="32"/>
  <c r="E83" i="32"/>
  <c r="D83" i="32"/>
  <c r="C83" i="32"/>
  <c r="G120" i="32"/>
  <c r="E120" i="32"/>
  <c r="D120" i="32"/>
  <c r="C120" i="32"/>
  <c r="G109" i="32"/>
  <c r="E109" i="32"/>
  <c r="D109" i="32"/>
  <c r="C109" i="32"/>
  <c r="G82" i="32"/>
  <c r="E82" i="32"/>
  <c r="D82" i="32"/>
  <c r="C82" i="32"/>
  <c r="G169" i="32"/>
  <c r="E169" i="32"/>
  <c r="D169" i="32"/>
  <c r="C169" i="32"/>
  <c r="G22" i="32"/>
  <c r="E22" i="32"/>
  <c r="D22" i="32"/>
  <c r="C22" i="32"/>
  <c r="G54" i="32"/>
  <c r="E54" i="32"/>
  <c r="D54" i="32"/>
  <c r="C54" i="32"/>
  <c r="G42" i="32"/>
  <c r="E42" i="32"/>
  <c r="D42" i="32"/>
  <c r="C42" i="32"/>
  <c r="G4" i="32"/>
  <c r="E4" i="32"/>
  <c r="D4" i="32"/>
  <c r="C4" i="32"/>
  <c r="G33" i="32"/>
  <c r="E33" i="32"/>
  <c r="D33" i="32"/>
  <c r="C33" i="32"/>
  <c r="F62" i="32" l="1"/>
  <c r="F63" i="32"/>
  <c r="F129" i="32"/>
  <c r="F95" i="32"/>
  <c r="F172" i="32"/>
  <c r="F10" i="32"/>
  <c r="F61" i="32"/>
  <c r="F60" i="32"/>
  <c r="F42" i="32"/>
  <c r="F22" i="32"/>
  <c r="F111" i="32"/>
  <c r="F81" i="32"/>
  <c r="F104" i="32"/>
  <c r="F64" i="32"/>
  <c r="F152" i="32"/>
  <c r="F38" i="32"/>
  <c r="F53" i="32"/>
  <c r="F8" i="32"/>
  <c r="F100" i="32"/>
  <c r="F137" i="32"/>
  <c r="F66" i="32"/>
  <c r="F48" i="32"/>
  <c r="F169" i="32"/>
  <c r="F79" i="32"/>
  <c r="F45" i="32"/>
  <c r="F112" i="32"/>
  <c r="F89" i="32"/>
  <c r="F31" i="32"/>
  <c r="F33" i="32"/>
  <c r="F86" i="32"/>
  <c r="F116" i="32"/>
  <c r="F106" i="32"/>
  <c r="F23" i="32"/>
  <c r="F127" i="32"/>
  <c r="F143" i="32"/>
  <c r="F47" i="32"/>
  <c r="F30" i="32"/>
  <c r="F97" i="32"/>
  <c r="F57" i="32"/>
  <c r="F29" i="32"/>
  <c r="F121" i="32"/>
  <c r="F52" i="32"/>
  <c r="F167" i="32"/>
  <c r="F153" i="32"/>
  <c r="F55" i="32"/>
  <c r="F138" i="32"/>
  <c r="F122" i="32"/>
  <c r="F146" i="32"/>
  <c r="F164" i="32"/>
  <c r="F68" i="32"/>
  <c r="F19" i="32"/>
  <c r="F109" i="32"/>
  <c r="F120" i="32"/>
  <c r="F83" i="32"/>
  <c r="F133" i="32"/>
  <c r="F88" i="32"/>
  <c r="F108" i="32"/>
  <c r="F118" i="32"/>
  <c r="F156" i="32"/>
  <c r="F15" i="32"/>
  <c r="F157" i="32"/>
  <c r="F144" i="32"/>
  <c r="F16" i="32"/>
  <c r="F5" i="32"/>
  <c r="F163" i="32"/>
  <c r="F20" i="32"/>
  <c r="F139" i="32"/>
  <c r="F75" i="32"/>
  <c r="F18" i="32"/>
  <c r="F50" i="32"/>
  <c r="F151" i="32"/>
  <c r="F12" i="32"/>
  <c r="F102" i="32"/>
  <c r="F77" i="32"/>
  <c r="F28" i="32"/>
  <c r="F91" i="32"/>
  <c r="F36" i="32"/>
  <c r="F92" i="32"/>
  <c r="F11" i="32"/>
  <c r="F170" i="32"/>
  <c r="F154" i="32"/>
  <c r="F78" i="32"/>
  <c r="F107" i="32"/>
  <c r="F165" i="32"/>
  <c r="F82" i="32"/>
  <c r="F7" i="32"/>
  <c r="F69" i="32"/>
  <c r="F142" i="32"/>
  <c r="F32" i="32"/>
  <c r="F43" i="32"/>
  <c r="F25" i="32"/>
  <c r="F145" i="32"/>
  <c r="F39" i="32"/>
  <c r="F130" i="32"/>
  <c r="F131" i="32"/>
  <c r="F59" i="32"/>
  <c r="F150" i="32"/>
  <c r="F9" i="32"/>
  <c r="F171" i="32"/>
  <c r="F132" i="32"/>
  <c r="F119" i="32"/>
  <c r="F160" i="32"/>
  <c r="F155" i="32"/>
  <c r="F99" i="32"/>
  <c r="F174" i="32"/>
  <c r="F70" i="32"/>
  <c r="E175" i="32"/>
  <c r="F54" i="32"/>
  <c r="F44" i="32"/>
  <c r="F84" i="32"/>
  <c r="F65" i="32"/>
  <c r="F40" i="32"/>
  <c r="F101" i="32"/>
  <c r="F168" i="32"/>
  <c r="F140" i="32"/>
  <c r="F141" i="32"/>
  <c r="F117" i="32"/>
  <c r="F105" i="32"/>
  <c r="F136" i="32"/>
  <c r="F46" i="32"/>
  <c r="F17" i="32"/>
  <c r="F149" i="32"/>
  <c r="F35" i="32"/>
  <c r="F110" i="32"/>
  <c r="F73" i="32"/>
  <c r="F93" i="32"/>
  <c r="F80" i="32"/>
  <c r="F37" i="32"/>
  <c r="F96" i="32"/>
  <c r="F56" i="32"/>
  <c r="F34" i="32"/>
  <c r="F162" i="32"/>
  <c r="F98" i="32"/>
  <c r="F161" i="32"/>
  <c r="G175" i="32"/>
  <c r="C175" i="32"/>
  <c r="F87" i="32"/>
  <c r="F166" i="32"/>
  <c r="F24" i="32"/>
  <c r="F90" i="32"/>
  <c r="F128" i="32"/>
  <c r="F3" i="32"/>
  <c r="D175" i="32"/>
  <c r="F4" i="32"/>
  <c r="F85" i="32"/>
  <c r="F103" i="32"/>
  <c r="F14" i="32"/>
  <c r="F124" i="32"/>
  <c r="F27" i="32"/>
  <c r="F76" i="32"/>
  <c r="F71" i="32"/>
  <c r="F147" i="32"/>
  <c r="F159" i="32"/>
  <c r="F123" i="32"/>
  <c r="F126" i="32"/>
  <c r="F134" i="32"/>
  <c r="F158" i="32"/>
  <c r="F114" i="32"/>
  <c r="F125" i="32"/>
  <c r="F6" i="32"/>
  <c r="F21" i="32"/>
  <c r="F67" i="32"/>
  <c r="F148" i="32"/>
  <c r="F113" i="32"/>
  <c r="F115" i="32"/>
  <c r="F26" i="32"/>
  <c r="F41" i="32"/>
  <c r="F49" i="32"/>
  <c r="F51" i="32"/>
  <c r="F74" i="32"/>
  <c r="F72" i="32"/>
  <c r="F94" i="32"/>
  <c r="F58" i="32"/>
  <c r="F135" i="32"/>
  <c r="F173" i="32"/>
  <c r="F13" i="32"/>
  <c r="G165" i="31"/>
  <c r="E165" i="31"/>
  <c r="D165" i="31"/>
  <c r="C165" i="31"/>
  <c r="G66" i="31"/>
  <c r="E66" i="31"/>
  <c r="D66" i="31"/>
  <c r="C66" i="31"/>
  <c r="G173" i="31"/>
  <c r="E173" i="31"/>
  <c r="D173" i="31"/>
  <c r="C173" i="31"/>
  <c r="G96" i="31"/>
  <c r="E96" i="31"/>
  <c r="D96" i="31"/>
  <c r="C96" i="31"/>
  <c r="G10" i="31"/>
  <c r="E10" i="31"/>
  <c r="D10" i="31"/>
  <c r="C10" i="31"/>
  <c r="G24" i="31"/>
  <c r="E24" i="31"/>
  <c r="D24" i="31"/>
  <c r="C24" i="31"/>
  <c r="G159" i="31"/>
  <c r="E159" i="31"/>
  <c r="D159" i="31"/>
  <c r="C159" i="31"/>
  <c r="G156" i="31"/>
  <c r="E156" i="31"/>
  <c r="D156" i="31"/>
  <c r="C156" i="31"/>
  <c r="G17" i="31"/>
  <c r="E17" i="31"/>
  <c r="D17" i="31"/>
  <c r="C17" i="31"/>
  <c r="G161" i="31"/>
  <c r="E161" i="31"/>
  <c r="D161" i="31"/>
  <c r="C161" i="31"/>
  <c r="G170" i="31"/>
  <c r="E170" i="31"/>
  <c r="D170" i="31"/>
  <c r="C170" i="31"/>
  <c r="G123" i="31"/>
  <c r="E123" i="31"/>
  <c r="D123" i="31"/>
  <c r="C123" i="31"/>
  <c r="G63" i="31"/>
  <c r="E63" i="31"/>
  <c r="D63" i="31"/>
  <c r="C63" i="31"/>
  <c r="G134" i="31"/>
  <c r="E134" i="31"/>
  <c r="D134" i="31"/>
  <c r="C134" i="31"/>
  <c r="G97" i="31"/>
  <c r="E97" i="31"/>
  <c r="D97" i="31"/>
  <c r="C97" i="31"/>
  <c r="G120" i="31"/>
  <c r="E120" i="31"/>
  <c r="D120" i="31"/>
  <c r="C120" i="31"/>
  <c r="G153" i="31"/>
  <c r="E153" i="31"/>
  <c r="D153" i="31"/>
  <c r="C153" i="31"/>
  <c r="G104" i="31"/>
  <c r="E104" i="31"/>
  <c r="D104" i="31"/>
  <c r="C104" i="31"/>
  <c r="G40" i="31"/>
  <c r="E40" i="31"/>
  <c r="D40" i="31"/>
  <c r="C40" i="31"/>
  <c r="G34" i="31"/>
  <c r="E34" i="31"/>
  <c r="D34" i="31"/>
  <c r="C34" i="31"/>
  <c r="G95" i="31"/>
  <c r="E95" i="31"/>
  <c r="D95" i="31"/>
  <c r="C95" i="31"/>
  <c r="G22" i="31"/>
  <c r="E22" i="31"/>
  <c r="D22" i="31"/>
  <c r="C22" i="31"/>
  <c r="G157" i="31"/>
  <c r="E157" i="31"/>
  <c r="D157" i="31"/>
  <c r="C157" i="31"/>
  <c r="G132" i="31"/>
  <c r="E132" i="31"/>
  <c r="D132" i="31"/>
  <c r="C132" i="31"/>
  <c r="G171" i="31"/>
  <c r="E171" i="31"/>
  <c r="D171" i="31"/>
  <c r="C171" i="31"/>
  <c r="G54" i="31"/>
  <c r="E54" i="31"/>
  <c r="D54" i="31"/>
  <c r="C54" i="31"/>
  <c r="G94" i="31"/>
  <c r="E94" i="31"/>
  <c r="D94" i="31"/>
  <c r="C94" i="31"/>
  <c r="G93" i="31"/>
  <c r="E93" i="31"/>
  <c r="D93" i="31"/>
  <c r="C93" i="31"/>
  <c r="G38" i="31"/>
  <c r="E38" i="31"/>
  <c r="D38" i="31"/>
  <c r="C38" i="31"/>
  <c r="G92" i="31"/>
  <c r="E92" i="31"/>
  <c r="D92" i="31"/>
  <c r="C92" i="31"/>
  <c r="G73" i="31"/>
  <c r="E73" i="31"/>
  <c r="D73" i="31"/>
  <c r="C73" i="31"/>
  <c r="G151" i="31"/>
  <c r="E151" i="31"/>
  <c r="D151" i="31"/>
  <c r="C151" i="31"/>
  <c r="G169" i="31"/>
  <c r="E169" i="31"/>
  <c r="D169" i="31"/>
  <c r="C169" i="31"/>
  <c r="G68" i="31"/>
  <c r="E68" i="31"/>
  <c r="D68" i="31"/>
  <c r="C68" i="31"/>
  <c r="G126" i="31"/>
  <c r="E126" i="31"/>
  <c r="D126" i="31"/>
  <c r="C126" i="31"/>
  <c r="G3" i="31"/>
  <c r="E3" i="31"/>
  <c r="D3" i="31"/>
  <c r="C3" i="31"/>
  <c r="G75" i="31"/>
  <c r="E75" i="31"/>
  <c r="D75" i="31"/>
  <c r="C75" i="31"/>
  <c r="G59" i="31"/>
  <c r="E59" i="31"/>
  <c r="D59" i="31"/>
  <c r="C59" i="31"/>
  <c r="G91" i="31"/>
  <c r="E91" i="31"/>
  <c r="D91" i="31"/>
  <c r="C91" i="31"/>
  <c r="G58" i="31"/>
  <c r="E58" i="31"/>
  <c r="D58" i="31"/>
  <c r="C58" i="31"/>
  <c r="G116" i="31"/>
  <c r="E116" i="31"/>
  <c r="D116" i="31"/>
  <c r="C116" i="31"/>
  <c r="G129" i="31"/>
  <c r="E129" i="31"/>
  <c r="D129" i="31"/>
  <c r="C129" i="31"/>
  <c r="G70" i="31"/>
  <c r="E70" i="31"/>
  <c r="D70" i="31"/>
  <c r="C70" i="31"/>
  <c r="G125" i="31"/>
  <c r="E125" i="31"/>
  <c r="D125" i="31"/>
  <c r="C125" i="31"/>
  <c r="G49" i="31"/>
  <c r="E49" i="31"/>
  <c r="D49" i="31"/>
  <c r="C49" i="31"/>
  <c r="G11" i="31"/>
  <c r="E11" i="31"/>
  <c r="D11" i="31"/>
  <c r="C11" i="31"/>
  <c r="G167" i="31"/>
  <c r="E167" i="31"/>
  <c r="D167" i="31"/>
  <c r="C167" i="31"/>
  <c r="G90" i="31"/>
  <c r="E90" i="31"/>
  <c r="D90" i="31"/>
  <c r="C90" i="31"/>
  <c r="E48" i="31"/>
  <c r="D48" i="31"/>
  <c r="C48" i="31"/>
  <c r="G69" i="31"/>
  <c r="E69" i="31"/>
  <c r="D69" i="31"/>
  <c r="C69" i="31"/>
  <c r="G107" i="31"/>
  <c r="E107" i="31"/>
  <c r="D107" i="31"/>
  <c r="C107" i="31"/>
  <c r="G36" i="31"/>
  <c r="E36" i="31"/>
  <c r="D36" i="31"/>
  <c r="C36" i="31"/>
  <c r="G65" i="31"/>
  <c r="E65" i="31"/>
  <c r="D65" i="31"/>
  <c r="C65" i="31"/>
  <c r="G141" i="31"/>
  <c r="E141" i="31"/>
  <c r="D141" i="31"/>
  <c r="C141" i="31"/>
  <c r="G37" i="31"/>
  <c r="E37" i="31"/>
  <c r="D37" i="31"/>
  <c r="C37" i="31"/>
  <c r="G89" i="31"/>
  <c r="E89" i="31"/>
  <c r="D89" i="31"/>
  <c r="C89" i="31"/>
  <c r="G41" i="31"/>
  <c r="E41" i="31"/>
  <c r="D41" i="31"/>
  <c r="C41" i="31"/>
  <c r="G145" i="31"/>
  <c r="E145" i="31"/>
  <c r="D145" i="31"/>
  <c r="C145" i="31"/>
  <c r="G88" i="31"/>
  <c r="E88" i="31"/>
  <c r="D88" i="31"/>
  <c r="C88" i="31"/>
  <c r="G32" i="31"/>
  <c r="E32" i="31"/>
  <c r="D32" i="31"/>
  <c r="C32" i="31"/>
  <c r="G25" i="31"/>
  <c r="E25" i="31"/>
  <c r="D25" i="31"/>
  <c r="C25" i="31"/>
  <c r="G9" i="31"/>
  <c r="E9" i="31"/>
  <c r="D9" i="31"/>
  <c r="C9" i="31"/>
  <c r="G87" i="31"/>
  <c r="E87" i="31"/>
  <c r="D87" i="31"/>
  <c r="C87" i="31"/>
  <c r="G146" i="31"/>
  <c r="E146" i="31"/>
  <c r="D146" i="31"/>
  <c r="C146" i="31"/>
  <c r="G16" i="31"/>
  <c r="E16" i="31"/>
  <c r="D16" i="31"/>
  <c r="C16" i="31"/>
  <c r="G86" i="31"/>
  <c r="E86" i="31"/>
  <c r="D86" i="31"/>
  <c r="C86" i="31"/>
  <c r="G112" i="31"/>
  <c r="E112" i="31"/>
  <c r="D112" i="31"/>
  <c r="C112" i="31"/>
  <c r="G109" i="31"/>
  <c r="E109" i="31"/>
  <c r="D109" i="31"/>
  <c r="C109" i="31"/>
  <c r="G55" i="31"/>
  <c r="E55" i="31"/>
  <c r="D55" i="31"/>
  <c r="C55" i="31"/>
  <c r="G110" i="31"/>
  <c r="E110" i="31"/>
  <c r="D110" i="31"/>
  <c r="C110" i="31"/>
  <c r="G143" i="31"/>
  <c r="E143" i="31"/>
  <c r="D143" i="31"/>
  <c r="C143" i="31"/>
  <c r="G164" i="31"/>
  <c r="E164" i="31"/>
  <c r="D164" i="31"/>
  <c r="C164" i="31"/>
  <c r="G142" i="31"/>
  <c r="E142" i="31"/>
  <c r="D142" i="31"/>
  <c r="C142" i="31"/>
  <c r="G119" i="31"/>
  <c r="E119" i="31"/>
  <c r="D119" i="31"/>
  <c r="C119" i="31"/>
  <c r="G85" i="31"/>
  <c r="E85" i="31"/>
  <c r="D85" i="31"/>
  <c r="C85" i="31"/>
  <c r="G67" i="31"/>
  <c r="E67" i="31"/>
  <c r="D67" i="31"/>
  <c r="C67" i="31"/>
  <c r="G144" i="31"/>
  <c r="E144" i="31"/>
  <c r="D144" i="31"/>
  <c r="C144" i="31"/>
  <c r="G26" i="31"/>
  <c r="E26" i="31"/>
  <c r="D26" i="31"/>
  <c r="C26" i="31"/>
  <c r="G99" i="31"/>
  <c r="E99" i="31"/>
  <c r="D99" i="31"/>
  <c r="C99" i="31"/>
  <c r="G46" i="31"/>
  <c r="E46" i="31"/>
  <c r="D46" i="31"/>
  <c r="C46" i="31"/>
  <c r="G133" i="31"/>
  <c r="E133" i="31"/>
  <c r="D133" i="31"/>
  <c r="C133" i="31"/>
  <c r="G13" i="31"/>
  <c r="E13" i="31"/>
  <c r="D13" i="31"/>
  <c r="C13" i="31"/>
  <c r="G102" i="31"/>
  <c r="E102" i="31"/>
  <c r="D102" i="31"/>
  <c r="C102" i="31"/>
  <c r="G64" i="31"/>
  <c r="E64" i="31"/>
  <c r="D64" i="31"/>
  <c r="C64" i="31"/>
  <c r="G76" i="31"/>
  <c r="E76" i="31"/>
  <c r="D76" i="31"/>
  <c r="C76" i="31"/>
  <c r="G23" i="31"/>
  <c r="E23" i="31"/>
  <c r="D23" i="31"/>
  <c r="C23" i="31"/>
  <c r="G154" i="31"/>
  <c r="E154" i="31"/>
  <c r="D154" i="31"/>
  <c r="C154" i="31"/>
  <c r="G128" i="31"/>
  <c r="E128" i="31"/>
  <c r="D128" i="31"/>
  <c r="C128" i="31"/>
  <c r="G14" i="31"/>
  <c r="E14" i="31"/>
  <c r="D14" i="31"/>
  <c r="C14" i="31"/>
  <c r="G127" i="31"/>
  <c r="E127" i="31"/>
  <c r="D127" i="31"/>
  <c r="C127" i="31"/>
  <c r="G29" i="31"/>
  <c r="E29" i="31"/>
  <c r="D29" i="31"/>
  <c r="C29" i="31"/>
  <c r="G56" i="31"/>
  <c r="E56" i="31"/>
  <c r="D56" i="31"/>
  <c r="C56" i="31"/>
  <c r="G71" i="31"/>
  <c r="E71" i="31"/>
  <c r="D71" i="31"/>
  <c r="C71" i="31"/>
  <c r="G8" i="31"/>
  <c r="E8" i="31"/>
  <c r="D8" i="31"/>
  <c r="C8" i="31"/>
  <c r="G51" i="31"/>
  <c r="E51" i="31"/>
  <c r="D51" i="31"/>
  <c r="C51" i="31"/>
  <c r="G163" i="31"/>
  <c r="E163" i="31"/>
  <c r="D163" i="31"/>
  <c r="C163" i="31"/>
  <c r="G47" i="31"/>
  <c r="E47" i="31"/>
  <c r="D47" i="31"/>
  <c r="C47" i="31"/>
  <c r="G5" i="31"/>
  <c r="E5" i="31"/>
  <c r="D5" i="31"/>
  <c r="C5" i="31"/>
  <c r="G149" i="31"/>
  <c r="E149" i="31"/>
  <c r="D149" i="31"/>
  <c r="C149" i="31"/>
  <c r="G39" i="31"/>
  <c r="E39" i="31"/>
  <c r="D39" i="31"/>
  <c r="C39" i="31"/>
  <c r="G148" i="31"/>
  <c r="E148" i="31"/>
  <c r="D148" i="31"/>
  <c r="C148" i="31"/>
  <c r="G158" i="31"/>
  <c r="E158" i="31"/>
  <c r="D158" i="31"/>
  <c r="C158" i="31"/>
  <c r="G27" i="31"/>
  <c r="E27" i="31"/>
  <c r="D27" i="31"/>
  <c r="C27" i="31"/>
  <c r="G140" i="31"/>
  <c r="E140" i="31"/>
  <c r="D140" i="31"/>
  <c r="C140" i="31"/>
  <c r="G122" i="31"/>
  <c r="E122" i="31"/>
  <c r="D122" i="31"/>
  <c r="C122" i="31"/>
  <c r="G147" i="31"/>
  <c r="E147" i="31"/>
  <c r="D147" i="31"/>
  <c r="C147" i="31"/>
  <c r="G162" i="31"/>
  <c r="E162" i="31"/>
  <c r="D162" i="31"/>
  <c r="C162" i="31"/>
  <c r="G114" i="31"/>
  <c r="E114" i="31"/>
  <c r="D114" i="31"/>
  <c r="C114" i="31"/>
  <c r="G60" i="31"/>
  <c r="E60" i="31"/>
  <c r="D60" i="31"/>
  <c r="C60" i="31"/>
  <c r="G124" i="31"/>
  <c r="E124" i="31"/>
  <c r="D124" i="31"/>
  <c r="C124" i="31"/>
  <c r="G101" i="31"/>
  <c r="E101" i="31"/>
  <c r="D101" i="31"/>
  <c r="C101" i="31"/>
  <c r="G135" i="31"/>
  <c r="E135" i="31"/>
  <c r="D135" i="31"/>
  <c r="C135" i="31"/>
  <c r="G166" i="31"/>
  <c r="E166" i="31"/>
  <c r="D166" i="31"/>
  <c r="C166" i="31"/>
  <c r="G138" i="31"/>
  <c r="E138" i="31"/>
  <c r="D138" i="31"/>
  <c r="C138" i="31"/>
  <c r="G121" i="31"/>
  <c r="E121" i="31"/>
  <c r="D121" i="31"/>
  <c r="C121" i="31"/>
  <c r="G137" i="31"/>
  <c r="E137" i="31"/>
  <c r="D137" i="31"/>
  <c r="C137" i="31"/>
  <c r="G61" i="31"/>
  <c r="E61" i="31"/>
  <c r="D61" i="31"/>
  <c r="C61" i="31"/>
  <c r="G33" i="31"/>
  <c r="E33" i="31"/>
  <c r="D33" i="31"/>
  <c r="C33" i="31"/>
  <c r="G43" i="31"/>
  <c r="E43" i="31"/>
  <c r="D43" i="31"/>
  <c r="C43" i="31"/>
  <c r="G160" i="31"/>
  <c r="E160" i="31"/>
  <c r="D160" i="31"/>
  <c r="C160" i="31"/>
  <c r="G45" i="31"/>
  <c r="E45" i="31"/>
  <c r="D45" i="31"/>
  <c r="C45" i="31"/>
  <c r="G111" i="31"/>
  <c r="E111" i="31"/>
  <c r="D111" i="31"/>
  <c r="C111" i="31"/>
  <c r="G98" i="31"/>
  <c r="E98" i="31"/>
  <c r="D98" i="31"/>
  <c r="C98" i="31"/>
  <c r="G150" i="31"/>
  <c r="E150" i="31"/>
  <c r="D150" i="31"/>
  <c r="C150" i="31"/>
  <c r="G72" i="31"/>
  <c r="E72" i="31"/>
  <c r="D72" i="31"/>
  <c r="C72" i="31"/>
  <c r="G50" i="31"/>
  <c r="E50" i="31"/>
  <c r="D50" i="31"/>
  <c r="C50" i="31"/>
  <c r="G18" i="31"/>
  <c r="E18" i="31"/>
  <c r="D18" i="31"/>
  <c r="C18" i="31"/>
  <c r="G152" i="31"/>
  <c r="E152" i="31"/>
  <c r="D152" i="31"/>
  <c r="C152" i="31"/>
  <c r="G74" i="31"/>
  <c r="E74" i="31"/>
  <c r="D74" i="31"/>
  <c r="C74" i="31"/>
  <c r="G136" i="31"/>
  <c r="E136" i="31"/>
  <c r="D136" i="31"/>
  <c r="C136" i="31"/>
  <c r="G28" i="31"/>
  <c r="E28" i="31"/>
  <c r="D28" i="31"/>
  <c r="C28" i="31"/>
  <c r="G168" i="31"/>
  <c r="E168" i="31"/>
  <c r="D168" i="31"/>
  <c r="C168" i="31"/>
  <c r="G100" i="31"/>
  <c r="E100" i="31"/>
  <c r="D100" i="31"/>
  <c r="C100" i="31"/>
  <c r="G115" i="31"/>
  <c r="E115" i="31"/>
  <c r="D115" i="31"/>
  <c r="C115" i="31"/>
  <c r="G57" i="31"/>
  <c r="E57" i="31"/>
  <c r="D57" i="31"/>
  <c r="C57" i="31"/>
  <c r="G155" i="31"/>
  <c r="E155" i="31"/>
  <c r="D155" i="31"/>
  <c r="C155" i="31"/>
  <c r="G105" i="31"/>
  <c r="E105" i="31"/>
  <c r="D105" i="31"/>
  <c r="C105" i="31"/>
  <c r="G84" i="31"/>
  <c r="E84" i="31"/>
  <c r="D84" i="31"/>
  <c r="C84" i="31"/>
  <c r="G21" i="31"/>
  <c r="E21" i="31"/>
  <c r="D21" i="31"/>
  <c r="C21" i="31"/>
  <c r="G35" i="31"/>
  <c r="E35" i="31"/>
  <c r="D35" i="31"/>
  <c r="C35" i="31"/>
  <c r="G103" i="31"/>
  <c r="E103" i="31"/>
  <c r="D103" i="31"/>
  <c r="C103" i="31"/>
  <c r="G83" i="31"/>
  <c r="E83" i="31"/>
  <c r="D83" i="31"/>
  <c r="C83" i="31"/>
  <c r="G113" i="31"/>
  <c r="E113" i="31"/>
  <c r="D113" i="31"/>
  <c r="C113" i="31"/>
  <c r="G139" i="31"/>
  <c r="E139" i="31"/>
  <c r="D139" i="31"/>
  <c r="C139" i="31"/>
  <c r="G19" i="31"/>
  <c r="E19" i="31"/>
  <c r="D19" i="31"/>
  <c r="C19" i="31"/>
  <c r="G12" i="31"/>
  <c r="E12" i="31"/>
  <c r="D12" i="31"/>
  <c r="C12" i="31"/>
  <c r="G7" i="31"/>
  <c r="E7" i="31"/>
  <c r="D7" i="31"/>
  <c r="C7" i="31"/>
  <c r="G130" i="31"/>
  <c r="E130" i="31"/>
  <c r="D130" i="31"/>
  <c r="C130" i="31"/>
  <c r="G77" i="31"/>
  <c r="E77" i="31"/>
  <c r="D77" i="31"/>
  <c r="C77" i="31"/>
  <c r="G82" i="31"/>
  <c r="E82" i="31"/>
  <c r="D82" i="31"/>
  <c r="C82" i="31"/>
  <c r="G108" i="31"/>
  <c r="E108" i="31"/>
  <c r="D108" i="31"/>
  <c r="C108" i="31"/>
  <c r="G118" i="31"/>
  <c r="E118" i="31"/>
  <c r="D118" i="31"/>
  <c r="C118" i="31"/>
  <c r="G81" i="31"/>
  <c r="E81" i="31"/>
  <c r="D81" i="31"/>
  <c r="C81" i="31"/>
  <c r="G62" i="31"/>
  <c r="E62" i="31"/>
  <c r="D62" i="31"/>
  <c r="C62" i="31"/>
  <c r="G31" i="31"/>
  <c r="E31" i="31"/>
  <c r="D31" i="31"/>
  <c r="C31" i="31"/>
  <c r="G53" i="31"/>
  <c r="E53" i="31"/>
  <c r="D53" i="31"/>
  <c r="C53" i="31"/>
  <c r="G4" i="31"/>
  <c r="E4" i="31"/>
  <c r="D4" i="31"/>
  <c r="C4" i="31"/>
  <c r="G80" i="31"/>
  <c r="E80" i="31"/>
  <c r="D80" i="31"/>
  <c r="C80" i="31"/>
  <c r="G15" i="31"/>
  <c r="E15" i="31"/>
  <c r="D15" i="31"/>
  <c r="C15" i="31"/>
  <c r="G44" i="31"/>
  <c r="E44" i="31"/>
  <c r="D44" i="31"/>
  <c r="C44" i="31"/>
  <c r="G131" i="31"/>
  <c r="E131" i="31"/>
  <c r="D131" i="31"/>
  <c r="C131" i="31"/>
  <c r="G79" i="31"/>
  <c r="E79" i="31"/>
  <c r="D79" i="31"/>
  <c r="C79" i="31"/>
  <c r="G117" i="31"/>
  <c r="E117" i="31"/>
  <c r="D117" i="31"/>
  <c r="C117" i="31"/>
  <c r="G106" i="31"/>
  <c r="E106" i="31"/>
  <c r="D106" i="31"/>
  <c r="C106" i="31"/>
  <c r="G78" i="31"/>
  <c r="E78" i="31"/>
  <c r="D78" i="31"/>
  <c r="C78" i="31"/>
  <c r="G172" i="31"/>
  <c r="E172" i="31"/>
  <c r="D172" i="31"/>
  <c r="C172" i="31"/>
  <c r="G20" i="31"/>
  <c r="E20" i="31"/>
  <c r="D20" i="31"/>
  <c r="C20" i="31"/>
  <c r="G52" i="31"/>
  <c r="E52" i="31"/>
  <c r="D52" i="31"/>
  <c r="C52" i="31"/>
  <c r="G42" i="31"/>
  <c r="E42" i="31"/>
  <c r="D42" i="31"/>
  <c r="C42" i="31"/>
  <c r="G6" i="31"/>
  <c r="E6" i="31"/>
  <c r="D6" i="31"/>
  <c r="C6" i="31"/>
  <c r="G30" i="31"/>
  <c r="E30" i="31"/>
  <c r="D30" i="31"/>
  <c r="C30" i="31"/>
  <c r="F3" i="31" l="1"/>
  <c r="F159" i="31"/>
  <c r="F155" i="31"/>
  <c r="F112" i="31"/>
  <c r="F57" i="31"/>
  <c r="F28" i="31"/>
  <c r="F45" i="31"/>
  <c r="F67" i="31"/>
  <c r="F42" i="31"/>
  <c r="F172" i="31"/>
  <c r="F106" i="31"/>
  <c r="F117" i="31"/>
  <c r="F131" i="31"/>
  <c r="F84" i="31"/>
  <c r="F105" i="31"/>
  <c r="F85" i="31"/>
  <c r="F27" i="31"/>
  <c r="F51" i="31"/>
  <c r="F56" i="31"/>
  <c r="F29" i="31"/>
  <c r="F14" i="31"/>
  <c r="F15" i="31"/>
  <c r="F147" i="31"/>
  <c r="F41" i="31"/>
  <c r="F89" i="31"/>
  <c r="F48" i="31"/>
  <c r="F95" i="31"/>
  <c r="F40" i="31"/>
  <c r="F38" i="31"/>
  <c r="F93" i="31"/>
  <c r="F132" i="31"/>
  <c r="F22" i="31"/>
  <c r="F60" i="31"/>
  <c r="F55" i="31"/>
  <c r="F116" i="31"/>
  <c r="F151" i="31"/>
  <c r="F134" i="31"/>
  <c r="F77" i="31"/>
  <c r="F111" i="31"/>
  <c r="F166" i="31"/>
  <c r="F101" i="31"/>
  <c r="F158" i="31"/>
  <c r="F149" i="31"/>
  <c r="F64" i="31"/>
  <c r="F99" i="31"/>
  <c r="F164" i="31"/>
  <c r="F110" i="31"/>
  <c r="F146" i="31"/>
  <c r="F70" i="31"/>
  <c r="F126" i="31"/>
  <c r="F153" i="31"/>
  <c r="F24" i="31"/>
  <c r="F96" i="31"/>
  <c r="F5" i="31"/>
  <c r="F109" i="31"/>
  <c r="F25" i="31"/>
  <c r="F170" i="31"/>
  <c r="F53" i="31"/>
  <c r="F108" i="31"/>
  <c r="F50" i="31"/>
  <c r="F61" i="31"/>
  <c r="F128" i="31"/>
  <c r="F76" i="31"/>
  <c r="F65" i="31"/>
  <c r="F49" i="31"/>
  <c r="F75" i="31"/>
  <c r="F156" i="31"/>
  <c r="F136" i="31"/>
  <c r="G174" i="31"/>
  <c r="F31" i="31"/>
  <c r="F19" i="31"/>
  <c r="F113" i="31"/>
  <c r="F152" i="31"/>
  <c r="F72" i="31"/>
  <c r="F150" i="31"/>
  <c r="F122" i="31"/>
  <c r="F26" i="31"/>
  <c r="F144" i="31"/>
  <c r="F92" i="31"/>
  <c r="F165" i="31"/>
  <c r="F35" i="31"/>
  <c r="F71" i="31"/>
  <c r="F143" i="31"/>
  <c r="F59" i="31"/>
  <c r="F157" i="31"/>
  <c r="F120" i="31"/>
  <c r="F30" i="31"/>
  <c r="F6" i="31"/>
  <c r="F44" i="31"/>
  <c r="F103" i="31"/>
  <c r="F100" i="31"/>
  <c r="F168" i="31"/>
  <c r="F43" i="31"/>
  <c r="F33" i="31"/>
  <c r="F39" i="31"/>
  <c r="F154" i="31"/>
  <c r="F23" i="31"/>
  <c r="F142" i="31"/>
  <c r="F9" i="31"/>
  <c r="F141" i="31"/>
  <c r="F167" i="31"/>
  <c r="F11" i="31"/>
  <c r="F58" i="31"/>
  <c r="F169" i="31"/>
  <c r="F171" i="31"/>
  <c r="F34" i="31"/>
  <c r="F63" i="31"/>
  <c r="F123" i="31"/>
  <c r="F10" i="31"/>
  <c r="D174" i="31"/>
  <c r="F52" i="31"/>
  <c r="F20" i="31"/>
  <c r="F80" i="31"/>
  <c r="F81" i="31"/>
  <c r="F130" i="31"/>
  <c r="F7" i="31"/>
  <c r="F12" i="31"/>
  <c r="F83" i="31"/>
  <c r="F115" i="31"/>
  <c r="F74" i="31"/>
  <c r="F160" i="31"/>
  <c r="F121" i="31"/>
  <c r="F138" i="31"/>
  <c r="F162" i="31"/>
  <c r="F148" i="31"/>
  <c r="F163" i="31"/>
  <c r="F13" i="31"/>
  <c r="F133" i="31"/>
  <c r="F119" i="31"/>
  <c r="F86" i="31"/>
  <c r="F87" i="31"/>
  <c r="F88" i="31"/>
  <c r="F145" i="31"/>
  <c r="F37" i="31"/>
  <c r="F107" i="31"/>
  <c r="F90" i="31"/>
  <c r="F125" i="31"/>
  <c r="F68" i="31"/>
  <c r="F73" i="31"/>
  <c r="F54" i="31"/>
  <c r="F104" i="31"/>
  <c r="F66" i="31"/>
  <c r="E174" i="31"/>
  <c r="F79" i="31"/>
  <c r="F62" i="31"/>
  <c r="F82" i="31"/>
  <c r="F98" i="31"/>
  <c r="F124" i="31"/>
  <c r="F140" i="31"/>
  <c r="F127" i="31"/>
  <c r="F129" i="31"/>
  <c r="F94" i="31"/>
  <c r="F97" i="31"/>
  <c r="F78" i="31"/>
  <c r="F4" i="31"/>
  <c r="F118" i="31"/>
  <c r="F139" i="31"/>
  <c r="F18" i="31"/>
  <c r="F135" i="31"/>
  <c r="F8" i="31"/>
  <c r="F46" i="31"/>
  <c r="F16" i="31"/>
  <c r="F69" i="31"/>
  <c r="F17" i="31"/>
  <c r="C174" i="31"/>
  <c r="F21" i="31"/>
  <c r="F137" i="31"/>
  <c r="F114" i="31"/>
  <c r="F47" i="31"/>
  <c r="F102" i="31"/>
  <c r="F32" i="31"/>
  <c r="F36" i="31"/>
  <c r="F91" i="31"/>
  <c r="F161" i="31"/>
  <c r="F173" i="31"/>
  <c r="G163" i="30"/>
  <c r="E163" i="30"/>
  <c r="D163" i="30"/>
  <c r="C163" i="30"/>
  <c r="G65" i="30"/>
  <c r="E65" i="30"/>
  <c r="D65" i="30"/>
  <c r="C65" i="30"/>
  <c r="G174" i="30"/>
  <c r="E174" i="30"/>
  <c r="D174" i="30"/>
  <c r="C174" i="30"/>
  <c r="G94" i="30"/>
  <c r="E94" i="30"/>
  <c r="D94" i="30"/>
  <c r="C94" i="30"/>
  <c r="G9" i="30"/>
  <c r="E9" i="30"/>
  <c r="D9" i="30"/>
  <c r="C9" i="30"/>
  <c r="G13" i="30"/>
  <c r="E13" i="30"/>
  <c r="D13" i="30"/>
  <c r="C13" i="30"/>
  <c r="G160" i="30"/>
  <c r="E160" i="30"/>
  <c r="D160" i="30"/>
  <c r="C160" i="30"/>
  <c r="G156" i="30"/>
  <c r="E156" i="30"/>
  <c r="D156" i="30"/>
  <c r="C156" i="30"/>
  <c r="G23" i="30"/>
  <c r="E23" i="30"/>
  <c r="D23" i="30"/>
  <c r="C23" i="30"/>
  <c r="G21" i="30"/>
  <c r="E21" i="30"/>
  <c r="D21" i="30"/>
  <c r="C21" i="30"/>
  <c r="G159" i="30"/>
  <c r="E159" i="30"/>
  <c r="D159" i="30"/>
  <c r="C159" i="30"/>
  <c r="G41" i="30"/>
  <c r="E41" i="30"/>
  <c r="D41" i="30"/>
  <c r="C41" i="30"/>
  <c r="G171" i="30"/>
  <c r="E171" i="30"/>
  <c r="D171" i="30"/>
  <c r="C171" i="30"/>
  <c r="G122" i="30"/>
  <c r="E122" i="30"/>
  <c r="D122" i="30"/>
  <c r="C122" i="30"/>
  <c r="G62" i="30"/>
  <c r="E62" i="30"/>
  <c r="D62" i="30"/>
  <c r="C62" i="30"/>
  <c r="G133" i="30"/>
  <c r="E133" i="30"/>
  <c r="D133" i="30"/>
  <c r="C133" i="30"/>
  <c r="G95" i="30"/>
  <c r="E95" i="30"/>
  <c r="D95" i="30"/>
  <c r="C95" i="30"/>
  <c r="G119" i="30"/>
  <c r="E119" i="30"/>
  <c r="D119" i="30"/>
  <c r="C119" i="30"/>
  <c r="G168" i="30"/>
  <c r="E168" i="30"/>
  <c r="D168" i="30"/>
  <c r="C168" i="30"/>
  <c r="G103" i="30"/>
  <c r="E103" i="30"/>
  <c r="D103" i="30"/>
  <c r="C103" i="30"/>
  <c r="G99" i="30"/>
  <c r="E99" i="30"/>
  <c r="D99" i="30"/>
  <c r="C99" i="30"/>
  <c r="G34" i="30"/>
  <c r="E34" i="30"/>
  <c r="D34" i="30"/>
  <c r="C34" i="30"/>
  <c r="G42" i="30"/>
  <c r="E42" i="30"/>
  <c r="D42" i="30"/>
  <c r="C42" i="30"/>
  <c r="G172" i="30"/>
  <c r="E172" i="30"/>
  <c r="D172" i="30"/>
  <c r="C172" i="30"/>
  <c r="G36" i="30"/>
  <c r="E36" i="30"/>
  <c r="D36" i="30"/>
  <c r="C36" i="30"/>
  <c r="G131" i="30"/>
  <c r="E131" i="30"/>
  <c r="D131" i="30"/>
  <c r="C131" i="30"/>
  <c r="G170" i="30"/>
  <c r="E170" i="30"/>
  <c r="D170" i="30"/>
  <c r="C170" i="30"/>
  <c r="G52" i="30"/>
  <c r="E52" i="30"/>
  <c r="D52" i="30"/>
  <c r="C52" i="30"/>
  <c r="G93" i="30"/>
  <c r="E93" i="30"/>
  <c r="D93" i="30"/>
  <c r="C93" i="30"/>
  <c r="G92" i="30"/>
  <c r="E92" i="30"/>
  <c r="D92" i="30"/>
  <c r="C92" i="30"/>
  <c r="G40" i="30"/>
  <c r="E40" i="30"/>
  <c r="D40" i="30"/>
  <c r="C40" i="30"/>
  <c r="G91" i="30"/>
  <c r="E91" i="30"/>
  <c r="D91" i="30"/>
  <c r="C91" i="30"/>
  <c r="G73" i="30"/>
  <c r="E73" i="30"/>
  <c r="D73" i="30"/>
  <c r="C73" i="30"/>
  <c r="G90" i="30"/>
  <c r="E90" i="30"/>
  <c r="D90" i="30"/>
  <c r="C90" i="30"/>
  <c r="G151" i="30"/>
  <c r="E151" i="30"/>
  <c r="D151" i="30"/>
  <c r="C151" i="30"/>
  <c r="G169" i="30"/>
  <c r="E169" i="30"/>
  <c r="D169" i="30"/>
  <c r="C169" i="30"/>
  <c r="G67" i="30"/>
  <c r="E67" i="30"/>
  <c r="D67" i="30"/>
  <c r="C67" i="30"/>
  <c r="G125" i="30"/>
  <c r="E125" i="30"/>
  <c r="D125" i="30"/>
  <c r="C125" i="30"/>
  <c r="G3" i="30"/>
  <c r="E3" i="30"/>
  <c r="D3" i="30"/>
  <c r="C3" i="30"/>
  <c r="G75" i="30"/>
  <c r="E75" i="30"/>
  <c r="D75" i="30"/>
  <c r="C75" i="30"/>
  <c r="G57" i="30"/>
  <c r="E57" i="30"/>
  <c r="D57" i="30"/>
  <c r="C57" i="30"/>
  <c r="G89" i="30"/>
  <c r="E89" i="30"/>
  <c r="D89" i="30"/>
  <c r="C89" i="30"/>
  <c r="G56" i="30"/>
  <c r="E56" i="30"/>
  <c r="D56" i="30"/>
  <c r="C56" i="30"/>
  <c r="G115" i="30"/>
  <c r="E115" i="30"/>
  <c r="D115" i="30"/>
  <c r="C115" i="30"/>
  <c r="G128" i="30"/>
  <c r="E128" i="30"/>
  <c r="D128" i="30"/>
  <c r="C128" i="30"/>
  <c r="G69" i="30"/>
  <c r="E69" i="30"/>
  <c r="D69" i="30"/>
  <c r="C69" i="30"/>
  <c r="G124" i="30"/>
  <c r="E124" i="30"/>
  <c r="D124" i="30"/>
  <c r="C124" i="30"/>
  <c r="G48" i="30"/>
  <c r="E48" i="30"/>
  <c r="D48" i="30"/>
  <c r="C48" i="30"/>
  <c r="G10" i="30"/>
  <c r="E10" i="30"/>
  <c r="D10" i="30"/>
  <c r="C10" i="30"/>
  <c r="G88" i="30"/>
  <c r="E88" i="30"/>
  <c r="D88" i="30"/>
  <c r="C88" i="30"/>
  <c r="E46" i="30"/>
  <c r="D46" i="30"/>
  <c r="C46" i="30"/>
  <c r="G68" i="30"/>
  <c r="E68" i="30"/>
  <c r="D68" i="30"/>
  <c r="C68" i="30"/>
  <c r="G106" i="30"/>
  <c r="E106" i="30"/>
  <c r="D106" i="30"/>
  <c r="C106" i="30"/>
  <c r="G35" i="30"/>
  <c r="E35" i="30"/>
  <c r="D35" i="30"/>
  <c r="C35" i="30"/>
  <c r="G64" i="30"/>
  <c r="E64" i="30"/>
  <c r="D64" i="30"/>
  <c r="C64" i="30"/>
  <c r="G141" i="30"/>
  <c r="E141" i="30"/>
  <c r="D141" i="30"/>
  <c r="C141" i="30"/>
  <c r="G8" i="30"/>
  <c r="E8" i="30"/>
  <c r="D8" i="30"/>
  <c r="C8" i="30"/>
  <c r="G87" i="30"/>
  <c r="E87" i="30"/>
  <c r="D87" i="30"/>
  <c r="C87" i="30"/>
  <c r="G39" i="30"/>
  <c r="E39" i="30"/>
  <c r="D39" i="30"/>
  <c r="C39" i="30"/>
  <c r="G145" i="30"/>
  <c r="E145" i="30"/>
  <c r="D145" i="30"/>
  <c r="C145" i="30"/>
  <c r="G86" i="30"/>
  <c r="E86" i="30"/>
  <c r="D86" i="30"/>
  <c r="C86" i="30"/>
  <c r="G19" i="30"/>
  <c r="E19" i="30"/>
  <c r="D19" i="30"/>
  <c r="C19" i="30"/>
  <c r="G24" i="30"/>
  <c r="E24" i="30"/>
  <c r="D24" i="30"/>
  <c r="C24" i="30"/>
  <c r="G165" i="30"/>
  <c r="E165" i="30"/>
  <c r="D165" i="30"/>
  <c r="C165" i="30"/>
  <c r="G85" i="30"/>
  <c r="E85" i="30"/>
  <c r="D85" i="30"/>
  <c r="C85" i="30"/>
  <c r="G146" i="30"/>
  <c r="E146" i="30"/>
  <c r="D146" i="30"/>
  <c r="C146" i="30"/>
  <c r="G14" i="30"/>
  <c r="E14" i="30"/>
  <c r="D14" i="30"/>
  <c r="C14" i="30"/>
  <c r="G30" i="30"/>
  <c r="E30" i="30"/>
  <c r="D30" i="30"/>
  <c r="C30" i="30"/>
  <c r="G111" i="30"/>
  <c r="E111" i="30"/>
  <c r="D111" i="30"/>
  <c r="C111" i="30"/>
  <c r="G108" i="30"/>
  <c r="E108" i="30"/>
  <c r="D108" i="30"/>
  <c r="C108" i="30"/>
  <c r="G53" i="30"/>
  <c r="E53" i="30"/>
  <c r="D53" i="30"/>
  <c r="C53" i="30"/>
  <c r="G109" i="30"/>
  <c r="E109" i="30"/>
  <c r="D109" i="30"/>
  <c r="C109" i="30"/>
  <c r="G143" i="30"/>
  <c r="E143" i="30"/>
  <c r="D143" i="30"/>
  <c r="C143" i="30"/>
  <c r="G161" i="30"/>
  <c r="E161" i="30"/>
  <c r="D161" i="30"/>
  <c r="C161" i="30"/>
  <c r="G142" i="30"/>
  <c r="E142" i="30"/>
  <c r="D142" i="30"/>
  <c r="C142" i="30"/>
  <c r="G118" i="30"/>
  <c r="E118" i="30"/>
  <c r="D118" i="30"/>
  <c r="C118" i="30"/>
  <c r="G66" i="30"/>
  <c r="E66" i="30"/>
  <c r="D66" i="30"/>
  <c r="C66" i="30"/>
  <c r="G144" i="30"/>
  <c r="E144" i="30"/>
  <c r="D144" i="30"/>
  <c r="C144" i="30"/>
  <c r="G25" i="30"/>
  <c r="E25" i="30"/>
  <c r="D25" i="30"/>
  <c r="C25" i="30"/>
  <c r="G97" i="30"/>
  <c r="E97" i="30"/>
  <c r="D97" i="30"/>
  <c r="C97" i="30"/>
  <c r="G44" i="30"/>
  <c r="E44" i="30"/>
  <c r="D44" i="30"/>
  <c r="C44" i="30"/>
  <c r="G132" i="30"/>
  <c r="E132" i="30"/>
  <c r="D132" i="30"/>
  <c r="C132" i="30"/>
  <c r="G12" i="30"/>
  <c r="E12" i="30"/>
  <c r="D12" i="30"/>
  <c r="C12" i="30"/>
  <c r="G101" i="30"/>
  <c r="E101" i="30"/>
  <c r="D101" i="30"/>
  <c r="C101" i="30"/>
  <c r="G63" i="30"/>
  <c r="E63" i="30"/>
  <c r="D63" i="30"/>
  <c r="C63" i="30"/>
  <c r="G76" i="30"/>
  <c r="E76" i="30"/>
  <c r="D76" i="30"/>
  <c r="C76" i="30"/>
  <c r="G20" i="30"/>
  <c r="E20" i="30"/>
  <c r="D20" i="30"/>
  <c r="C20" i="30"/>
  <c r="G153" i="30"/>
  <c r="E153" i="30"/>
  <c r="D153" i="30"/>
  <c r="C153" i="30"/>
  <c r="G127" i="30"/>
  <c r="E127" i="30"/>
  <c r="D127" i="30"/>
  <c r="C127" i="30"/>
  <c r="G11" i="30"/>
  <c r="E11" i="30"/>
  <c r="D11" i="30"/>
  <c r="C11" i="30"/>
  <c r="G126" i="30"/>
  <c r="E126" i="30"/>
  <c r="D126" i="30"/>
  <c r="C126" i="30"/>
  <c r="G28" i="30"/>
  <c r="E28" i="30"/>
  <c r="D28" i="30"/>
  <c r="C28" i="30"/>
  <c r="G54" i="30"/>
  <c r="E54" i="30"/>
  <c r="D54" i="30"/>
  <c r="C54" i="30"/>
  <c r="G71" i="30"/>
  <c r="E71" i="30"/>
  <c r="D71" i="30"/>
  <c r="C71" i="30"/>
  <c r="G7" i="30"/>
  <c r="E7" i="30"/>
  <c r="D7" i="30"/>
  <c r="C7" i="30"/>
  <c r="G50" i="30"/>
  <c r="E50" i="30"/>
  <c r="D50" i="30"/>
  <c r="C50" i="30"/>
  <c r="G162" i="30"/>
  <c r="E162" i="30"/>
  <c r="D162" i="30"/>
  <c r="C162" i="30"/>
  <c r="G45" i="30"/>
  <c r="E45" i="30"/>
  <c r="D45" i="30"/>
  <c r="C45" i="30"/>
  <c r="G5" i="30"/>
  <c r="E5" i="30"/>
  <c r="D5" i="30"/>
  <c r="C5" i="30"/>
  <c r="G149" i="30"/>
  <c r="E149" i="30"/>
  <c r="D149" i="30"/>
  <c r="C149" i="30"/>
  <c r="G37" i="30"/>
  <c r="E37" i="30"/>
  <c r="D37" i="30"/>
  <c r="C37" i="30"/>
  <c r="G148" i="30"/>
  <c r="E148" i="30"/>
  <c r="D148" i="30"/>
  <c r="C148" i="30"/>
  <c r="G157" i="30"/>
  <c r="E157" i="30"/>
  <c r="D157" i="30"/>
  <c r="C157" i="30"/>
  <c r="G26" i="30"/>
  <c r="E26" i="30"/>
  <c r="D26" i="30"/>
  <c r="C26" i="30"/>
  <c r="G140" i="30"/>
  <c r="E140" i="30"/>
  <c r="D140" i="30"/>
  <c r="C140" i="30"/>
  <c r="G121" i="30"/>
  <c r="E121" i="30"/>
  <c r="D121" i="30"/>
  <c r="C121" i="30"/>
  <c r="G147" i="30"/>
  <c r="E147" i="30"/>
  <c r="D147" i="30"/>
  <c r="C147" i="30"/>
  <c r="G158" i="30"/>
  <c r="E158" i="30"/>
  <c r="D158" i="30"/>
  <c r="C158" i="30"/>
  <c r="G113" i="30"/>
  <c r="E113" i="30"/>
  <c r="D113" i="30"/>
  <c r="C113" i="30"/>
  <c r="G58" i="30"/>
  <c r="E58" i="30"/>
  <c r="D58" i="30"/>
  <c r="C58" i="30"/>
  <c r="G123" i="30"/>
  <c r="E123" i="30"/>
  <c r="D123" i="30"/>
  <c r="C123" i="30"/>
  <c r="G100" i="30"/>
  <c r="E100" i="30"/>
  <c r="D100" i="30"/>
  <c r="C100" i="30"/>
  <c r="G134" i="30"/>
  <c r="E134" i="30"/>
  <c r="D134" i="30"/>
  <c r="C134" i="30"/>
  <c r="G138" i="30"/>
  <c r="E138" i="30"/>
  <c r="D138" i="30"/>
  <c r="C138" i="30"/>
  <c r="G137" i="30"/>
  <c r="E137" i="30"/>
  <c r="D137" i="30"/>
  <c r="C137" i="30"/>
  <c r="G120" i="30"/>
  <c r="E120" i="30"/>
  <c r="D120" i="30"/>
  <c r="C120" i="30"/>
  <c r="G136" i="30"/>
  <c r="E136" i="30"/>
  <c r="D136" i="30"/>
  <c r="C136" i="30"/>
  <c r="G60" i="30"/>
  <c r="E60" i="30"/>
  <c r="D60" i="30"/>
  <c r="C60" i="30"/>
  <c r="G70" i="30"/>
  <c r="E70" i="30"/>
  <c r="D70" i="30"/>
  <c r="C70" i="30"/>
  <c r="G43" i="30"/>
  <c r="E43" i="30"/>
  <c r="D43" i="30"/>
  <c r="C43" i="30"/>
  <c r="G110" i="30"/>
  <c r="E110" i="30"/>
  <c r="D110" i="30"/>
  <c r="C110" i="30"/>
  <c r="G33" i="30"/>
  <c r="E33" i="30"/>
  <c r="D33" i="30"/>
  <c r="C33" i="30"/>
  <c r="G150" i="30"/>
  <c r="E150" i="30"/>
  <c r="D150" i="30"/>
  <c r="C150" i="30"/>
  <c r="G72" i="30"/>
  <c r="E72" i="30"/>
  <c r="D72" i="30"/>
  <c r="C72" i="30"/>
  <c r="G49" i="30"/>
  <c r="E49" i="30"/>
  <c r="D49" i="30"/>
  <c r="C49" i="30"/>
  <c r="G96" i="30"/>
  <c r="E96" i="30"/>
  <c r="D96" i="30"/>
  <c r="C96" i="30"/>
  <c r="G152" i="30"/>
  <c r="E152" i="30"/>
  <c r="D152" i="30"/>
  <c r="C152" i="30"/>
  <c r="G74" i="30"/>
  <c r="E74" i="30"/>
  <c r="D74" i="30"/>
  <c r="C74" i="30"/>
  <c r="G27" i="30"/>
  <c r="E27" i="30"/>
  <c r="D27" i="30"/>
  <c r="C27" i="30"/>
  <c r="G135" i="30"/>
  <c r="E135" i="30"/>
  <c r="D135" i="30"/>
  <c r="C135" i="30"/>
  <c r="G167" i="30"/>
  <c r="E167" i="30"/>
  <c r="D167" i="30"/>
  <c r="C167" i="30"/>
  <c r="G31" i="30"/>
  <c r="E31" i="30"/>
  <c r="D31" i="30"/>
  <c r="C31" i="30"/>
  <c r="G98" i="30"/>
  <c r="E98" i="30"/>
  <c r="D98" i="30"/>
  <c r="C98" i="30"/>
  <c r="G114" i="30"/>
  <c r="E114" i="30"/>
  <c r="D114" i="30"/>
  <c r="C114" i="30"/>
  <c r="G55" i="30"/>
  <c r="E55" i="30"/>
  <c r="D55" i="30"/>
  <c r="C55" i="30"/>
  <c r="G155" i="30"/>
  <c r="E155" i="30"/>
  <c r="D155" i="30"/>
  <c r="C155" i="30"/>
  <c r="G104" i="30"/>
  <c r="E104" i="30"/>
  <c r="D104" i="30"/>
  <c r="C104" i="30"/>
  <c r="G84" i="30"/>
  <c r="E84" i="30"/>
  <c r="D84" i="30"/>
  <c r="C84" i="30"/>
  <c r="G22" i="30"/>
  <c r="E22" i="30"/>
  <c r="D22" i="30"/>
  <c r="C22" i="30"/>
  <c r="G47" i="30"/>
  <c r="E47" i="30"/>
  <c r="D47" i="30"/>
  <c r="C47" i="30"/>
  <c r="G164" i="30"/>
  <c r="E164" i="30"/>
  <c r="D164" i="30"/>
  <c r="C164" i="30"/>
  <c r="G102" i="30"/>
  <c r="E102" i="30"/>
  <c r="D102" i="30"/>
  <c r="C102" i="30"/>
  <c r="G83" i="30"/>
  <c r="E83" i="30"/>
  <c r="D83" i="30"/>
  <c r="C83" i="30"/>
  <c r="G112" i="30"/>
  <c r="E112" i="30"/>
  <c r="D112" i="30"/>
  <c r="C112" i="30"/>
  <c r="G139" i="30"/>
  <c r="E139" i="30"/>
  <c r="D139" i="30"/>
  <c r="C139" i="30"/>
  <c r="G16" i="30"/>
  <c r="E16" i="30"/>
  <c r="D16" i="30"/>
  <c r="C16" i="30"/>
  <c r="G15" i="30"/>
  <c r="E15" i="30"/>
  <c r="D15" i="30"/>
  <c r="C15" i="30"/>
  <c r="G6" i="30"/>
  <c r="E6" i="30"/>
  <c r="D6" i="30"/>
  <c r="C6" i="30"/>
  <c r="G129" i="30"/>
  <c r="E129" i="30"/>
  <c r="D129" i="30"/>
  <c r="C129" i="30"/>
  <c r="G77" i="30"/>
  <c r="E77" i="30"/>
  <c r="D77" i="30"/>
  <c r="C77" i="30"/>
  <c r="G82" i="30"/>
  <c r="E82" i="30"/>
  <c r="D82" i="30"/>
  <c r="C82" i="30"/>
  <c r="G107" i="30"/>
  <c r="E107" i="30"/>
  <c r="D107" i="30"/>
  <c r="C107" i="30"/>
  <c r="G117" i="30"/>
  <c r="E117" i="30"/>
  <c r="D117" i="30"/>
  <c r="C117" i="30"/>
  <c r="G81" i="30"/>
  <c r="E81" i="30"/>
  <c r="D81" i="30"/>
  <c r="C81" i="30"/>
  <c r="G61" i="30"/>
  <c r="E61" i="30"/>
  <c r="D61" i="30"/>
  <c r="C61" i="30"/>
  <c r="G32" i="30"/>
  <c r="E32" i="30"/>
  <c r="D32" i="30"/>
  <c r="C32" i="30"/>
  <c r="G38" i="30"/>
  <c r="E38" i="30"/>
  <c r="D38" i="30"/>
  <c r="C38" i="30"/>
  <c r="G173" i="30"/>
  <c r="E173" i="30"/>
  <c r="D173" i="30"/>
  <c r="C173" i="30"/>
  <c r="G80" i="30"/>
  <c r="E80" i="30"/>
  <c r="D80" i="30"/>
  <c r="C80" i="30"/>
  <c r="G17" i="30"/>
  <c r="E17" i="30"/>
  <c r="D17" i="30"/>
  <c r="C17" i="30"/>
  <c r="G166" i="30"/>
  <c r="E166" i="30"/>
  <c r="D166" i="30"/>
  <c r="C166" i="30"/>
  <c r="G154" i="30"/>
  <c r="E154" i="30"/>
  <c r="D154" i="30"/>
  <c r="C154" i="30"/>
  <c r="G130" i="30"/>
  <c r="E130" i="30"/>
  <c r="D130" i="30"/>
  <c r="C130" i="30"/>
  <c r="G79" i="30"/>
  <c r="E79" i="30"/>
  <c r="D79" i="30"/>
  <c r="C79" i="30"/>
  <c r="G116" i="30"/>
  <c r="E116" i="30"/>
  <c r="D116" i="30"/>
  <c r="C116" i="30"/>
  <c r="G105" i="30"/>
  <c r="E105" i="30"/>
  <c r="D105" i="30"/>
  <c r="C105" i="30"/>
  <c r="G78" i="30"/>
  <c r="E78" i="30"/>
  <c r="D78" i="30"/>
  <c r="C78" i="30"/>
  <c r="G175" i="30"/>
  <c r="E175" i="30"/>
  <c r="D175" i="30"/>
  <c r="C175" i="30"/>
  <c r="G18" i="30"/>
  <c r="E18" i="30"/>
  <c r="D18" i="30"/>
  <c r="C18" i="30"/>
  <c r="G51" i="30"/>
  <c r="E51" i="30"/>
  <c r="D51" i="30"/>
  <c r="C51" i="30"/>
  <c r="G59" i="30"/>
  <c r="E59" i="30"/>
  <c r="D59" i="30"/>
  <c r="C59" i="30"/>
  <c r="G4" i="30"/>
  <c r="E4" i="30"/>
  <c r="D4" i="30"/>
  <c r="C4" i="30"/>
  <c r="G29" i="30"/>
  <c r="E29" i="30"/>
  <c r="D29" i="30"/>
  <c r="C29" i="30"/>
  <c r="F132" i="30" l="1"/>
  <c r="F172" i="30"/>
  <c r="F65" i="30"/>
  <c r="F128" i="30"/>
  <c r="F75" i="30"/>
  <c r="F25" i="30"/>
  <c r="F46" i="30"/>
  <c r="F164" i="30"/>
  <c r="F47" i="30"/>
  <c r="F22" i="30"/>
  <c r="F167" i="30"/>
  <c r="F135" i="30"/>
  <c r="F74" i="30"/>
  <c r="F148" i="30"/>
  <c r="F5" i="30"/>
  <c r="F162" i="30"/>
  <c r="F28" i="30"/>
  <c r="F76" i="30"/>
  <c r="F101" i="30"/>
  <c r="F171" i="30"/>
  <c r="F159" i="30"/>
  <c r="F123" i="30"/>
  <c r="F39" i="30"/>
  <c r="F8" i="30"/>
  <c r="F35" i="30"/>
  <c r="F106" i="30"/>
  <c r="F34" i="30"/>
  <c r="F29" i="30"/>
  <c r="F18" i="30"/>
  <c r="F105" i="30"/>
  <c r="F116" i="30"/>
  <c r="F32" i="30"/>
  <c r="F61" i="30"/>
  <c r="F152" i="30"/>
  <c r="F72" i="30"/>
  <c r="F138" i="30"/>
  <c r="F109" i="30"/>
  <c r="F90" i="30"/>
  <c r="F40" i="30"/>
  <c r="F92" i="30"/>
  <c r="F36" i="30"/>
  <c r="F83" i="30"/>
  <c r="F161" i="30"/>
  <c r="F19" i="30"/>
  <c r="F17" i="30"/>
  <c r="F120" i="30"/>
  <c r="F137" i="30"/>
  <c r="F140" i="30"/>
  <c r="F85" i="30"/>
  <c r="F103" i="30"/>
  <c r="F168" i="30"/>
  <c r="F119" i="30"/>
  <c r="F9" i="30"/>
  <c r="F174" i="30"/>
  <c r="F107" i="30"/>
  <c r="F79" i="30"/>
  <c r="F6" i="30"/>
  <c r="F15" i="30"/>
  <c r="F33" i="30"/>
  <c r="F58" i="30"/>
  <c r="F158" i="30"/>
  <c r="F126" i="30"/>
  <c r="F53" i="30"/>
  <c r="F111" i="30"/>
  <c r="F30" i="30"/>
  <c r="F141" i="30"/>
  <c r="F64" i="30"/>
  <c r="F93" i="30"/>
  <c r="F52" i="30"/>
  <c r="F156" i="30"/>
  <c r="F13" i="30"/>
  <c r="G176" i="30"/>
  <c r="F154" i="30"/>
  <c r="F81" i="30"/>
  <c r="F99" i="30"/>
  <c r="F59" i="30"/>
  <c r="F21" i="30"/>
  <c r="F150" i="30"/>
  <c r="F100" i="30"/>
  <c r="F23" i="30"/>
  <c r="C176" i="30"/>
  <c r="F78" i="30"/>
  <c r="F173" i="30"/>
  <c r="F77" i="30"/>
  <c r="F129" i="30"/>
  <c r="F139" i="30"/>
  <c r="F102" i="30"/>
  <c r="F84" i="30"/>
  <c r="F104" i="30"/>
  <c r="F114" i="30"/>
  <c r="F49" i="30"/>
  <c r="F136" i="30"/>
  <c r="F113" i="30"/>
  <c r="F121" i="30"/>
  <c r="F37" i="30"/>
  <c r="F7" i="30"/>
  <c r="F97" i="30"/>
  <c r="F108" i="30"/>
  <c r="F146" i="30"/>
  <c r="F68" i="30"/>
  <c r="F88" i="30"/>
  <c r="F56" i="30"/>
  <c r="F3" i="30"/>
  <c r="F125" i="30"/>
  <c r="F67" i="30"/>
  <c r="F42" i="30"/>
  <c r="F133" i="30"/>
  <c r="F163" i="30"/>
  <c r="F31" i="30"/>
  <c r="F149" i="30"/>
  <c r="F45" i="30"/>
  <c r="F153" i="30"/>
  <c r="F144" i="30"/>
  <c r="F165" i="30"/>
  <c r="F69" i="30"/>
  <c r="F89" i="30"/>
  <c r="F170" i="30"/>
  <c r="F62" i="30"/>
  <c r="F175" i="30"/>
  <c r="D176" i="30"/>
  <c r="F82" i="30"/>
  <c r="F16" i="30"/>
  <c r="F96" i="30"/>
  <c r="F110" i="30"/>
  <c r="F43" i="30"/>
  <c r="F70" i="30"/>
  <c r="F157" i="30"/>
  <c r="F50" i="30"/>
  <c r="F44" i="30"/>
  <c r="F66" i="30"/>
  <c r="F118" i="30"/>
  <c r="F143" i="30"/>
  <c r="F14" i="30"/>
  <c r="F24" i="30"/>
  <c r="F86" i="30"/>
  <c r="F145" i="30"/>
  <c r="F115" i="30"/>
  <c r="F151" i="30"/>
  <c r="F91" i="30"/>
  <c r="F131" i="30"/>
  <c r="F95" i="30"/>
  <c r="F41" i="30"/>
  <c r="F94" i="30"/>
  <c r="F112" i="30"/>
  <c r="F26" i="30"/>
  <c r="F124" i="30"/>
  <c r="F51" i="30"/>
  <c r="F38" i="30"/>
  <c r="F71" i="30"/>
  <c r="F54" i="30"/>
  <c r="F63" i="30"/>
  <c r="F73" i="30"/>
  <c r="F160" i="30"/>
  <c r="F130" i="30"/>
  <c r="F80" i="30"/>
  <c r="F117" i="30"/>
  <c r="F155" i="30"/>
  <c r="F55" i="30"/>
  <c r="F27" i="30"/>
  <c r="F60" i="30"/>
  <c r="F134" i="30"/>
  <c r="F147" i="30"/>
  <c r="F11" i="30"/>
  <c r="F127" i="30"/>
  <c r="F12" i="30"/>
  <c r="F87" i="30"/>
  <c r="F48" i="30"/>
  <c r="F57" i="30"/>
  <c r="E176" i="30"/>
  <c r="F4" i="30"/>
  <c r="F166" i="30"/>
  <c r="F98" i="30"/>
  <c r="F20" i="30"/>
  <c r="F142" i="30"/>
  <c r="F10" i="30"/>
  <c r="F169" i="30"/>
  <c r="F122" i="30"/>
  <c r="G165" i="29"/>
  <c r="E165" i="29"/>
  <c r="D165" i="29"/>
  <c r="C165" i="29"/>
  <c r="G64" i="29"/>
  <c r="E64" i="29"/>
  <c r="D64" i="29"/>
  <c r="C64" i="29"/>
  <c r="G172" i="29"/>
  <c r="E172" i="29"/>
  <c r="D172" i="29"/>
  <c r="C172" i="29"/>
  <c r="G94" i="29"/>
  <c r="E94" i="29"/>
  <c r="D94" i="29"/>
  <c r="C94" i="29"/>
  <c r="G11" i="29"/>
  <c r="E11" i="29"/>
  <c r="D11" i="29"/>
  <c r="C11" i="29"/>
  <c r="G18" i="29"/>
  <c r="E18" i="29"/>
  <c r="D18" i="29"/>
  <c r="C18" i="29"/>
  <c r="G163" i="29"/>
  <c r="E163" i="29"/>
  <c r="D163" i="29"/>
  <c r="C163" i="29"/>
  <c r="G160" i="29"/>
  <c r="E160" i="29"/>
  <c r="D160" i="29"/>
  <c r="C160" i="29"/>
  <c r="G25" i="29"/>
  <c r="E25" i="29"/>
  <c r="D25" i="29"/>
  <c r="C25" i="29"/>
  <c r="G12" i="29"/>
  <c r="E12" i="29"/>
  <c r="D12" i="29"/>
  <c r="C12" i="29"/>
  <c r="G162" i="29"/>
  <c r="E162" i="29"/>
  <c r="D162" i="29"/>
  <c r="C162" i="29"/>
  <c r="G122" i="29"/>
  <c r="E122" i="29"/>
  <c r="D122" i="29"/>
  <c r="C122" i="29"/>
  <c r="G61" i="29"/>
  <c r="E61" i="29"/>
  <c r="D61" i="29"/>
  <c r="C61" i="29"/>
  <c r="G133" i="29"/>
  <c r="E133" i="29"/>
  <c r="D133" i="29"/>
  <c r="C133" i="29"/>
  <c r="G95" i="29"/>
  <c r="E95" i="29"/>
  <c r="D95" i="29"/>
  <c r="C95" i="29"/>
  <c r="G119" i="29"/>
  <c r="E119" i="29"/>
  <c r="D119" i="29"/>
  <c r="C119" i="29"/>
  <c r="G167" i="29"/>
  <c r="E167" i="29"/>
  <c r="D167" i="29"/>
  <c r="C167" i="29"/>
  <c r="G102" i="29"/>
  <c r="E102" i="29"/>
  <c r="D102" i="29"/>
  <c r="C102" i="29"/>
  <c r="G98" i="29"/>
  <c r="E98" i="29"/>
  <c r="D98" i="29"/>
  <c r="C98" i="29"/>
  <c r="G33" i="29"/>
  <c r="E33" i="29"/>
  <c r="D33" i="29"/>
  <c r="C33" i="29"/>
  <c r="G93" i="29"/>
  <c r="E93" i="29"/>
  <c r="D93" i="29"/>
  <c r="C93" i="29"/>
  <c r="G171" i="29"/>
  <c r="E171" i="29"/>
  <c r="D171" i="29"/>
  <c r="C171" i="29"/>
  <c r="G37" i="29"/>
  <c r="E37" i="29"/>
  <c r="D37" i="29"/>
  <c r="C37" i="29"/>
  <c r="G131" i="29"/>
  <c r="E131" i="29"/>
  <c r="D131" i="29"/>
  <c r="C131" i="29"/>
  <c r="G22" i="29"/>
  <c r="E22" i="29"/>
  <c r="D22" i="29"/>
  <c r="C22" i="29"/>
  <c r="G51" i="29"/>
  <c r="E51" i="29"/>
  <c r="D51" i="29"/>
  <c r="C51" i="29"/>
  <c r="G92" i="29"/>
  <c r="E92" i="29"/>
  <c r="D92" i="29"/>
  <c r="C92" i="29"/>
  <c r="G91" i="29"/>
  <c r="E91" i="29"/>
  <c r="D91" i="29"/>
  <c r="C91" i="29"/>
  <c r="G41" i="29"/>
  <c r="E41" i="29"/>
  <c r="D41" i="29"/>
  <c r="C41" i="29"/>
  <c r="G90" i="29"/>
  <c r="E90" i="29"/>
  <c r="D90" i="29"/>
  <c r="C90" i="29"/>
  <c r="G73" i="29"/>
  <c r="E73" i="29"/>
  <c r="D73" i="29"/>
  <c r="C73" i="29"/>
  <c r="G150" i="29"/>
  <c r="E150" i="29"/>
  <c r="D150" i="29"/>
  <c r="C150" i="29"/>
  <c r="G169" i="29"/>
  <c r="E169" i="29"/>
  <c r="D169" i="29"/>
  <c r="C169" i="29"/>
  <c r="G66" i="29"/>
  <c r="E66" i="29"/>
  <c r="D66" i="29"/>
  <c r="C66" i="29"/>
  <c r="G125" i="29"/>
  <c r="E125" i="29"/>
  <c r="D125" i="29"/>
  <c r="C125" i="29"/>
  <c r="G4" i="29"/>
  <c r="E4" i="29"/>
  <c r="D4" i="29"/>
  <c r="C4" i="29"/>
  <c r="G75" i="29"/>
  <c r="E75" i="29"/>
  <c r="D75" i="29"/>
  <c r="C75" i="29"/>
  <c r="G56" i="29"/>
  <c r="E56" i="29"/>
  <c r="D56" i="29"/>
  <c r="C56" i="29"/>
  <c r="G89" i="29"/>
  <c r="E89" i="29"/>
  <c r="D89" i="29"/>
  <c r="C89" i="29"/>
  <c r="G55" i="29"/>
  <c r="E55" i="29"/>
  <c r="D55" i="29"/>
  <c r="C55" i="29"/>
  <c r="G115" i="29"/>
  <c r="E115" i="29"/>
  <c r="D115" i="29"/>
  <c r="C115" i="29"/>
  <c r="G128" i="29"/>
  <c r="E128" i="29"/>
  <c r="D128" i="29"/>
  <c r="C128" i="29"/>
  <c r="G68" i="29"/>
  <c r="E68" i="29"/>
  <c r="D68" i="29"/>
  <c r="C68" i="29"/>
  <c r="G124" i="29"/>
  <c r="E124" i="29"/>
  <c r="D124" i="29"/>
  <c r="C124" i="29"/>
  <c r="G154" i="29"/>
  <c r="E154" i="29"/>
  <c r="D154" i="29"/>
  <c r="C154" i="29"/>
  <c r="G10" i="29"/>
  <c r="E10" i="29"/>
  <c r="D10" i="29"/>
  <c r="C10" i="29"/>
  <c r="G88" i="29"/>
  <c r="E88" i="29"/>
  <c r="D88" i="29"/>
  <c r="C88" i="29"/>
  <c r="E47" i="29"/>
  <c r="D47" i="29"/>
  <c r="C47" i="29"/>
  <c r="G67" i="29"/>
  <c r="E67" i="29"/>
  <c r="D67" i="29"/>
  <c r="C67" i="29"/>
  <c r="G106" i="29"/>
  <c r="E106" i="29"/>
  <c r="D106" i="29"/>
  <c r="C106" i="29"/>
  <c r="G35" i="29"/>
  <c r="E35" i="29"/>
  <c r="D35" i="29"/>
  <c r="C35" i="29"/>
  <c r="G63" i="29"/>
  <c r="E63" i="29"/>
  <c r="D63" i="29"/>
  <c r="C63" i="29"/>
  <c r="G140" i="29"/>
  <c r="E140" i="29"/>
  <c r="D140" i="29"/>
  <c r="C140" i="29"/>
  <c r="G9" i="29"/>
  <c r="E9" i="29"/>
  <c r="D9" i="29"/>
  <c r="C9" i="29"/>
  <c r="G87" i="29"/>
  <c r="E87" i="29"/>
  <c r="D87" i="29"/>
  <c r="C87" i="29"/>
  <c r="G40" i="29"/>
  <c r="E40" i="29"/>
  <c r="D40" i="29"/>
  <c r="C40" i="29"/>
  <c r="G144" i="29"/>
  <c r="E144" i="29"/>
  <c r="D144" i="29"/>
  <c r="C144" i="29"/>
  <c r="G86" i="29"/>
  <c r="E86" i="29"/>
  <c r="D86" i="29"/>
  <c r="C86" i="29"/>
  <c r="G21" i="29"/>
  <c r="E21" i="29"/>
  <c r="D21" i="29"/>
  <c r="C21" i="29"/>
  <c r="G26" i="29"/>
  <c r="E26" i="29"/>
  <c r="D26" i="29"/>
  <c r="C26" i="29"/>
  <c r="G170" i="29"/>
  <c r="E170" i="29"/>
  <c r="D170" i="29"/>
  <c r="C170" i="29"/>
  <c r="G85" i="29"/>
  <c r="E85" i="29"/>
  <c r="D85" i="29"/>
  <c r="C85" i="29"/>
  <c r="G145" i="29"/>
  <c r="E145" i="29"/>
  <c r="D145" i="29"/>
  <c r="C145" i="29"/>
  <c r="G16" i="29"/>
  <c r="E16" i="29"/>
  <c r="D16" i="29"/>
  <c r="C16" i="29"/>
  <c r="G30" i="29"/>
  <c r="E30" i="29"/>
  <c r="D30" i="29"/>
  <c r="C30" i="29"/>
  <c r="G111" i="29"/>
  <c r="E111" i="29"/>
  <c r="D111" i="29"/>
  <c r="C111" i="29"/>
  <c r="G108" i="29"/>
  <c r="E108" i="29"/>
  <c r="D108" i="29"/>
  <c r="C108" i="29"/>
  <c r="G52" i="29"/>
  <c r="E52" i="29"/>
  <c r="D52" i="29"/>
  <c r="C52" i="29"/>
  <c r="G109" i="29"/>
  <c r="E109" i="29"/>
  <c r="D109" i="29"/>
  <c r="C109" i="29"/>
  <c r="G142" i="29"/>
  <c r="E142" i="29"/>
  <c r="D142" i="29"/>
  <c r="C142" i="29"/>
  <c r="G164" i="29"/>
  <c r="E164" i="29"/>
  <c r="D164" i="29"/>
  <c r="C164" i="29"/>
  <c r="G141" i="29"/>
  <c r="E141" i="29"/>
  <c r="D141" i="29"/>
  <c r="C141" i="29"/>
  <c r="G118" i="29"/>
  <c r="E118" i="29"/>
  <c r="D118" i="29"/>
  <c r="C118" i="29"/>
  <c r="G65" i="29"/>
  <c r="E65" i="29"/>
  <c r="D65" i="29"/>
  <c r="C65" i="29"/>
  <c r="G143" i="29"/>
  <c r="E143" i="29"/>
  <c r="D143" i="29"/>
  <c r="C143" i="29"/>
  <c r="G71" i="29"/>
  <c r="E71" i="29"/>
  <c r="D71" i="29"/>
  <c r="C71" i="29"/>
  <c r="G97" i="29"/>
  <c r="E97" i="29"/>
  <c r="D97" i="29"/>
  <c r="C97" i="29"/>
  <c r="G45" i="29"/>
  <c r="E45" i="29"/>
  <c r="D45" i="29"/>
  <c r="C45" i="29"/>
  <c r="G132" i="29"/>
  <c r="E132" i="29"/>
  <c r="D132" i="29"/>
  <c r="C132" i="29"/>
  <c r="G43" i="29"/>
  <c r="E43" i="29"/>
  <c r="D43" i="29"/>
  <c r="C43" i="29"/>
  <c r="G100" i="29"/>
  <c r="E100" i="29"/>
  <c r="D100" i="29"/>
  <c r="C100" i="29"/>
  <c r="G62" i="29"/>
  <c r="E62" i="29"/>
  <c r="D62" i="29"/>
  <c r="C62" i="29"/>
  <c r="G76" i="29"/>
  <c r="E76" i="29"/>
  <c r="D76" i="29"/>
  <c r="C76" i="29"/>
  <c r="G24" i="29"/>
  <c r="E24" i="29"/>
  <c r="D24" i="29"/>
  <c r="C24" i="29"/>
  <c r="G153" i="29"/>
  <c r="E153" i="29"/>
  <c r="D153" i="29"/>
  <c r="C153" i="29"/>
  <c r="G127" i="29"/>
  <c r="E127" i="29"/>
  <c r="D127" i="29"/>
  <c r="C127" i="29"/>
  <c r="G17" i="29"/>
  <c r="E17" i="29"/>
  <c r="D17" i="29"/>
  <c r="C17" i="29"/>
  <c r="G126" i="29"/>
  <c r="E126" i="29"/>
  <c r="D126" i="29"/>
  <c r="C126" i="29"/>
  <c r="G28" i="29"/>
  <c r="E28" i="29"/>
  <c r="D28" i="29"/>
  <c r="C28" i="29"/>
  <c r="G53" i="29"/>
  <c r="E53" i="29"/>
  <c r="D53" i="29"/>
  <c r="C53" i="29"/>
  <c r="G70" i="29"/>
  <c r="E70" i="29"/>
  <c r="D70" i="29"/>
  <c r="C70" i="29"/>
  <c r="G6" i="29"/>
  <c r="E6" i="29"/>
  <c r="D6" i="29"/>
  <c r="C6" i="29"/>
  <c r="G49" i="29"/>
  <c r="E49" i="29"/>
  <c r="D49" i="29"/>
  <c r="C49" i="29"/>
  <c r="G166" i="29"/>
  <c r="E166" i="29"/>
  <c r="D166" i="29"/>
  <c r="C166" i="29"/>
  <c r="G46" i="29"/>
  <c r="E46" i="29"/>
  <c r="D46" i="29"/>
  <c r="C46" i="29"/>
  <c r="G8" i="29"/>
  <c r="E8" i="29"/>
  <c r="D8" i="29"/>
  <c r="C8" i="29"/>
  <c r="G148" i="29"/>
  <c r="E148" i="29"/>
  <c r="D148" i="29"/>
  <c r="C148" i="29"/>
  <c r="G39" i="29"/>
  <c r="E39" i="29"/>
  <c r="D39" i="29"/>
  <c r="C39" i="29"/>
  <c r="G147" i="29"/>
  <c r="E147" i="29"/>
  <c r="D147" i="29"/>
  <c r="C147" i="29"/>
  <c r="G156" i="29"/>
  <c r="E156" i="29"/>
  <c r="D156" i="29"/>
  <c r="C156" i="29"/>
  <c r="G27" i="29"/>
  <c r="E27" i="29"/>
  <c r="D27" i="29"/>
  <c r="C27" i="29"/>
  <c r="G168" i="29"/>
  <c r="E168" i="29"/>
  <c r="D168" i="29"/>
  <c r="C168" i="29"/>
  <c r="G121" i="29"/>
  <c r="E121" i="29"/>
  <c r="D121" i="29"/>
  <c r="C121" i="29"/>
  <c r="G146" i="29"/>
  <c r="E146" i="29"/>
  <c r="D146" i="29"/>
  <c r="C146" i="29"/>
  <c r="G151" i="29"/>
  <c r="E151" i="29"/>
  <c r="D151" i="29"/>
  <c r="C151" i="29"/>
  <c r="G113" i="29"/>
  <c r="E113" i="29"/>
  <c r="D113" i="29"/>
  <c r="C113" i="29"/>
  <c r="G57" i="29"/>
  <c r="E57" i="29"/>
  <c r="D57" i="29"/>
  <c r="C57" i="29"/>
  <c r="G123" i="29"/>
  <c r="E123" i="29"/>
  <c r="D123" i="29"/>
  <c r="C123" i="29"/>
  <c r="G99" i="29"/>
  <c r="E99" i="29"/>
  <c r="D99" i="29"/>
  <c r="C99" i="29"/>
  <c r="G134" i="29"/>
  <c r="E134" i="29"/>
  <c r="D134" i="29"/>
  <c r="C134" i="29"/>
  <c r="G138" i="29"/>
  <c r="E138" i="29"/>
  <c r="D138" i="29"/>
  <c r="C138" i="29"/>
  <c r="G137" i="29"/>
  <c r="E137" i="29"/>
  <c r="D137" i="29"/>
  <c r="C137" i="29"/>
  <c r="G120" i="29"/>
  <c r="E120" i="29"/>
  <c r="D120" i="29"/>
  <c r="C120" i="29"/>
  <c r="G136" i="29"/>
  <c r="E136" i="29"/>
  <c r="D136" i="29"/>
  <c r="C136" i="29"/>
  <c r="G59" i="29"/>
  <c r="E59" i="29"/>
  <c r="D59" i="29"/>
  <c r="C59" i="29"/>
  <c r="G161" i="29"/>
  <c r="E161" i="29"/>
  <c r="D161" i="29"/>
  <c r="C161" i="29"/>
  <c r="G69" i="29"/>
  <c r="E69" i="29"/>
  <c r="D69" i="29"/>
  <c r="C69" i="29"/>
  <c r="G44" i="29"/>
  <c r="E44" i="29"/>
  <c r="D44" i="29"/>
  <c r="C44" i="29"/>
  <c r="G110" i="29"/>
  <c r="E110" i="29"/>
  <c r="D110" i="29"/>
  <c r="C110" i="29"/>
  <c r="G42" i="29"/>
  <c r="E42" i="29"/>
  <c r="D42" i="29"/>
  <c r="C42" i="29"/>
  <c r="G149" i="29"/>
  <c r="E149" i="29"/>
  <c r="D149" i="29"/>
  <c r="C149" i="29"/>
  <c r="G72" i="29"/>
  <c r="E72" i="29"/>
  <c r="D72" i="29"/>
  <c r="C72" i="29"/>
  <c r="G48" i="29"/>
  <c r="E48" i="29"/>
  <c r="D48" i="29"/>
  <c r="C48" i="29"/>
  <c r="G96" i="29"/>
  <c r="E96" i="29"/>
  <c r="D96" i="29"/>
  <c r="C96" i="29"/>
  <c r="G152" i="29"/>
  <c r="E152" i="29"/>
  <c r="D152" i="29"/>
  <c r="C152" i="29"/>
  <c r="G74" i="29"/>
  <c r="E74" i="29"/>
  <c r="D74" i="29"/>
  <c r="C74" i="29"/>
  <c r="G38" i="29"/>
  <c r="E38" i="29"/>
  <c r="D38" i="29"/>
  <c r="C38" i="29"/>
  <c r="G135" i="29"/>
  <c r="E135" i="29"/>
  <c r="D135" i="29"/>
  <c r="C135" i="29"/>
  <c r="G31" i="29"/>
  <c r="E31" i="29"/>
  <c r="D31" i="29"/>
  <c r="C31" i="29"/>
  <c r="G34" i="29"/>
  <c r="E34" i="29"/>
  <c r="D34" i="29"/>
  <c r="C34" i="29"/>
  <c r="G114" i="29"/>
  <c r="E114" i="29"/>
  <c r="D114" i="29"/>
  <c r="C114" i="29"/>
  <c r="G54" i="29"/>
  <c r="E54" i="29"/>
  <c r="D54" i="29"/>
  <c r="C54" i="29"/>
  <c r="G157" i="29"/>
  <c r="E157" i="29"/>
  <c r="D157" i="29"/>
  <c r="C157" i="29"/>
  <c r="G103" i="29"/>
  <c r="E103" i="29"/>
  <c r="D103" i="29"/>
  <c r="C103" i="29"/>
  <c r="G84" i="29"/>
  <c r="E84" i="29"/>
  <c r="D84" i="29"/>
  <c r="C84" i="29"/>
  <c r="G104" i="29"/>
  <c r="E104" i="29"/>
  <c r="D104" i="29"/>
  <c r="C104" i="29"/>
  <c r="G15" i="29"/>
  <c r="E15" i="29"/>
  <c r="D15" i="29"/>
  <c r="C15" i="29"/>
  <c r="G83" i="29"/>
  <c r="E83" i="29"/>
  <c r="D83" i="29"/>
  <c r="C83" i="29"/>
  <c r="G101" i="29"/>
  <c r="E101" i="29"/>
  <c r="D101" i="29"/>
  <c r="C101" i="29"/>
  <c r="G82" i="29"/>
  <c r="E82" i="29"/>
  <c r="D82" i="29"/>
  <c r="C82" i="29"/>
  <c r="G112" i="29"/>
  <c r="E112" i="29"/>
  <c r="D112" i="29"/>
  <c r="C112" i="29"/>
  <c r="G139" i="29"/>
  <c r="E139" i="29"/>
  <c r="D139" i="29"/>
  <c r="C139" i="29"/>
  <c r="G19" i="29"/>
  <c r="E19" i="29"/>
  <c r="D19" i="29"/>
  <c r="C19" i="29"/>
  <c r="G13" i="29"/>
  <c r="E13" i="29"/>
  <c r="D13" i="29"/>
  <c r="C13" i="29"/>
  <c r="G7" i="29"/>
  <c r="E7" i="29"/>
  <c r="D7" i="29"/>
  <c r="C7" i="29"/>
  <c r="G129" i="29"/>
  <c r="E129" i="29"/>
  <c r="D129" i="29"/>
  <c r="C129" i="29"/>
  <c r="G77" i="29"/>
  <c r="E77" i="29"/>
  <c r="D77" i="29"/>
  <c r="C77" i="29"/>
  <c r="G81" i="29"/>
  <c r="E81" i="29"/>
  <c r="D81" i="29"/>
  <c r="C81" i="29"/>
  <c r="G107" i="29"/>
  <c r="E107" i="29"/>
  <c r="D107" i="29"/>
  <c r="C107" i="29"/>
  <c r="G117" i="29"/>
  <c r="E117" i="29"/>
  <c r="D117" i="29"/>
  <c r="C117" i="29"/>
  <c r="G80" i="29"/>
  <c r="E80" i="29"/>
  <c r="D80" i="29"/>
  <c r="C80" i="29"/>
  <c r="G60" i="29"/>
  <c r="E60" i="29"/>
  <c r="D60" i="29"/>
  <c r="C60" i="29"/>
  <c r="G32" i="29"/>
  <c r="E32" i="29"/>
  <c r="D32" i="29"/>
  <c r="C32" i="29"/>
  <c r="G14" i="29"/>
  <c r="E14" i="29"/>
  <c r="D14" i="29"/>
  <c r="C14" i="29"/>
  <c r="G3" i="29"/>
  <c r="E3" i="29"/>
  <c r="D3" i="29"/>
  <c r="C3" i="29"/>
  <c r="G79" i="29"/>
  <c r="E79" i="29"/>
  <c r="D79" i="29"/>
  <c r="C79" i="29"/>
  <c r="G23" i="29"/>
  <c r="E23" i="29"/>
  <c r="D23" i="29"/>
  <c r="C23" i="29"/>
  <c r="G158" i="29"/>
  <c r="E158" i="29"/>
  <c r="D158" i="29"/>
  <c r="C158" i="29"/>
  <c r="G155" i="29"/>
  <c r="E155" i="29"/>
  <c r="D155" i="29"/>
  <c r="C155" i="29"/>
  <c r="G130" i="29"/>
  <c r="E130" i="29"/>
  <c r="D130" i="29"/>
  <c r="C130" i="29"/>
  <c r="G36" i="29"/>
  <c r="E36" i="29"/>
  <c r="D36" i="29"/>
  <c r="C36" i="29"/>
  <c r="G116" i="29"/>
  <c r="E116" i="29"/>
  <c r="D116" i="29"/>
  <c r="C116" i="29"/>
  <c r="G105" i="29"/>
  <c r="E105" i="29"/>
  <c r="D105" i="29"/>
  <c r="C105" i="29"/>
  <c r="G78" i="29"/>
  <c r="E78" i="29"/>
  <c r="D78" i="29"/>
  <c r="C78" i="29"/>
  <c r="G159" i="29"/>
  <c r="E159" i="29"/>
  <c r="D159" i="29"/>
  <c r="C159" i="29"/>
  <c r="G20" i="29"/>
  <c r="E20" i="29"/>
  <c r="D20" i="29"/>
  <c r="C20" i="29"/>
  <c r="G50" i="29"/>
  <c r="E50" i="29"/>
  <c r="D50" i="29"/>
  <c r="C50" i="29"/>
  <c r="G58" i="29"/>
  <c r="E58" i="29"/>
  <c r="D58" i="29"/>
  <c r="C58" i="29"/>
  <c r="G5" i="29"/>
  <c r="E5" i="29"/>
  <c r="D5" i="29"/>
  <c r="C5" i="29"/>
  <c r="G29" i="29"/>
  <c r="E29" i="29"/>
  <c r="D29" i="29"/>
  <c r="C29" i="29"/>
  <c r="F44" i="29" l="1"/>
  <c r="F156" i="29"/>
  <c r="F93" i="29"/>
  <c r="F167" i="29"/>
  <c r="F18" i="29"/>
  <c r="F172" i="29"/>
  <c r="F165" i="29"/>
  <c r="F109" i="29"/>
  <c r="F108" i="29"/>
  <c r="F90" i="29"/>
  <c r="F107" i="29"/>
  <c r="F81" i="29"/>
  <c r="F19" i="29"/>
  <c r="F147" i="29"/>
  <c r="F152" i="29"/>
  <c r="F99" i="29"/>
  <c r="F123" i="29"/>
  <c r="F57" i="29"/>
  <c r="F82" i="29"/>
  <c r="F145" i="29"/>
  <c r="F125" i="29"/>
  <c r="F131" i="29"/>
  <c r="F95" i="29"/>
  <c r="F122" i="29"/>
  <c r="F116" i="29"/>
  <c r="F36" i="29"/>
  <c r="F158" i="29"/>
  <c r="F23" i="29"/>
  <c r="F103" i="29"/>
  <c r="F31" i="29"/>
  <c r="F69" i="29"/>
  <c r="F28" i="29"/>
  <c r="F126" i="29"/>
  <c r="F24" i="29"/>
  <c r="F76" i="29"/>
  <c r="F118" i="29"/>
  <c r="F40" i="29"/>
  <c r="F63" i="29"/>
  <c r="F92" i="29"/>
  <c r="F159" i="29"/>
  <c r="F139" i="29"/>
  <c r="F15" i="29"/>
  <c r="F54" i="29"/>
  <c r="F46" i="29"/>
  <c r="F49" i="29"/>
  <c r="F127" i="29"/>
  <c r="F100" i="29"/>
  <c r="F16" i="29"/>
  <c r="F21" i="29"/>
  <c r="F35" i="29"/>
  <c r="F10" i="29"/>
  <c r="F98" i="29"/>
  <c r="F25" i="29"/>
  <c r="F85" i="29"/>
  <c r="F3" i="29"/>
  <c r="F77" i="29"/>
  <c r="F136" i="29"/>
  <c r="F138" i="29"/>
  <c r="F113" i="29"/>
  <c r="F45" i="29"/>
  <c r="F164" i="29"/>
  <c r="F52" i="29"/>
  <c r="F67" i="29"/>
  <c r="F115" i="29"/>
  <c r="F89" i="29"/>
  <c r="F169" i="29"/>
  <c r="F133" i="29"/>
  <c r="F162" i="29"/>
  <c r="F94" i="29"/>
  <c r="F96" i="29"/>
  <c r="F34" i="29"/>
  <c r="F32" i="29"/>
  <c r="F117" i="29"/>
  <c r="F112" i="29"/>
  <c r="F149" i="29"/>
  <c r="F42" i="29"/>
  <c r="F134" i="29"/>
  <c r="F121" i="29"/>
  <c r="F168" i="29"/>
  <c r="F6" i="29"/>
  <c r="F143" i="29"/>
  <c r="F128" i="29"/>
  <c r="F78" i="29"/>
  <c r="F60" i="29"/>
  <c r="F58" i="29"/>
  <c r="F129" i="29"/>
  <c r="F148" i="29"/>
  <c r="F141" i="29"/>
  <c r="F9" i="29"/>
  <c r="F47" i="29"/>
  <c r="F88" i="29"/>
  <c r="F68" i="29"/>
  <c r="F66" i="29"/>
  <c r="F91" i="29"/>
  <c r="F51" i="29"/>
  <c r="F160" i="29"/>
  <c r="F105" i="29"/>
  <c r="F83" i="29"/>
  <c r="F84" i="29"/>
  <c r="F135" i="29"/>
  <c r="F72" i="29"/>
  <c r="F59" i="29"/>
  <c r="F8" i="29"/>
  <c r="F53" i="29"/>
  <c r="F62" i="29"/>
  <c r="F71" i="29"/>
  <c r="F111" i="29"/>
  <c r="F26" i="29"/>
  <c r="F154" i="29"/>
  <c r="F75" i="29"/>
  <c r="F150" i="29"/>
  <c r="F41" i="29"/>
  <c r="F171" i="29"/>
  <c r="F155" i="29"/>
  <c r="F101" i="29"/>
  <c r="F114" i="29"/>
  <c r="F161" i="29"/>
  <c r="F39" i="29"/>
  <c r="F153" i="29"/>
  <c r="F170" i="29"/>
  <c r="F140" i="29"/>
  <c r="F55" i="29"/>
  <c r="F22" i="29"/>
  <c r="F33" i="29"/>
  <c r="F61" i="29"/>
  <c r="F11" i="29"/>
  <c r="F64" i="29"/>
  <c r="D173" i="29"/>
  <c r="F29" i="29"/>
  <c r="E173" i="29"/>
  <c r="F50" i="29"/>
  <c r="F20" i="29"/>
  <c r="F80" i="29"/>
  <c r="F104" i="29"/>
  <c r="F120" i="29"/>
  <c r="F137" i="29"/>
  <c r="F166" i="29"/>
  <c r="F86" i="29"/>
  <c r="F144" i="29"/>
  <c r="F124" i="29"/>
  <c r="F73" i="29"/>
  <c r="F102" i="29"/>
  <c r="F5" i="29"/>
  <c r="C173" i="29"/>
  <c r="F79" i="29"/>
  <c r="F7" i="29"/>
  <c r="F13" i="29"/>
  <c r="F38" i="29"/>
  <c r="F74" i="29"/>
  <c r="F151" i="29"/>
  <c r="F43" i="29"/>
  <c r="F132" i="29"/>
  <c r="F30" i="29"/>
  <c r="F106" i="29"/>
  <c r="F12" i="29"/>
  <c r="F130" i="29"/>
  <c r="F157" i="29"/>
  <c r="F110" i="29"/>
  <c r="F27" i="29"/>
  <c r="F17" i="29"/>
  <c r="F65" i="29"/>
  <c r="F87" i="29"/>
  <c r="F4" i="29"/>
  <c r="F163" i="29"/>
  <c r="G173" i="29"/>
  <c r="F14" i="29"/>
  <c r="F48" i="29"/>
  <c r="F146" i="29"/>
  <c r="F70" i="29"/>
  <c r="F97" i="29"/>
  <c r="F142" i="29"/>
  <c r="F56" i="29"/>
  <c r="F37" i="29"/>
  <c r="F119" i="29"/>
  <c r="C90" i="28"/>
  <c r="D90" i="28"/>
  <c r="E90" i="28"/>
  <c r="G90" i="28"/>
  <c r="G172" i="28"/>
  <c r="E172" i="28"/>
  <c r="D172" i="28"/>
  <c r="C172" i="28"/>
  <c r="G68" i="28"/>
  <c r="E68" i="28"/>
  <c r="D68" i="28"/>
  <c r="C68" i="28"/>
  <c r="G177" i="28"/>
  <c r="E177" i="28"/>
  <c r="D177" i="28"/>
  <c r="C177" i="28"/>
  <c r="G85" i="28"/>
  <c r="E85" i="28"/>
  <c r="D85" i="28"/>
  <c r="C85" i="28"/>
  <c r="G11" i="28"/>
  <c r="E11" i="28"/>
  <c r="D11" i="28"/>
  <c r="C11" i="28"/>
  <c r="G22" i="28"/>
  <c r="E22" i="28"/>
  <c r="D22" i="28"/>
  <c r="C22" i="28"/>
  <c r="G170" i="28"/>
  <c r="E170" i="28"/>
  <c r="D170" i="28"/>
  <c r="C170" i="28"/>
  <c r="G166" i="28"/>
  <c r="E166" i="28"/>
  <c r="D166" i="28"/>
  <c r="C166" i="28"/>
  <c r="G167" i="28"/>
  <c r="E167" i="28"/>
  <c r="D167" i="28"/>
  <c r="C167" i="28"/>
  <c r="G33" i="28"/>
  <c r="E33" i="28"/>
  <c r="D33" i="28"/>
  <c r="C33" i="28"/>
  <c r="G175" i="28"/>
  <c r="E175" i="28"/>
  <c r="D175" i="28"/>
  <c r="C175" i="28"/>
  <c r="G169" i="28"/>
  <c r="E169" i="28"/>
  <c r="D169" i="28"/>
  <c r="C169" i="28"/>
  <c r="G165" i="28"/>
  <c r="E165" i="28"/>
  <c r="D165" i="28"/>
  <c r="C165" i="28"/>
  <c r="G65" i="28"/>
  <c r="E65" i="28"/>
  <c r="D65" i="28"/>
  <c r="C65" i="28"/>
  <c r="G140" i="28"/>
  <c r="E140" i="28"/>
  <c r="D140" i="28"/>
  <c r="C140" i="28"/>
  <c r="G102" i="28"/>
  <c r="E102" i="28"/>
  <c r="D102" i="28"/>
  <c r="C102" i="28"/>
  <c r="G126" i="28"/>
  <c r="E126" i="28"/>
  <c r="D126" i="28"/>
  <c r="C126" i="28"/>
  <c r="G38" i="28"/>
  <c r="E38" i="28"/>
  <c r="D38" i="28"/>
  <c r="C38" i="28"/>
  <c r="G134" i="28"/>
  <c r="E134" i="28"/>
  <c r="D134" i="28"/>
  <c r="C134" i="28"/>
  <c r="G109" i="28"/>
  <c r="E109" i="28"/>
  <c r="D109" i="28"/>
  <c r="C109" i="28"/>
  <c r="G105" i="28"/>
  <c r="E105" i="28"/>
  <c r="D105" i="28"/>
  <c r="C105" i="28"/>
  <c r="G39" i="28"/>
  <c r="E39" i="28"/>
  <c r="D39" i="28"/>
  <c r="C39" i="28"/>
  <c r="G84" i="28"/>
  <c r="E84" i="28"/>
  <c r="D84" i="28"/>
  <c r="C84" i="28"/>
  <c r="G176" i="28"/>
  <c r="E176" i="28"/>
  <c r="D176" i="28"/>
  <c r="C176" i="28"/>
  <c r="G150" i="28"/>
  <c r="E150" i="28"/>
  <c r="D150" i="28"/>
  <c r="C150" i="28"/>
  <c r="G138" i="28"/>
  <c r="E138" i="28"/>
  <c r="D138" i="28"/>
  <c r="C138" i="28"/>
  <c r="G30" i="28"/>
  <c r="E30" i="28"/>
  <c r="D30" i="28"/>
  <c r="C30" i="28"/>
  <c r="G55" i="28"/>
  <c r="E55" i="28"/>
  <c r="D55" i="28"/>
  <c r="C55" i="28"/>
  <c r="G97" i="28"/>
  <c r="E97" i="28"/>
  <c r="D97" i="28"/>
  <c r="C97" i="28"/>
  <c r="G88" i="28"/>
  <c r="E88" i="28"/>
  <c r="D88" i="28"/>
  <c r="C88" i="28"/>
  <c r="G25" i="28"/>
  <c r="E25" i="28"/>
  <c r="D25" i="28"/>
  <c r="C25" i="28"/>
  <c r="G54" i="28"/>
  <c r="E54" i="28"/>
  <c r="D54" i="28"/>
  <c r="C54" i="28"/>
  <c r="G78" i="28"/>
  <c r="E78" i="28"/>
  <c r="D78" i="28"/>
  <c r="C78" i="28"/>
  <c r="G158" i="28"/>
  <c r="E158" i="28"/>
  <c r="D158" i="28"/>
  <c r="C158" i="28"/>
  <c r="G173" i="28"/>
  <c r="E173" i="28"/>
  <c r="D173" i="28"/>
  <c r="C173" i="28"/>
  <c r="G70" i="28"/>
  <c r="E70" i="28"/>
  <c r="D70" i="28"/>
  <c r="C70" i="28"/>
  <c r="G131" i="28"/>
  <c r="E131" i="28"/>
  <c r="D131" i="28"/>
  <c r="C131" i="28"/>
  <c r="G8" i="28"/>
  <c r="E8" i="28"/>
  <c r="D8" i="28"/>
  <c r="C8" i="28"/>
  <c r="G80" i="28"/>
  <c r="E80" i="28"/>
  <c r="D80" i="28"/>
  <c r="C80" i="28"/>
  <c r="G60" i="28"/>
  <c r="E60" i="28"/>
  <c r="D60" i="28"/>
  <c r="C60" i="28"/>
  <c r="G89" i="28"/>
  <c r="E89" i="28"/>
  <c r="D89" i="28"/>
  <c r="C89" i="28"/>
  <c r="G59" i="28"/>
  <c r="E59" i="28"/>
  <c r="D59" i="28"/>
  <c r="C59" i="28"/>
  <c r="G121" i="28"/>
  <c r="E121" i="28"/>
  <c r="D121" i="28"/>
  <c r="C121" i="28"/>
  <c r="G135" i="28"/>
  <c r="E135" i="28"/>
  <c r="D135" i="28"/>
  <c r="C135" i="28"/>
  <c r="G72" i="28"/>
  <c r="E72" i="28"/>
  <c r="D72" i="28"/>
  <c r="C72" i="28"/>
  <c r="G130" i="28"/>
  <c r="E130" i="28"/>
  <c r="D130" i="28"/>
  <c r="C130" i="28"/>
  <c r="G52" i="28"/>
  <c r="E52" i="28"/>
  <c r="D52" i="28"/>
  <c r="C52" i="28"/>
  <c r="G14" i="28"/>
  <c r="E14" i="28"/>
  <c r="D14" i="28"/>
  <c r="C14" i="28"/>
  <c r="G87" i="28"/>
  <c r="E87" i="28"/>
  <c r="D87" i="28"/>
  <c r="C87" i="28"/>
  <c r="E48" i="28"/>
  <c r="D48" i="28"/>
  <c r="C48" i="28"/>
  <c r="G71" i="28"/>
  <c r="E71" i="28"/>
  <c r="D71" i="28"/>
  <c r="C71" i="28"/>
  <c r="G112" i="28"/>
  <c r="E112" i="28"/>
  <c r="D112" i="28"/>
  <c r="C112" i="28"/>
  <c r="G40" i="28"/>
  <c r="E40" i="28"/>
  <c r="D40" i="28"/>
  <c r="C40" i="28"/>
  <c r="G67" i="28"/>
  <c r="E67" i="28"/>
  <c r="D67" i="28"/>
  <c r="C67" i="28"/>
  <c r="G147" i="28"/>
  <c r="E147" i="28"/>
  <c r="D147" i="28"/>
  <c r="C147" i="28"/>
  <c r="G7" i="28"/>
  <c r="E7" i="28"/>
  <c r="D7" i="28"/>
  <c r="C7" i="28"/>
  <c r="G86" i="28"/>
  <c r="E86" i="28"/>
  <c r="D86" i="28"/>
  <c r="C86" i="28"/>
  <c r="G42" i="28"/>
  <c r="E42" i="28"/>
  <c r="D42" i="28"/>
  <c r="C42" i="28"/>
  <c r="G152" i="28"/>
  <c r="E152" i="28"/>
  <c r="D152" i="28"/>
  <c r="C152" i="28"/>
  <c r="G93" i="28"/>
  <c r="E93" i="28"/>
  <c r="D93" i="28"/>
  <c r="C93" i="28"/>
  <c r="G29" i="28"/>
  <c r="E29" i="28"/>
  <c r="D29" i="28"/>
  <c r="C29" i="28"/>
  <c r="G34" i="28"/>
  <c r="E34" i="28"/>
  <c r="D34" i="28"/>
  <c r="C34" i="28"/>
  <c r="G174" i="28"/>
  <c r="E174" i="28"/>
  <c r="D174" i="28"/>
  <c r="C174" i="28"/>
  <c r="G98" i="28"/>
  <c r="E98" i="28"/>
  <c r="D98" i="28"/>
  <c r="C98" i="28"/>
  <c r="G154" i="28"/>
  <c r="E154" i="28"/>
  <c r="D154" i="28"/>
  <c r="C154" i="28"/>
  <c r="G92" i="28"/>
  <c r="E92" i="28"/>
  <c r="D92" i="28"/>
  <c r="C92" i="28"/>
  <c r="G15" i="28"/>
  <c r="E15" i="28"/>
  <c r="D15" i="28"/>
  <c r="C15" i="28"/>
  <c r="G36" i="28"/>
  <c r="E36" i="28"/>
  <c r="D36" i="28"/>
  <c r="C36" i="28"/>
  <c r="G118" i="28"/>
  <c r="E118" i="28"/>
  <c r="D118" i="28"/>
  <c r="C118" i="28"/>
  <c r="G114" i="28"/>
  <c r="E114" i="28"/>
  <c r="D114" i="28"/>
  <c r="C114" i="28"/>
  <c r="G56" i="28"/>
  <c r="E56" i="28"/>
  <c r="D56" i="28"/>
  <c r="C56" i="28"/>
  <c r="G115" i="28"/>
  <c r="E115" i="28"/>
  <c r="D115" i="28"/>
  <c r="C115" i="28"/>
  <c r="G149" i="28"/>
  <c r="E149" i="28"/>
  <c r="D149" i="28"/>
  <c r="C149" i="28"/>
  <c r="G171" i="28"/>
  <c r="E171" i="28"/>
  <c r="D171" i="28"/>
  <c r="C171" i="28"/>
  <c r="G148" i="28"/>
  <c r="E148" i="28"/>
  <c r="D148" i="28"/>
  <c r="C148" i="28"/>
  <c r="G125" i="28"/>
  <c r="E125" i="28"/>
  <c r="D125" i="28"/>
  <c r="C125" i="28"/>
  <c r="G69" i="28"/>
  <c r="E69" i="28"/>
  <c r="D69" i="28"/>
  <c r="C69" i="28"/>
  <c r="G151" i="28"/>
  <c r="E151" i="28"/>
  <c r="D151" i="28"/>
  <c r="C151" i="28"/>
  <c r="G76" i="28"/>
  <c r="E76" i="28"/>
  <c r="D76" i="28"/>
  <c r="C76" i="28"/>
  <c r="G104" i="28"/>
  <c r="E104" i="28"/>
  <c r="D104" i="28"/>
  <c r="C104" i="28"/>
  <c r="G46" i="28"/>
  <c r="E46" i="28"/>
  <c r="D46" i="28"/>
  <c r="C46" i="28"/>
  <c r="G139" i="28"/>
  <c r="E139" i="28"/>
  <c r="D139" i="28"/>
  <c r="C139" i="28"/>
  <c r="G12" i="28"/>
  <c r="E12" i="28"/>
  <c r="D12" i="28"/>
  <c r="C12" i="28"/>
  <c r="G107" i="28"/>
  <c r="E107" i="28"/>
  <c r="D107" i="28"/>
  <c r="C107" i="28"/>
  <c r="G32" i="28"/>
  <c r="E32" i="28"/>
  <c r="D32" i="28"/>
  <c r="C32" i="28"/>
  <c r="G81" i="28"/>
  <c r="E81" i="28"/>
  <c r="D81" i="28"/>
  <c r="C81" i="28"/>
  <c r="G31" i="28"/>
  <c r="E31" i="28"/>
  <c r="D31" i="28"/>
  <c r="C31" i="28"/>
  <c r="G160" i="28"/>
  <c r="E160" i="28"/>
  <c r="D160" i="28"/>
  <c r="C160" i="28"/>
  <c r="G161" i="28"/>
  <c r="E161" i="28"/>
  <c r="D161" i="28"/>
  <c r="C161" i="28"/>
  <c r="G133" i="28"/>
  <c r="E133" i="28"/>
  <c r="D133" i="28"/>
  <c r="C133" i="28"/>
  <c r="G20" i="28"/>
  <c r="E20" i="28"/>
  <c r="D20" i="28"/>
  <c r="C20" i="28"/>
  <c r="G132" i="28"/>
  <c r="E132" i="28"/>
  <c r="D132" i="28"/>
  <c r="C132" i="28"/>
  <c r="G53" i="28"/>
  <c r="E53" i="28"/>
  <c r="D53" i="28"/>
  <c r="C53" i="28"/>
  <c r="G57" i="28"/>
  <c r="E57" i="28"/>
  <c r="D57" i="28"/>
  <c r="C57" i="28"/>
  <c r="G74" i="28"/>
  <c r="E74" i="28"/>
  <c r="D74" i="28"/>
  <c r="C74" i="28"/>
  <c r="G3" i="28"/>
  <c r="E3" i="28"/>
  <c r="D3" i="28"/>
  <c r="C3" i="28"/>
  <c r="G50" i="28"/>
  <c r="E50" i="28"/>
  <c r="D50" i="28"/>
  <c r="C50" i="28"/>
  <c r="G24" i="28"/>
  <c r="E24" i="28"/>
  <c r="D24" i="28"/>
  <c r="C24" i="28"/>
  <c r="G47" i="28"/>
  <c r="E47" i="28"/>
  <c r="D47" i="28"/>
  <c r="C47" i="28"/>
  <c r="G10" i="28"/>
  <c r="E10" i="28"/>
  <c r="D10" i="28"/>
  <c r="C10" i="28"/>
  <c r="G43" i="28"/>
  <c r="E43" i="28"/>
  <c r="D43" i="28"/>
  <c r="C43" i="28"/>
  <c r="G41" i="28"/>
  <c r="E41" i="28"/>
  <c r="D41" i="28"/>
  <c r="C41" i="28"/>
  <c r="G156" i="28"/>
  <c r="E156" i="28"/>
  <c r="D156" i="28"/>
  <c r="C156" i="28"/>
  <c r="G123" i="28"/>
  <c r="E123" i="28"/>
  <c r="D123" i="28"/>
  <c r="C123" i="28"/>
  <c r="G26" i="28"/>
  <c r="E26" i="28"/>
  <c r="D26" i="28"/>
  <c r="C26" i="28"/>
  <c r="G117" i="28"/>
  <c r="E117" i="28"/>
  <c r="D117" i="28"/>
  <c r="C117" i="28"/>
  <c r="G128" i="28"/>
  <c r="E128" i="28"/>
  <c r="D128" i="28"/>
  <c r="C128" i="28"/>
  <c r="G155" i="28"/>
  <c r="E155" i="28"/>
  <c r="D155" i="28"/>
  <c r="C155" i="28"/>
  <c r="G75" i="28"/>
  <c r="E75" i="28"/>
  <c r="D75" i="28"/>
  <c r="C75" i="28"/>
  <c r="G120" i="28"/>
  <c r="E120" i="28"/>
  <c r="D120" i="28"/>
  <c r="C120" i="28"/>
  <c r="G61" i="28"/>
  <c r="E61" i="28"/>
  <c r="D61" i="28"/>
  <c r="C61" i="28"/>
  <c r="G129" i="28"/>
  <c r="E129" i="28"/>
  <c r="D129" i="28"/>
  <c r="C129" i="28"/>
  <c r="G106" i="28"/>
  <c r="E106" i="28"/>
  <c r="D106" i="28"/>
  <c r="C106" i="28"/>
  <c r="G141" i="28"/>
  <c r="E141" i="28"/>
  <c r="D141" i="28"/>
  <c r="C141" i="28"/>
  <c r="G145" i="28"/>
  <c r="E145" i="28"/>
  <c r="D145" i="28"/>
  <c r="C145" i="28"/>
  <c r="G144" i="28"/>
  <c r="E144" i="28"/>
  <c r="D144" i="28"/>
  <c r="C144" i="28"/>
  <c r="G127" i="28"/>
  <c r="E127" i="28"/>
  <c r="D127" i="28"/>
  <c r="C127" i="28"/>
  <c r="G143" i="28"/>
  <c r="E143" i="28"/>
  <c r="D143" i="28"/>
  <c r="C143" i="28"/>
  <c r="G63" i="28"/>
  <c r="E63" i="28"/>
  <c r="D63" i="28"/>
  <c r="C63" i="28"/>
  <c r="G16" i="28"/>
  <c r="E16" i="28"/>
  <c r="D16" i="28"/>
  <c r="C16" i="28"/>
  <c r="G45" i="28"/>
  <c r="E45" i="28"/>
  <c r="D45" i="28"/>
  <c r="C45" i="28"/>
  <c r="G116" i="28"/>
  <c r="E116" i="28"/>
  <c r="D116" i="28"/>
  <c r="C116" i="28"/>
  <c r="G157" i="28"/>
  <c r="E157" i="28"/>
  <c r="D157" i="28"/>
  <c r="C157" i="28"/>
  <c r="G77" i="28"/>
  <c r="E77" i="28"/>
  <c r="D77" i="28"/>
  <c r="C77" i="28"/>
  <c r="G49" i="28"/>
  <c r="E49" i="28"/>
  <c r="D49" i="28"/>
  <c r="C49" i="28"/>
  <c r="G159" i="28"/>
  <c r="E159" i="28"/>
  <c r="D159" i="28"/>
  <c r="C159" i="28"/>
  <c r="G79" i="28"/>
  <c r="E79" i="28"/>
  <c r="D79" i="28"/>
  <c r="C79" i="28"/>
  <c r="G103" i="28"/>
  <c r="E103" i="28"/>
  <c r="D103" i="28"/>
  <c r="C103" i="28"/>
  <c r="G17" i="28"/>
  <c r="E17" i="28"/>
  <c r="D17" i="28"/>
  <c r="C17" i="28"/>
  <c r="G27" i="28"/>
  <c r="E27" i="28"/>
  <c r="D27" i="28"/>
  <c r="C27" i="28"/>
  <c r="G66" i="28"/>
  <c r="E66" i="28"/>
  <c r="D66" i="28"/>
  <c r="C66" i="28"/>
  <c r="G142" i="28"/>
  <c r="E142" i="28"/>
  <c r="D142" i="28"/>
  <c r="C142" i="28"/>
  <c r="G18" i="28"/>
  <c r="E18" i="28"/>
  <c r="D18" i="28"/>
  <c r="C18" i="28"/>
  <c r="G73" i="28"/>
  <c r="E73" i="28"/>
  <c r="D73" i="28"/>
  <c r="C73" i="28"/>
  <c r="G58" i="28"/>
  <c r="E58" i="28"/>
  <c r="D58" i="28"/>
  <c r="C58" i="28"/>
  <c r="G163" i="28"/>
  <c r="E163" i="28"/>
  <c r="D163" i="28"/>
  <c r="C163" i="28"/>
  <c r="G110" i="28"/>
  <c r="E110" i="28"/>
  <c r="D110" i="28"/>
  <c r="C110" i="28"/>
  <c r="G91" i="28"/>
  <c r="E91" i="28"/>
  <c r="D91" i="28"/>
  <c r="C91" i="28"/>
  <c r="G23" i="28"/>
  <c r="E23" i="28"/>
  <c r="D23" i="28"/>
  <c r="C23" i="28"/>
  <c r="G21" i="28"/>
  <c r="E21" i="28"/>
  <c r="D21" i="28"/>
  <c r="C21" i="28"/>
  <c r="G101" i="28"/>
  <c r="E101" i="28"/>
  <c r="D101" i="28"/>
  <c r="C101" i="28"/>
  <c r="G108" i="28"/>
  <c r="E108" i="28"/>
  <c r="D108" i="28"/>
  <c r="C108" i="28"/>
  <c r="G100" i="28"/>
  <c r="E100" i="28"/>
  <c r="D100" i="28"/>
  <c r="C100" i="28"/>
  <c r="G119" i="28"/>
  <c r="E119" i="28"/>
  <c r="D119" i="28"/>
  <c r="C119" i="28"/>
  <c r="G146" i="28"/>
  <c r="E146" i="28"/>
  <c r="D146" i="28"/>
  <c r="C146" i="28"/>
  <c r="G13" i="28"/>
  <c r="E13" i="28"/>
  <c r="D13" i="28"/>
  <c r="C13" i="28"/>
  <c r="G9" i="28"/>
  <c r="E9" i="28"/>
  <c r="D9" i="28"/>
  <c r="C9" i="28"/>
  <c r="G4" i="28"/>
  <c r="E4" i="28"/>
  <c r="D4" i="28"/>
  <c r="C4" i="28"/>
  <c r="G136" i="28"/>
  <c r="E136" i="28"/>
  <c r="D136" i="28"/>
  <c r="C136" i="28"/>
  <c r="G82" i="28"/>
  <c r="E82" i="28"/>
  <c r="D82" i="28"/>
  <c r="C82" i="28"/>
  <c r="G99" i="28"/>
  <c r="E99" i="28"/>
  <c r="D99" i="28"/>
  <c r="C99" i="28"/>
  <c r="G113" i="28"/>
  <c r="E113" i="28"/>
  <c r="D113" i="28"/>
  <c r="C113" i="28"/>
  <c r="G124" i="28"/>
  <c r="E124" i="28"/>
  <c r="D124" i="28"/>
  <c r="C124" i="28"/>
  <c r="G94" i="28"/>
  <c r="E94" i="28"/>
  <c r="D94" i="28"/>
  <c r="C94" i="28"/>
  <c r="G64" i="28"/>
  <c r="E64" i="28"/>
  <c r="D64" i="28"/>
  <c r="C64" i="28"/>
  <c r="G153" i="28"/>
  <c r="E153" i="28"/>
  <c r="D153" i="28"/>
  <c r="C153" i="28"/>
  <c r="G83" i="28"/>
  <c r="E83" i="28"/>
  <c r="D83" i="28"/>
  <c r="C83" i="28"/>
  <c r="G19" i="28"/>
  <c r="E19" i="28"/>
  <c r="D19" i="28"/>
  <c r="C19" i="28"/>
  <c r="G5" i="28"/>
  <c r="E5" i="28"/>
  <c r="D5" i="28"/>
  <c r="C5" i="28"/>
  <c r="G95" i="28"/>
  <c r="E95" i="28"/>
  <c r="D95" i="28"/>
  <c r="C95" i="28"/>
  <c r="G37" i="28"/>
  <c r="E37" i="28"/>
  <c r="D37" i="28"/>
  <c r="C37" i="28"/>
  <c r="G164" i="28"/>
  <c r="E164" i="28"/>
  <c r="D164" i="28"/>
  <c r="C164" i="28"/>
  <c r="G168" i="28"/>
  <c r="E168" i="28"/>
  <c r="D168" i="28"/>
  <c r="C168" i="28"/>
  <c r="G137" i="28"/>
  <c r="E137" i="28"/>
  <c r="D137" i="28"/>
  <c r="C137" i="28"/>
  <c r="G122" i="28"/>
  <c r="E122" i="28"/>
  <c r="D122" i="28"/>
  <c r="C122" i="28"/>
  <c r="G111" i="28"/>
  <c r="E111" i="28"/>
  <c r="D111" i="28"/>
  <c r="C111" i="28"/>
  <c r="G44" i="28"/>
  <c r="E44" i="28"/>
  <c r="D44" i="28"/>
  <c r="C44" i="28"/>
  <c r="G96" i="28"/>
  <c r="E96" i="28"/>
  <c r="D96" i="28"/>
  <c r="C96" i="28"/>
  <c r="G162" i="28"/>
  <c r="E162" i="28"/>
  <c r="D162" i="28"/>
  <c r="C162" i="28"/>
  <c r="G28" i="28"/>
  <c r="E28" i="28"/>
  <c r="D28" i="28"/>
  <c r="C28" i="28"/>
  <c r="G51" i="28"/>
  <c r="E51" i="28"/>
  <c r="D51" i="28"/>
  <c r="C51" i="28"/>
  <c r="G62" i="28"/>
  <c r="E62" i="28"/>
  <c r="D62" i="28"/>
  <c r="C62" i="28"/>
  <c r="G6" i="28"/>
  <c r="E6" i="28"/>
  <c r="D6" i="28"/>
  <c r="C6" i="28"/>
  <c r="G35" i="28"/>
  <c r="E35" i="28"/>
  <c r="D35" i="28"/>
  <c r="C35" i="28"/>
  <c r="F90" i="28" l="1"/>
  <c r="F28" i="28"/>
  <c r="F143" i="28"/>
  <c r="F3" i="28"/>
  <c r="F149" i="28"/>
  <c r="F56" i="28"/>
  <c r="F174" i="28"/>
  <c r="F87" i="28"/>
  <c r="F158" i="28"/>
  <c r="F25" i="28"/>
  <c r="F105" i="28"/>
  <c r="F111" i="28"/>
  <c r="F168" i="28"/>
  <c r="F5" i="28"/>
  <c r="F124" i="28"/>
  <c r="F113" i="28"/>
  <c r="F9" i="28"/>
  <c r="F146" i="28"/>
  <c r="F119" i="28"/>
  <c r="F101" i="28"/>
  <c r="F79" i="28"/>
  <c r="F157" i="28"/>
  <c r="F117" i="28"/>
  <c r="F41" i="28"/>
  <c r="F132" i="28"/>
  <c r="F133" i="28"/>
  <c r="F160" i="28"/>
  <c r="F139" i="28"/>
  <c r="F118" i="28"/>
  <c r="F147" i="28"/>
  <c r="F40" i="28"/>
  <c r="F71" i="28"/>
  <c r="F48" i="28"/>
  <c r="F70" i="28"/>
  <c r="F30" i="28"/>
  <c r="F35" i="28"/>
  <c r="F125" i="28"/>
  <c r="F172" i="28"/>
  <c r="F137" i="28"/>
  <c r="F81" i="28"/>
  <c r="F32" i="28"/>
  <c r="F107" i="28"/>
  <c r="F104" i="28"/>
  <c r="F76" i="28"/>
  <c r="F151" i="28"/>
  <c r="F34" i="28"/>
  <c r="F112" i="28"/>
  <c r="F72" i="28"/>
  <c r="F55" i="28"/>
  <c r="F21" i="28"/>
  <c r="F166" i="28"/>
  <c r="F136" i="28"/>
  <c r="F100" i="28"/>
  <c r="F61" i="28"/>
  <c r="F120" i="28"/>
  <c r="F15" i="28"/>
  <c r="F42" i="28"/>
  <c r="F52" i="28"/>
  <c r="F59" i="28"/>
  <c r="F60" i="28"/>
  <c r="F80" i="28"/>
  <c r="F88" i="28"/>
  <c r="F134" i="28"/>
  <c r="F65" i="28"/>
  <c r="F33" i="28"/>
  <c r="F17" i="28"/>
  <c r="F27" i="28"/>
  <c r="F18" i="28"/>
  <c r="F122" i="28"/>
  <c r="F83" i="28"/>
  <c r="F153" i="28"/>
  <c r="F23" i="28"/>
  <c r="F116" i="28"/>
  <c r="F45" i="28"/>
  <c r="F10" i="28"/>
  <c r="F96" i="28"/>
  <c r="F91" i="28"/>
  <c r="F145" i="28"/>
  <c r="F106" i="28"/>
  <c r="F57" i="28"/>
  <c r="F58" i="28"/>
  <c r="F73" i="28"/>
  <c r="F77" i="28"/>
  <c r="F16" i="28"/>
  <c r="F144" i="28"/>
  <c r="F141" i="28"/>
  <c r="F26" i="28"/>
  <c r="F123" i="28"/>
  <c r="F156" i="28"/>
  <c r="F47" i="28"/>
  <c r="F161" i="28"/>
  <c r="F46" i="28"/>
  <c r="F69" i="28"/>
  <c r="F152" i="28"/>
  <c r="F7" i="28"/>
  <c r="F38" i="28"/>
  <c r="F126" i="28"/>
  <c r="F175" i="28"/>
  <c r="F11" i="28"/>
  <c r="F68" i="28"/>
  <c r="F98" i="28"/>
  <c r="F29" i="28"/>
  <c r="F86" i="28"/>
  <c r="F89" i="28"/>
  <c r="F176" i="28"/>
  <c r="F169" i="28"/>
  <c r="F177" i="28"/>
  <c r="F82" i="28"/>
  <c r="F13" i="28"/>
  <c r="F108" i="28"/>
  <c r="F110" i="28"/>
  <c r="F63" i="28"/>
  <c r="F128" i="28"/>
  <c r="F50" i="28"/>
  <c r="F53" i="28"/>
  <c r="F115" i="28"/>
  <c r="F114" i="28"/>
  <c r="F92" i="28"/>
  <c r="F67" i="28"/>
  <c r="F135" i="28"/>
  <c r="F121" i="28"/>
  <c r="F97" i="28"/>
  <c r="F84" i="28"/>
  <c r="F140" i="28"/>
  <c r="F49" i="28"/>
  <c r="F31" i="28"/>
  <c r="C178" i="28"/>
  <c r="G178" i="28"/>
  <c r="F162" i="28"/>
  <c r="F19" i="28"/>
  <c r="F142" i="28"/>
  <c r="F66" i="28"/>
  <c r="F129" i="28"/>
  <c r="F155" i="28"/>
  <c r="F20" i="28"/>
  <c r="F171" i="28"/>
  <c r="F14" i="28"/>
  <c r="F8" i="28"/>
  <c r="F131" i="28"/>
  <c r="F54" i="28"/>
  <c r="F150" i="28"/>
  <c r="F39" i="28"/>
  <c r="F170" i="28"/>
  <c r="F22" i="28"/>
  <c r="F164" i="28"/>
  <c r="F37" i="28"/>
  <c r="F99" i="28"/>
  <c r="F163" i="28"/>
  <c r="F148" i="28"/>
  <c r="F154" i="28"/>
  <c r="F102" i="28"/>
  <c r="F165" i="28"/>
  <c r="F167" i="28"/>
  <c r="E178" i="28"/>
  <c r="D178" i="28"/>
  <c r="F6" i="28"/>
  <c r="F62" i="28"/>
  <c r="F44" i="28"/>
  <c r="F64" i="28"/>
  <c r="F159" i="28"/>
  <c r="F43" i="28"/>
  <c r="F74" i="28"/>
  <c r="F173" i="28"/>
  <c r="F138" i="28"/>
  <c r="F85" i="28"/>
  <c r="F51" i="28"/>
  <c r="F95" i="28"/>
  <c r="F94" i="28"/>
  <c r="F4" i="28"/>
  <c r="F103" i="28"/>
  <c r="F127" i="28"/>
  <c r="F75" i="28"/>
  <c r="F24" i="28"/>
  <c r="F12" i="28"/>
  <c r="F36" i="28"/>
  <c r="F93" i="28"/>
  <c r="F130" i="28"/>
  <c r="F78" i="28"/>
  <c r="F109" i="28"/>
  <c r="G165" i="27"/>
  <c r="E165" i="27"/>
  <c r="D165" i="27"/>
  <c r="C165" i="27"/>
  <c r="G62" i="27"/>
  <c r="E62" i="27"/>
  <c r="D62" i="27"/>
  <c r="C62" i="27"/>
  <c r="G170" i="27"/>
  <c r="E170" i="27"/>
  <c r="D170" i="27"/>
  <c r="C170" i="27"/>
  <c r="G91" i="27"/>
  <c r="E91" i="27"/>
  <c r="D91" i="27"/>
  <c r="C91" i="27"/>
  <c r="G14" i="27"/>
  <c r="E14" i="27"/>
  <c r="D14" i="27"/>
  <c r="C14" i="27"/>
  <c r="G19" i="27"/>
  <c r="E19" i="27"/>
  <c r="D19" i="27"/>
  <c r="C19" i="27"/>
  <c r="G159" i="27"/>
  <c r="E159" i="27"/>
  <c r="D159" i="27"/>
  <c r="C159" i="27"/>
  <c r="G172" i="27"/>
  <c r="E172" i="27"/>
  <c r="D172" i="27"/>
  <c r="C172" i="27"/>
  <c r="G171" i="27"/>
  <c r="E171" i="27"/>
  <c r="D171" i="27"/>
  <c r="C171" i="27"/>
  <c r="G12" i="27"/>
  <c r="E12" i="27"/>
  <c r="D12" i="27"/>
  <c r="C12" i="27"/>
  <c r="G167" i="27"/>
  <c r="E167" i="27"/>
  <c r="D167" i="27"/>
  <c r="C167" i="27"/>
  <c r="G158" i="27"/>
  <c r="E158" i="27"/>
  <c r="D158" i="27"/>
  <c r="C158" i="27"/>
  <c r="G60" i="27"/>
  <c r="E60" i="27"/>
  <c r="D60" i="27"/>
  <c r="C60" i="27"/>
  <c r="G129" i="27"/>
  <c r="E129" i="27"/>
  <c r="D129" i="27"/>
  <c r="C129" i="27"/>
  <c r="G92" i="27"/>
  <c r="E92" i="27"/>
  <c r="D92" i="27"/>
  <c r="C92" i="27"/>
  <c r="G117" i="27"/>
  <c r="E117" i="27"/>
  <c r="D117" i="27"/>
  <c r="C117" i="27"/>
  <c r="G164" i="27"/>
  <c r="E164" i="27"/>
  <c r="D164" i="27"/>
  <c r="C164" i="27"/>
  <c r="G98" i="27"/>
  <c r="E98" i="27"/>
  <c r="D98" i="27"/>
  <c r="C98" i="27"/>
  <c r="G94" i="27"/>
  <c r="E94" i="27"/>
  <c r="D94" i="27"/>
  <c r="C94" i="27"/>
  <c r="G15" i="27"/>
  <c r="E15" i="27"/>
  <c r="D15" i="27"/>
  <c r="C15" i="27"/>
  <c r="G90" i="27"/>
  <c r="E90" i="27"/>
  <c r="D90" i="27"/>
  <c r="C90" i="27"/>
  <c r="G156" i="27"/>
  <c r="E156" i="27"/>
  <c r="D156" i="27"/>
  <c r="C156" i="27"/>
  <c r="G139" i="27"/>
  <c r="E139" i="27"/>
  <c r="D139" i="27"/>
  <c r="C139" i="27"/>
  <c r="G168" i="27"/>
  <c r="E168" i="27"/>
  <c r="D168" i="27"/>
  <c r="C168" i="27"/>
  <c r="G50" i="27"/>
  <c r="E50" i="27"/>
  <c r="D50" i="27"/>
  <c r="C50" i="27"/>
  <c r="G89" i="27"/>
  <c r="E89" i="27"/>
  <c r="D89" i="27"/>
  <c r="C89" i="27"/>
  <c r="G88" i="27"/>
  <c r="E88" i="27"/>
  <c r="D88" i="27"/>
  <c r="C88" i="27"/>
  <c r="G21" i="27"/>
  <c r="E21" i="27"/>
  <c r="D21" i="27"/>
  <c r="C21" i="27"/>
  <c r="G49" i="27"/>
  <c r="E49" i="27"/>
  <c r="D49" i="27"/>
  <c r="C49" i="27"/>
  <c r="G71" i="27"/>
  <c r="E71" i="27"/>
  <c r="D71" i="27"/>
  <c r="C71" i="27"/>
  <c r="G144" i="27"/>
  <c r="E144" i="27"/>
  <c r="D144" i="27"/>
  <c r="C144" i="27"/>
  <c r="G163" i="27"/>
  <c r="E163" i="27"/>
  <c r="D163" i="27"/>
  <c r="C163" i="27"/>
  <c r="G64" i="27"/>
  <c r="E64" i="27"/>
  <c r="D64" i="27"/>
  <c r="C64" i="27"/>
  <c r="G122" i="27"/>
  <c r="E122" i="27"/>
  <c r="D122" i="27"/>
  <c r="C122" i="27"/>
  <c r="G4" i="27"/>
  <c r="E4" i="27"/>
  <c r="D4" i="27"/>
  <c r="C4" i="27"/>
  <c r="G73" i="27"/>
  <c r="E73" i="27"/>
  <c r="D73" i="27"/>
  <c r="C73" i="27"/>
  <c r="G55" i="27"/>
  <c r="E55" i="27"/>
  <c r="D55" i="27"/>
  <c r="C55" i="27"/>
  <c r="G87" i="27"/>
  <c r="E87" i="27"/>
  <c r="D87" i="27"/>
  <c r="C87" i="27"/>
  <c r="G54" i="27"/>
  <c r="E54" i="27"/>
  <c r="D54" i="27"/>
  <c r="C54" i="27"/>
  <c r="G112" i="27"/>
  <c r="E112" i="27"/>
  <c r="D112" i="27"/>
  <c r="C112" i="27"/>
  <c r="G125" i="27"/>
  <c r="E125" i="27"/>
  <c r="D125" i="27"/>
  <c r="C125" i="27"/>
  <c r="G66" i="27"/>
  <c r="E66" i="27"/>
  <c r="D66" i="27"/>
  <c r="C66" i="27"/>
  <c r="G121" i="27"/>
  <c r="E121" i="27"/>
  <c r="D121" i="27"/>
  <c r="C121" i="27"/>
  <c r="G48" i="27"/>
  <c r="E48" i="27"/>
  <c r="D48" i="27"/>
  <c r="C48" i="27"/>
  <c r="G10" i="27"/>
  <c r="E10" i="27"/>
  <c r="D10" i="27"/>
  <c r="C10" i="27"/>
  <c r="G86" i="27"/>
  <c r="E86" i="27"/>
  <c r="D86" i="27"/>
  <c r="C86" i="27"/>
  <c r="E43" i="27"/>
  <c r="D43" i="27"/>
  <c r="C43" i="27"/>
  <c r="G65" i="27"/>
  <c r="E65" i="27"/>
  <c r="D65" i="27"/>
  <c r="C65" i="27"/>
  <c r="G101" i="27"/>
  <c r="E101" i="27"/>
  <c r="D101" i="27"/>
  <c r="C101" i="27"/>
  <c r="G34" i="27"/>
  <c r="E34" i="27"/>
  <c r="D34" i="27"/>
  <c r="C34" i="27"/>
  <c r="G61" i="27"/>
  <c r="E61" i="27"/>
  <c r="D61" i="27"/>
  <c r="C61" i="27"/>
  <c r="G136" i="27"/>
  <c r="E136" i="27"/>
  <c r="D136" i="27"/>
  <c r="C136" i="27"/>
  <c r="G8" i="27"/>
  <c r="E8" i="27"/>
  <c r="D8" i="27"/>
  <c r="C8" i="27"/>
  <c r="G85" i="27"/>
  <c r="E85" i="27"/>
  <c r="D85" i="27"/>
  <c r="C85" i="27"/>
  <c r="G37" i="27"/>
  <c r="E37" i="27"/>
  <c r="D37" i="27"/>
  <c r="C37" i="27"/>
  <c r="G141" i="27"/>
  <c r="E141" i="27"/>
  <c r="D141" i="27"/>
  <c r="C141" i="27"/>
  <c r="G84" i="27"/>
  <c r="E84" i="27"/>
  <c r="D84" i="27"/>
  <c r="C84" i="27"/>
  <c r="G25" i="27"/>
  <c r="E25" i="27"/>
  <c r="D25" i="27"/>
  <c r="C25" i="27"/>
  <c r="G29" i="27"/>
  <c r="E29" i="27"/>
  <c r="D29" i="27"/>
  <c r="C29" i="27"/>
  <c r="G149" i="27"/>
  <c r="E149" i="27"/>
  <c r="D149" i="27"/>
  <c r="C149" i="27"/>
  <c r="G83" i="27"/>
  <c r="E83" i="27"/>
  <c r="D83" i="27"/>
  <c r="C83" i="27"/>
  <c r="G35" i="27"/>
  <c r="E35" i="27"/>
  <c r="D35" i="27"/>
  <c r="C35" i="27"/>
  <c r="G9" i="27"/>
  <c r="E9" i="27"/>
  <c r="D9" i="27"/>
  <c r="C9" i="27"/>
  <c r="G31" i="27"/>
  <c r="E31" i="27"/>
  <c r="D31" i="27"/>
  <c r="C31" i="27"/>
  <c r="G107" i="27"/>
  <c r="E107" i="27"/>
  <c r="D107" i="27"/>
  <c r="C107" i="27"/>
  <c r="G103" i="27"/>
  <c r="E103" i="27"/>
  <c r="D103" i="27"/>
  <c r="C103" i="27"/>
  <c r="G51" i="27"/>
  <c r="E51" i="27"/>
  <c r="D51" i="27"/>
  <c r="C51" i="27"/>
  <c r="G104" i="27"/>
  <c r="E104" i="27"/>
  <c r="D104" i="27"/>
  <c r="C104" i="27"/>
  <c r="G138" i="27"/>
  <c r="E138" i="27"/>
  <c r="D138" i="27"/>
  <c r="C138" i="27"/>
  <c r="G161" i="27"/>
  <c r="E161" i="27"/>
  <c r="D161" i="27"/>
  <c r="C161" i="27"/>
  <c r="G137" i="27"/>
  <c r="E137" i="27"/>
  <c r="D137" i="27"/>
  <c r="C137" i="27"/>
  <c r="G116" i="27"/>
  <c r="E116" i="27"/>
  <c r="D116" i="27"/>
  <c r="C116" i="27"/>
  <c r="G63" i="27"/>
  <c r="E63" i="27"/>
  <c r="D63" i="27"/>
  <c r="C63" i="27"/>
  <c r="G140" i="27"/>
  <c r="E140" i="27"/>
  <c r="D140" i="27"/>
  <c r="C140" i="27"/>
  <c r="G69" i="27"/>
  <c r="E69" i="27"/>
  <c r="D69" i="27"/>
  <c r="C69" i="27"/>
  <c r="G93" i="27"/>
  <c r="E93" i="27"/>
  <c r="D93" i="27"/>
  <c r="C93" i="27"/>
  <c r="G40" i="27"/>
  <c r="E40" i="27"/>
  <c r="D40" i="27"/>
  <c r="C40" i="27"/>
  <c r="G128" i="27"/>
  <c r="E128" i="27"/>
  <c r="D128" i="27"/>
  <c r="C128" i="27"/>
  <c r="G11" i="27"/>
  <c r="E11" i="27"/>
  <c r="D11" i="27"/>
  <c r="C11" i="27"/>
  <c r="G96" i="27"/>
  <c r="E96" i="27"/>
  <c r="D96" i="27"/>
  <c r="C96" i="27"/>
  <c r="G27" i="27"/>
  <c r="E27" i="27"/>
  <c r="D27" i="27"/>
  <c r="C27" i="27"/>
  <c r="G75" i="27"/>
  <c r="E75" i="27"/>
  <c r="D75" i="27"/>
  <c r="C75" i="27"/>
  <c r="G26" i="27"/>
  <c r="E26" i="27"/>
  <c r="D26" i="27"/>
  <c r="C26" i="27"/>
  <c r="G147" i="27"/>
  <c r="E147" i="27"/>
  <c r="D147" i="27"/>
  <c r="C147" i="27"/>
  <c r="G148" i="27"/>
  <c r="E148" i="27"/>
  <c r="D148" i="27"/>
  <c r="C148" i="27"/>
  <c r="G124" i="27"/>
  <c r="E124" i="27"/>
  <c r="D124" i="27"/>
  <c r="C124" i="27"/>
  <c r="G28" i="27"/>
  <c r="E28" i="27"/>
  <c r="D28" i="27"/>
  <c r="C28" i="27"/>
  <c r="G123" i="27"/>
  <c r="E123" i="27"/>
  <c r="D123" i="27"/>
  <c r="C123" i="27"/>
  <c r="G47" i="27"/>
  <c r="E47" i="27"/>
  <c r="D47" i="27"/>
  <c r="C47" i="27"/>
  <c r="G52" i="27"/>
  <c r="E52" i="27"/>
  <c r="D52" i="27"/>
  <c r="C52" i="27"/>
  <c r="G68" i="27"/>
  <c r="E68" i="27"/>
  <c r="D68" i="27"/>
  <c r="C68" i="27"/>
  <c r="G3" i="27"/>
  <c r="E3" i="27"/>
  <c r="D3" i="27"/>
  <c r="C3" i="27"/>
  <c r="G45" i="27"/>
  <c r="E45" i="27"/>
  <c r="D45" i="27"/>
  <c r="C45" i="27"/>
  <c r="G166" i="27"/>
  <c r="E166" i="27"/>
  <c r="D166" i="27"/>
  <c r="C166" i="27"/>
  <c r="G41" i="27"/>
  <c r="E41" i="27"/>
  <c r="D41" i="27"/>
  <c r="C41" i="27"/>
  <c r="G6" i="27"/>
  <c r="E6" i="27"/>
  <c r="D6" i="27"/>
  <c r="C6" i="27"/>
  <c r="G20" i="27"/>
  <c r="E20" i="27"/>
  <c r="D20" i="27"/>
  <c r="C20" i="27"/>
  <c r="G36" i="27"/>
  <c r="E36" i="27"/>
  <c r="D36" i="27"/>
  <c r="C36" i="27"/>
  <c r="G143" i="27"/>
  <c r="E143" i="27"/>
  <c r="D143" i="27"/>
  <c r="C143" i="27"/>
  <c r="G114" i="27"/>
  <c r="E114" i="27"/>
  <c r="D114" i="27"/>
  <c r="C114" i="27"/>
  <c r="G22" i="27"/>
  <c r="E22" i="27"/>
  <c r="D22" i="27"/>
  <c r="C22" i="27"/>
  <c r="G106" i="27"/>
  <c r="E106" i="27"/>
  <c r="D106" i="27"/>
  <c r="C106" i="27"/>
  <c r="G119" i="27"/>
  <c r="E119" i="27"/>
  <c r="D119" i="27"/>
  <c r="C119" i="27"/>
  <c r="G142" i="27"/>
  <c r="E142" i="27"/>
  <c r="D142" i="27"/>
  <c r="C142" i="27"/>
  <c r="G153" i="27"/>
  <c r="E153" i="27"/>
  <c r="D153" i="27"/>
  <c r="C153" i="27"/>
  <c r="G38" i="27"/>
  <c r="E38" i="27"/>
  <c r="D38" i="27"/>
  <c r="C38" i="27"/>
  <c r="G17" i="27"/>
  <c r="E17" i="27"/>
  <c r="D17" i="27"/>
  <c r="C17" i="27"/>
  <c r="G162" i="27"/>
  <c r="E162" i="27"/>
  <c r="D162" i="27"/>
  <c r="C162" i="27"/>
  <c r="G109" i="27"/>
  <c r="E109" i="27"/>
  <c r="D109" i="27"/>
  <c r="C109" i="27"/>
  <c r="G23" i="27"/>
  <c r="E23" i="27"/>
  <c r="D23" i="27"/>
  <c r="C23" i="27"/>
  <c r="G56" i="27"/>
  <c r="E56" i="27"/>
  <c r="D56" i="27"/>
  <c r="C56" i="27"/>
  <c r="G131" i="27"/>
  <c r="E131" i="27"/>
  <c r="D131" i="27"/>
  <c r="C131" i="27"/>
  <c r="G145" i="27"/>
  <c r="E145" i="27"/>
  <c r="D145" i="27"/>
  <c r="C145" i="27"/>
  <c r="G74" i="27"/>
  <c r="E74" i="27"/>
  <c r="D74" i="27"/>
  <c r="C74" i="27"/>
  <c r="G67" i="27"/>
  <c r="E67" i="27"/>
  <c r="D67" i="27"/>
  <c r="C67" i="27"/>
  <c r="G120" i="27"/>
  <c r="E120" i="27"/>
  <c r="D120" i="27"/>
  <c r="C120" i="27"/>
  <c r="G95" i="27"/>
  <c r="E95" i="27"/>
  <c r="D95" i="27"/>
  <c r="C95" i="27"/>
  <c r="G130" i="27"/>
  <c r="E130" i="27"/>
  <c r="D130" i="27"/>
  <c r="C130" i="27"/>
  <c r="G134" i="27"/>
  <c r="E134" i="27"/>
  <c r="D134" i="27"/>
  <c r="C134" i="27"/>
  <c r="G133" i="27"/>
  <c r="E133" i="27"/>
  <c r="D133" i="27"/>
  <c r="C133" i="27"/>
  <c r="G118" i="27"/>
  <c r="E118" i="27"/>
  <c r="D118" i="27"/>
  <c r="C118" i="27"/>
  <c r="G132" i="27"/>
  <c r="E132" i="27"/>
  <c r="D132" i="27"/>
  <c r="C132" i="27"/>
  <c r="G58" i="27"/>
  <c r="E58" i="27"/>
  <c r="D58" i="27"/>
  <c r="C58" i="27"/>
  <c r="G42" i="27"/>
  <c r="E42" i="27"/>
  <c r="D42" i="27"/>
  <c r="C42" i="27"/>
  <c r="G39" i="27"/>
  <c r="E39" i="27"/>
  <c r="D39" i="27"/>
  <c r="C39" i="27"/>
  <c r="G105" i="27"/>
  <c r="E105" i="27"/>
  <c r="D105" i="27"/>
  <c r="C105" i="27"/>
  <c r="G154" i="27"/>
  <c r="E154" i="27"/>
  <c r="D154" i="27"/>
  <c r="C154" i="27"/>
  <c r="G70" i="27"/>
  <c r="E70" i="27"/>
  <c r="D70" i="27"/>
  <c r="C70" i="27"/>
  <c r="G44" i="27"/>
  <c r="E44" i="27"/>
  <c r="D44" i="27"/>
  <c r="C44" i="27"/>
  <c r="G146" i="27"/>
  <c r="E146" i="27"/>
  <c r="D146" i="27"/>
  <c r="C146" i="27"/>
  <c r="G72" i="27"/>
  <c r="E72" i="27"/>
  <c r="D72" i="27"/>
  <c r="C72" i="27"/>
  <c r="G33" i="27"/>
  <c r="E33" i="27"/>
  <c r="D33" i="27"/>
  <c r="C33" i="27"/>
  <c r="G53" i="27"/>
  <c r="E53" i="27"/>
  <c r="D53" i="27"/>
  <c r="C53" i="27"/>
  <c r="G151" i="27"/>
  <c r="E151" i="27"/>
  <c r="D151" i="27"/>
  <c r="C151" i="27"/>
  <c r="G99" i="27"/>
  <c r="E99" i="27"/>
  <c r="D99" i="27"/>
  <c r="C99" i="27"/>
  <c r="G82" i="27"/>
  <c r="E82" i="27"/>
  <c r="D82" i="27"/>
  <c r="C82" i="27"/>
  <c r="G111" i="27"/>
  <c r="E111" i="27"/>
  <c r="D111" i="27"/>
  <c r="C111" i="27"/>
  <c r="G32" i="27"/>
  <c r="E32" i="27"/>
  <c r="D32" i="27"/>
  <c r="C32" i="27"/>
  <c r="G160" i="27"/>
  <c r="E160" i="27"/>
  <c r="D160" i="27"/>
  <c r="C160" i="27"/>
  <c r="G97" i="27"/>
  <c r="E97" i="27"/>
  <c r="D97" i="27"/>
  <c r="C97" i="27"/>
  <c r="G81" i="27"/>
  <c r="E81" i="27"/>
  <c r="D81" i="27"/>
  <c r="C81" i="27"/>
  <c r="G108" i="27"/>
  <c r="E108" i="27"/>
  <c r="D108" i="27"/>
  <c r="C108" i="27"/>
  <c r="G135" i="27"/>
  <c r="E135" i="27"/>
  <c r="D135" i="27"/>
  <c r="C135" i="27"/>
  <c r="G13" i="27"/>
  <c r="E13" i="27"/>
  <c r="D13" i="27"/>
  <c r="C13" i="27"/>
  <c r="G155" i="27"/>
  <c r="E155" i="27"/>
  <c r="D155" i="27"/>
  <c r="C155" i="27"/>
  <c r="G5" i="27"/>
  <c r="E5" i="27"/>
  <c r="D5" i="27"/>
  <c r="C5" i="27"/>
  <c r="G126" i="27"/>
  <c r="E126" i="27"/>
  <c r="D126" i="27"/>
  <c r="C126" i="27"/>
  <c r="G80" i="27"/>
  <c r="E80" i="27"/>
  <c r="D80" i="27"/>
  <c r="C80" i="27"/>
  <c r="G79" i="27"/>
  <c r="E79" i="27"/>
  <c r="D79" i="27"/>
  <c r="C79" i="27"/>
  <c r="G102" i="27"/>
  <c r="E102" i="27"/>
  <c r="D102" i="27"/>
  <c r="C102" i="27"/>
  <c r="G115" i="27"/>
  <c r="E115" i="27"/>
  <c r="D115" i="27"/>
  <c r="C115" i="27"/>
  <c r="G78" i="27"/>
  <c r="E78" i="27"/>
  <c r="D78" i="27"/>
  <c r="C78" i="27"/>
  <c r="G59" i="27"/>
  <c r="E59" i="27"/>
  <c r="D59" i="27"/>
  <c r="C59" i="27"/>
  <c r="G157" i="27"/>
  <c r="E157" i="27"/>
  <c r="D157" i="27"/>
  <c r="C157" i="27"/>
  <c r="G18" i="27"/>
  <c r="E18" i="27"/>
  <c r="D18" i="27"/>
  <c r="C18" i="27"/>
  <c r="G169" i="27"/>
  <c r="E169" i="27"/>
  <c r="D169" i="27"/>
  <c r="C169" i="27"/>
  <c r="G77" i="27"/>
  <c r="E77" i="27"/>
  <c r="D77" i="27"/>
  <c r="C77" i="27"/>
  <c r="G16" i="27"/>
  <c r="E16" i="27"/>
  <c r="D16" i="27"/>
  <c r="C16" i="27"/>
  <c r="G152" i="27"/>
  <c r="E152" i="27"/>
  <c r="D152" i="27"/>
  <c r="C152" i="27"/>
  <c r="G110" i="27"/>
  <c r="E110" i="27"/>
  <c r="D110" i="27"/>
  <c r="C110" i="27"/>
  <c r="G127" i="27"/>
  <c r="E127" i="27"/>
  <c r="D127" i="27"/>
  <c r="C127" i="27"/>
  <c r="G113" i="27"/>
  <c r="E113" i="27"/>
  <c r="D113" i="27"/>
  <c r="C113" i="27"/>
  <c r="G100" i="27"/>
  <c r="E100" i="27"/>
  <c r="D100" i="27"/>
  <c r="C100" i="27"/>
  <c r="G76" i="27"/>
  <c r="E76" i="27"/>
  <c r="D76" i="27"/>
  <c r="C76" i="27"/>
  <c r="G150" i="27"/>
  <c r="E150" i="27"/>
  <c r="D150" i="27"/>
  <c r="C150" i="27"/>
  <c r="G24" i="27"/>
  <c r="E24" i="27"/>
  <c r="D24" i="27"/>
  <c r="C24" i="27"/>
  <c r="G46" i="27"/>
  <c r="E46" i="27"/>
  <c r="D46" i="27"/>
  <c r="C46" i="27"/>
  <c r="G57" i="27"/>
  <c r="E57" i="27"/>
  <c r="D57" i="27"/>
  <c r="C57" i="27"/>
  <c r="G7" i="27"/>
  <c r="E7" i="27"/>
  <c r="D7" i="27"/>
  <c r="C7" i="27"/>
  <c r="G30" i="27"/>
  <c r="E30" i="27"/>
  <c r="D30" i="27"/>
  <c r="C30" i="27"/>
  <c r="F91" i="27" l="1"/>
  <c r="F13" i="27"/>
  <c r="F81" i="27"/>
  <c r="F56" i="27"/>
  <c r="F38" i="27"/>
  <c r="F114" i="27"/>
  <c r="F20" i="27"/>
  <c r="F75" i="27"/>
  <c r="F100" i="27"/>
  <c r="F92" i="27"/>
  <c r="F113" i="27"/>
  <c r="F16" i="27"/>
  <c r="F35" i="27"/>
  <c r="F61" i="27"/>
  <c r="F94" i="27"/>
  <c r="F57" i="27"/>
  <c r="F46" i="27"/>
  <c r="F24" i="27"/>
  <c r="F150" i="27"/>
  <c r="F160" i="27"/>
  <c r="F146" i="27"/>
  <c r="F122" i="27"/>
  <c r="F33" i="27"/>
  <c r="F58" i="27"/>
  <c r="F133" i="27"/>
  <c r="F52" i="27"/>
  <c r="F21" i="27"/>
  <c r="F89" i="27"/>
  <c r="F156" i="27"/>
  <c r="F90" i="27"/>
  <c r="F62" i="27"/>
  <c r="F107" i="27"/>
  <c r="F48" i="27"/>
  <c r="F59" i="27"/>
  <c r="F82" i="27"/>
  <c r="F39" i="27"/>
  <c r="F6" i="27"/>
  <c r="F27" i="27"/>
  <c r="F103" i="27"/>
  <c r="F29" i="27"/>
  <c r="F141" i="27"/>
  <c r="F144" i="27"/>
  <c r="F19" i="27"/>
  <c r="F23" i="27"/>
  <c r="F134" i="27"/>
  <c r="F45" i="27"/>
  <c r="F77" i="27"/>
  <c r="F157" i="27"/>
  <c r="F79" i="27"/>
  <c r="F80" i="27"/>
  <c r="F126" i="27"/>
  <c r="F151" i="27"/>
  <c r="F53" i="27"/>
  <c r="F120" i="27"/>
  <c r="F67" i="27"/>
  <c r="F123" i="27"/>
  <c r="F28" i="27"/>
  <c r="F124" i="27"/>
  <c r="F51" i="27"/>
  <c r="F85" i="27"/>
  <c r="F125" i="27"/>
  <c r="F112" i="27"/>
  <c r="F129" i="27"/>
  <c r="F161" i="27"/>
  <c r="F49" i="27"/>
  <c r="F164" i="27"/>
  <c r="F165" i="27"/>
  <c r="F127" i="27"/>
  <c r="F152" i="27"/>
  <c r="F70" i="27"/>
  <c r="F69" i="27"/>
  <c r="F73" i="27"/>
  <c r="F18" i="27"/>
  <c r="F42" i="27"/>
  <c r="F74" i="27"/>
  <c r="F143" i="27"/>
  <c r="F148" i="27"/>
  <c r="F116" i="27"/>
  <c r="F83" i="27"/>
  <c r="F8" i="27"/>
  <c r="F86" i="27"/>
  <c r="F64" i="27"/>
  <c r="F50" i="27"/>
  <c r="F78" i="27"/>
  <c r="F102" i="27"/>
  <c r="F5" i="27"/>
  <c r="F155" i="27"/>
  <c r="F108" i="27"/>
  <c r="F32" i="27"/>
  <c r="F111" i="27"/>
  <c r="F99" i="27"/>
  <c r="F72" i="27"/>
  <c r="F154" i="27"/>
  <c r="F132" i="27"/>
  <c r="F118" i="27"/>
  <c r="F95" i="27"/>
  <c r="F109" i="27"/>
  <c r="F162" i="27"/>
  <c r="F17" i="27"/>
  <c r="F119" i="27"/>
  <c r="F41" i="27"/>
  <c r="F166" i="27"/>
  <c r="F47" i="27"/>
  <c r="F96" i="27"/>
  <c r="F11" i="27"/>
  <c r="F128" i="27"/>
  <c r="F140" i="27"/>
  <c r="F104" i="27"/>
  <c r="F31" i="27"/>
  <c r="F25" i="27"/>
  <c r="F84" i="27"/>
  <c r="F37" i="27"/>
  <c r="F34" i="27"/>
  <c r="F101" i="27"/>
  <c r="F43" i="27"/>
  <c r="F121" i="27"/>
  <c r="F66" i="27"/>
  <c r="F87" i="27"/>
  <c r="F71" i="27"/>
  <c r="F88" i="27"/>
  <c r="F168" i="27"/>
  <c r="F15" i="27"/>
  <c r="F98" i="27"/>
  <c r="F60" i="27"/>
  <c r="F158" i="27"/>
  <c r="F167" i="27"/>
  <c r="F172" i="27"/>
  <c r="F170" i="27"/>
  <c r="G173" i="27"/>
  <c r="F30" i="27"/>
  <c r="F7" i="27"/>
  <c r="C173" i="27"/>
  <c r="F76" i="27"/>
  <c r="F110" i="27"/>
  <c r="F169" i="27"/>
  <c r="F115" i="27"/>
  <c r="F135" i="27"/>
  <c r="F97" i="27"/>
  <c r="E173" i="27"/>
  <c r="D173" i="27"/>
  <c r="F105" i="27"/>
  <c r="F106" i="27"/>
  <c r="F22" i="27"/>
  <c r="F63" i="27"/>
  <c r="F4" i="27"/>
  <c r="F159" i="27"/>
  <c r="F44" i="27"/>
  <c r="F130" i="27"/>
  <c r="F145" i="27"/>
  <c r="F131" i="27"/>
  <c r="F153" i="27"/>
  <c r="F142" i="27"/>
  <c r="F36" i="27"/>
  <c r="F3" i="27"/>
  <c r="F68" i="27"/>
  <c r="F147" i="27"/>
  <c r="F26" i="27"/>
  <c r="F40" i="27"/>
  <c r="F93" i="27"/>
  <c r="F137" i="27"/>
  <c r="F138" i="27"/>
  <c r="F9" i="27"/>
  <c r="F149" i="27"/>
  <c r="F136" i="27"/>
  <c r="F65" i="27"/>
  <c r="F10" i="27"/>
  <c r="F54" i="27"/>
  <c r="F55" i="27"/>
  <c r="F163" i="27"/>
  <c r="F139" i="27"/>
  <c r="F117" i="27"/>
  <c r="F12" i="27"/>
  <c r="F171" i="27"/>
  <c r="F14" i="27"/>
  <c r="G167" i="26"/>
  <c r="E167" i="26"/>
  <c r="D167" i="26"/>
  <c r="C167" i="26"/>
  <c r="G62" i="26"/>
  <c r="E62" i="26"/>
  <c r="D62" i="26"/>
  <c r="C62" i="26"/>
  <c r="G168" i="26"/>
  <c r="E168" i="26"/>
  <c r="D168" i="26"/>
  <c r="C168" i="26"/>
  <c r="G90" i="26"/>
  <c r="E90" i="26"/>
  <c r="D90" i="26"/>
  <c r="C90" i="26"/>
  <c r="G24" i="26"/>
  <c r="E24" i="26"/>
  <c r="D24" i="26"/>
  <c r="C24" i="26"/>
  <c r="G13" i="26"/>
  <c r="E13" i="26"/>
  <c r="D13" i="26"/>
  <c r="C13" i="26"/>
  <c r="G152" i="26"/>
  <c r="E152" i="26"/>
  <c r="D152" i="26"/>
  <c r="C152" i="26"/>
  <c r="G169" i="26"/>
  <c r="E169" i="26"/>
  <c r="D169" i="26"/>
  <c r="C169" i="26"/>
  <c r="G138" i="26"/>
  <c r="E138" i="26"/>
  <c r="D138" i="26"/>
  <c r="C138" i="26"/>
  <c r="G37" i="26"/>
  <c r="E37" i="26"/>
  <c r="D37" i="26"/>
  <c r="C37" i="26"/>
  <c r="G21" i="26"/>
  <c r="E21" i="26"/>
  <c r="D21" i="26"/>
  <c r="C21" i="26"/>
  <c r="G151" i="26"/>
  <c r="E151" i="26"/>
  <c r="D151" i="26"/>
  <c r="C151" i="26"/>
  <c r="G144" i="26"/>
  <c r="E144" i="26"/>
  <c r="D144" i="26"/>
  <c r="C144" i="26"/>
  <c r="G58" i="26"/>
  <c r="E58" i="26"/>
  <c r="D58" i="26"/>
  <c r="C58" i="26"/>
  <c r="G129" i="26"/>
  <c r="E129" i="26"/>
  <c r="D129" i="26"/>
  <c r="C129" i="26"/>
  <c r="G91" i="26"/>
  <c r="E91" i="26"/>
  <c r="D91" i="26"/>
  <c r="C91" i="26"/>
  <c r="G115" i="26"/>
  <c r="E115" i="26"/>
  <c r="D115" i="26"/>
  <c r="C115" i="26"/>
  <c r="G163" i="26"/>
  <c r="E163" i="26"/>
  <c r="D163" i="26"/>
  <c r="C163" i="26"/>
  <c r="G97" i="26"/>
  <c r="E97" i="26"/>
  <c r="D97" i="26"/>
  <c r="C97" i="26"/>
  <c r="G93" i="26"/>
  <c r="E93" i="26"/>
  <c r="D93" i="26"/>
  <c r="C93" i="26"/>
  <c r="G11" i="26"/>
  <c r="E11" i="26"/>
  <c r="D11" i="26"/>
  <c r="C11" i="26"/>
  <c r="G89" i="26"/>
  <c r="E89" i="26"/>
  <c r="D89" i="26"/>
  <c r="C89" i="26"/>
  <c r="G148" i="26"/>
  <c r="E148" i="26"/>
  <c r="D148" i="26"/>
  <c r="C148" i="26"/>
  <c r="G136" i="26"/>
  <c r="E136" i="26"/>
  <c r="D136" i="26"/>
  <c r="C136" i="26"/>
  <c r="G164" i="26"/>
  <c r="E164" i="26"/>
  <c r="D164" i="26"/>
  <c r="C164" i="26"/>
  <c r="G49" i="26"/>
  <c r="E49" i="26"/>
  <c r="D49" i="26"/>
  <c r="C49" i="26"/>
  <c r="G88" i="26"/>
  <c r="E88" i="26"/>
  <c r="D88" i="26"/>
  <c r="C88" i="26"/>
  <c r="G87" i="26"/>
  <c r="E87" i="26"/>
  <c r="D87" i="26"/>
  <c r="C87" i="26"/>
  <c r="G25" i="26"/>
  <c r="E25" i="26"/>
  <c r="D25" i="26"/>
  <c r="C25" i="26"/>
  <c r="G48" i="26"/>
  <c r="E48" i="26"/>
  <c r="D48" i="26"/>
  <c r="C48" i="26"/>
  <c r="G70" i="26"/>
  <c r="E70" i="26"/>
  <c r="D70" i="26"/>
  <c r="C70" i="26"/>
  <c r="G142" i="26"/>
  <c r="E142" i="26"/>
  <c r="D142" i="26"/>
  <c r="C142" i="26"/>
  <c r="G18" i="26"/>
  <c r="E18" i="26"/>
  <c r="D18" i="26"/>
  <c r="C18" i="26"/>
  <c r="G64" i="26"/>
  <c r="E64" i="26"/>
  <c r="D64" i="26"/>
  <c r="C64" i="26"/>
  <c r="G120" i="26"/>
  <c r="E120" i="26"/>
  <c r="D120" i="26"/>
  <c r="C120" i="26"/>
  <c r="G170" i="26"/>
  <c r="E170" i="26"/>
  <c r="D170" i="26"/>
  <c r="C170" i="26"/>
  <c r="G20" i="26"/>
  <c r="E20" i="26"/>
  <c r="D20" i="26"/>
  <c r="C20" i="26"/>
  <c r="G54" i="26"/>
  <c r="E54" i="26"/>
  <c r="D54" i="26"/>
  <c r="C54" i="26"/>
  <c r="G86" i="26"/>
  <c r="E86" i="26"/>
  <c r="D86" i="26"/>
  <c r="C86" i="26"/>
  <c r="G53" i="26"/>
  <c r="E53" i="26"/>
  <c r="D53" i="26"/>
  <c r="C53" i="26"/>
  <c r="G110" i="26"/>
  <c r="E110" i="26"/>
  <c r="D110" i="26"/>
  <c r="C110" i="26"/>
  <c r="G124" i="26"/>
  <c r="E124" i="26"/>
  <c r="D124" i="26"/>
  <c r="C124" i="26"/>
  <c r="G66" i="26"/>
  <c r="E66" i="26"/>
  <c r="D66" i="26"/>
  <c r="C66" i="26"/>
  <c r="G119" i="26"/>
  <c r="E119" i="26"/>
  <c r="D119" i="26"/>
  <c r="C119" i="26"/>
  <c r="G47" i="26"/>
  <c r="E47" i="26"/>
  <c r="D47" i="26"/>
  <c r="C47" i="26"/>
  <c r="G10" i="26"/>
  <c r="E10" i="26"/>
  <c r="D10" i="26"/>
  <c r="C10" i="26"/>
  <c r="G85" i="26"/>
  <c r="E85" i="26"/>
  <c r="D85" i="26"/>
  <c r="C85" i="26"/>
  <c r="E43" i="26"/>
  <c r="D43" i="26"/>
  <c r="C43" i="26"/>
  <c r="G65" i="26"/>
  <c r="E65" i="26"/>
  <c r="D65" i="26"/>
  <c r="C65" i="26"/>
  <c r="G100" i="26"/>
  <c r="E100" i="26"/>
  <c r="D100" i="26"/>
  <c r="C100" i="26"/>
  <c r="G36" i="26"/>
  <c r="E36" i="26"/>
  <c r="D36" i="26"/>
  <c r="C36" i="26"/>
  <c r="G60" i="26"/>
  <c r="E60" i="26"/>
  <c r="D60" i="26"/>
  <c r="C60" i="26"/>
  <c r="G133" i="26"/>
  <c r="E133" i="26"/>
  <c r="D133" i="26"/>
  <c r="C133" i="26"/>
  <c r="G23" i="26"/>
  <c r="E23" i="26"/>
  <c r="D23" i="26"/>
  <c r="C23" i="26"/>
  <c r="G84" i="26"/>
  <c r="E84" i="26"/>
  <c r="D84" i="26"/>
  <c r="C84" i="26"/>
  <c r="G38" i="26"/>
  <c r="E38" i="26"/>
  <c r="D38" i="26"/>
  <c r="C38" i="26"/>
  <c r="G139" i="26"/>
  <c r="E139" i="26"/>
  <c r="D139" i="26"/>
  <c r="C139" i="26"/>
  <c r="G83" i="26"/>
  <c r="E83" i="26"/>
  <c r="D83" i="26"/>
  <c r="C83" i="26"/>
  <c r="G29" i="26"/>
  <c r="E29" i="26"/>
  <c r="D29" i="26"/>
  <c r="C29" i="26"/>
  <c r="G32" i="26"/>
  <c r="E32" i="26"/>
  <c r="D32" i="26"/>
  <c r="C32" i="26"/>
  <c r="G5" i="26"/>
  <c r="E5" i="26"/>
  <c r="D5" i="26"/>
  <c r="C5" i="26"/>
  <c r="G82" i="26"/>
  <c r="E82" i="26"/>
  <c r="D82" i="26"/>
  <c r="C82" i="26"/>
  <c r="G8" i="26"/>
  <c r="E8" i="26"/>
  <c r="D8" i="26"/>
  <c r="C8" i="26"/>
  <c r="G34" i="26"/>
  <c r="E34" i="26"/>
  <c r="D34" i="26"/>
  <c r="C34" i="26"/>
  <c r="G106" i="26"/>
  <c r="E106" i="26"/>
  <c r="D106" i="26"/>
  <c r="C106" i="26"/>
  <c r="G153" i="26"/>
  <c r="E153" i="26"/>
  <c r="D153" i="26"/>
  <c r="C153" i="26"/>
  <c r="G50" i="26"/>
  <c r="E50" i="26"/>
  <c r="D50" i="26"/>
  <c r="C50" i="26"/>
  <c r="G103" i="26"/>
  <c r="E103" i="26"/>
  <c r="D103" i="26"/>
  <c r="C103" i="26"/>
  <c r="G135" i="26"/>
  <c r="E135" i="26"/>
  <c r="D135" i="26"/>
  <c r="C135" i="26"/>
  <c r="G156" i="26"/>
  <c r="E156" i="26"/>
  <c r="D156" i="26"/>
  <c r="C156" i="26"/>
  <c r="G134" i="26"/>
  <c r="E134" i="26"/>
  <c r="D134" i="26"/>
  <c r="C134" i="26"/>
  <c r="G114" i="26"/>
  <c r="E114" i="26"/>
  <c r="D114" i="26"/>
  <c r="C114" i="26"/>
  <c r="G63" i="26"/>
  <c r="E63" i="26"/>
  <c r="D63" i="26"/>
  <c r="C63" i="26"/>
  <c r="G137" i="26"/>
  <c r="E137" i="26"/>
  <c r="D137" i="26"/>
  <c r="C137" i="26"/>
  <c r="G69" i="26"/>
  <c r="E69" i="26"/>
  <c r="D69" i="26"/>
  <c r="C69" i="26"/>
  <c r="G92" i="26"/>
  <c r="E92" i="26"/>
  <c r="D92" i="26"/>
  <c r="C92" i="26"/>
  <c r="G41" i="26"/>
  <c r="E41" i="26"/>
  <c r="D41" i="26"/>
  <c r="C41" i="26"/>
  <c r="G127" i="26"/>
  <c r="E127" i="26"/>
  <c r="D127" i="26"/>
  <c r="C127" i="26"/>
  <c r="G9" i="26"/>
  <c r="E9" i="26"/>
  <c r="D9" i="26"/>
  <c r="C9" i="26"/>
  <c r="G95" i="26"/>
  <c r="E95" i="26"/>
  <c r="D95" i="26"/>
  <c r="C95" i="26"/>
  <c r="G30" i="26"/>
  <c r="E30" i="26"/>
  <c r="D30" i="26"/>
  <c r="C30" i="26"/>
  <c r="G74" i="26"/>
  <c r="E74" i="26"/>
  <c r="D74" i="26"/>
  <c r="C74" i="26"/>
  <c r="G33" i="26"/>
  <c r="E33" i="26"/>
  <c r="D33" i="26"/>
  <c r="C33" i="26"/>
  <c r="G15" i="26"/>
  <c r="E15" i="26"/>
  <c r="D15" i="26"/>
  <c r="C15" i="26"/>
  <c r="G145" i="26"/>
  <c r="E145" i="26"/>
  <c r="D145" i="26"/>
  <c r="C145" i="26"/>
  <c r="G123" i="26"/>
  <c r="E123" i="26"/>
  <c r="D123" i="26"/>
  <c r="C123" i="26"/>
  <c r="G17" i="26"/>
  <c r="E17" i="26"/>
  <c r="D17" i="26"/>
  <c r="C17" i="26"/>
  <c r="G122" i="26"/>
  <c r="E122" i="26"/>
  <c r="D122" i="26"/>
  <c r="C122" i="26"/>
  <c r="G46" i="26"/>
  <c r="E46" i="26"/>
  <c r="D46" i="26"/>
  <c r="C46" i="26"/>
  <c r="G51" i="26"/>
  <c r="E51" i="26"/>
  <c r="D51" i="26"/>
  <c r="C51" i="26"/>
  <c r="G68" i="26"/>
  <c r="E68" i="26"/>
  <c r="D68" i="26"/>
  <c r="C68" i="26"/>
  <c r="G7" i="26"/>
  <c r="E7" i="26"/>
  <c r="D7" i="26"/>
  <c r="C7" i="26"/>
  <c r="G44" i="26"/>
  <c r="E44" i="26"/>
  <c r="D44" i="26"/>
  <c r="C44" i="26"/>
  <c r="G166" i="26"/>
  <c r="E166" i="26"/>
  <c r="D166" i="26"/>
  <c r="C166" i="26"/>
  <c r="G42" i="26"/>
  <c r="E42" i="26"/>
  <c r="D42" i="26"/>
  <c r="C42" i="26"/>
  <c r="G3" i="26"/>
  <c r="E3" i="26"/>
  <c r="D3" i="26"/>
  <c r="C3" i="26"/>
  <c r="G26" i="26"/>
  <c r="E26" i="26"/>
  <c r="D26" i="26"/>
  <c r="C26" i="26"/>
  <c r="G150" i="26"/>
  <c r="E150" i="26"/>
  <c r="D150" i="26"/>
  <c r="C150" i="26"/>
  <c r="G141" i="26"/>
  <c r="E141" i="26"/>
  <c r="D141" i="26"/>
  <c r="C141" i="26"/>
  <c r="G101" i="26"/>
  <c r="E101" i="26"/>
  <c r="D101" i="26"/>
  <c r="C101" i="26"/>
  <c r="G31" i="26"/>
  <c r="E31" i="26"/>
  <c r="D31" i="26"/>
  <c r="C31" i="26"/>
  <c r="G105" i="26"/>
  <c r="E105" i="26"/>
  <c r="D105" i="26"/>
  <c r="C105" i="26"/>
  <c r="G117" i="26"/>
  <c r="E117" i="26"/>
  <c r="D117" i="26"/>
  <c r="C117" i="26"/>
  <c r="G140" i="26"/>
  <c r="E140" i="26"/>
  <c r="D140" i="26"/>
  <c r="C140" i="26"/>
  <c r="G159" i="26"/>
  <c r="E159" i="26"/>
  <c r="D159" i="26"/>
  <c r="C159" i="26"/>
  <c r="G108" i="26"/>
  <c r="E108" i="26"/>
  <c r="D108" i="26"/>
  <c r="C108" i="26"/>
  <c r="G55" i="26"/>
  <c r="E55" i="26"/>
  <c r="D55" i="26"/>
  <c r="C55" i="26"/>
  <c r="G118" i="26"/>
  <c r="E118" i="26"/>
  <c r="D118" i="26"/>
  <c r="C118" i="26"/>
  <c r="G94" i="26"/>
  <c r="E94" i="26"/>
  <c r="D94" i="26"/>
  <c r="C94" i="26"/>
  <c r="G130" i="26"/>
  <c r="E130" i="26"/>
  <c r="D130" i="26"/>
  <c r="C130" i="26"/>
  <c r="G157" i="26"/>
  <c r="E157" i="26"/>
  <c r="D157" i="26"/>
  <c r="C157" i="26"/>
  <c r="G22" i="26"/>
  <c r="E22" i="26"/>
  <c r="D22" i="26"/>
  <c r="C22" i="26"/>
  <c r="G116" i="26"/>
  <c r="E116" i="26"/>
  <c r="D116" i="26"/>
  <c r="C116" i="26"/>
  <c r="G131" i="26"/>
  <c r="E131" i="26"/>
  <c r="D131" i="26"/>
  <c r="C131" i="26"/>
  <c r="G56" i="26"/>
  <c r="E56" i="26"/>
  <c r="D56" i="26"/>
  <c r="C56" i="26"/>
  <c r="G121" i="26"/>
  <c r="E121" i="26"/>
  <c r="D121" i="26"/>
  <c r="C121" i="26"/>
  <c r="G40" i="26"/>
  <c r="E40" i="26"/>
  <c r="D40" i="26"/>
  <c r="C40" i="26"/>
  <c r="G104" i="26"/>
  <c r="E104" i="26"/>
  <c r="D104" i="26"/>
  <c r="C104" i="26"/>
  <c r="G160" i="26"/>
  <c r="E160" i="26"/>
  <c r="D160" i="26"/>
  <c r="C160" i="26"/>
  <c r="G128" i="26"/>
  <c r="E128" i="26"/>
  <c r="D128" i="26"/>
  <c r="C128" i="26"/>
  <c r="G39" i="26"/>
  <c r="E39" i="26"/>
  <c r="D39" i="26"/>
  <c r="C39" i="26"/>
  <c r="G143" i="26"/>
  <c r="E143" i="26"/>
  <c r="D143" i="26"/>
  <c r="C143" i="26"/>
  <c r="G71" i="26"/>
  <c r="E71" i="26"/>
  <c r="D71" i="26"/>
  <c r="C71" i="26"/>
  <c r="G14" i="26"/>
  <c r="E14" i="26"/>
  <c r="D14" i="26"/>
  <c r="C14" i="26"/>
  <c r="G162" i="26"/>
  <c r="E162" i="26"/>
  <c r="D162" i="26"/>
  <c r="C162" i="26"/>
  <c r="G158" i="26"/>
  <c r="E158" i="26"/>
  <c r="D158" i="26"/>
  <c r="C158" i="26"/>
  <c r="G35" i="26"/>
  <c r="E35" i="26"/>
  <c r="D35" i="26"/>
  <c r="C35" i="26"/>
  <c r="G155" i="26"/>
  <c r="E155" i="26"/>
  <c r="D155" i="26"/>
  <c r="C155" i="26"/>
  <c r="G73" i="26"/>
  <c r="E73" i="26"/>
  <c r="D73" i="26"/>
  <c r="C73" i="26"/>
  <c r="G67" i="26"/>
  <c r="E67" i="26"/>
  <c r="D67" i="26"/>
  <c r="C67" i="26"/>
  <c r="G52" i="26"/>
  <c r="E52" i="26"/>
  <c r="D52" i="26"/>
  <c r="C52" i="26"/>
  <c r="G147" i="26"/>
  <c r="E147" i="26"/>
  <c r="D147" i="26"/>
  <c r="C147" i="26"/>
  <c r="G98" i="26"/>
  <c r="E98" i="26"/>
  <c r="D98" i="26"/>
  <c r="C98" i="26"/>
  <c r="G81" i="26"/>
  <c r="E81" i="26"/>
  <c r="D81" i="26"/>
  <c r="C81" i="26"/>
  <c r="G112" i="26"/>
  <c r="E112" i="26"/>
  <c r="D112" i="26"/>
  <c r="C112" i="26"/>
  <c r="G61" i="26"/>
  <c r="E61" i="26"/>
  <c r="D61" i="26"/>
  <c r="C61" i="26"/>
  <c r="G154" i="26"/>
  <c r="E154" i="26"/>
  <c r="D154" i="26"/>
  <c r="C154" i="26"/>
  <c r="G96" i="26"/>
  <c r="E96" i="26"/>
  <c r="D96" i="26"/>
  <c r="C96" i="26"/>
  <c r="G80" i="26"/>
  <c r="E80" i="26"/>
  <c r="D80" i="26"/>
  <c r="C80" i="26"/>
  <c r="G107" i="26"/>
  <c r="E107" i="26"/>
  <c r="D107" i="26"/>
  <c r="C107" i="26"/>
  <c r="G132" i="26"/>
  <c r="E132" i="26"/>
  <c r="D132" i="26"/>
  <c r="C132" i="26"/>
  <c r="G12" i="26"/>
  <c r="E12" i="26"/>
  <c r="D12" i="26"/>
  <c r="C12" i="26"/>
  <c r="G27" i="26"/>
  <c r="E27" i="26"/>
  <c r="D27" i="26"/>
  <c r="C27" i="26"/>
  <c r="G6" i="26"/>
  <c r="E6" i="26"/>
  <c r="D6" i="26"/>
  <c r="C6" i="26"/>
  <c r="G125" i="26"/>
  <c r="E125" i="26"/>
  <c r="D125" i="26"/>
  <c r="C125" i="26"/>
  <c r="G79" i="26"/>
  <c r="E79" i="26"/>
  <c r="D79" i="26"/>
  <c r="C79" i="26"/>
  <c r="G78" i="26"/>
  <c r="E78" i="26"/>
  <c r="D78" i="26"/>
  <c r="C78" i="26"/>
  <c r="G102" i="26"/>
  <c r="E102" i="26"/>
  <c r="D102" i="26"/>
  <c r="C102" i="26"/>
  <c r="G113" i="26"/>
  <c r="E113" i="26"/>
  <c r="D113" i="26"/>
  <c r="C113" i="26"/>
  <c r="G77" i="26"/>
  <c r="E77" i="26"/>
  <c r="D77" i="26"/>
  <c r="C77" i="26"/>
  <c r="G57" i="26"/>
  <c r="E57" i="26"/>
  <c r="D57" i="26"/>
  <c r="C57" i="26"/>
  <c r="G149" i="26"/>
  <c r="E149" i="26"/>
  <c r="D149" i="26"/>
  <c r="C149" i="26"/>
  <c r="G19" i="26"/>
  <c r="E19" i="26"/>
  <c r="D19" i="26"/>
  <c r="C19" i="26"/>
  <c r="G161" i="26"/>
  <c r="E161" i="26"/>
  <c r="D161" i="26"/>
  <c r="C161" i="26"/>
  <c r="G76" i="26"/>
  <c r="E76" i="26"/>
  <c r="D76" i="26"/>
  <c r="C76" i="26"/>
  <c r="G16" i="26"/>
  <c r="E16" i="26"/>
  <c r="D16" i="26"/>
  <c r="C16" i="26"/>
  <c r="G165" i="26"/>
  <c r="E165" i="26"/>
  <c r="D165" i="26"/>
  <c r="C165" i="26"/>
  <c r="G109" i="26"/>
  <c r="E109" i="26"/>
  <c r="D109" i="26"/>
  <c r="C109" i="26"/>
  <c r="G126" i="26"/>
  <c r="E126" i="26"/>
  <c r="D126" i="26"/>
  <c r="C126" i="26"/>
  <c r="G111" i="26"/>
  <c r="E111" i="26"/>
  <c r="D111" i="26"/>
  <c r="C111" i="26"/>
  <c r="G99" i="26"/>
  <c r="E99" i="26"/>
  <c r="D99" i="26"/>
  <c r="C99" i="26"/>
  <c r="G75" i="26"/>
  <c r="E75" i="26"/>
  <c r="D75" i="26"/>
  <c r="C75" i="26"/>
  <c r="G146" i="26"/>
  <c r="E146" i="26"/>
  <c r="D146" i="26"/>
  <c r="C146" i="26"/>
  <c r="G28" i="26"/>
  <c r="E28" i="26"/>
  <c r="D28" i="26"/>
  <c r="C28" i="26"/>
  <c r="G45" i="26"/>
  <c r="E45" i="26"/>
  <c r="D45" i="26"/>
  <c r="C45" i="26"/>
  <c r="G59" i="26"/>
  <c r="E59" i="26"/>
  <c r="D59" i="26"/>
  <c r="C59" i="26"/>
  <c r="G4" i="26"/>
  <c r="E4" i="26"/>
  <c r="D4" i="26"/>
  <c r="C4" i="26"/>
  <c r="G72" i="26"/>
  <c r="E72" i="26"/>
  <c r="D72" i="26"/>
  <c r="C72" i="26"/>
  <c r="F156" i="26" l="1"/>
  <c r="F50" i="26"/>
  <c r="F89" i="26"/>
  <c r="F13" i="26"/>
  <c r="F90" i="26"/>
  <c r="F86" i="26"/>
  <c r="F52" i="26"/>
  <c r="F157" i="26"/>
  <c r="F44" i="26"/>
  <c r="F123" i="26"/>
  <c r="F137" i="26"/>
  <c r="F134" i="26"/>
  <c r="F12" i="26"/>
  <c r="F61" i="26"/>
  <c r="F110" i="26"/>
  <c r="F151" i="26"/>
  <c r="F113" i="26"/>
  <c r="F79" i="26"/>
  <c r="F108" i="26"/>
  <c r="F101" i="26"/>
  <c r="F42" i="26"/>
  <c r="F43" i="26"/>
  <c r="F129" i="26"/>
  <c r="F85" i="26"/>
  <c r="F146" i="26"/>
  <c r="F149" i="26"/>
  <c r="F57" i="26"/>
  <c r="F130" i="26"/>
  <c r="F29" i="26"/>
  <c r="F120" i="26"/>
  <c r="F87" i="26"/>
  <c r="F88" i="26"/>
  <c r="F168" i="26"/>
  <c r="F167" i="26"/>
  <c r="F75" i="26"/>
  <c r="F162" i="26"/>
  <c r="F143" i="26"/>
  <c r="F40" i="26"/>
  <c r="F131" i="26"/>
  <c r="F7" i="26"/>
  <c r="F95" i="26"/>
  <c r="F36" i="26"/>
  <c r="F66" i="26"/>
  <c r="F124" i="26"/>
  <c r="F64" i="26"/>
  <c r="F93" i="26"/>
  <c r="F91" i="26"/>
  <c r="F125" i="26"/>
  <c r="F48" i="26"/>
  <c r="F59" i="26"/>
  <c r="F107" i="26"/>
  <c r="F67" i="26"/>
  <c r="F117" i="26"/>
  <c r="F105" i="26"/>
  <c r="F26" i="26"/>
  <c r="F145" i="26"/>
  <c r="F23" i="26"/>
  <c r="F49" i="26"/>
  <c r="F163" i="26"/>
  <c r="F169" i="26"/>
  <c r="F111" i="26"/>
  <c r="F161" i="26"/>
  <c r="F102" i="26"/>
  <c r="F78" i="26"/>
  <c r="F132" i="26"/>
  <c r="F98" i="26"/>
  <c r="F39" i="26"/>
  <c r="F94" i="26"/>
  <c r="F118" i="26"/>
  <c r="F46" i="26"/>
  <c r="F122" i="26"/>
  <c r="F41" i="26"/>
  <c r="F103" i="26"/>
  <c r="F8" i="26"/>
  <c r="F38" i="26"/>
  <c r="F165" i="26"/>
  <c r="F16" i="26"/>
  <c r="F80" i="26"/>
  <c r="F155" i="26"/>
  <c r="F35" i="26"/>
  <c r="F121" i="26"/>
  <c r="F55" i="26"/>
  <c r="F141" i="26"/>
  <c r="F33" i="26"/>
  <c r="F74" i="26"/>
  <c r="F114" i="26"/>
  <c r="F153" i="26"/>
  <c r="F82" i="26"/>
  <c r="F60" i="26"/>
  <c r="F99" i="26"/>
  <c r="F154" i="26"/>
  <c r="F81" i="26"/>
  <c r="F158" i="26"/>
  <c r="F160" i="26"/>
  <c r="F56" i="26"/>
  <c r="F3" i="26"/>
  <c r="F51" i="26"/>
  <c r="F30" i="26"/>
  <c r="F69" i="26"/>
  <c r="F106" i="26"/>
  <c r="F32" i="26"/>
  <c r="F47" i="26"/>
  <c r="F20" i="26"/>
  <c r="F142" i="26"/>
  <c r="F25" i="26"/>
  <c r="F148" i="26"/>
  <c r="F65" i="26"/>
  <c r="F10" i="26"/>
  <c r="F18" i="26"/>
  <c r="F144" i="26"/>
  <c r="F37" i="26"/>
  <c r="F45" i="26"/>
  <c r="F28" i="26"/>
  <c r="F109" i="26"/>
  <c r="F77" i="26"/>
  <c r="F96" i="26"/>
  <c r="F112" i="26"/>
  <c r="F73" i="26"/>
  <c r="F116" i="26"/>
  <c r="F22" i="26"/>
  <c r="F150" i="26"/>
  <c r="F166" i="26"/>
  <c r="F15" i="26"/>
  <c r="F5" i="26"/>
  <c r="F83" i="26"/>
  <c r="F139" i="26"/>
  <c r="F133" i="26"/>
  <c r="F119" i="26"/>
  <c r="F53" i="26"/>
  <c r="F70" i="26"/>
  <c r="F164" i="26"/>
  <c r="F11" i="26"/>
  <c r="F97" i="26"/>
  <c r="F58" i="26"/>
  <c r="F24" i="26"/>
  <c r="F62" i="26"/>
  <c r="D171" i="26"/>
  <c r="F72" i="26"/>
  <c r="E171" i="26"/>
  <c r="F4" i="26"/>
  <c r="C171" i="26"/>
  <c r="F76" i="26"/>
  <c r="F6" i="26"/>
  <c r="F27" i="26"/>
  <c r="F14" i="26"/>
  <c r="F71" i="26"/>
  <c r="F159" i="26"/>
  <c r="F9" i="26"/>
  <c r="F127" i="26"/>
  <c r="F34" i="26"/>
  <c r="F100" i="26"/>
  <c r="F21" i="26"/>
  <c r="F126" i="26"/>
  <c r="F147" i="26"/>
  <c r="F104" i="26"/>
  <c r="F31" i="26"/>
  <c r="F17" i="26"/>
  <c r="F63" i="26"/>
  <c r="F84" i="26"/>
  <c r="F170" i="26"/>
  <c r="F152" i="26"/>
  <c r="G171" i="26"/>
  <c r="F19" i="26"/>
  <c r="F128" i="26"/>
  <c r="F140" i="26"/>
  <c r="F68" i="26"/>
  <c r="F92" i="26"/>
  <c r="F135" i="26"/>
  <c r="F54" i="26"/>
  <c r="F136" i="26"/>
  <c r="F115" i="26"/>
  <c r="F138" i="26"/>
  <c r="G152" i="25"/>
  <c r="E152" i="25"/>
  <c r="D152" i="25"/>
  <c r="C152" i="25"/>
  <c r="G64" i="25"/>
  <c r="E64" i="25"/>
  <c r="D64" i="25"/>
  <c r="C64" i="25"/>
  <c r="G169" i="25"/>
  <c r="E169" i="25"/>
  <c r="D169" i="25"/>
  <c r="C169" i="25"/>
  <c r="G92" i="25"/>
  <c r="E92" i="25"/>
  <c r="D92" i="25"/>
  <c r="C92" i="25"/>
  <c r="G24" i="25"/>
  <c r="E24" i="25"/>
  <c r="D24" i="25"/>
  <c r="C24" i="25"/>
  <c r="G17" i="25"/>
  <c r="E17" i="25"/>
  <c r="D17" i="25"/>
  <c r="C17" i="25"/>
  <c r="G155" i="25"/>
  <c r="E155" i="25"/>
  <c r="D155" i="25"/>
  <c r="C155" i="25"/>
  <c r="G168" i="25"/>
  <c r="E168" i="25"/>
  <c r="D168" i="25"/>
  <c r="C168" i="25"/>
  <c r="G139" i="25"/>
  <c r="E139" i="25"/>
  <c r="D139" i="25"/>
  <c r="C139" i="25"/>
  <c r="G167" i="25"/>
  <c r="E167" i="25"/>
  <c r="D167" i="25"/>
  <c r="C167" i="25"/>
  <c r="G23" i="25"/>
  <c r="E23" i="25"/>
  <c r="D23" i="25"/>
  <c r="C23" i="25"/>
  <c r="G154" i="25"/>
  <c r="E154" i="25"/>
  <c r="D154" i="25"/>
  <c r="C154" i="25"/>
  <c r="G60" i="25"/>
  <c r="E60" i="25"/>
  <c r="D60" i="25"/>
  <c r="C60" i="25"/>
  <c r="G129" i="25"/>
  <c r="E129" i="25"/>
  <c r="D129" i="25"/>
  <c r="C129" i="25"/>
  <c r="G93" i="25"/>
  <c r="E93" i="25"/>
  <c r="D93" i="25"/>
  <c r="C93" i="25"/>
  <c r="G117" i="25"/>
  <c r="E117" i="25"/>
  <c r="D117" i="25"/>
  <c r="C117" i="25"/>
  <c r="G166" i="25"/>
  <c r="E166" i="25"/>
  <c r="D166" i="25"/>
  <c r="C166" i="25"/>
  <c r="G99" i="25"/>
  <c r="E99" i="25"/>
  <c r="D99" i="25"/>
  <c r="C99" i="25"/>
  <c r="G95" i="25"/>
  <c r="E95" i="25"/>
  <c r="D95" i="25"/>
  <c r="C95" i="25"/>
  <c r="G16" i="25"/>
  <c r="E16" i="25"/>
  <c r="D16" i="25"/>
  <c r="C16" i="25"/>
  <c r="G91" i="25"/>
  <c r="E91" i="25"/>
  <c r="D91" i="25"/>
  <c r="C91" i="25"/>
  <c r="G150" i="25"/>
  <c r="E150" i="25"/>
  <c r="D150" i="25"/>
  <c r="C150" i="25"/>
  <c r="G137" i="25"/>
  <c r="E137" i="25"/>
  <c r="D137" i="25"/>
  <c r="C137" i="25"/>
  <c r="G30" i="25"/>
  <c r="E30" i="25"/>
  <c r="D30" i="25"/>
  <c r="C30" i="25"/>
  <c r="G52" i="25"/>
  <c r="E52" i="25"/>
  <c r="D52" i="25"/>
  <c r="C52" i="25"/>
  <c r="G90" i="25"/>
  <c r="E90" i="25"/>
  <c r="D90" i="25"/>
  <c r="C90" i="25"/>
  <c r="G89" i="25"/>
  <c r="E89" i="25"/>
  <c r="D89" i="25"/>
  <c r="C89" i="25"/>
  <c r="G26" i="25"/>
  <c r="E26" i="25"/>
  <c r="D26" i="25"/>
  <c r="C26" i="25"/>
  <c r="G88" i="25"/>
  <c r="E88" i="25"/>
  <c r="D88" i="25"/>
  <c r="C88" i="25"/>
  <c r="G72" i="25"/>
  <c r="E72" i="25"/>
  <c r="D72" i="25"/>
  <c r="C72" i="25"/>
  <c r="G142" i="25"/>
  <c r="E142" i="25"/>
  <c r="D142" i="25"/>
  <c r="C142" i="25"/>
  <c r="G164" i="25"/>
  <c r="E164" i="25"/>
  <c r="D164" i="25"/>
  <c r="C164" i="25"/>
  <c r="G66" i="25"/>
  <c r="E66" i="25"/>
  <c r="D66" i="25"/>
  <c r="C66" i="25"/>
  <c r="G122" i="25"/>
  <c r="E122" i="25"/>
  <c r="D122" i="25"/>
  <c r="C122" i="25"/>
  <c r="G170" i="25"/>
  <c r="E170" i="25"/>
  <c r="D170" i="25"/>
  <c r="C170" i="25"/>
  <c r="G13" i="25"/>
  <c r="E13" i="25"/>
  <c r="D13" i="25"/>
  <c r="C13" i="25"/>
  <c r="G57" i="25"/>
  <c r="E57" i="25"/>
  <c r="D57" i="25"/>
  <c r="C57" i="25"/>
  <c r="G87" i="25"/>
  <c r="E87" i="25"/>
  <c r="D87" i="25"/>
  <c r="C87" i="25"/>
  <c r="G56" i="25"/>
  <c r="E56" i="25"/>
  <c r="D56" i="25"/>
  <c r="C56" i="25"/>
  <c r="G113" i="25"/>
  <c r="E113" i="25"/>
  <c r="D113" i="25"/>
  <c r="C113" i="25"/>
  <c r="G124" i="25"/>
  <c r="E124" i="25"/>
  <c r="D124" i="25"/>
  <c r="C124" i="25"/>
  <c r="G68" i="25"/>
  <c r="E68" i="25"/>
  <c r="D68" i="25"/>
  <c r="C68" i="25"/>
  <c r="G121" i="25"/>
  <c r="E121" i="25"/>
  <c r="D121" i="25"/>
  <c r="C121" i="25"/>
  <c r="G36" i="25"/>
  <c r="E36" i="25"/>
  <c r="D36" i="25"/>
  <c r="C36" i="25"/>
  <c r="G14" i="25"/>
  <c r="E14" i="25"/>
  <c r="D14" i="25"/>
  <c r="C14" i="25"/>
  <c r="G86" i="25"/>
  <c r="E86" i="25"/>
  <c r="D86" i="25"/>
  <c r="C86" i="25"/>
  <c r="E46" i="25"/>
  <c r="D46" i="25"/>
  <c r="C46" i="25"/>
  <c r="G67" i="25"/>
  <c r="E67" i="25"/>
  <c r="D67" i="25"/>
  <c r="C67" i="25"/>
  <c r="G102" i="25"/>
  <c r="E102" i="25"/>
  <c r="D102" i="25"/>
  <c r="C102" i="25"/>
  <c r="G37" i="25"/>
  <c r="E37" i="25"/>
  <c r="D37" i="25"/>
  <c r="C37" i="25"/>
  <c r="G62" i="25"/>
  <c r="E62" i="25"/>
  <c r="D62" i="25"/>
  <c r="C62" i="25"/>
  <c r="G134" i="25"/>
  <c r="E134" i="25"/>
  <c r="D134" i="25"/>
  <c r="C134" i="25"/>
  <c r="G27" i="25"/>
  <c r="E27" i="25"/>
  <c r="D27" i="25"/>
  <c r="C27" i="25"/>
  <c r="G85" i="25"/>
  <c r="E85" i="25"/>
  <c r="D85" i="25"/>
  <c r="C85" i="25"/>
  <c r="G39" i="25"/>
  <c r="E39" i="25"/>
  <c r="D39" i="25"/>
  <c r="C39" i="25"/>
  <c r="G140" i="25"/>
  <c r="E140" i="25"/>
  <c r="D140" i="25"/>
  <c r="C140" i="25"/>
  <c r="G84" i="25"/>
  <c r="E84" i="25"/>
  <c r="D84" i="25"/>
  <c r="C84" i="25"/>
  <c r="G29" i="25"/>
  <c r="E29" i="25"/>
  <c r="D29" i="25"/>
  <c r="C29" i="25"/>
  <c r="G34" i="25"/>
  <c r="E34" i="25"/>
  <c r="D34" i="25"/>
  <c r="C34" i="25"/>
  <c r="G5" i="25"/>
  <c r="E5" i="25"/>
  <c r="D5" i="25"/>
  <c r="C5" i="25"/>
  <c r="G83" i="25"/>
  <c r="E83" i="25"/>
  <c r="D83" i="25"/>
  <c r="C83" i="25"/>
  <c r="G12" i="25"/>
  <c r="E12" i="25"/>
  <c r="D12" i="25"/>
  <c r="C12" i="25"/>
  <c r="G35" i="25"/>
  <c r="E35" i="25"/>
  <c r="D35" i="25"/>
  <c r="C35" i="25"/>
  <c r="G109" i="25"/>
  <c r="E109" i="25"/>
  <c r="D109" i="25"/>
  <c r="C109" i="25"/>
  <c r="G105" i="25"/>
  <c r="E105" i="25"/>
  <c r="D105" i="25"/>
  <c r="C105" i="25"/>
  <c r="G53" i="25"/>
  <c r="E53" i="25"/>
  <c r="D53" i="25"/>
  <c r="C53" i="25"/>
  <c r="G106" i="25"/>
  <c r="E106" i="25"/>
  <c r="D106" i="25"/>
  <c r="C106" i="25"/>
  <c r="G136" i="25"/>
  <c r="E136" i="25"/>
  <c r="D136" i="25"/>
  <c r="C136" i="25"/>
  <c r="G162" i="25"/>
  <c r="E162" i="25"/>
  <c r="D162" i="25"/>
  <c r="C162" i="25"/>
  <c r="G135" i="25"/>
  <c r="E135" i="25"/>
  <c r="D135" i="25"/>
  <c r="C135" i="25"/>
  <c r="G116" i="25"/>
  <c r="E116" i="25"/>
  <c r="D116" i="25"/>
  <c r="C116" i="25"/>
  <c r="G65" i="25"/>
  <c r="E65" i="25"/>
  <c r="D65" i="25"/>
  <c r="C65" i="25"/>
  <c r="G138" i="25"/>
  <c r="E138" i="25"/>
  <c r="D138" i="25"/>
  <c r="C138" i="25"/>
  <c r="G71" i="25"/>
  <c r="E71" i="25"/>
  <c r="D71" i="25"/>
  <c r="C71" i="25"/>
  <c r="G94" i="25"/>
  <c r="E94" i="25"/>
  <c r="D94" i="25"/>
  <c r="C94" i="25"/>
  <c r="G44" i="25"/>
  <c r="E44" i="25"/>
  <c r="D44" i="25"/>
  <c r="C44" i="25"/>
  <c r="G127" i="25"/>
  <c r="E127" i="25"/>
  <c r="D127" i="25"/>
  <c r="C127" i="25"/>
  <c r="G10" i="25"/>
  <c r="E10" i="25"/>
  <c r="D10" i="25"/>
  <c r="C10" i="25"/>
  <c r="G97" i="25"/>
  <c r="E97" i="25"/>
  <c r="D97" i="25"/>
  <c r="C97" i="25"/>
  <c r="G31" i="25"/>
  <c r="E31" i="25"/>
  <c r="D31" i="25"/>
  <c r="C31" i="25"/>
  <c r="G42" i="25"/>
  <c r="E42" i="25"/>
  <c r="D42" i="25"/>
  <c r="C42" i="25"/>
  <c r="G48" i="25"/>
  <c r="E48" i="25"/>
  <c r="D48" i="25"/>
  <c r="C48" i="25"/>
  <c r="G9" i="25"/>
  <c r="E9" i="25"/>
  <c r="D9" i="25"/>
  <c r="C9" i="25"/>
  <c r="G147" i="25"/>
  <c r="E147" i="25"/>
  <c r="D147" i="25"/>
  <c r="C147" i="25"/>
  <c r="G123" i="25"/>
  <c r="E123" i="25"/>
  <c r="D123" i="25"/>
  <c r="C123" i="25"/>
  <c r="G21" i="25"/>
  <c r="E21" i="25"/>
  <c r="D21" i="25"/>
  <c r="C21" i="25"/>
  <c r="G47" i="25"/>
  <c r="E47" i="25"/>
  <c r="D47" i="25"/>
  <c r="C47" i="25"/>
  <c r="G51" i="25"/>
  <c r="E51" i="25"/>
  <c r="D51" i="25"/>
  <c r="C51" i="25"/>
  <c r="G54" i="25"/>
  <c r="E54" i="25"/>
  <c r="D54" i="25"/>
  <c r="C54" i="25"/>
  <c r="G70" i="25"/>
  <c r="E70" i="25"/>
  <c r="D70" i="25"/>
  <c r="C70" i="25"/>
  <c r="G8" i="25"/>
  <c r="E8" i="25"/>
  <c r="D8" i="25"/>
  <c r="C8" i="25"/>
  <c r="G49" i="25"/>
  <c r="E49" i="25"/>
  <c r="D49" i="25"/>
  <c r="C49" i="25"/>
  <c r="G11" i="25"/>
  <c r="E11" i="25"/>
  <c r="D11" i="25"/>
  <c r="C11" i="25"/>
  <c r="G45" i="25"/>
  <c r="E45" i="25"/>
  <c r="D45" i="25"/>
  <c r="C45" i="25"/>
  <c r="G3" i="25"/>
  <c r="E3" i="25"/>
  <c r="D3" i="25"/>
  <c r="C3" i="25"/>
  <c r="G33" i="25"/>
  <c r="E33" i="25"/>
  <c r="D33" i="25"/>
  <c r="C33" i="25"/>
  <c r="G145" i="25"/>
  <c r="E145" i="25"/>
  <c r="D145" i="25"/>
  <c r="C145" i="25"/>
  <c r="G141" i="25"/>
  <c r="E141" i="25"/>
  <c r="D141" i="25"/>
  <c r="C141" i="25"/>
  <c r="G103" i="25"/>
  <c r="E103" i="25"/>
  <c r="D103" i="25"/>
  <c r="C103" i="25"/>
  <c r="G32" i="25"/>
  <c r="E32" i="25"/>
  <c r="D32" i="25"/>
  <c r="C32" i="25"/>
  <c r="G108" i="25"/>
  <c r="E108" i="25"/>
  <c r="D108" i="25"/>
  <c r="C108" i="25"/>
  <c r="G119" i="25"/>
  <c r="E119" i="25"/>
  <c r="D119" i="25"/>
  <c r="C119" i="25"/>
  <c r="G15" i="25"/>
  <c r="E15" i="25"/>
  <c r="D15" i="25"/>
  <c r="C15" i="25"/>
  <c r="G159" i="25"/>
  <c r="E159" i="25"/>
  <c r="D159" i="25"/>
  <c r="C159" i="25"/>
  <c r="G111" i="25"/>
  <c r="E111" i="25"/>
  <c r="D111" i="25"/>
  <c r="C111" i="25"/>
  <c r="G58" i="25"/>
  <c r="E58" i="25"/>
  <c r="D58" i="25"/>
  <c r="C58" i="25"/>
  <c r="G120" i="25"/>
  <c r="E120" i="25"/>
  <c r="D120" i="25"/>
  <c r="C120" i="25"/>
  <c r="G96" i="25"/>
  <c r="E96" i="25"/>
  <c r="D96" i="25"/>
  <c r="C96" i="25"/>
  <c r="G130" i="25"/>
  <c r="E130" i="25"/>
  <c r="D130" i="25"/>
  <c r="C130" i="25"/>
  <c r="G25" i="25"/>
  <c r="E25" i="25"/>
  <c r="D25" i="25"/>
  <c r="C25" i="25"/>
  <c r="G118" i="25"/>
  <c r="E118" i="25"/>
  <c r="D118" i="25"/>
  <c r="C118" i="25"/>
  <c r="G131" i="25"/>
  <c r="E131" i="25"/>
  <c r="D131" i="25"/>
  <c r="C131" i="25"/>
  <c r="G160" i="25"/>
  <c r="E160" i="25"/>
  <c r="D160" i="25"/>
  <c r="C160" i="25"/>
  <c r="G163" i="25"/>
  <c r="E163" i="25"/>
  <c r="D163" i="25"/>
  <c r="C163" i="25"/>
  <c r="G43" i="25"/>
  <c r="E43" i="25"/>
  <c r="D43" i="25"/>
  <c r="C43" i="25"/>
  <c r="G107" i="25"/>
  <c r="E107" i="25"/>
  <c r="D107" i="25"/>
  <c r="C107" i="25"/>
  <c r="G161" i="25"/>
  <c r="E161" i="25"/>
  <c r="D161" i="25"/>
  <c r="C161" i="25"/>
  <c r="G75" i="25"/>
  <c r="E75" i="25"/>
  <c r="D75" i="25"/>
  <c r="C75" i="25"/>
  <c r="G41" i="25"/>
  <c r="E41" i="25"/>
  <c r="D41" i="25"/>
  <c r="C41" i="25"/>
  <c r="G128" i="25"/>
  <c r="E128" i="25"/>
  <c r="D128" i="25"/>
  <c r="C128" i="25"/>
  <c r="G69" i="25"/>
  <c r="E69" i="25"/>
  <c r="D69" i="25"/>
  <c r="C69" i="25"/>
  <c r="G144" i="25"/>
  <c r="E144" i="25"/>
  <c r="D144" i="25"/>
  <c r="C144" i="25"/>
  <c r="G73" i="25"/>
  <c r="E73" i="25"/>
  <c r="D73" i="25"/>
  <c r="C73" i="25"/>
  <c r="G40" i="25"/>
  <c r="E40" i="25"/>
  <c r="D40" i="25"/>
  <c r="C40" i="25"/>
  <c r="G158" i="25"/>
  <c r="E158" i="25"/>
  <c r="D158" i="25"/>
  <c r="C158" i="25"/>
  <c r="G157" i="25"/>
  <c r="E157" i="25"/>
  <c r="D157" i="25"/>
  <c r="C157" i="25"/>
  <c r="G143" i="25"/>
  <c r="E143" i="25"/>
  <c r="D143" i="25"/>
  <c r="C143" i="25"/>
  <c r="G19" i="25"/>
  <c r="E19" i="25"/>
  <c r="D19" i="25"/>
  <c r="C19" i="25"/>
  <c r="G146" i="25"/>
  <c r="E146" i="25"/>
  <c r="D146" i="25"/>
  <c r="C146" i="25"/>
  <c r="G132" i="25"/>
  <c r="E132" i="25"/>
  <c r="D132" i="25"/>
  <c r="C132" i="25"/>
  <c r="G55" i="25"/>
  <c r="E55" i="25"/>
  <c r="D55" i="25"/>
  <c r="C55" i="25"/>
  <c r="G149" i="25"/>
  <c r="E149" i="25"/>
  <c r="D149" i="25"/>
  <c r="C149" i="25"/>
  <c r="G100" i="25"/>
  <c r="E100" i="25"/>
  <c r="D100" i="25"/>
  <c r="C100" i="25"/>
  <c r="G82" i="25"/>
  <c r="E82" i="25"/>
  <c r="D82" i="25"/>
  <c r="C82" i="25"/>
  <c r="G38" i="25"/>
  <c r="E38" i="25"/>
  <c r="D38" i="25"/>
  <c r="C38" i="25"/>
  <c r="G63" i="25"/>
  <c r="E63" i="25"/>
  <c r="D63" i="25"/>
  <c r="C63" i="25"/>
  <c r="G156" i="25"/>
  <c r="E156" i="25"/>
  <c r="D156" i="25"/>
  <c r="C156" i="25"/>
  <c r="G98" i="25"/>
  <c r="E98" i="25"/>
  <c r="D98" i="25"/>
  <c r="C98" i="25"/>
  <c r="G81" i="25"/>
  <c r="E81" i="25"/>
  <c r="D81" i="25"/>
  <c r="C81" i="25"/>
  <c r="G110" i="25"/>
  <c r="E110" i="25"/>
  <c r="D110" i="25"/>
  <c r="C110" i="25"/>
  <c r="G133" i="25"/>
  <c r="E133" i="25"/>
  <c r="D133" i="25"/>
  <c r="C133" i="25"/>
  <c r="G22" i="25"/>
  <c r="E22" i="25"/>
  <c r="D22" i="25"/>
  <c r="C22" i="25"/>
  <c r="G153" i="25"/>
  <c r="E153" i="25"/>
  <c r="D153" i="25"/>
  <c r="C153" i="25"/>
  <c r="G6" i="25"/>
  <c r="E6" i="25"/>
  <c r="D6" i="25"/>
  <c r="C6" i="25"/>
  <c r="G125" i="25"/>
  <c r="E125" i="25"/>
  <c r="D125" i="25"/>
  <c r="C125" i="25"/>
  <c r="G80" i="25"/>
  <c r="E80" i="25"/>
  <c r="D80" i="25"/>
  <c r="C80" i="25"/>
  <c r="G79" i="25"/>
  <c r="E79" i="25"/>
  <c r="D79" i="25"/>
  <c r="C79" i="25"/>
  <c r="G104" i="25"/>
  <c r="E104" i="25"/>
  <c r="D104" i="25"/>
  <c r="C104" i="25"/>
  <c r="G115" i="25"/>
  <c r="E115" i="25"/>
  <c r="D115" i="25"/>
  <c r="C115" i="25"/>
  <c r="G78" i="25"/>
  <c r="E78" i="25"/>
  <c r="D78" i="25"/>
  <c r="C78" i="25"/>
  <c r="G59" i="25"/>
  <c r="E59" i="25"/>
  <c r="D59" i="25"/>
  <c r="C59" i="25"/>
  <c r="G151" i="25"/>
  <c r="E151" i="25"/>
  <c r="D151" i="25"/>
  <c r="C151" i="25"/>
  <c r="G20" i="25"/>
  <c r="E20" i="25"/>
  <c r="D20" i="25"/>
  <c r="C20" i="25"/>
  <c r="G7" i="25"/>
  <c r="E7" i="25"/>
  <c r="D7" i="25"/>
  <c r="C7" i="25"/>
  <c r="G77" i="25"/>
  <c r="E77" i="25"/>
  <c r="D77" i="25"/>
  <c r="C77" i="25"/>
  <c r="G18" i="25"/>
  <c r="E18" i="25"/>
  <c r="D18" i="25"/>
  <c r="C18" i="25"/>
  <c r="G165" i="25"/>
  <c r="E165" i="25"/>
  <c r="D165" i="25"/>
  <c r="C165" i="25"/>
  <c r="G112" i="25"/>
  <c r="E112" i="25"/>
  <c r="D112" i="25"/>
  <c r="C112" i="25"/>
  <c r="G126" i="25"/>
  <c r="E126" i="25"/>
  <c r="D126" i="25"/>
  <c r="C126" i="25"/>
  <c r="G114" i="25"/>
  <c r="E114" i="25"/>
  <c r="D114" i="25"/>
  <c r="C114" i="25"/>
  <c r="G101" i="25"/>
  <c r="E101" i="25"/>
  <c r="D101" i="25"/>
  <c r="C101" i="25"/>
  <c r="G76" i="25"/>
  <c r="E76" i="25"/>
  <c r="D76" i="25"/>
  <c r="C76" i="25"/>
  <c r="G148" i="25"/>
  <c r="E148" i="25"/>
  <c r="D148" i="25"/>
  <c r="C148" i="25"/>
  <c r="G28" i="25"/>
  <c r="E28" i="25"/>
  <c r="D28" i="25"/>
  <c r="C28" i="25"/>
  <c r="G50" i="25"/>
  <c r="E50" i="25"/>
  <c r="D50" i="25"/>
  <c r="C50" i="25"/>
  <c r="G61" i="25"/>
  <c r="E61" i="25"/>
  <c r="D61" i="25"/>
  <c r="C61" i="25"/>
  <c r="G4" i="25"/>
  <c r="E4" i="25"/>
  <c r="D4" i="25"/>
  <c r="C4" i="25"/>
  <c r="G74" i="25"/>
  <c r="E74" i="25"/>
  <c r="D74" i="25"/>
  <c r="C74" i="25"/>
  <c r="F64" i="25" l="1"/>
  <c r="F31" i="25"/>
  <c r="F91" i="25"/>
  <c r="F17" i="25"/>
  <c r="F80" i="25"/>
  <c r="F114" i="25"/>
  <c r="F104" i="25"/>
  <c r="F102" i="25"/>
  <c r="F56" i="25"/>
  <c r="F38" i="25"/>
  <c r="F143" i="25"/>
  <c r="F73" i="25"/>
  <c r="F144" i="25"/>
  <c r="F107" i="25"/>
  <c r="F43" i="25"/>
  <c r="F100" i="25"/>
  <c r="F96" i="25"/>
  <c r="F123" i="25"/>
  <c r="F65" i="25"/>
  <c r="F53" i="25"/>
  <c r="F28" i="25"/>
  <c r="F18" i="25"/>
  <c r="F77" i="25"/>
  <c r="F59" i="25"/>
  <c r="F122" i="25"/>
  <c r="F60" i="25"/>
  <c r="F23" i="25"/>
  <c r="F4" i="25"/>
  <c r="F61" i="25"/>
  <c r="F110" i="25"/>
  <c r="F98" i="25"/>
  <c r="F119" i="25"/>
  <c r="F33" i="25"/>
  <c r="F11" i="25"/>
  <c r="F140" i="25"/>
  <c r="F26" i="25"/>
  <c r="F30" i="25"/>
  <c r="F22" i="25"/>
  <c r="F103" i="25"/>
  <c r="F70" i="25"/>
  <c r="F51" i="25"/>
  <c r="F83" i="25"/>
  <c r="F34" i="25"/>
  <c r="F39" i="25"/>
  <c r="F14" i="25"/>
  <c r="F150" i="25"/>
  <c r="F16" i="25"/>
  <c r="F95" i="25"/>
  <c r="F148" i="25"/>
  <c r="F165" i="25"/>
  <c r="F20" i="25"/>
  <c r="F128" i="25"/>
  <c r="F94" i="25"/>
  <c r="F138" i="25"/>
  <c r="F116" i="25"/>
  <c r="F135" i="25"/>
  <c r="F113" i="25"/>
  <c r="F13" i="25"/>
  <c r="F164" i="25"/>
  <c r="F129" i="25"/>
  <c r="F24" i="25"/>
  <c r="F92" i="25"/>
  <c r="F161" i="25"/>
  <c r="F40" i="25"/>
  <c r="F158" i="25"/>
  <c r="F19" i="25"/>
  <c r="F132" i="25"/>
  <c r="F25" i="25"/>
  <c r="F48" i="25"/>
  <c r="F35" i="25"/>
  <c r="F126" i="25"/>
  <c r="F149" i="25"/>
  <c r="F58" i="25"/>
  <c r="F10" i="25"/>
  <c r="F127" i="25"/>
  <c r="F162" i="25"/>
  <c r="F84" i="25"/>
  <c r="F67" i="25"/>
  <c r="F57" i="25"/>
  <c r="F137" i="25"/>
  <c r="F117" i="25"/>
  <c r="F167" i="25"/>
  <c r="F139" i="25"/>
  <c r="F79" i="25"/>
  <c r="F156" i="25"/>
  <c r="F55" i="25"/>
  <c r="F157" i="25"/>
  <c r="F160" i="25"/>
  <c r="F120" i="25"/>
  <c r="F15" i="25"/>
  <c r="F32" i="25"/>
  <c r="F49" i="25"/>
  <c r="F147" i="25"/>
  <c r="F109" i="25"/>
  <c r="F85" i="25"/>
  <c r="F124" i="25"/>
  <c r="F170" i="25"/>
  <c r="F90" i="25"/>
  <c r="F93" i="25"/>
  <c r="F155" i="25"/>
  <c r="F151" i="25"/>
  <c r="F125" i="25"/>
  <c r="F6" i="25"/>
  <c r="F153" i="25"/>
  <c r="F75" i="25"/>
  <c r="F159" i="25"/>
  <c r="F141" i="25"/>
  <c r="F3" i="25"/>
  <c r="F54" i="25"/>
  <c r="F47" i="25"/>
  <c r="F21" i="25"/>
  <c r="F71" i="25"/>
  <c r="F136" i="25"/>
  <c r="F106" i="25"/>
  <c r="F27" i="25"/>
  <c r="F37" i="25"/>
  <c r="F121" i="25"/>
  <c r="F87" i="25"/>
  <c r="F72" i="25"/>
  <c r="F99" i="25"/>
  <c r="F154" i="25"/>
  <c r="F169" i="25"/>
  <c r="D171" i="25"/>
  <c r="F112" i="25"/>
  <c r="F78" i="25"/>
  <c r="F81" i="25"/>
  <c r="F146" i="25"/>
  <c r="F131" i="25"/>
  <c r="F118" i="25"/>
  <c r="F45" i="25"/>
  <c r="F29" i="25"/>
  <c r="F74" i="25"/>
  <c r="C171" i="25"/>
  <c r="E171" i="25"/>
  <c r="F101" i="25"/>
  <c r="F82" i="25"/>
  <c r="F111" i="25"/>
  <c r="F108" i="25"/>
  <c r="F42" i="25"/>
  <c r="F105" i="25"/>
  <c r="F62" i="25"/>
  <c r="G171" i="25"/>
  <c r="F50" i="25"/>
  <c r="F63" i="25"/>
  <c r="F41" i="25"/>
  <c r="F163" i="25"/>
  <c r="F97" i="25"/>
  <c r="F145" i="25"/>
  <c r="F9" i="25"/>
  <c r="F5" i="25"/>
  <c r="F134" i="25"/>
  <c r="F46" i="25"/>
  <c r="F36" i="25"/>
  <c r="F68" i="25"/>
  <c r="F142" i="25"/>
  <c r="F89" i="25"/>
  <c r="F168" i="25"/>
  <c r="F152" i="25"/>
  <c r="F76" i="25"/>
  <c r="F7" i="25"/>
  <c r="F115" i="25"/>
  <c r="F133" i="25"/>
  <c r="F69" i="25"/>
  <c r="F130" i="25"/>
  <c r="F8" i="25"/>
  <c r="F44" i="25"/>
  <c r="F12" i="25"/>
  <c r="F86" i="25"/>
  <c r="F66" i="25"/>
  <c r="F88" i="25"/>
  <c r="F52" i="25"/>
  <c r="F166" i="25"/>
  <c r="G163" i="24"/>
  <c r="E163" i="24"/>
  <c r="D163" i="24"/>
  <c r="C163" i="24"/>
  <c r="G66" i="24"/>
  <c r="E66" i="24"/>
  <c r="D66" i="24"/>
  <c r="C66" i="24"/>
  <c r="G94" i="24"/>
  <c r="E94" i="24"/>
  <c r="D94" i="24"/>
  <c r="C94" i="24"/>
  <c r="G22" i="24"/>
  <c r="E22" i="24"/>
  <c r="D22" i="24"/>
  <c r="C22" i="24"/>
  <c r="G21" i="24"/>
  <c r="E21" i="24"/>
  <c r="D21" i="24"/>
  <c r="C21" i="24"/>
  <c r="G159" i="24"/>
  <c r="E159" i="24"/>
  <c r="D159" i="24"/>
  <c r="C159" i="24"/>
  <c r="G165" i="24"/>
  <c r="E165" i="24"/>
  <c r="D165" i="24"/>
  <c r="C165" i="24"/>
  <c r="G162" i="24"/>
  <c r="E162" i="24"/>
  <c r="D162" i="24"/>
  <c r="C162" i="24"/>
  <c r="G164" i="24"/>
  <c r="E164" i="24"/>
  <c r="D164" i="24"/>
  <c r="C164" i="24"/>
  <c r="G50" i="24"/>
  <c r="E50" i="24"/>
  <c r="D50" i="24"/>
  <c r="C50" i="24"/>
  <c r="G158" i="24"/>
  <c r="E158" i="24"/>
  <c r="D158" i="24"/>
  <c r="C158" i="24"/>
  <c r="G63" i="24"/>
  <c r="E63" i="24"/>
  <c r="D63" i="24"/>
  <c r="C63" i="24"/>
  <c r="G130" i="24"/>
  <c r="E130" i="24"/>
  <c r="D130" i="24"/>
  <c r="C130" i="24"/>
  <c r="G37" i="24"/>
  <c r="E37" i="24"/>
  <c r="D37" i="24"/>
  <c r="C37" i="24"/>
  <c r="G118" i="24"/>
  <c r="E118" i="24"/>
  <c r="D118" i="24"/>
  <c r="C118" i="24"/>
  <c r="G156" i="24"/>
  <c r="E156" i="24"/>
  <c r="D156" i="24"/>
  <c r="C156" i="24"/>
  <c r="G100" i="24"/>
  <c r="E100" i="24"/>
  <c r="D100" i="24"/>
  <c r="C100" i="24"/>
  <c r="G96" i="24"/>
  <c r="E96" i="24"/>
  <c r="D96" i="24"/>
  <c r="C96" i="24"/>
  <c r="G15" i="24"/>
  <c r="E15" i="24"/>
  <c r="D15" i="24"/>
  <c r="C15" i="24"/>
  <c r="G140" i="24"/>
  <c r="E140" i="24"/>
  <c r="D140" i="24"/>
  <c r="C140" i="24"/>
  <c r="G43" i="24"/>
  <c r="E43" i="24"/>
  <c r="D43" i="24"/>
  <c r="C43" i="24"/>
  <c r="G153" i="24"/>
  <c r="E153" i="24"/>
  <c r="D153" i="24"/>
  <c r="C153" i="24"/>
  <c r="G138" i="24"/>
  <c r="E138" i="24"/>
  <c r="D138" i="24"/>
  <c r="C138" i="24"/>
  <c r="G27" i="24"/>
  <c r="E27" i="24"/>
  <c r="D27" i="24"/>
  <c r="C27" i="24"/>
  <c r="G54" i="24"/>
  <c r="E54" i="24"/>
  <c r="D54" i="24"/>
  <c r="C54" i="24"/>
  <c r="G93" i="24"/>
  <c r="E93" i="24"/>
  <c r="D93" i="24"/>
  <c r="C93" i="24"/>
  <c r="G92" i="24"/>
  <c r="E92" i="24"/>
  <c r="D92" i="24"/>
  <c r="C92" i="24"/>
  <c r="G23" i="24"/>
  <c r="E23" i="24"/>
  <c r="D23" i="24"/>
  <c r="C23" i="24"/>
  <c r="G91" i="24"/>
  <c r="E91" i="24"/>
  <c r="D91" i="24"/>
  <c r="C91" i="24"/>
  <c r="G75" i="24"/>
  <c r="E75" i="24"/>
  <c r="D75" i="24"/>
  <c r="C75" i="24"/>
  <c r="G143" i="24"/>
  <c r="E143" i="24"/>
  <c r="D143" i="24"/>
  <c r="C143" i="24"/>
  <c r="G52" i="24"/>
  <c r="E52" i="24"/>
  <c r="D52" i="24"/>
  <c r="C52" i="24"/>
  <c r="G68" i="24"/>
  <c r="E68" i="24"/>
  <c r="D68" i="24"/>
  <c r="C68" i="24"/>
  <c r="G123" i="24"/>
  <c r="E123" i="24"/>
  <c r="D123" i="24"/>
  <c r="C123" i="24"/>
  <c r="G166" i="24"/>
  <c r="E166" i="24"/>
  <c r="D166" i="24"/>
  <c r="C166" i="24"/>
  <c r="G24" i="24"/>
  <c r="E24" i="24"/>
  <c r="D24" i="24"/>
  <c r="C24" i="24"/>
  <c r="G59" i="24"/>
  <c r="E59" i="24"/>
  <c r="D59" i="24"/>
  <c r="C59" i="24"/>
  <c r="G90" i="24"/>
  <c r="E90" i="24"/>
  <c r="D90" i="24"/>
  <c r="C90" i="24"/>
  <c r="G58" i="24"/>
  <c r="E58" i="24"/>
  <c r="D58" i="24"/>
  <c r="C58" i="24"/>
  <c r="G114" i="24"/>
  <c r="E114" i="24"/>
  <c r="D114" i="24"/>
  <c r="C114" i="24"/>
  <c r="G125" i="24"/>
  <c r="E125" i="24"/>
  <c r="D125" i="24"/>
  <c r="C125" i="24"/>
  <c r="G70" i="24"/>
  <c r="E70" i="24"/>
  <c r="D70" i="24"/>
  <c r="C70" i="24"/>
  <c r="G122" i="24"/>
  <c r="E122" i="24"/>
  <c r="D122" i="24"/>
  <c r="C122" i="24"/>
  <c r="G34" i="24"/>
  <c r="E34" i="24"/>
  <c r="D34" i="24"/>
  <c r="C34" i="24"/>
  <c r="G32" i="24"/>
  <c r="E32" i="24"/>
  <c r="D32" i="24"/>
  <c r="C32" i="24"/>
  <c r="G89" i="24"/>
  <c r="E89" i="24"/>
  <c r="D89" i="24"/>
  <c r="C89" i="24"/>
  <c r="E47" i="24"/>
  <c r="D47" i="24"/>
  <c r="C47" i="24"/>
  <c r="G69" i="24"/>
  <c r="E69" i="24"/>
  <c r="D69" i="24"/>
  <c r="C69" i="24"/>
  <c r="G103" i="24"/>
  <c r="E103" i="24"/>
  <c r="D103" i="24"/>
  <c r="C103" i="24"/>
  <c r="G35" i="24"/>
  <c r="E35" i="24"/>
  <c r="D35" i="24"/>
  <c r="C35" i="24"/>
  <c r="G65" i="24"/>
  <c r="E65" i="24"/>
  <c r="D65" i="24"/>
  <c r="C65" i="24"/>
  <c r="G135" i="24"/>
  <c r="E135" i="24"/>
  <c r="D135" i="24"/>
  <c r="C135" i="24"/>
  <c r="G149" i="24"/>
  <c r="E149" i="24"/>
  <c r="D149" i="24"/>
  <c r="C149" i="24"/>
  <c r="G88" i="24"/>
  <c r="E88" i="24"/>
  <c r="D88" i="24"/>
  <c r="C88" i="24"/>
  <c r="G38" i="24"/>
  <c r="E38" i="24"/>
  <c r="D38" i="24"/>
  <c r="C38" i="24"/>
  <c r="G141" i="24"/>
  <c r="E141" i="24"/>
  <c r="D141" i="24"/>
  <c r="C141" i="24"/>
  <c r="G87" i="24"/>
  <c r="E87" i="24"/>
  <c r="D87" i="24"/>
  <c r="C87" i="24"/>
  <c r="G26" i="24"/>
  <c r="E26" i="24"/>
  <c r="D26" i="24"/>
  <c r="C26" i="24"/>
  <c r="G30" i="24"/>
  <c r="E30" i="24"/>
  <c r="D30" i="24"/>
  <c r="C30" i="24"/>
  <c r="G5" i="24"/>
  <c r="E5" i="24"/>
  <c r="D5" i="24"/>
  <c r="C5" i="24"/>
  <c r="G86" i="24"/>
  <c r="E86" i="24"/>
  <c r="D86" i="24"/>
  <c r="C86" i="24"/>
  <c r="G9" i="24"/>
  <c r="E9" i="24"/>
  <c r="D9" i="24"/>
  <c r="C9" i="24"/>
  <c r="G36" i="24"/>
  <c r="E36" i="24"/>
  <c r="D36" i="24"/>
  <c r="C36" i="24"/>
  <c r="G110" i="24"/>
  <c r="E110" i="24"/>
  <c r="D110" i="24"/>
  <c r="C110" i="24"/>
  <c r="G106" i="24"/>
  <c r="E106" i="24"/>
  <c r="D106" i="24"/>
  <c r="C106" i="24"/>
  <c r="G55" i="24"/>
  <c r="E55" i="24"/>
  <c r="D55" i="24"/>
  <c r="C55" i="24"/>
  <c r="G107" i="24"/>
  <c r="E107" i="24"/>
  <c r="D107" i="24"/>
  <c r="C107" i="24"/>
  <c r="G137" i="24"/>
  <c r="E137" i="24"/>
  <c r="D137" i="24"/>
  <c r="C137" i="24"/>
  <c r="G160" i="24"/>
  <c r="E160" i="24"/>
  <c r="D160" i="24"/>
  <c r="C160" i="24"/>
  <c r="G136" i="24"/>
  <c r="E136" i="24"/>
  <c r="D136" i="24"/>
  <c r="C136" i="24"/>
  <c r="G117" i="24"/>
  <c r="E117" i="24"/>
  <c r="D117" i="24"/>
  <c r="C117" i="24"/>
  <c r="G67" i="24"/>
  <c r="E67" i="24"/>
  <c r="D67" i="24"/>
  <c r="C67" i="24"/>
  <c r="G139" i="24"/>
  <c r="E139" i="24"/>
  <c r="D139" i="24"/>
  <c r="C139" i="24"/>
  <c r="G74" i="24"/>
  <c r="E74" i="24"/>
  <c r="D74" i="24"/>
  <c r="C74" i="24"/>
  <c r="G95" i="24"/>
  <c r="E95" i="24"/>
  <c r="D95" i="24"/>
  <c r="C95" i="24"/>
  <c r="G45" i="24"/>
  <c r="E45" i="24"/>
  <c r="D45" i="24"/>
  <c r="C45" i="24"/>
  <c r="G128" i="24"/>
  <c r="E128" i="24"/>
  <c r="D128" i="24"/>
  <c r="C128" i="24"/>
  <c r="G12" i="24"/>
  <c r="E12" i="24"/>
  <c r="D12" i="24"/>
  <c r="C12" i="24"/>
  <c r="G98" i="24"/>
  <c r="E98" i="24"/>
  <c r="D98" i="24"/>
  <c r="C98" i="24"/>
  <c r="G18" i="24"/>
  <c r="E18" i="24"/>
  <c r="D18" i="24"/>
  <c r="C18" i="24"/>
  <c r="G41" i="24"/>
  <c r="E41" i="24"/>
  <c r="D41" i="24"/>
  <c r="C41" i="24"/>
  <c r="G48" i="24"/>
  <c r="E48" i="24"/>
  <c r="D48" i="24"/>
  <c r="C48" i="24"/>
  <c r="G10" i="24"/>
  <c r="E10" i="24"/>
  <c r="D10" i="24"/>
  <c r="C10" i="24"/>
  <c r="G150" i="24"/>
  <c r="E150" i="24"/>
  <c r="D150" i="24"/>
  <c r="C150" i="24"/>
  <c r="G124" i="24"/>
  <c r="E124" i="24"/>
  <c r="D124" i="24"/>
  <c r="C124" i="24"/>
  <c r="G19" i="24"/>
  <c r="E19" i="24"/>
  <c r="D19" i="24"/>
  <c r="C19" i="24"/>
  <c r="G145" i="24"/>
  <c r="E145" i="24"/>
  <c r="D145" i="24"/>
  <c r="C145" i="24"/>
  <c r="G53" i="24"/>
  <c r="E53" i="24"/>
  <c r="D53" i="24"/>
  <c r="C53" i="24"/>
  <c r="G56" i="24"/>
  <c r="E56" i="24"/>
  <c r="D56" i="24"/>
  <c r="C56" i="24"/>
  <c r="G73" i="24"/>
  <c r="E73" i="24"/>
  <c r="D73" i="24"/>
  <c r="C73" i="24"/>
  <c r="G8" i="24"/>
  <c r="E8" i="24"/>
  <c r="D8" i="24"/>
  <c r="C8" i="24"/>
  <c r="G49" i="24"/>
  <c r="E49" i="24"/>
  <c r="D49" i="24"/>
  <c r="C49" i="24"/>
  <c r="G11" i="24"/>
  <c r="E11" i="24"/>
  <c r="D11" i="24"/>
  <c r="C11" i="24"/>
  <c r="G46" i="24"/>
  <c r="E46" i="24"/>
  <c r="D46" i="24"/>
  <c r="C46" i="24"/>
  <c r="G3" i="24"/>
  <c r="E3" i="24"/>
  <c r="D3" i="24"/>
  <c r="C3" i="24"/>
  <c r="G29" i="24"/>
  <c r="E29" i="24"/>
  <c r="D29" i="24"/>
  <c r="C29" i="24"/>
  <c r="G147" i="24"/>
  <c r="E147" i="24"/>
  <c r="D147" i="24"/>
  <c r="C147" i="24"/>
  <c r="G142" i="24"/>
  <c r="E142" i="24"/>
  <c r="D142" i="24"/>
  <c r="C142" i="24"/>
  <c r="G104" i="24"/>
  <c r="E104" i="24"/>
  <c r="D104" i="24"/>
  <c r="C104" i="24"/>
  <c r="G42" i="24"/>
  <c r="E42" i="24"/>
  <c r="D42" i="24"/>
  <c r="C42" i="24"/>
  <c r="G109" i="24"/>
  <c r="E109" i="24"/>
  <c r="D109" i="24"/>
  <c r="C109" i="24"/>
  <c r="G120" i="24"/>
  <c r="E120" i="24"/>
  <c r="D120" i="24"/>
  <c r="C120" i="24"/>
  <c r="G13" i="24"/>
  <c r="E13" i="24"/>
  <c r="D13" i="24"/>
  <c r="C13" i="24"/>
  <c r="G155" i="24"/>
  <c r="E155" i="24"/>
  <c r="D155" i="24"/>
  <c r="C155" i="24"/>
  <c r="G112" i="24"/>
  <c r="E112" i="24"/>
  <c r="D112" i="24"/>
  <c r="C112" i="24"/>
  <c r="G60" i="24"/>
  <c r="E60" i="24"/>
  <c r="D60" i="24"/>
  <c r="C60" i="24"/>
  <c r="G121" i="24"/>
  <c r="E121" i="24"/>
  <c r="D121" i="24"/>
  <c r="C121" i="24"/>
  <c r="G97" i="24"/>
  <c r="E97" i="24"/>
  <c r="D97" i="24"/>
  <c r="C97" i="24"/>
  <c r="G131" i="24"/>
  <c r="E131" i="24"/>
  <c r="D131" i="24"/>
  <c r="C131" i="24"/>
  <c r="G33" i="24"/>
  <c r="E33" i="24"/>
  <c r="D33" i="24"/>
  <c r="C33" i="24"/>
  <c r="G119" i="24"/>
  <c r="E119" i="24"/>
  <c r="D119" i="24"/>
  <c r="C119" i="24"/>
  <c r="G132" i="24"/>
  <c r="E132" i="24"/>
  <c r="D132" i="24"/>
  <c r="C132" i="24"/>
  <c r="G61" i="24"/>
  <c r="E61" i="24"/>
  <c r="D61" i="24"/>
  <c r="C61" i="24"/>
  <c r="G20" i="24"/>
  <c r="E20" i="24"/>
  <c r="D20" i="24"/>
  <c r="C20" i="24"/>
  <c r="G72" i="24"/>
  <c r="E72" i="24"/>
  <c r="D72" i="24"/>
  <c r="C72" i="24"/>
  <c r="G44" i="24"/>
  <c r="E44" i="24"/>
  <c r="D44" i="24"/>
  <c r="C44" i="24"/>
  <c r="G108" i="24"/>
  <c r="E108" i="24"/>
  <c r="D108" i="24"/>
  <c r="C108" i="24"/>
  <c r="G148" i="24"/>
  <c r="E148" i="24"/>
  <c r="D148" i="24"/>
  <c r="C148" i="24"/>
  <c r="G133" i="24"/>
  <c r="E133" i="24"/>
  <c r="D133" i="24"/>
  <c r="C133" i="24"/>
  <c r="G40" i="24"/>
  <c r="E40" i="24"/>
  <c r="D40" i="24"/>
  <c r="C40" i="24"/>
  <c r="G129" i="24"/>
  <c r="E129" i="24"/>
  <c r="D129" i="24"/>
  <c r="C129" i="24"/>
  <c r="G78" i="24"/>
  <c r="E78" i="24"/>
  <c r="D78" i="24"/>
  <c r="C78" i="24"/>
  <c r="G146" i="24"/>
  <c r="E146" i="24"/>
  <c r="D146" i="24"/>
  <c r="C146" i="24"/>
  <c r="G76" i="24"/>
  <c r="E76" i="24"/>
  <c r="D76" i="24"/>
  <c r="C76" i="24"/>
  <c r="G71" i="24"/>
  <c r="E71" i="24"/>
  <c r="D71" i="24"/>
  <c r="C71" i="24"/>
  <c r="G144" i="24"/>
  <c r="E144" i="24"/>
  <c r="D144" i="24"/>
  <c r="C144" i="24"/>
  <c r="G57" i="24"/>
  <c r="E57" i="24"/>
  <c r="D57" i="24"/>
  <c r="C57" i="24"/>
  <c r="G152" i="24"/>
  <c r="E152" i="24"/>
  <c r="D152" i="24"/>
  <c r="C152" i="24"/>
  <c r="G101" i="24"/>
  <c r="E101" i="24"/>
  <c r="D101" i="24"/>
  <c r="C101" i="24"/>
  <c r="G85" i="24"/>
  <c r="E85" i="24"/>
  <c r="D85" i="24"/>
  <c r="C85" i="24"/>
  <c r="G28" i="24"/>
  <c r="E28" i="24"/>
  <c r="D28" i="24"/>
  <c r="C28" i="24"/>
  <c r="G31" i="24"/>
  <c r="E31" i="24"/>
  <c r="D31" i="24"/>
  <c r="C31" i="24"/>
  <c r="G39" i="24"/>
  <c r="E39" i="24"/>
  <c r="D39" i="24"/>
  <c r="C39" i="24"/>
  <c r="G99" i="24"/>
  <c r="E99" i="24"/>
  <c r="D99" i="24"/>
  <c r="C99" i="24"/>
  <c r="G84" i="24"/>
  <c r="E84" i="24"/>
  <c r="D84" i="24"/>
  <c r="C84" i="24"/>
  <c r="G111" i="24"/>
  <c r="E111" i="24"/>
  <c r="D111" i="24"/>
  <c r="C111" i="24"/>
  <c r="G134" i="24"/>
  <c r="E134" i="24"/>
  <c r="D134" i="24"/>
  <c r="C134" i="24"/>
  <c r="G14" i="24"/>
  <c r="E14" i="24"/>
  <c r="D14" i="24"/>
  <c r="C14" i="24"/>
  <c r="G154" i="24"/>
  <c r="E154" i="24"/>
  <c r="D154" i="24"/>
  <c r="C154" i="24"/>
  <c r="G7" i="24"/>
  <c r="E7" i="24"/>
  <c r="D7" i="24"/>
  <c r="C7" i="24"/>
  <c r="G126" i="24"/>
  <c r="E126" i="24"/>
  <c r="D126" i="24"/>
  <c r="C126" i="24"/>
  <c r="G83" i="24"/>
  <c r="E83" i="24"/>
  <c r="D83" i="24"/>
  <c r="C83" i="24"/>
  <c r="G82" i="24"/>
  <c r="E82" i="24"/>
  <c r="D82" i="24"/>
  <c r="C82" i="24"/>
  <c r="G105" i="24"/>
  <c r="E105" i="24"/>
  <c r="D105" i="24"/>
  <c r="C105" i="24"/>
  <c r="G116" i="24"/>
  <c r="E116" i="24"/>
  <c r="D116" i="24"/>
  <c r="C116" i="24"/>
  <c r="G81" i="24"/>
  <c r="E81" i="24"/>
  <c r="D81" i="24"/>
  <c r="C81" i="24"/>
  <c r="G62" i="24"/>
  <c r="E62" i="24"/>
  <c r="D62" i="24"/>
  <c r="C62" i="24"/>
  <c r="G157" i="24"/>
  <c r="E157" i="24"/>
  <c r="D157" i="24"/>
  <c r="C157" i="24"/>
  <c r="G17" i="24"/>
  <c r="E17" i="24"/>
  <c r="D17" i="24"/>
  <c r="C17" i="24"/>
  <c r="G6" i="24"/>
  <c r="E6" i="24"/>
  <c r="D6" i="24"/>
  <c r="C6" i="24"/>
  <c r="G80" i="24"/>
  <c r="E80" i="24"/>
  <c r="D80" i="24"/>
  <c r="C80" i="24"/>
  <c r="G16" i="24"/>
  <c r="E16" i="24"/>
  <c r="D16" i="24"/>
  <c r="C16" i="24"/>
  <c r="G161" i="24"/>
  <c r="E161" i="24"/>
  <c r="D161" i="24"/>
  <c r="C161" i="24"/>
  <c r="G113" i="24"/>
  <c r="E113" i="24"/>
  <c r="D113" i="24"/>
  <c r="C113" i="24"/>
  <c r="G127" i="24"/>
  <c r="E127" i="24"/>
  <c r="D127" i="24"/>
  <c r="C127" i="24"/>
  <c r="G115" i="24"/>
  <c r="E115" i="24"/>
  <c r="D115" i="24"/>
  <c r="C115" i="24"/>
  <c r="G102" i="24"/>
  <c r="E102" i="24"/>
  <c r="D102" i="24"/>
  <c r="C102" i="24"/>
  <c r="G79" i="24"/>
  <c r="E79" i="24"/>
  <c r="D79" i="24"/>
  <c r="C79" i="24"/>
  <c r="G151" i="24"/>
  <c r="E151" i="24"/>
  <c r="D151" i="24"/>
  <c r="C151" i="24"/>
  <c r="G25" i="24"/>
  <c r="E25" i="24"/>
  <c r="D25" i="24"/>
  <c r="C25" i="24"/>
  <c r="G51" i="24"/>
  <c r="E51" i="24"/>
  <c r="D51" i="24"/>
  <c r="C51" i="24"/>
  <c r="G64" i="24"/>
  <c r="E64" i="24"/>
  <c r="D64" i="24"/>
  <c r="C64" i="24"/>
  <c r="G4" i="24"/>
  <c r="E4" i="24"/>
  <c r="D4" i="24"/>
  <c r="C4" i="24"/>
  <c r="G77" i="24"/>
  <c r="E77" i="24"/>
  <c r="D77" i="24"/>
  <c r="C77" i="24"/>
  <c r="F21" i="24" l="1"/>
  <c r="F6" i="24"/>
  <c r="F123" i="24"/>
  <c r="F63" i="24"/>
  <c r="F58" i="24"/>
  <c r="F101" i="24"/>
  <c r="F152" i="24"/>
  <c r="F57" i="24"/>
  <c r="F44" i="24"/>
  <c r="F104" i="24"/>
  <c r="F53" i="24"/>
  <c r="F19" i="24"/>
  <c r="F124" i="24"/>
  <c r="F10" i="24"/>
  <c r="F98" i="24"/>
  <c r="F95" i="24"/>
  <c r="F127" i="24"/>
  <c r="F90" i="24"/>
  <c r="F112" i="24"/>
  <c r="F38" i="24"/>
  <c r="F88" i="24"/>
  <c r="F135" i="24"/>
  <c r="F47" i="24"/>
  <c r="F70" i="24"/>
  <c r="F114" i="24"/>
  <c r="F158" i="24"/>
  <c r="F79" i="24"/>
  <c r="F102" i="24"/>
  <c r="F33" i="24"/>
  <c r="F27" i="24"/>
  <c r="F138" i="24"/>
  <c r="F140" i="24"/>
  <c r="F130" i="24"/>
  <c r="F111" i="24"/>
  <c r="F131" i="24"/>
  <c r="F13" i="24"/>
  <c r="F120" i="24"/>
  <c r="F109" i="24"/>
  <c r="F92" i="24"/>
  <c r="F66" i="24"/>
  <c r="F8" i="24"/>
  <c r="F139" i="24"/>
  <c r="F103" i="24"/>
  <c r="F51" i="24"/>
  <c r="F80" i="24"/>
  <c r="F129" i="24"/>
  <c r="F4" i="24"/>
  <c r="F81" i="24"/>
  <c r="F105" i="24"/>
  <c r="F82" i="24"/>
  <c r="F28" i="24"/>
  <c r="F97" i="24"/>
  <c r="F107" i="24"/>
  <c r="F55" i="24"/>
  <c r="F141" i="24"/>
  <c r="F35" i="24"/>
  <c r="F59" i="24"/>
  <c r="F162" i="24"/>
  <c r="F165" i="24"/>
  <c r="F148" i="24"/>
  <c r="F133" i="24"/>
  <c r="F121" i="24"/>
  <c r="F145" i="24"/>
  <c r="E167" i="24"/>
  <c r="F85" i="24"/>
  <c r="F56" i="24"/>
  <c r="F113" i="24"/>
  <c r="F16" i="24"/>
  <c r="F7" i="24"/>
  <c r="F134" i="24"/>
  <c r="F76" i="24"/>
  <c r="F78" i="24"/>
  <c r="F40" i="24"/>
  <c r="F128" i="24"/>
  <c r="F45" i="24"/>
  <c r="F74" i="24"/>
  <c r="F9" i="24"/>
  <c r="F50" i="24"/>
  <c r="F69" i="24"/>
  <c r="F37" i="24"/>
  <c r="F164" i="24"/>
  <c r="F62" i="24"/>
  <c r="F39" i="24"/>
  <c r="F61" i="24"/>
  <c r="F119" i="24"/>
  <c r="F3" i="24"/>
  <c r="F11" i="24"/>
  <c r="F18" i="24"/>
  <c r="F136" i="24"/>
  <c r="F110" i="24"/>
  <c r="F30" i="24"/>
  <c r="F87" i="24"/>
  <c r="F32" i="24"/>
  <c r="F34" i="24"/>
  <c r="F122" i="24"/>
  <c r="F52" i="24"/>
  <c r="F143" i="24"/>
  <c r="F75" i="24"/>
  <c r="F100" i="24"/>
  <c r="F125" i="24"/>
  <c r="F24" i="24"/>
  <c r="F23" i="24"/>
  <c r="F93" i="24"/>
  <c r="F153" i="24"/>
  <c r="F77" i="24"/>
  <c r="F25" i="24"/>
  <c r="F161" i="24"/>
  <c r="F157" i="24"/>
  <c r="F116" i="24"/>
  <c r="F154" i="24"/>
  <c r="F83" i="24"/>
  <c r="F99" i="24"/>
  <c r="F31" i="24"/>
  <c r="F144" i="24"/>
  <c r="F20" i="24"/>
  <c r="F132" i="24"/>
  <c r="F60" i="24"/>
  <c r="F147" i="24"/>
  <c r="F29" i="24"/>
  <c r="F46" i="24"/>
  <c r="F41" i="24"/>
  <c r="F106" i="24"/>
  <c r="F5" i="24"/>
  <c r="F26" i="24"/>
  <c r="F65" i="24"/>
  <c r="F15" i="24"/>
  <c r="F96" i="24"/>
  <c r="F22" i="24"/>
  <c r="F94" i="24"/>
  <c r="C167" i="24"/>
  <c r="D167" i="24"/>
  <c r="F64" i="24"/>
  <c r="F108" i="24"/>
  <c r="F42" i="24"/>
  <c r="F48" i="24"/>
  <c r="F67" i="24"/>
  <c r="F166" i="24"/>
  <c r="F43" i="24"/>
  <c r="F159" i="24"/>
  <c r="G167" i="24"/>
  <c r="F115" i="24"/>
  <c r="F17" i="24"/>
  <c r="F126" i="24"/>
  <c r="F71" i="24"/>
  <c r="F155" i="24"/>
  <c r="F73" i="24"/>
  <c r="F12" i="24"/>
  <c r="F137" i="24"/>
  <c r="F36" i="24"/>
  <c r="F118" i="24"/>
  <c r="F151" i="24"/>
  <c r="F14" i="24"/>
  <c r="F84" i="24"/>
  <c r="F146" i="24"/>
  <c r="F72" i="24"/>
  <c r="F142" i="24"/>
  <c r="F49" i="24"/>
  <c r="F150" i="24"/>
  <c r="F117" i="24"/>
  <c r="F160" i="24"/>
  <c r="F86" i="24"/>
  <c r="F149" i="24"/>
  <c r="F89" i="24"/>
  <c r="F68" i="24"/>
  <c r="F91" i="24"/>
  <c r="F54" i="24"/>
  <c r="F156" i="24"/>
  <c r="F163" i="24"/>
  <c r="G162" i="23"/>
  <c r="E162" i="23"/>
  <c r="D162" i="23"/>
  <c r="C162" i="23"/>
  <c r="G64" i="23"/>
  <c r="E64" i="23"/>
  <c r="D64" i="23"/>
  <c r="C64" i="23"/>
  <c r="G94" i="23"/>
  <c r="E94" i="23"/>
  <c r="D94" i="23"/>
  <c r="C94" i="23"/>
  <c r="G161" i="23"/>
  <c r="E161" i="23"/>
  <c r="D161" i="23"/>
  <c r="C161" i="23"/>
  <c r="G23" i="23"/>
  <c r="E23" i="23"/>
  <c r="D23" i="23"/>
  <c r="C23" i="23"/>
  <c r="G159" i="23"/>
  <c r="E159" i="23"/>
  <c r="D159" i="23"/>
  <c r="C159" i="23"/>
  <c r="G165" i="23"/>
  <c r="E165" i="23"/>
  <c r="D165" i="23"/>
  <c r="C165" i="23"/>
  <c r="G164" i="23"/>
  <c r="E164" i="23"/>
  <c r="D164" i="23"/>
  <c r="C164" i="23"/>
  <c r="G24" i="23"/>
  <c r="E24" i="23"/>
  <c r="D24" i="23"/>
  <c r="C24" i="23"/>
  <c r="G20" i="23"/>
  <c r="E20" i="23"/>
  <c r="D20" i="23"/>
  <c r="C20" i="23"/>
  <c r="G158" i="23"/>
  <c r="E158" i="23"/>
  <c r="D158" i="23"/>
  <c r="C158" i="23"/>
  <c r="G60" i="23"/>
  <c r="E60" i="23"/>
  <c r="D60" i="23"/>
  <c r="C60" i="23"/>
  <c r="G132" i="23"/>
  <c r="E132" i="23"/>
  <c r="D132" i="23"/>
  <c r="C132" i="23"/>
  <c r="G123" i="23"/>
  <c r="E123" i="23"/>
  <c r="D123" i="23"/>
  <c r="C123" i="23"/>
  <c r="G118" i="23"/>
  <c r="E118" i="23"/>
  <c r="D118" i="23"/>
  <c r="C118" i="23"/>
  <c r="G163" i="23"/>
  <c r="E163" i="23"/>
  <c r="D163" i="23"/>
  <c r="C163" i="23"/>
  <c r="G100" i="23"/>
  <c r="E100" i="23"/>
  <c r="D100" i="23"/>
  <c r="C100" i="23"/>
  <c r="G96" i="23"/>
  <c r="E96" i="23"/>
  <c r="D96" i="23"/>
  <c r="C96" i="23"/>
  <c r="G15" i="23"/>
  <c r="E15" i="23"/>
  <c r="D15" i="23"/>
  <c r="C15" i="23"/>
  <c r="G142" i="23"/>
  <c r="E142" i="23"/>
  <c r="D142" i="23"/>
  <c r="C142" i="23"/>
  <c r="G155" i="23"/>
  <c r="E155" i="23"/>
  <c r="D155" i="23"/>
  <c r="C155" i="23"/>
  <c r="G140" i="23"/>
  <c r="E140" i="23"/>
  <c r="D140" i="23"/>
  <c r="C140" i="23"/>
  <c r="G61" i="23"/>
  <c r="E61" i="23"/>
  <c r="D61" i="23"/>
  <c r="C61" i="23"/>
  <c r="G51" i="23"/>
  <c r="E51" i="23"/>
  <c r="D51" i="23"/>
  <c r="C51" i="23"/>
  <c r="G93" i="23"/>
  <c r="E93" i="23"/>
  <c r="D93" i="23"/>
  <c r="C93" i="23"/>
  <c r="G92" i="23"/>
  <c r="E92" i="23"/>
  <c r="D92" i="23"/>
  <c r="C92" i="23"/>
  <c r="G17" i="23"/>
  <c r="E17" i="23"/>
  <c r="D17" i="23"/>
  <c r="C17" i="23"/>
  <c r="G91" i="23"/>
  <c r="E91" i="23"/>
  <c r="D91" i="23"/>
  <c r="C91" i="23"/>
  <c r="G73" i="23"/>
  <c r="E73" i="23"/>
  <c r="D73" i="23"/>
  <c r="C73" i="23"/>
  <c r="G146" i="23"/>
  <c r="E146" i="23"/>
  <c r="D146" i="23"/>
  <c r="C146" i="23"/>
  <c r="G49" i="23"/>
  <c r="E49" i="23"/>
  <c r="D49" i="23"/>
  <c r="C49" i="23"/>
  <c r="G66" i="23"/>
  <c r="E66" i="23"/>
  <c r="D66" i="23"/>
  <c r="C66" i="23"/>
  <c r="G124" i="23"/>
  <c r="E124" i="23"/>
  <c r="D124" i="23"/>
  <c r="C124" i="23"/>
  <c r="G166" i="23"/>
  <c r="E166" i="23"/>
  <c r="D166" i="23"/>
  <c r="C166" i="23"/>
  <c r="G25" i="23"/>
  <c r="E25" i="23"/>
  <c r="D25" i="23"/>
  <c r="C25" i="23"/>
  <c r="G56" i="23"/>
  <c r="E56" i="23"/>
  <c r="D56" i="23"/>
  <c r="C56" i="23"/>
  <c r="G90" i="23"/>
  <c r="E90" i="23"/>
  <c r="D90" i="23"/>
  <c r="C90" i="23"/>
  <c r="G55" i="23"/>
  <c r="E55" i="23"/>
  <c r="D55" i="23"/>
  <c r="C55" i="23"/>
  <c r="G114" i="23"/>
  <c r="E114" i="23"/>
  <c r="D114" i="23"/>
  <c r="C114" i="23"/>
  <c r="G126" i="23"/>
  <c r="E126" i="23"/>
  <c r="D126" i="23"/>
  <c r="C126" i="23"/>
  <c r="G68" i="23"/>
  <c r="E68" i="23"/>
  <c r="D68" i="23"/>
  <c r="C68" i="23"/>
  <c r="G122" i="23"/>
  <c r="E122" i="23"/>
  <c r="D122" i="23"/>
  <c r="C122" i="23"/>
  <c r="G34" i="23"/>
  <c r="E34" i="23"/>
  <c r="D34" i="23"/>
  <c r="C34" i="23"/>
  <c r="G32" i="23"/>
  <c r="E32" i="23"/>
  <c r="D32" i="23"/>
  <c r="C32" i="23"/>
  <c r="G89" i="23"/>
  <c r="E89" i="23"/>
  <c r="D89" i="23"/>
  <c r="C89" i="23"/>
  <c r="E45" i="23"/>
  <c r="D45" i="23"/>
  <c r="C45" i="23"/>
  <c r="G67" i="23"/>
  <c r="E67" i="23"/>
  <c r="D67" i="23"/>
  <c r="C67" i="23"/>
  <c r="G103" i="23"/>
  <c r="E103" i="23"/>
  <c r="D103" i="23"/>
  <c r="C103" i="23"/>
  <c r="G35" i="23"/>
  <c r="E35" i="23"/>
  <c r="D35" i="23"/>
  <c r="C35" i="23"/>
  <c r="G63" i="23"/>
  <c r="E63" i="23"/>
  <c r="D63" i="23"/>
  <c r="C63" i="23"/>
  <c r="G137" i="23"/>
  <c r="E137" i="23"/>
  <c r="D137" i="23"/>
  <c r="C137" i="23"/>
  <c r="G11" i="23"/>
  <c r="E11" i="23"/>
  <c r="D11" i="23"/>
  <c r="C11" i="23"/>
  <c r="G88" i="23"/>
  <c r="E88" i="23"/>
  <c r="D88" i="23"/>
  <c r="C88" i="23"/>
  <c r="G37" i="23"/>
  <c r="E37" i="23"/>
  <c r="D37" i="23"/>
  <c r="C37" i="23"/>
  <c r="G143" i="23"/>
  <c r="E143" i="23"/>
  <c r="D143" i="23"/>
  <c r="C143" i="23"/>
  <c r="G87" i="23"/>
  <c r="E87" i="23"/>
  <c r="D87" i="23"/>
  <c r="C87" i="23"/>
  <c r="G31" i="23"/>
  <c r="E31" i="23"/>
  <c r="D31" i="23"/>
  <c r="C31" i="23"/>
  <c r="G29" i="23"/>
  <c r="E29" i="23"/>
  <c r="D29" i="23"/>
  <c r="C29" i="23"/>
  <c r="G8" i="23"/>
  <c r="E8" i="23"/>
  <c r="D8" i="23"/>
  <c r="C8" i="23"/>
  <c r="G86" i="23"/>
  <c r="E86" i="23"/>
  <c r="D86" i="23"/>
  <c r="C86" i="23"/>
  <c r="G9" i="23"/>
  <c r="E9" i="23"/>
  <c r="D9" i="23"/>
  <c r="C9" i="23"/>
  <c r="G36" i="23"/>
  <c r="E36" i="23"/>
  <c r="D36" i="23"/>
  <c r="C36" i="23"/>
  <c r="G110" i="23"/>
  <c r="E110" i="23"/>
  <c r="D110" i="23"/>
  <c r="C110" i="23"/>
  <c r="G106" i="23"/>
  <c r="E106" i="23"/>
  <c r="D106" i="23"/>
  <c r="C106" i="23"/>
  <c r="G52" i="23"/>
  <c r="E52" i="23"/>
  <c r="D52" i="23"/>
  <c r="C52" i="23"/>
  <c r="G107" i="23"/>
  <c r="E107" i="23"/>
  <c r="D107" i="23"/>
  <c r="C107" i="23"/>
  <c r="G139" i="23"/>
  <c r="E139" i="23"/>
  <c r="D139" i="23"/>
  <c r="C139" i="23"/>
  <c r="G160" i="23"/>
  <c r="E160" i="23"/>
  <c r="D160" i="23"/>
  <c r="C160" i="23"/>
  <c r="G138" i="23"/>
  <c r="E138" i="23"/>
  <c r="D138" i="23"/>
  <c r="C138" i="23"/>
  <c r="G117" i="23"/>
  <c r="E117" i="23"/>
  <c r="D117" i="23"/>
  <c r="C117" i="23"/>
  <c r="G65" i="23"/>
  <c r="E65" i="23"/>
  <c r="D65" i="23"/>
  <c r="C65" i="23"/>
  <c r="G141" i="23"/>
  <c r="E141" i="23"/>
  <c r="D141" i="23"/>
  <c r="C141" i="23"/>
  <c r="G72" i="23"/>
  <c r="E72" i="23"/>
  <c r="D72" i="23"/>
  <c r="C72" i="23"/>
  <c r="G95" i="23"/>
  <c r="E95" i="23"/>
  <c r="D95" i="23"/>
  <c r="C95" i="23"/>
  <c r="G43" i="23"/>
  <c r="E43" i="23"/>
  <c r="D43" i="23"/>
  <c r="C43" i="23"/>
  <c r="G129" i="23"/>
  <c r="E129" i="23"/>
  <c r="D129" i="23"/>
  <c r="C129" i="23"/>
  <c r="G18" i="23"/>
  <c r="E18" i="23"/>
  <c r="D18" i="23"/>
  <c r="C18" i="23"/>
  <c r="G98" i="23"/>
  <c r="E98" i="23"/>
  <c r="D98" i="23"/>
  <c r="C98" i="23"/>
  <c r="G77" i="23"/>
  <c r="E77" i="23"/>
  <c r="D77" i="23"/>
  <c r="C77" i="23"/>
  <c r="G40" i="23"/>
  <c r="E40" i="23"/>
  <c r="D40" i="23"/>
  <c r="C40" i="23"/>
  <c r="G46" i="23"/>
  <c r="E46" i="23"/>
  <c r="D46" i="23"/>
  <c r="C46" i="23"/>
  <c r="G10" i="23"/>
  <c r="E10" i="23"/>
  <c r="D10" i="23"/>
  <c r="C10" i="23"/>
  <c r="G151" i="23"/>
  <c r="E151" i="23"/>
  <c r="D151" i="23"/>
  <c r="C151" i="23"/>
  <c r="G125" i="23"/>
  <c r="E125" i="23"/>
  <c r="D125" i="23"/>
  <c r="C125" i="23"/>
  <c r="G19" i="23"/>
  <c r="E19" i="23"/>
  <c r="D19" i="23"/>
  <c r="C19" i="23"/>
  <c r="G85" i="23"/>
  <c r="E85" i="23"/>
  <c r="D85" i="23"/>
  <c r="C85" i="23"/>
  <c r="G50" i="23"/>
  <c r="E50" i="23"/>
  <c r="D50" i="23"/>
  <c r="C50" i="23"/>
  <c r="G53" i="23"/>
  <c r="E53" i="23"/>
  <c r="D53" i="23"/>
  <c r="C53" i="23"/>
  <c r="G71" i="23"/>
  <c r="E71" i="23"/>
  <c r="D71" i="23"/>
  <c r="C71" i="23"/>
  <c r="G7" i="23"/>
  <c r="E7" i="23"/>
  <c r="D7" i="23"/>
  <c r="C7" i="23"/>
  <c r="G47" i="23"/>
  <c r="E47" i="23"/>
  <c r="D47" i="23"/>
  <c r="C47" i="23"/>
  <c r="G12" i="23"/>
  <c r="E12" i="23"/>
  <c r="D12" i="23"/>
  <c r="C12" i="23"/>
  <c r="G44" i="23"/>
  <c r="E44" i="23"/>
  <c r="D44" i="23"/>
  <c r="C44" i="23"/>
  <c r="G5" i="23"/>
  <c r="E5" i="23"/>
  <c r="D5" i="23"/>
  <c r="C5" i="23"/>
  <c r="G28" i="23"/>
  <c r="E28" i="23"/>
  <c r="D28" i="23"/>
  <c r="C28" i="23"/>
  <c r="G148" i="23"/>
  <c r="E148" i="23"/>
  <c r="D148" i="23"/>
  <c r="C148" i="23"/>
  <c r="G145" i="23"/>
  <c r="E145" i="23"/>
  <c r="D145" i="23"/>
  <c r="C145" i="23"/>
  <c r="G104" i="23"/>
  <c r="E104" i="23"/>
  <c r="D104" i="23"/>
  <c r="C104" i="23"/>
  <c r="G27" i="23"/>
  <c r="E27" i="23"/>
  <c r="D27" i="23"/>
  <c r="C27" i="23"/>
  <c r="G109" i="23"/>
  <c r="E109" i="23"/>
  <c r="D109" i="23"/>
  <c r="C109" i="23"/>
  <c r="G120" i="23"/>
  <c r="E120" i="23"/>
  <c r="D120" i="23"/>
  <c r="C120" i="23"/>
  <c r="G13" i="23"/>
  <c r="E13" i="23"/>
  <c r="D13" i="23"/>
  <c r="C13" i="23"/>
  <c r="G149" i="23"/>
  <c r="E149" i="23"/>
  <c r="D149" i="23"/>
  <c r="C149" i="23"/>
  <c r="G112" i="23"/>
  <c r="E112" i="23"/>
  <c r="D112" i="23"/>
  <c r="C112" i="23"/>
  <c r="G57" i="23"/>
  <c r="E57" i="23"/>
  <c r="D57" i="23"/>
  <c r="C57" i="23"/>
  <c r="G121" i="23"/>
  <c r="E121" i="23"/>
  <c r="D121" i="23"/>
  <c r="C121" i="23"/>
  <c r="G97" i="23"/>
  <c r="E97" i="23"/>
  <c r="D97" i="23"/>
  <c r="C97" i="23"/>
  <c r="G133" i="23"/>
  <c r="E133" i="23"/>
  <c r="D133" i="23"/>
  <c r="C133" i="23"/>
  <c r="G144" i="23"/>
  <c r="E144" i="23"/>
  <c r="D144" i="23"/>
  <c r="C144" i="23"/>
  <c r="G119" i="23"/>
  <c r="E119" i="23"/>
  <c r="D119" i="23"/>
  <c r="C119" i="23"/>
  <c r="G134" i="23"/>
  <c r="E134" i="23"/>
  <c r="D134" i="23"/>
  <c r="C134" i="23"/>
  <c r="G58" i="23"/>
  <c r="E58" i="23"/>
  <c r="D58" i="23"/>
  <c r="C58" i="23"/>
  <c r="G70" i="23"/>
  <c r="E70" i="23"/>
  <c r="D70" i="23"/>
  <c r="C70" i="23"/>
  <c r="G42" i="23"/>
  <c r="E42" i="23"/>
  <c r="D42" i="23"/>
  <c r="C42" i="23"/>
  <c r="G108" i="23"/>
  <c r="E108" i="23"/>
  <c r="D108" i="23"/>
  <c r="C108" i="23"/>
  <c r="G39" i="23"/>
  <c r="E39" i="23"/>
  <c r="D39" i="23"/>
  <c r="C39" i="23"/>
  <c r="G130" i="23"/>
  <c r="E130" i="23"/>
  <c r="D130" i="23"/>
  <c r="C130" i="23"/>
  <c r="G147" i="23"/>
  <c r="E147" i="23"/>
  <c r="D147" i="23"/>
  <c r="C147" i="23"/>
  <c r="G131" i="23"/>
  <c r="E131" i="23"/>
  <c r="D131" i="23"/>
  <c r="C131" i="23"/>
  <c r="G41" i="23"/>
  <c r="E41" i="23"/>
  <c r="D41" i="23"/>
  <c r="C41" i="23"/>
  <c r="G22" i="23"/>
  <c r="E22" i="23"/>
  <c r="D22" i="23"/>
  <c r="C22" i="23"/>
  <c r="G150" i="23"/>
  <c r="E150" i="23"/>
  <c r="D150" i="23"/>
  <c r="C150" i="23"/>
  <c r="G33" i="23"/>
  <c r="E33" i="23"/>
  <c r="D33" i="23"/>
  <c r="C33" i="23"/>
  <c r="G135" i="23"/>
  <c r="E135" i="23"/>
  <c r="D135" i="23"/>
  <c r="C135" i="23"/>
  <c r="G75" i="23"/>
  <c r="E75" i="23"/>
  <c r="D75" i="23"/>
  <c r="C75" i="23"/>
  <c r="G69" i="23"/>
  <c r="E69" i="23"/>
  <c r="D69" i="23"/>
  <c r="C69" i="23"/>
  <c r="G54" i="23"/>
  <c r="E54" i="23"/>
  <c r="D54" i="23"/>
  <c r="C54" i="23"/>
  <c r="G153" i="23"/>
  <c r="E153" i="23"/>
  <c r="D153" i="23"/>
  <c r="C153" i="23"/>
  <c r="G101" i="23"/>
  <c r="E101" i="23"/>
  <c r="D101" i="23"/>
  <c r="C101" i="23"/>
  <c r="G84" i="23"/>
  <c r="E84" i="23"/>
  <c r="D84" i="23"/>
  <c r="C84" i="23"/>
  <c r="G76" i="23"/>
  <c r="E76" i="23"/>
  <c r="D76" i="23"/>
  <c r="C76" i="23"/>
  <c r="G30" i="23"/>
  <c r="E30" i="23"/>
  <c r="D30" i="23"/>
  <c r="C30" i="23"/>
  <c r="G38" i="23"/>
  <c r="E38" i="23"/>
  <c r="D38" i="23"/>
  <c r="C38" i="23"/>
  <c r="G99" i="23"/>
  <c r="E99" i="23"/>
  <c r="D99" i="23"/>
  <c r="C99" i="23"/>
  <c r="G83" i="23"/>
  <c r="E83" i="23"/>
  <c r="D83" i="23"/>
  <c r="C83" i="23"/>
  <c r="G111" i="23"/>
  <c r="E111" i="23"/>
  <c r="D111" i="23"/>
  <c r="C111" i="23"/>
  <c r="G136" i="23"/>
  <c r="E136" i="23"/>
  <c r="D136" i="23"/>
  <c r="C136" i="23"/>
  <c r="G14" i="23"/>
  <c r="E14" i="23"/>
  <c r="D14" i="23"/>
  <c r="C14" i="23"/>
  <c r="G156" i="23"/>
  <c r="E156" i="23"/>
  <c r="D156" i="23"/>
  <c r="C156" i="23"/>
  <c r="G4" i="23"/>
  <c r="E4" i="23"/>
  <c r="D4" i="23"/>
  <c r="C4" i="23"/>
  <c r="G127" i="23"/>
  <c r="E127" i="23"/>
  <c r="D127" i="23"/>
  <c r="C127" i="23"/>
  <c r="G82" i="23"/>
  <c r="E82" i="23"/>
  <c r="D82" i="23"/>
  <c r="C82" i="23"/>
  <c r="G81" i="23"/>
  <c r="E81" i="23"/>
  <c r="D81" i="23"/>
  <c r="C81" i="23"/>
  <c r="G105" i="23"/>
  <c r="E105" i="23"/>
  <c r="D105" i="23"/>
  <c r="C105" i="23"/>
  <c r="G116" i="23"/>
  <c r="E116" i="23"/>
  <c r="D116" i="23"/>
  <c r="C116" i="23"/>
  <c r="G80" i="23"/>
  <c r="E80" i="23"/>
  <c r="D80" i="23"/>
  <c r="C80" i="23"/>
  <c r="G59" i="23"/>
  <c r="E59" i="23"/>
  <c r="D59" i="23"/>
  <c r="C59" i="23"/>
  <c r="G157" i="23"/>
  <c r="E157" i="23"/>
  <c r="D157" i="23"/>
  <c r="C157" i="23"/>
  <c r="G16" i="23"/>
  <c r="E16" i="23"/>
  <c r="D16" i="23"/>
  <c r="C16" i="23"/>
  <c r="G6" i="23"/>
  <c r="E6" i="23"/>
  <c r="D6" i="23"/>
  <c r="C6" i="23"/>
  <c r="G79" i="23"/>
  <c r="E79" i="23"/>
  <c r="D79" i="23"/>
  <c r="C79" i="23"/>
  <c r="G21" i="23"/>
  <c r="E21" i="23"/>
  <c r="D21" i="23"/>
  <c r="C21" i="23"/>
  <c r="G154" i="23"/>
  <c r="E154" i="23"/>
  <c r="D154" i="23"/>
  <c r="C154" i="23"/>
  <c r="G113" i="23"/>
  <c r="E113" i="23"/>
  <c r="D113" i="23"/>
  <c r="C113" i="23"/>
  <c r="G128" i="23"/>
  <c r="E128" i="23"/>
  <c r="D128" i="23"/>
  <c r="C128" i="23"/>
  <c r="G115" i="23"/>
  <c r="E115" i="23"/>
  <c r="D115" i="23"/>
  <c r="C115" i="23"/>
  <c r="G102" i="23"/>
  <c r="E102" i="23"/>
  <c r="D102" i="23"/>
  <c r="C102" i="23"/>
  <c r="G78" i="23"/>
  <c r="E78" i="23"/>
  <c r="D78" i="23"/>
  <c r="C78" i="23"/>
  <c r="G152" i="23"/>
  <c r="E152" i="23"/>
  <c r="D152" i="23"/>
  <c r="C152" i="23"/>
  <c r="G26" i="23"/>
  <c r="E26" i="23"/>
  <c r="D26" i="23"/>
  <c r="C26" i="23"/>
  <c r="G48" i="23"/>
  <c r="E48" i="23"/>
  <c r="D48" i="23"/>
  <c r="C48" i="23"/>
  <c r="G62" i="23"/>
  <c r="E62" i="23"/>
  <c r="D62" i="23"/>
  <c r="C62" i="23"/>
  <c r="G3" i="23"/>
  <c r="E3" i="23"/>
  <c r="D3" i="23"/>
  <c r="C3" i="23"/>
  <c r="G74" i="23"/>
  <c r="E74" i="23"/>
  <c r="D74" i="23"/>
  <c r="C74" i="23"/>
  <c r="F124" i="23" l="1"/>
  <c r="F142" i="23"/>
  <c r="F52" i="23"/>
  <c r="F76" i="23"/>
  <c r="F84" i="23"/>
  <c r="F75" i="23"/>
  <c r="F135" i="23"/>
  <c r="F33" i="23"/>
  <c r="F42" i="23"/>
  <c r="F70" i="23"/>
  <c r="F7" i="23"/>
  <c r="F71" i="23"/>
  <c r="F53" i="23"/>
  <c r="F85" i="23"/>
  <c r="F19" i="23"/>
  <c r="F125" i="23"/>
  <c r="F10" i="23"/>
  <c r="F46" i="23"/>
  <c r="F40" i="23"/>
  <c r="F138" i="23"/>
  <c r="F14" i="23"/>
  <c r="F23" i="23"/>
  <c r="F104" i="23"/>
  <c r="F88" i="23"/>
  <c r="F137" i="23"/>
  <c r="F63" i="23"/>
  <c r="F67" i="23"/>
  <c r="F96" i="23"/>
  <c r="F26" i="23"/>
  <c r="F78" i="23"/>
  <c r="F102" i="23"/>
  <c r="F115" i="23"/>
  <c r="F128" i="23"/>
  <c r="F113" i="23"/>
  <c r="F154" i="23"/>
  <c r="F21" i="23"/>
  <c r="F17" i="23"/>
  <c r="F93" i="23"/>
  <c r="F140" i="23"/>
  <c r="F155" i="23"/>
  <c r="F48" i="23"/>
  <c r="F127" i="23"/>
  <c r="F64" i="23"/>
  <c r="F83" i="23"/>
  <c r="F57" i="23"/>
  <c r="F106" i="23"/>
  <c r="F39" i="23"/>
  <c r="F143" i="23"/>
  <c r="F3" i="23"/>
  <c r="F80" i="23"/>
  <c r="F28" i="23"/>
  <c r="F126" i="23"/>
  <c r="F114" i="23"/>
  <c r="F118" i="23"/>
  <c r="F123" i="23"/>
  <c r="F132" i="23"/>
  <c r="F94" i="23"/>
  <c r="F4" i="23"/>
  <c r="F41" i="23"/>
  <c r="F13" i="23"/>
  <c r="F109" i="23"/>
  <c r="F27" i="23"/>
  <c r="F129" i="23"/>
  <c r="F9" i="23"/>
  <c r="F56" i="23"/>
  <c r="F25" i="23"/>
  <c r="F166" i="23"/>
  <c r="F24" i="23"/>
  <c r="F164" i="23"/>
  <c r="F159" i="23"/>
  <c r="F62" i="23"/>
  <c r="F152" i="23"/>
  <c r="F111" i="23"/>
  <c r="F105" i="23"/>
  <c r="F144" i="23"/>
  <c r="F133" i="23"/>
  <c r="F148" i="23"/>
  <c r="F139" i="23"/>
  <c r="F8" i="23"/>
  <c r="F101" i="23"/>
  <c r="F147" i="23"/>
  <c r="F130" i="23"/>
  <c r="F119" i="23"/>
  <c r="F43" i="23"/>
  <c r="F95" i="23"/>
  <c r="F72" i="23"/>
  <c r="F65" i="23"/>
  <c r="F103" i="23"/>
  <c r="F20" i="23"/>
  <c r="F32" i="23"/>
  <c r="F55" i="23"/>
  <c r="F49" i="23"/>
  <c r="F61" i="23"/>
  <c r="F15" i="23"/>
  <c r="F60" i="23"/>
  <c r="F161" i="23"/>
  <c r="F79" i="23"/>
  <c r="F157" i="23"/>
  <c r="F153" i="23"/>
  <c r="F69" i="23"/>
  <c r="F108" i="23"/>
  <c r="F97" i="23"/>
  <c r="F112" i="23"/>
  <c r="F149" i="23"/>
  <c r="F44" i="23"/>
  <c r="F12" i="23"/>
  <c r="F98" i="23"/>
  <c r="F18" i="23"/>
  <c r="F36" i="23"/>
  <c r="F31" i="23"/>
  <c r="F87" i="23"/>
  <c r="F35" i="23"/>
  <c r="F122" i="23"/>
  <c r="F90" i="23"/>
  <c r="F73" i="23"/>
  <c r="F100" i="23"/>
  <c r="F158" i="23"/>
  <c r="F6" i="23"/>
  <c r="F16" i="23"/>
  <c r="F82" i="23"/>
  <c r="F156" i="23"/>
  <c r="F99" i="23"/>
  <c r="F150" i="23"/>
  <c r="F131" i="23"/>
  <c r="G167" i="23"/>
  <c r="F116" i="23"/>
  <c r="F136" i="23"/>
  <c r="F54" i="23"/>
  <c r="D167" i="23"/>
  <c r="F74" i="23"/>
  <c r="C167" i="23"/>
  <c r="F38" i="23"/>
  <c r="F58" i="23"/>
  <c r="F30" i="23"/>
  <c r="F22" i="23"/>
  <c r="F134" i="23"/>
  <c r="F120" i="23"/>
  <c r="F5" i="23"/>
  <c r="F50" i="23"/>
  <c r="F77" i="23"/>
  <c r="F141" i="23"/>
  <c r="F107" i="23"/>
  <c r="F110" i="23"/>
  <c r="F29" i="23"/>
  <c r="F37" i="23"/>
  <c r="F45" i="23"/>
  <c r="F34" i="23"/>
  <c r="F68" i="23"/>
  <c r="F146" i="23"/>
  <c r="F92" i="23"/>
  <c r="F165" i="23"/>
  <c r="F162" i="23"/>
  <c r="E167" i="23"/>
  <c r="F59" i="23"/>
  <c r="F81" i="23"/>
  <c r="F121" i="23"/>
  <c r="F145" i="23"/>
  <c r="F47" i="23"/>
  <c r="F151" i="23"/>
  <c r="F117" i="23"/>
  <c r="F160" i="23"/>
  <c r="F86" i="23"/>
  <c r="F11" i="23"/>
  <c r="F89" i="23"/>
  <c r="F66" i="23"/>
  <c r="F91" i="23"/>
  <c r="F51" i="23"/>
  <c r="F163" i="23"/>
  <c r="G162" i="22"/>
  <c r="E162" i="22"/>
  <c r="D162" i="22"/>
  <c r="C162" i="22"/>
  <c r="G66" i="22"/>
  <c r="E66" i="22"/>
  <c r="D66" i="22"/>
  <c r="C66" i="22"/>
  <c r="G97" i="22"/>
  <c r="E97" i="22"/>
  <c r="D97" i="22"/>
  <c r="C97" i="22"/>
  <c r="G22" i="22"/>
  <c r="E22" i="22"/>
  <c r="D22" i="22"/>
  <c r="C22" i="22"/>
  <c r="G21" i="22"/>
  <c r="E21" i="22"/>
  <c r="D21" i="22"/>
  <c r="C21" i="22"/>
  <c r="G160" i="22"/>
  <c r="E160" i="22"/>
  <c r="D160" i="22"/>
  <c r="C160" i="22"/>
  <c r="G165" i="22"/>
  <c r="E165" i="22"/>
  <c r="D165" i="22"/>
  <c r="C165" i="22"/>
  <c r="G30" i="22"/>
  <c r="E30" i="22"/>
  <c r="D30" i="22"/>
  <c r="C30" i="22"/>
  <c r="G96" i="22"/>
  <c r="E96" i="22"/>
  <c r="D96" i="22"/>
  <c r="C96" i="22"/>
  <c r="G163" i="22"/>
  <c r="E163" i="22"/>
  <c r="D163" i="22"/>
  <c r="C163" i="22"/>
  <c r="G149" i="22"/>
  <c r="E149" i="22"/>
  <c r="D149" i="22"/>
  <c r="C149" i="22"/>
  <c r="G63" i="22"/>
  <c r="E63" i="22"/>
  <c r="D63" i="22"/>
  <c r="C63" i="22"/>
  <c r="G134" i="22"/>
  <c r="E134" i="22"/>
  <c r="D134" i="22"/>
  <c r="C134" i="22"/>
  <c r="G125" i="22"/>
  <c r="E125" i="22"/>
  <c r="D125" i="22"/>
  <c r="C125" i="22"/>
  <c r="G120" i="22"/>
  <c r="E120" i="22"/>
  <c r="D120" i="22"/>
  <c r="C120" i="22"/>
  <c r="G164" i="22"/>
  <c r="E164" i="22"/>
  <c r="D164" i="22"/>
  <c r="C164" i="22"/>
  <c r="G103" i="22"/>
  <c r="E103" i="22"/>
  <c r="D103" i="22"/>
  <c r="C103" i="22"/>
  <c r="G99" i="22"/>
  <c r="E99" i="22"/>
  <c r="D99" i="22"/>
  <c r="C99" i="22"/>
  <c r="G14" i="22"/>
  <c r="E14" i="22"/>
  <c r="D14" i="22"/>
  <c r="C14" i="22"/>
  <c r="G144" i="22"/>
  <c r="E144" i="22"/>
  <c r="D144" i="22"/>
  <c r="C144" i="22"/>
  <c r="G158" i="22"/>
  <c r="E158" i="22"/>
  <c r="D158" i="22"/>
  <c r="C158" i="22"/>
  <c r="G49" i="22"/>
  <c r="E49" i="22"/>
  <c r="D49" i="22"/>
  <c r="C49" i="22"/>
  <c r="G26" i="22"/>
  <c r="E26" i="22"/>
  <c r="D26" i="22"/>
  <c r="C26" i="22"/>
  <c r="G54" i="22"/>
  <c r="E54" i="22"/>
  <c r="D54" i="22"/>
  <c r="C54" i="22"/>
  <c r="G95" i="22"/>
  <c r="E95" i="22"/>
  <c r="D95" i="22"/>
  <c r="C95" i="22"/>
  <c r="G94" i="22"/>
  <c r="E94" i="22"/>
  <c r="D94" i="22"/>
  <c r="C94" i="22"/>
  <c r="G23" i="22"/>
  <c r="E23" i="22"/>
  <c r="D23" i="22"/>
  <c r="C23" i="22"/>
  <c r="G93" i="22"/>
  <c r="E93" i="22"/>
  <c r="D93" i="22"/>
  <c r="C93" i="22"/>
  <c r="G74" i="22"/>
  <c r="E74" i="22"/>
  <c r="D74" i="22"/>
  <c r="C74" i="22"/>
  <c r="G148" i="22"/>
  <c r="E148" i="22"/>
  <c r="D148" i="22"/>
  <c r="C148" i="22"/>
  <c r="G52" i="22"/>
  <c r="E52" i="22"/>
  <c r="D52" i="22"/>
  <c r="C52" i="22"/>
  <c r="G68" i="22"/>
  <c r="E68" i="22"/>
  <c r="D68" i="22"/>
  <c r="C68" i="22"/>
  <c r="G126" i="22"/>
  <c r="E126" i="22"/>
  <c r="D126" i="22"/>
  <c r="C126" i="22"/>
  <c r="G166" i="22"/>
  <c r="E166" i="22"/>
  <c r="D166" i="22"/>
  <c r="C166" i="22"/>
  <c r="G24" i="22"/>
  <c r="E24" i="22"/>
  <c r="D24" i="22"/>
  <c r="C24" i="22"/>
  <c r="G59" i="22"/>
  <c r="E59" i="22"/>
  <c r="D59" i="22"/>
  <c r="C59" i="22"/>
  <c r="G92" i="22"/>
  <c r="E92" i="22"/>
  <c r="D92" i="22"/>
  <c r="C92" i="22"/>
  <c r="G58" i="22"/>
  <c r="E58" i="22"/>
  <c r="D58" i="22"/>
  <c r="C58" i="22"/>
  <c r="G116" i="22"/>
  <c r="E116" i="22"/>
  <c r="D116" i="22"/>
  <c r="C116" i="22"/>
  <c r="G128" i="22"/>
  <c r="E128" i="22"/>
  <c r="D128" i="22"/>
  <c r="C128" i="22"/>
  <c r="G70" i="22"/>
  <c r="E70" i="22"/>
  <c r="D70" i="22"/>
  <c r="C70" i="22"/>
  <c r="G124" i="22"/>
  <c r="E124" i="22"/>
  <c r="D124" i="22"/>
  <c r="C124" i="22"/>
  <c r="G38" i="22"/>
  <c r="E38" i="22"/>
  <c r="D38" i="22"/>
  <c r="C38" i="22"/>
  <c r="G34" i="22"/>
  <c r="E34" i="22"/>
  <c r="D34" i="22"/>
  <c r="C34" i="22"/>
  <c r="G91" i="22"/>
  <c r="E91" i="22"/>
  <c r="D91" i="22"/>
  <c r="C91" i="22"/>
  <c r="E48" i="22"/>
  <c r="D48" i="22"/>
  <c r="C48" i="22"/>
  <c r="G69" i="22"/>
  <c r="E69" i="22"/>
  <c r="D69" i="22"/>
  <c r="C69" i="22"/>
  <c r="G106" i="22"/>
  <c r="E106" i="22"/>
  <c r="D106" i="22"/>
  <c r="C106" i="22"/>
  <c r="G39" i="22"/>
  <c r="E39" i="22"/>
  <c r="D39" i="22"/>
  <c r="C39" i="22"/>
  <c r="G65" i="22"/>
  <c r="E65" i="22"/>
  <c r="D65" i="22"/>
  <c r="C65" i="22"/>
  <c r="G139" i="22"/>
  <c r="E139" i="22"/>
  <c r="D139" i="22"/>
  <c r="C139" i="22"/>
  <c r="G10" i="22"/>
  <c r="E10" i="22"/>
  <c r="D10" i="22"/>
  <c r="C10" i="22"/>
  <c r="G90" i="22"/>
  <c r="E90" i="22"/>
  <c r="D90" i="22"/>
  <c r="C90" i="22"/>
  <c r="G89" i="22"/>
  <c r="E89" i="22"/>
  <c r="D89" i="22"/>
  <c r="C89" i="22"/>
  <c r="G145" i="22"/>
  <c r="E145" i="22"/>
  <c r="D145" i="22"/>
  <c r="C145" i="22"/>
  <c r="G88" i="22"/>
  <c r="E88" i="22"/>
  <c r="D88" i="22"/>
  <c r="C88" i="22"/>
  <c r="G28" i="22"/>
  <c r="E28" i="22"/>
  <c r="D28" i="22"/>
  <c r="C28" i="22"/>
  <c r="G31" i="22"/>
  <c r="E31" i="22"/>
  <c r="D31" i="22"/>
  <c r="C31" i="22"/>
  <c r="G11" i="22"/>
  <c r="E11" i="22"/>
  <c r="D11" i="22"/>
  <c r="C11" i="22"/>
  <c r="G87" i="22"/>
  <c r="E87" i="22"/>
  <c r="D87" i="22"/>
  <c r="C87" i="22"/>
  <c r="G8" i="22"/>
  <c r="E8" i="22"/>
  <c r="D8" i="22"/>
  <c r="C8" i="22"/>
  <c r="G44" i="22"/>
  <c r="E44" i="22"/>
  <c r="D44" i="22"/>
  <c r="C44" i="22"/>
  <c r="G112" i="22"/>
  <c r="E112" i="22"/>
  <c r="D112" i="22"/>
  <c r="C112" i="22"/>
  <c r="G109" i="22"/>
  <c r="E109" i="22"/>
  <c r="D109" i="22"/>
  <c r="C109" i="22"/>
  <c r="G55" i="22"/>
  <c r="E55" i="22"/>
  <c r="D55" i="22"/>
  <c r="C55" i="22"/>
  <c r="G110" i="22"/>
  <c r="E110" i="22"/>
  <c r="D110" i="22"/>
  <c r="C110" i="22"/>
  <c r="G141" i="22"/>
  <c r="E141" i="22"/>
  <c r="D141" i="22"/>
  <c r="C141" i="22"/>
  <c r="G161" i="22"/>
  <c r="E161" i="22"/>
  <c r="D161" i="22"/>
  <c r="C161" i="22"/>
  <c r="G140" i="22"/>
  <c r="E140" i="22"/>
  <c r="D140" i="22"/>
  <c r="C140" i="22"/>
  <c r="G119" i="22"/>
  <c r="E119" i="22"/>
  <c r="D119" i="22"/>
  <c r="C119" i="22"/>
  <c r="G67" i="22"/>
  <c r="E67" i="22"/>
  <c r="D67" i="22"/>
  <c r="C67" i="22"/>
  <c r="G143" i="22"/>
  <c r="E143" i="22"/>
  <c r="D143" i="22"/>
  <c r="C143" i="22"/>
  <c r="G73" i="22"/>
  <c r="E73" i="22"/>
  <c r="D73" i="22"/>
  <c r="C73" i="22"/>
  <c r="G98" i="22"/>
  <c r="E98" i="22"/>
  <c r="D98" i="22"/>
  <c r="C98" i="22"/>
  <c r="G46" i="22"/>
  <c r="E46" i="22"/>
  <c r="D46" i="22"/>
  <c r="C46" i="22"/>
  <c r="G131" i="22"/>
  <c r="E131" i="22"/>
  <c r="D131" i="22"/>
  <c r="C131" i="22"/>
  <c r="G17" i="22"/>
  <c r="E17" i="22"/>
  <c r="D17" i="22"/>
  <c r="C17" i="22"/>
  <c r="G101" i="22"/>
  <c r="E101" i="22"/>
  <c r="D101" i="22"/>
  <c r="C101" i="22"/>
  <c r="G78" i="22"/>
  <c r="E78" i="22"/>
  <c r="D78" i="22"/>
  <c r="C78" i="22"/>
  <c r="G42" i="22"/>
  <c r="E42" i="22"/>
  <c r="D42" i="22"/>
  <c r="C42" i="22"/>
  <c r="G35" i="22"/>
  <c r="E35" i="22"/>
  <c r="D35" i="22"/>
  <c r="C35" i="22"/>
  <c r="G9" i="22"/>
  <c r="E9" i="22"/>
  <c r="D9" i="22"/>
  <c r="C9" i="22"/>
  <c r="G154" i="22"/>
  <c r="E154" i="22"/>
  <c r="D154" i="22"/>
  <c r="C154" i="22"/>
  <c r="G127" i="22"/>
  <c r="E127" i="22"/>
  <c r="D127" i="22"/>
  <c r="C127" i="22"/>
  <c r="G18" i="22"/>
  <c r="E18" i="22"/>
  <c r="D18" i="22"/>
  <c r="C18" i="22"/>
  <c r="G86" i="22"/>
  <c r="E86" i="22"/>
  <c r="D86" i="22"/>
  <c r="C86" i="22"/>
  <c r="G53" i="22"/>
  <c r="E53" i="22"/>
  <c r="D53" i="22"/>
  <c r="C53" i="22"/>
  <c r="G56" i="22"/>
  <c r="E56" i="22"/>
  <c r="D56" i="22"/>
  <c r="C56" i="22"/>
  <c r="G72" i="22"/>
  <c r="E72" i="22"/>
  <c r="D72" i="22"/>
  <c r="C72" i="22"/>
  <c r="G6" i="22"/>
  <c r="E6" i="22"/>
  <c r="D6" i="22"/>
  <c r="C6" i="22"/>
  <c r="G50" i="22"/>
  <c r="E50" i="22"/>
  <c r="D50" i="22"/>
  <c r="C50" i="22"/>
  <c r="G16" i="22"/>
  <c r="E16" i="22"/>
  <c r="D16" i="22"/>
  <c r="C16" i="22"/>
  <c r="G47" i="22"/>
  <c r="E47" i="22"/>
  <c r="D47" i="22"/>
  <c r="C47" i="22"/>
  <c r="G5" i="22"/>
  <c r="E5" i="22"/>
  <c r="D5" i="22"/>
  <c r="C5" i="22"/>
  <c r="G29" i="22"/>
  <c r="E29" i="22"/>
  <c r="D29" i="22"/>
  <c r="C29" i="22"/>
  <c r="G152" i="22"/>
  <c r="E152" i="22"/>
  <c r="D152" i="22"/>
  <c r="C152" i="22"/>
  <c r="G147" i="22"/>
  <c r="E147" i="22"/>
  <c r="D147" i="22"/>
  <c r="C147" i="22"/>
  <c r="G107" i="22"/>
  <c r="E107" i="22"/>
  <c r="D107" i="22"/>
  <c r="C107" i="22"/>
  <c r="G33" i="22"/>
  <c r="E33" i="22"/>
  <c r="D33" i="22"/>
  <c r="C33" i="22"/>
  <c r="G150" i="22"/>
  <c r="E150" i="22"/>
  <c r="D150" i="22"/>
  <c r="C150" i="22"/>
  <c r="G122" i="22"/>
  <c r="E122" i="22"/>
  <c r="D122" i="22"/>
  <c r="C122" i="22"/>
  <c r="G12" i="22"/>
  <c r="E12" i="22"/>
  <c r="D12" i="22"/>
  <c r="C12" i="22"/>
  <c r="G142" i="22"/>
  <c r="E142" i="22"/>
  <c r="D142" i="22"/>
  <c r="C142" i="22"/>
  <c r="G114" i="22"/>
  <c r="E114" i="22"/>
  <c r="D114" i="22"/>
  <c r="C114" i="22"/>
  <c r="G60" i="22"/>
  <c r="E60" i="22"/>
  <c r="D60" i="22"/>
  <c r="C60" i="22"/>
  <c r="G123" i="22"/>
  <c r="E123" i="22"/>
  <c r="D123" i="22"/>
  <c r="C123" i="22"/>
  <c r="G100" i="22"/>
  <c r="E100" i="22"/>
  <c r="D100" i="22"/>
  <c r="C100" i="22"/>
  <c r="G135" i="22"/>
  <c r="E135" i="22"/>
  <c r="D135" i="22"/>
  <c r="C135" i="22"/>
  <c r="G146" i="22"/>
  <c r="E146" i="22"/>
  <c r="D146" i="22"/>
  <c r="C146" i="22"/>
  <c r="G121" i="22"/>
  <c r="E121" i="22"/>
  <c r="D121" i="22"/>
  <c r="C121" i="22"/>
  <c r="G136" i="22"/>
  <c r="E136" i="22"/>
  <c r="D136" i="22"/>
  <c r="C136" i="22"/>
  <c r="G61" i="22"/>
  <c r="E61" i="22"/>
  <c r="D61" i="22"/>
  <c r="C61" i="22"/>
  <c r="G43" i="22"/>
  <c r="E43" i="22"/>
  <c r="D43" i="22"/>
  <c r="C43" i="22"/>
  <c r="G19" i="22"/>
  <c r="E19" i="22"/>
  <c r="D19" i="22"/>
  <c r="C19" i="22"/>
  <c r="G153" i="22"/>
  <c r="E153" i="22"/>
  <c r="D153" i="22"/>
  <c r="C153" i="22"/>
  <c r="G71" i="22"/>
  <c r="E71" i="22"/>
  <c r="D71" i="22"/>
  <c r="C71" i="22"/>
  <c r="G45" i="22"/>
  <c r="E45" i="22"/>
  <c r="D45" i="22"/>
  <c r="C45" i="22"/>
  <c r="G111" i="22"/>
  <c r="E111" i="22"/>
  <c r="D111" i="22"/>
  <c r="C111" i="22"/>
  <c r="G137" i="22"/>
  <c r="E137" i="22"/>
  <c r="D137" i="22"/>
  <c r="C137" i="22"/>
  <c r="G40" i="22"/>
  <c r="E40" i="22"/>
  <c r="D40" i="22"/>
  <c r="C40" i="22"/>
  <c r="G41" i="22"/>
  <c r="E41" i="22"/>
  <c r="D41" i="22"/>
  <c r="C41" i="22"/>
  <c r="G132" i="22"/>
  <c r="E132" i="22"/>
  <c r="D132" i="22"/>
  <c r="C132" i="22"/>
  <c r="G75" i="22"/>
  <c r="E75" i="22"/>
  <c r="D75" i="22"/>
  <c r="C75" i="22"/>
  <c r="G151" i="22"/>
  <c r="E151" i="22"/>
  <c r="D151" i="22"/>
  <c r="C151" i="22"/>
  <c r="G133" i="22"/>
  <c r="E133" i="22"/>
  <c r="D133" i="22"/>
  <c r="C133" i="22"/>
  <c r="G37" i="22"/>
  <c r="E37" i="22"/>
  <c r="D37" i="22"/>
  <c r="C37" i="22"/>
  <c r="G57" i="22"/>
  <c r="E57" i="22"/>
  <c r="D57" i="22"/>
  <c r="C57" i="22"/>
  <c r="G156" i="22"/>
  <c r="E156" i="22"/>
  <c r="D156" i="22"/>
  <c r="C156" i="22"/>
  <c r="G104" i="22"/>
  <c r="E104" i="22"/>
  <c r="D104" i="22"/>
  <c r="C104" i="22"/>
  <c r="G85" i="22"/>
  <c r="E85" i="22"/>
  <c r="D85" i="22"/>
  <c r="C85" i="22"/>
  <c r="G77" i="22"/>
  <c r="E77" i="22"/>
  <c r="D77" i="22"/>
  <c r="C77" i="22"/>
  <c r="G32" i="22"/>
  <c r="E32" i="22"/>
  <c r="D32" i="22"/>
  <c r="C32" i="22"/>
  <c r="G36" i="22"/>
  <c r="E36" i="22"/>
  <c r="D36" i="22"/>
  <c r="C36" i="22"/>
  <c r="G102" i="22"/>
  <c r="E102" i="22"/>
  <c r="D102" i="22"/>
  <c r="C102" i="22"/>
  <c r="G84" i="22"/>
  <c r="E84" i="22"/>
  <c r="D84" i="22"/>
  <c r="C84" i="22"/>
  <c r="G113" i="22"/>
  <c r="E113" i="22"/>
  <c r="D113" i="22"/>
  <c r="C113" i="22"/>
  <c r="G138" i="22"/>
  <c r="E138" i="22"/>
  <c r="D138" i="22"/>
  <c r="C138" i="22"/>
  <c r="G13" i="22"/>
  <c r="E13" i="22"/>
  <c r="D13" i="22"/>
  <c r="C13" i="22"/>
  <c r="G27" i="22"/>
  <c r="E27" i="22"/>
  <c r="D27" i="22"/>
  <c r="C27" i="22"/>
  <c r="G4" i="22"/>
  <c r="E4" i="22"/>
  <c r="D4" i="22"/>
  <c r="C4" i="22"/>
  <c r="G129" i="22"/>
  <c r="E129" i="22"/>
  <c r="D129" i="22"/>
  <c r="C129" i="22"/>
  <c r="G83" i="22"/>
  <c r="E83" i="22"/>
  <c r="D83" i="22"/>
  <c r="C83" i="22"/>
  <c r="G82" i="22"/>
  <c r="E82" i="22"/>
  <c r="D82" i="22"/>
  <c r="C82" i="22"/>
  <c r="G108" i="22"/>
  <c r="E108" i="22"/>
  <c r="D108" i="22"/>
  <c r="C108" i="22"/>
  <c r="G118" i="22"/>
  <c r="E118" i="22"/>
  <c r="D118" i="22"/>
  <c r="C118" i="22"/>
  <c r="G81" i="22"/>
  <c r="E81" i="22"/>
  <c r="D81" i="22"/>
  <c r="C81" i="22"/>
  <c r="G62" i="22"/>
  <c r="E62" i="22"/>
  <c r="D62" i="22"/>
  <c r="C62" i="22"/>
  <c r="G159" i="22"/>
  <c r="E159" i="22"/>
  <c r="D159" i="22"/>
  <c r="C159" i="22"/>
  <c r="G15" i="22"/>
  <c r="E15" i="22"/>
  <c r="D15" i="22"/>
  <c r="C15" i="22"/>
  <c r="G7" i="22"/>
  <c r="E7" i="22"/>
  <c r="D7" i="22"/>
  <c r="C7" i="22"/>
  <c r="G80" i="22"/>
  <c r="E80" i="22"/>
  <c r="D80" i="22"/>
  <c r="C80" i="22"/>
  <c r="G20" i="22"/>
  <c r="E20" i="22"/>
  <c r="D20" i="22"/>
  <c r="C20" i="22"/>
  <c r="G157" i="22"/>
  <c r="E157" i="22"/>
  <c r="D157" i="22"/>
  <c r="C157" i="22"/>
  <c r="G115" i="22"/>
  <c r="E115" i="22"/>
  <c r="D115" i="22"/>
  <c r="C115" i="22"/>
  <c r="G130" i="22"/>
  <c r="E130" i="22"/>
  <c r="D130" i="22"/>
  <c r="C130" i="22"/>
  <c r="G117" i="22"/>
  <c r="E117" i="22"/>
  <c r="D117" i="22"/>
  <c r="C117" i="22"/>
  <c r="G105" i="22"/>
  <c r="E105" i="22"/>
  <c r="D105" i="22"/>
  <c r="C105" i="22"/>
  <c r="G79" i="22"/>
  <c r="E79" i="22"/>
  <c r="D79" i="22"/>
  <c r="C79" i="22"/>
  <c r="G155" i="22"/>
  <c r="E155" i="22"/>
  <c r="D155" i="22"/>
  <c r="C155" i="22"/>
  <c r="G25" i="22"/>
  <c r="E25" i="22"/>
  <c r="D25" i="22"/>
  <c r="C25" i="22"/>
  <c r="G51" i="22"/>
  <c r="E51" i="22"/>
  <c r="D51" i="22"/>
  <c r="C51" i="22"/>
  <c r="G64" i="22"/>
  <c r="E64" i="22"/>
  <c r="D64" i="22"/>
  <c r="C64" i="22"/>
  <c r="G3" i="22"/>
  <c r="E3" i="22"/>
  <c r="D3" i="22"/>
  <c r="C3" i="22"/>
  <c r="G76" i="22"/>
  <c r="E76" i="22"/>
  <c r="D76" i="22"/>
  <c r="C76" i="22"/>
  <c r="F117" i="22" l="1"/>
  <c r="F20" i="22"/>
  <c r="F159" i="22"/>
  <c r="F62" i="22"/>
  <c r="F126" i="22"/>
  <c r="F94" i="22"/>
  <c r="F95" i="22"/>
  <c r="F49" i="22"/>
  <c r="F144" i="22"/>
  <c r="F32" i="22"/>
  <c r="F136" i="22"/>
  <c r="F114" i="22"/>
  <c r="F64" i="22"/>
  <c r="F104" i="22"/>
  <c r="F57" i="22"/>
  <c r="F132" i="22"/>
  <c r="F137" i="22"/>
  <c r="F45" i="22"/>
  <c r="F55" i="22"/>
  <c r="F21" i="22"/>
  <c r="F66" i="22"/>
  <c r="F47" i="22"/>
  <c r="F72" i="22"/>
  <c r="F53" i="22"/>
  <c r="F86" i="22"/>
  <c r="F127" i="22"/>
  <c r="F98" i="22"/>
  <c r="F143" i="22"/>
  <c r="F116" i="22"/>
  <c r="F129" i="22"/>
  <c r="F89" i="22"/>
  <c r="F48" i="22"/>
  <c r="F134" i="22"/>
  <c r="F145" i="22"/>
  <c r="F149" i="22"/>
  <c r="F108" i="22"/>
  <c r="F82" i="22"/>
  <c r="F83" i="22"/>
  <c r="F100" i="22"/>
  <c r="F123" i="22"/>
  <c r="F131" i="22"/>
  <c r="F141" i="22"/>
  <c r="F110" i="22"/>
  <c r="F28" i="22"/>
  <c r="F106" i="22"/>
  <c r="F70" i="22"/>
  <c r="F128" i="22"/>
  <c r="F120" i="22"/>
  <c r="F125" i="22"/>
  <c r="F92" i="22"/>
  <c r="F113" i="22"/>
  <c r="F12" i="22"/>
  <c r="F122" i="22"/>
  <c r="F150" i="22"/>
  <c r="F107" i="22"/>
  <c r="F101" i="22"/>
  <c r="F39" i="22"/>
  <c r="F59" i="22"/>
  <c r="F30" i="22"/>
  <c r="F165" i="22"/>
  <c r="F40" i="22"/>
  <c r="F155" i="22"/>
  <c r="F105" i="22"/>
  <c r="F77" i="22"/>
  <c r="F85" i="22"/>
  <c r="F146" i="22"/>
  <c r="F135" i="22"/>
  <c r="F6" i="22"/>
  <c r="F13" i="22"/>
  <c r="F133" i="22"/>
  <c r="F75" i="22"/>
  <c r="F41" i="22"/>
  <c r="F163" i="22"/>
  <c r="F69" i="22"/>
  <c r="F23" i="22"/>
  <c r="F96" i="22"/>
  <c r="F3" i="22"/>
  <c r="F79" i="22"/>
  <c r="F7" i="22"/>
  <c r="F118" i="22"/>
  <c r="F138" i="22"/>
  <c r="F36" i="22"/>
  <c r="F19" i="22"/>
  <c r="F61" i="22"/>
  <c r="F5" i="22"/>
  <c r="F35" i="22"/>
  <c r="F78" i="22"/>
  <c r="F140" i="22"/>
  <c r="F112" i="22"/>
  <c r="F31" i="22"/>
  <c r="F34" i="22"/>
  <c r="F38" i="22"/>
  <c r="F52" i="22"/>
  <c r="F148" i="22"/>
  <c r="F56" i="22"/>
  <c r="F46" i="22"/>
  <c r="F73" i="22"/>
  <c r="F8" i="22"/>
  <c r="F24" i="22"/>
  <c r="F158" i="22"/>
  <c r="F157" i="22"/>
  <c r="F76" i="22"/>
  <c r="F115" i="22"/>
  <c r="F80" i="22"/>
  <c r="F4" i="22"/>
  <c r="F27" i="22"/>
  <c r="F102" i="22"/>
  <c r="F37" i="22"/>
  <c r="F153" i="22"/>
  <c r="F43" i="22"/>
  <c r="F60" i="22"/>
  <c r="F152" i="22"/>
  <c r="F29" i="22"/>
  <c r="F9" i="22"/>
  <c r="F42" i="22"/>
  <c r="F109" i="22"/>
  <c r="F11" i="22"/>
  <c r="F139" i="22"/>
  <c r="F65" i="22"/>
  <c r="F58" i="22"/>
  <c r="F26" i="22"/>
  <c r="F14" i="22"/>
  <c r="F99" i="22"/>
  <c r="F63" i="22"/>
  <c r="F22" i="22"/>
  <c r="F97" i="22"/>
  <c r="C167" i="22"/>
  <c r="D167" i="22"/>
  <c r="E167" i="22"/>
  <c r="F51" i="22"/>
  <c r="F25" i="22"/>
  <c r="F81" i="22"/>
  <c r="F130" i="22"/>
  <c r="F156" i="22"/>
  <c r="F111" i="22"/>
  <c r="F121" i="22"/>
  <c r="F142" i="22"/>
  <c r="F33" i="22"/>
  <c r="F16" i="22"/>
  <c r="F18" i="22"/>
  <c r="F17" i="22"/>
  <c r="F67" i="22"/>
  <c r="F44" i="22"/>
  <c r="F88" i="22"/>
  <c r="F90" i="22"/>
  <c r="F124" i="22"/>
  <c r="F166" i="22"/>
  <c r="F74" i="22"/>
  <c r="F103" i="22"/>
  <c r="F160" i="22"/>
  <c r="G167" i="22"/>
  <c r="F15" i="22"/>
  <c r="F84" i="22"/>
  <c r="F151" i="22"/>
  <c r="F71" i="22"/>
  <c r="F147" i="22"/>
  <c r="F50" i="22"/>
  <c r="F154" i="22"/>
  <c r="F119" i="22"/>
  <c r="F161" i="22"/>
  <c r="F87" i="22"/>
  <c r="F10" i="22"/>
  <c r="F91" i="22"/>
  <c r="F68" i="22"/>
  <c r="F93" i="22"/>
  <c r="F54" i="22"/>
  <c r="F164" i="22"/>
  <c r="F162" i="22"/>
  <c r="G160" i="21"/>
  <c r="E160" i="21"/>
  <c r="D160" i="21"/>
  <c r="C160" i="21"/>
  <c r="G66" i="21"/>
  <c r="E66" i="21"/>
  <c r="D66" i="21"/>
  <c r="C66" i="21"/>
  <c r="G94" i="21"/>
  <c r="E94" i="21"/>
  <c r="D94" i="21"/>
  <c r="C94" i="21"/>
  <c r="G22" i="21"/>
  <c r="E22" i="21"/>
  <c r="D22" i="21"/>
  <c r="C22" i="21"/>
  <c r="G21" i="21"/>
  <c r="E21" i="21"/>
  <c r="D21" i="21"/>
  <c r="C21" i="21"/>
  <c r="G158" i="21"/>
  <c r="E158" i="21"/>
  <c r="D158" i="21"/>
  <c r="C158" i="21"/>
  <c r="G164" i="21"/>
  <c r="E164" i="21"/>
  <c r="D164" i="21"/>
  <c r="C164" i="21"/>
  <c r="G29" i="21"/>
  <c r="E29" i="21"/>
  <c r="D29" i="21"/>
  <c r="C29" i="21"/>
  <c r="G93" i="21"/>
  <c r="E93" i="21"/>
  <c r="D93" i="21"/>
  <c r="C93" i="21"/>
  <c r="G162" i="21"/>
  <c r="E162" i="21"/>
  <c r="D162" i="21"/>
  <c r="C162" i="21"/>
  <c r="G147" i="21"/>
  <c r="E147" i="21"/>
  <c r="D147" i="21"/>
  <c r="C147" i="21"/>
  <c r="G63" i="21"/>
  <c r="E63" i="21"/>
  <c r="D63" i="21"/>
  <c r="C63" i="21"/>
  <c r="G131" i="21"/>
  <c r="E131" i="21"/>
  <c r="D131" i="21"/>
  <c r="C131" i="21"/>
  <c r="G122" i="21"/>
  <c r="E122" i="21"/>
  <c r="D122" i="21"/>
  <c r="C122" i="21"/>
  <c r="G117" i="21"/>
  <c r="E117" i="21"/>
  <c r="D117" i="21"/>
  <c r="C117" i="21"/>
  <c r="G155" i="21"/>
  <c r="E155" i="21"/>
  <c r="D155" i="21"/>
  <c r="C155" i="21"/>
  <c r="G100" i="21"/>
  <c r="E100" i="21"/>
  <c r="D100" i="21"/>
  <c r="C100" i="21"/>
  <c r="G96" i="21"/>
  <c r="E96" i="21"/>
  <c r="D96" i="21"/>
  <c r="C96" i="21"/>
  <c r="G13" i="21"/>
  <c r="E13" i="21"/>
  <c r="D13" i="21"/>
  <c r="C13" i="21"/>
  <c r="G143" i="21"/>
  <c r="E143" i="21"/>
  <c r="D143" i="21"/>
  <c r="C143" i="21"/>
  <c r="G153" i="21"/>
  <c r="E153" i="21"/>
  <c r="D153" i="21"/>
  <c r="C153" i="21"/>
  <c r="G156" i="21"/>
  <c r="E156" i="21"/>
  <c r="D156" i="21"/>
  <c r="C156" i="21"/>
  <c r="G26" i="21"/>
  <c r="E26" i="21"/>
  <c r="D26" i="21"/>
  <c r="C26" i="21"/>
  <c r="G54" i="21"/>
  <c r="E54" i="21"/>
  <c r="D54" i="21"/>
  <c r="C54" i="21"/>
  <c r="G92" i="21"/>
  <c r="E92" i="21"/>
  <c r="D92" i="21"/>
  <c r="C92" i="21"/>
  <c r="G91" i="21"/>
  <c r="E91" i="21"/>
  <c r="D91" i="21"/>
  <c r="C91" i="21"/>
  <c r="G23" i="21"/>
  <c r="E23" i="21"/>
  <c r="D23" i="21"/>
  <c r="C23" i="21"/>
  <c r="G90" i="21"/>
  <c r="E90" i="21"/>
  <c r="D90" i="21"/>
  <c r="C90" i="21"/>
  <c r="G74" i="21"/>
  <c r="E74" i="21"/>
  <c r="D74" i="21"/>
  <c r="C74" i="21"/>
  <c r="G146" i="21"/>
  <c r="E146" i="21"/>
  <c r="D146" i="21"/>
  <c r="C146" i="21"/>
  <c r="G52" i="21"/>
  <c r="E52" i="21"/>
  <c r="D52" i="21"/>
  <c r="C52" i="21"/>
  <c r="G68" i="21"/>
  <c r="E68" i="21"/>
  <c r="D68" i="21"/>
  <c r="C68" i="21"/>
  <c r="G123" i="21"/>
  <c r="E123" i="21"/>
  <c r="D123" i="21"/>
  <c r="C123" i="21"/>
  <c r="G165" i="21"/>
  <c r="E165" i="21"/>
  <c r="D165" i="21"/>
  <c r="C165" i="21"/>
  <c r="G36" i="21"/>
  <c r="E36" i="21"/>
  <c r="D36" i="21"/>
  <c r="C36" i="21"/>
  <c r="G59" i="21"/>
  <c r="E59" i="21"/>
  <c r="D59" i="21"/>
  <c r="C59" i="21"/>
  <c r="G89" i="21"/>
  <c r="E89" i="21"/>
  <c r="D89" i="21"/>
  <c r="C89" i="21"/>
  <c r="G58" i="21"/>
  <c r="E58" i="21"/>
  <c r="D58" i="21"/>
  <c r="C58" i="21"/>
  <c r="G113" i="21"/>
  <c r="E113" i="21"/>
  <c r="D113" i="21"/>
  <c r="C113" i="21"/>
  <c r="G125" i="21"/>
  <c r="E125" i="21"/>
  <c r="D125" i="21"/>
  <c r="C125" i="21"/>
  <c r="G70" i="21"/>
  <c r="E70" i="21"/>
  <c r="D70" i="21"/>
  <c r="C70" i="21"/>
  <c r="G121" i="21"/>
  <c r="E121" i="21"/>
  <c r="D121" i="21"/>
  <c r="C121" i="21"/>
  <c r="G40" i="21"/>
  <c r="E40" i="21"/>
  <c r="D40" i="21"/>
  <c r="C40" i="21"/>
  <c r="G34" i="21"/>
  <c r="E34" i="21"/>
  <c r="D34" i="21"/>
  <c r="C34" i="21"/>
  <c r="G88" i="21"/>
  <c r="E88" i="21"/>
  <c r="D88" i="21"/>
  <c r="C88" i="21"/>
  <c r="E49" i="21"/>
  <c r="D49" i="21"/>
  <c r="C49" i="21"/>
  <c r="G69" i="21"/>
  <c r="E69" i="21"/>
  <c r="D69" i="21"/>
  <c r="C69" i="21"/>
  <c r="G103" i="21"/>
  <c r="E103" i="21"/>
  <c r="D103" i="21"/>
  <c r="C103" i="21"/>
  <c r="G42" i="21"/>
  <c r="E42" i="21"/>
  <c r="D42" i="21"/>
  <c r="C42" i="21"/>
  <c r="G65" i="21"/>
  <c r="E65" i="21"/>
  <c r="D65" i="21"/>
  <c r="C65" i="21"/>
  <c r="G137" i="21"/>
  <c r="E137" i="21"/>
  <c r="D137" i="21"/>
  <c r="C137" i="21"/>
  <c r="G10" i="21"/>
  <c r="E10" i="21"/>
  <c r="D10" i="21"/>
  <c r="C10" i="21"/>
  <c r="G87" i="21"/>
  <c r="E87" i="21"/>
  <c r="D87" i="21"/>
  <c r="C87" i="21"/>
  <c r="G86" i="21"/>
  <c r="E86" i="21"/>
  <c r="D86" i="21"/>
  <c r="C86" i="21"/>
  <c r="G144" i="21"/>
  <c r="E144" i="21"/>
  <c r="D144" i="21"/>
  <c r="C144" i="21"/>
  <c r="G85" i="21"/>
  <c r="E85" i="21"/>
  <c r="D85" i="21"/>
  <c r="C85" i="21"/>
  <c r="G28" i="21"/>
  <c r="E28" i="21"/>
  <c r="D28" i="21"/>
  <c r="C28" i="21"/>
  <c r="G31" i="21"/>
  <c r="E31" i="21"/>
  <c r="D31" i="21"/>
  <c r="C31" i="21"/>
  <c r="G12" i="21"/>
  <c r="E12" i="21"/>
  <c r="D12" i="21"/>
  <c r="C12" i="21"/>
  <c r="G84" i="21"/>
  <c r="E84" i="21"/>
  <c r="D84" i="21"/>
  <c r="C84" i="21"/>
  <c r="G8" i="21"/>
  <c r="E8" i="21"/>
  <c r="D8" i="21"/>
  <c r="C8" i="21"/>
  <c r="G38" i="21"/>
  <c r="E38" i="21"/>
  <c r="D38" i="21"/>
  <c r="C38" i="21"/>
  <c r="G109" i="21"/>
  <c r="E109" i="21"/>
  <c r="D109" i="21"/>
  <c r="C109" i="21"/>
  <c r="G106" i="21"/>
  <c r="E106" i="21"/>
  <c r="D106" i="21"/>
  <c r="C106" i="21"/>
  <c r="G55" i="21"/>
  <c r="E55" i="21"/>
  <c r="D55" i="21"/>
  <c r="C55" i="21"/>
  <c r="G107" i="21"/>
  <c r="E107" i="21"/>
  <c r="D107" i="21"/>
  <c r="C107" i="21"/>
  <c r="G139" i="21"/>
  <c r="E139" i="21"/>
  <c r="D139" i="21"/>
  <c r="C139" i="21"/>
  <c r="G159" i="21"/>
  <c r="E159" i="21"/>
  <c r="D159" i="21"/>
  <c r="C159" i="21"/>
  <c r="G138" i="21"/>
  <c r="E138" i="21"/>
  <c r="D138" i="21"/>
  <c r="C138" i="21"/>
  <c r="G116" i="21"/>
  <c r="E116" i="21"/>
  <c r="D116" i="21"/>
  <c r="C116" i="21"/>
  <c r="G67" i="21"/>
  <c r="E67" i="21"/>
  <c r="D67" i="21"/>
  <c r="C67" i="21"/>
  <c r="G142" i="21"/>
  <c r="E142" i="21"/>
  <c r="D142" i="21"/>
  <c r="C142" i="21"/>
  <c r="G73" i="21"/>
  <c r="E73" i="21"/>
  <c r="D73" i="21"/>
  <c r="C73" i="21"/>
  <c r="G95" i="21"/>
  <c r="E95" i="21"/>
  <c r="D95" i="21"/>
  <c r="C95" i="21"/>
  <c r="G47" i="21"/>
  <c r="E47" i="21"/>
  <c r="D47" i="21"/>
  <c r="C47" i="21"/>
  <c r="G128" i="21"/>
  <c r="E128" i="21"/>
  <c r="D128" i="21"/>
  <c r="C128" i="21"/>
  <c r="G140" i="21"/>
  <c r="E140" i="21"/>
  <c r="D140" i="21"/>
  <c r="C140" i="21"/>
  <c r="G98" i="21"/>
  <c r="E98" i="21"/>
  <c r="D98" i="21"/>
  <c r="C98" i="21"/>
  <c r="G75" i="21"/>
  <c r="E75" i="21"/>
  <c r="D75" i="21"/>
  <c r="C75" i="21"/>
  <c r="G45" i="21"/>
  <c r="E45" i="21"/>
  <c r="D45" i="21"/>
  <c r="C45" i="21"/>
  <c r="G35" i="21"/>
  <c r="E35" i="21"/>
  <c r="D35" i="21"/>
  <c r="C35" i="21"/>
  <c r="G9" i="21"/>
  <c r="E9" i="21"/>
  <c r="D9" i="21"/>
  <c r="C9" i="21"/>
  <c r="G150" i="21"/>
  <c r="E150" i="21"/>
  <c r="D150" i="21"/>
  <c r="C150" i="21"/>
  <c r="G124" i="21"/>
  <c r="E124" i="21"/>
  <c r="D124" i="21"/>
  <c r="C124" i="21"/>
  <c r="G19" i="21"/>
  <c r="E19" i="21"/>
  <c r="D19" i="21"/>
  <c r="C19" i="21"/>
  <c r="G83" i="21"/>
  <c r="E83" i="21"/>
  <c r="D83" i="21"/>
  <c r="C83" i="21"/>
  <c r="G53" i="21"/>
  <c r="E53" i="21"/>
  <c r="D53" i="21"/>
  <c r="C53" i="21"/>
  <c r="G56" i="21"/>
  <c r="E56" i="21"/>
  <c r="D56" i="21"/>
  <c r="C56" i="21"/>
  <c r="G72" i="21"/>
  <c r="E72" i="21"/>
  <c r="D72" i="21"/>
  <c r="C72" i="21"/>
  <c r="G6" i="21"/>
  <c r="E6" i="21"/>
  <c r="D6" i="21"/>
  <c r="C6" i="21"/>
  <c r="G50" i="21"/>
  <c r="E50" i="21"/>
  <c r="D50" i="21"/>
  <c r="C50" i="21"/>
  <c r="G18" i="21"/>
  <c r="E18" i="21"/>
  <c r="D18" i="21"/>
  <c r="C18" i="21"/>
  <c r="G48" i="21"/>
  <c r="E48" i="21"/>
  <c r="D48" i="21"/>
  <c r="C48" i="21"/>
  <c r="G5" i="21"/>
  <c r="E5" i="21"/>
  <c r="D5" i="21"/>
  <c r="C5" i="21"/>
  <c r="G37" i="21"/>
  <c r="E37" i="21"/>
  <c r="D37" i="21"/>
  <c r="C37" i="21"/>
  <c r="G149" i="21"/>
  <c r="E149" i="21"/>
  <c r="D149" i="21"/>
  <c r="C149" i="21"/>
  <c r="G145" i="21"/>
  <c r="E145" i="21"/>
  <c r="D145" i="21"/>
  <c r="C145" i="21"/>
  <c r="G104" i="21"/>
  <c r="E104" i="21"/>
  <c r="D104" i="21"/>
  <c r="C104" i="21"/>
  <c r="G33" i="21"/>
  <c r="E33" i="21"/>
  <c r="D33" i="21"/>
  <c r="C33" i="21"/>
  <c r="G136" i="21"/>
  <c r="E136" i="21"/>
  <c r="D136" i="21"/>
  <c r="C136" i="21"/>
  <c r="G119" i="21"/>
  <c r="E119" i="21"/>
  <c r="D119" i="21"/>
  <c r="C119" i="21"/>
  <c r="G11" i="21"/>
  <c r="E11" i="21"/>
  <c r="D11" i="21"/>
  <c r="C11" i="21"/>
  <c r="G141" i="21"/>
  <c r="E141" i="21"/>
  <c r="D141" i="21"/>
  <c r="C141" i="21"/>
  <c r="G111" i="21"/>
  <c r="E111" i="21"/>
  <c r="D111" i="21"/>
  <c r="C111" i="21"/>
  <c r="G60" i="21"/>
  <c r="E60" i="21"/>
  <c r="D60" i="21"/>
  <c r="C60" i="21"/>
  <c r="G120" i="21"/>
  <c r="E120" i="21"/>
  <c r="D120" i="21"/>
  <c r="C120" i="21"/>
  <c r="G97" i="21"/>
  <c r="E97" i="21"/>
  <c r="D97" i="21"/>
  <c r="C97" i="21"/>
  <c r="G132" i="21"/>
  <c r="E132" i="21"/>
  <c r="D132" i="21"/>
  <c r="C132" i="21"/>
  <c r="G161" i="21"/>
  <c r="E161" i="21"/>
  <c r="D161" i="21"/>
  <c r="C161" i="21"/>
  <c r="G118" i="21"/>
  <c r="E118" i="21"/>
  <c r="D118" i="21"/>
  <c r="C118" i="21"/>
  <c r="G133" i="21"/>
  <c r="E133" i="21"/>
  <c r="D133" i="21"/>
  <c r="C133" i="21"/>
  <c r="G61" i="21"/>
  <c r="E61" i="21"/>
  <c r="D61" i="21"/>
  <c r="C61" i="21"/>
  <c r="G71" i="21"/>
  <c r="E71" i="21"/>
  <c r="D71" i="21"/>
  <c r="C71" i="21"/>
  <c r="G46" i="21"/>
  <c r="E46" i="21"/>
  <c r="D46" i="21"/>
  <c r="C46" i="21"/>
  <c r="G108" i="21"/>
  <c r="E108" i="21"/>
  <c r="D108" i="21"/>
  <c r="C108" i="21"/>
  <c r="G44" i="21"/>
  <c r="E44" i="21"/>
  <c r="D44" i="21"/>
  <c r="C44" i="21"/>
  <c r="G129" i="21"/>
  <c r="E129" i="21"/>
  <c r="D129" i="21"/>
  <c r="C129" i="21"/>
  <c r="G148" i="21"/>
  <c r="E148" i="21"/>
  <c r="D148" i="21"/>
  <c r="C148" i="21"/>
  <c r="G130" i="21"/>
  <c r="E130" i="21"/>
  <c r="D130" i="21"/>
  <c r="C130" i="21"/>
  <c r="G30" i="21"/>
  <c r="E30" i="21"/>
  <c r="D30" i="21"/>
  <c r="C30" i="21"/>
  <c r="G57" i="21"/>
  <c r="E57" i="21"/>
  <c r="D57" i="21"/>
  <c r="C57" i="21"/>
  <c r="G151" i="21"/>
  <c r="E151" i="21"/>
  <c r="D151" i="21"/>
  <c r="C151" i="21"/>
  <c r="G101" i="21"/>
  <c r="E101" i="21"/>
  <c r="D101" i="21"/>
  <c r="C101" i="21"/>
  <c r="G82" i="21"/>
  <c r="E82" i="21"/>
  <c r="D82" i="21"/>
  <c r="C82" i="21"/>
  <c r="G39" i="21"/>
  <c r="E39" i="21"/>
  <c r="D39" i="21"/>
  <c r="C39" i="21"/>
  <c r="G32" i="21"/>
  <c r="E32" i="21"/>
  <c r="D32" i="21"/>
  <c r="C32" i="21"/>
  <c r="G27" i="21"/>
  <c r="E27" i="21"/>
  <c r="D27" i="21"/>
  <c r="C27" i="21"/>
  <c r="G99" i="21"/>
  <c r="E99" i="21"/>
  <c r="D99" i="21"/>
  <c r="C99" i="21"/>
  <c r="G81" i="21"/>
  <c r="E81" i="21"/>
  <c r="D81" i="21"/>
  <c r="C81" i="21"/>
  <c r="G110" i="21"/>
  <c r="E110" i="21"/>
  <c r="D110" i="21"/>
  <c r="C110" i="21"/>
  <c r="G135" i="21"/>
  <c r="E135" i="21"/>
  <c r="D135" i="21"/>
  <c r="C135" i="21"/>
  <c r="G14" i="21"/>
  <c r="E14" i="21"/>
  <c r="D14" i="21"/>
  <c r="C14" i="21"/>
  <c r="G15" i="21"/>
  <c r="E15" i="21"/>
  <c r="D15" i="21"/>
  <c r="C15" i="21"/>
  <c r="G4" i="21"/>
  <c r="E4" i="21"/>
  <c r="D4" i="21"/>
  <c r="C4" i="21"/>
  <c r="G126" i="21"/>
  <c r="E126" i="21"/>
  <c r="D126" i="21"/>
  <c r="C126" i="21"/>
  <c r="G80" i="21"/>
  <c r="E80" i="21"/>
  <c r="D80" i="21"/>
  <c r="C80" i="21"/>
  <c r="G79" i="21"/>
  <c r="E79" i="21"/>
  <c r="D79" i="21"/>
  <c r="C79" i="21"/>
  <c r="G105" i="21"/>
  <c r="E105" i="21"/>
  <c r="D105" i="21"/>
  <c r="C105" i="21"/>
  <c r="G115" i="21"/>
  <c r="E115" i="21"/>
  <c r="D115" i="21"/>
  <c r="C115" i="21"/>
  <c r="G78" i="21"/>
  <c r="E78" i="21"/>
  <c r="D78" i="21"/>
  <c r="C78" i="21"/>
  <c r="G154" i="21"/>
  <c r="E154" i="21"/>
  <c r="D154" i="21"/>
  <c r="C154" i="21"/>
  <c r="G24" i="21"/>
  <c r="E24" i="21"/>
  <c r="D24" i="21"/>
  <c r="C24" i="21"/>
  <c r="G163" i="21"/>
  <c r="E163" i="21"/>
  <c r="D163" i="21"/>
  <c r="C163" i="21"/>
  <c r="G134" i="21"/>
  <c r="E134" i="21"/>
  <c r="D134" i="21"/>
  <c r="C134" i="21"/>
  <c r="G41" i="21"/>
  <c r="E41" i="21"/>
  <c r="D41" i="21"/>
  <c r="C41" i="21"/>
  <c r="G43" i="21"/>
  <c r="E43" i="21"/>
  <c r="D43" i="21"/>
  <c r="C43" i="21"/>
  <c r="G62" i="21"/>
  <c r="E62" i="21"/>
  <c r="D62" i="21"/>
  <c r="C62" i="21"/>
  <c r="G157" i="21"/>
  <c r="E157" i="21"/>
  <c r="D157" i="21"/>
  <c r="C157" i="21"/>
  <c r="G16" i="21"/>
  <c r="E16" i="21"/>
  <c r="D16" i="21"/>
  <c r="C16" i="21"/>
  <c r="G7" i="21"/>
  <c r="E7" i="21"/>
  <c r="D7" i="21"/>
  <c r="C7" i="21"/>
  <c r="G77" i="21"/>
  <c r="E77" i="21"/>
  <c r="D77" i="21"/>
  <c r="C77" i="21"/>
  <c r="G20" i="21"/>
  <c r="E20" i="21"/>
  <c r="D20" i="21"/>
  <c r="C20" i="21"/>
  <c r="G112" i="21"/>
  <c r="E112" i="21"/>
  <c r="D112" i="21"/>
  <c r="C112" i="21"/>
  <c r="G127" i="21"/>
  <c r="E127" i="21"/>
  <c r="D127" i="21"/>
  <c r="C127" i="21"/>
  <c r="G114" i="21"/>
  <c r="E114" i="21"/>
  <c r="D114" i="21"/>
  <c r="C114" i="21"/>
  <c r="G102" i="21"/>
  <c r="E102" i="21"/>
  <c r="D102" i="21"/>
  <c r="C102" i="21"/>
  <c r="G76" i="21"/>
  <c r="E76" i="21"/>
  <c r="D76" i="21"/>
  <c r="C76" i="21"/>
  <c r="G152" i="21"/>
  <c r="E152" i="21"/>
  <c r="D152" i="21"/>
  <c r="C152" i="21"/>
  <c r="G25" i="21"/>
  <c r="E25" i="21"/>
  <c r="D25" i="21"/>
  <c r="C25" i="21"/>
  <c r="G51" i="21"/>
  <c r="E51" i="21"/>
  <c r="D51" i="21"/>
  <c r="C51" i="21"/>
  <c r="G64" i="21"/>
  <c r="E64" i="21"/>
  <c r="D64" i="21"/>
  <c r="C64" i="21"/>
  <c r="G3" i="21"/>
  <c r="E3" i="21"/>
  <c r="D3" i="21"/>
  <c r="C3" i="21"/>
  <c r="G17" i="21"/>
  <c r="E17" i="21"/>
  <c r="D17" i="21"/>
  <c r="C17" i="21"/>
  <c r="F94" i="21" l="1"/>
  <c r="F20" i="21"/>
  <c r="F37" i="21"/>
  <c r="F96" i="21"/>
  <c r="F5" i="21"/>
  <c r="F50" i="21"/>
  <c r="F75" i="21"/>
  <c r="F14" i="21"/>
  <c r="F60" i="21"/>
  <c r="F104" i="21"/>
  <c r="F64" i="21"/>
  <c r="F69" i="21"/>
  <c r="F155" i="21"/>
  <c r="F65" i="21"/>
  <c r="F143" i="21"/>
  <c r="F27" i="21"/>
  <c r="F148" i="21"/>
  <c r="F125" i="21"/>
  <c r="F36" i="21"/>
  <c r="F41" i="21"/>
  <c r="F79" i="21"/>
  <c r="F120" i="21"/>
  <c r="F47" i="21"/>
  <c r="F159" i="21"/>
  <c r="F109" i="21"/>
  <c r="F40" i="21"/>
  <c r="F23" i="21"/>
  <c r="F92" i="21"/>
  <c r="F134" i="21"/>
  <c r="F30" i="21"/>
  <c r="F61" i="21"/>
  <c r="F35" i="21"/>
  <c r="F45" i="21"/>
  <c r="F8" i="21"/>
  <c r="F34" i="21"/>
  <c r="F146" i="21"/>
  <c r="F90" i="21"/>
  <c r="F153" i="21"/>
  <c r="F131" i="21"/>
  <c r="F160" i="21"/>
  <c r="F152" i="21"/>
  <c r="F102" i="21"/>
  <c r="F157" i="21"/>
  <c r="F62" i="21"/>
  <c r="F135" i="21"/>
  <c r="F82" i="21"/>
  <c r="F46" i="21"/>
  <c r="F56" i="21"/>
  <c r="F83" i="21"/>
  <c r="F138" i="21"/>
  <c r="F106" i="21"/>
  <c r="F31" i="21"/>
  <c r="F123" i="21"/>
  <c r="F52" i="21"/>
  <c r="F122" i="21"/>
  <c r="F21" i="21"/>
  <c r="F132" i="21"/>
  <c r="F114" i="21"/>
  <c r="F80" i="21"/>
  <c r="F57" i="21"/>
  <c r="F124" i="21"/>
  <c r="F55" i="21"/>
  <c r="F113" i="21"/>
  <c r="F115" i="21"/>
  <c r="F6" i="21"/>
  <c r="F44" i="21"/>
  <c r="F136" i="21"/>
  <c r="F73" i="21"/>
  <c r="F93" i="21"/>
  <c r="F51" i="21"/>
  <c r="F25" i="21"/>
  <c r="F112" i="21"/>
  <c r="F154" i="21"/>
  <c r="F105" i="21"/>
  <c r="F126" i="21"/>
  <c r="F110" i="21"/>
  <c r="F81" i="21"/>
  <c r="F32" i="21"/>
  <c r="F101" i="21"/>
  <c r="F71" i="21"/>
  <c r="F133" i="21"/>
  <c r="F97" i="21"/>
  <c r="F111" i="21"/>
  <c r="F119" i="21"/>
  <c r="F145" i="21"/>
  <c r="F48" i="21"/>
  <c r="F53" i="21"/>
  <c r="F150" i="21"/>
  <c r="F98" i="21"/>
  <c r="F142" i="21"/>
  <c r="F116" i="21"/>
  <c r="F107" i="21"/>
  <c r="F84" i="21"/>
  <c r="F28" i="21"/>
  <c r="F86" i="21"/>
  <c r="F10" i="21"/>
  <c r="F42" i="21"/>
  <c r="F49" i="21"/>
  <c r="F88" i="21"/>
  <c r="F70" i="21"/>
  <c r="F89" i="21"/>
  <c r="F68" i="21"/>
  <c r="F91" i="21"/>
  <c r="F54" i="21"/>
  <c r="F147" i="21"/>
  <c r="F164" i="21"/>
  <c r="F76" i="21"/>
  <c r="F7" i="21"/>
  <c r="F78" i="21"/>
  <c r="F99" i="21"/>
  <c r="F39" i="21"/>
  <c r="F118" i="21"/>
  <c r="F161" i="21"/>
  <c r="F149" i="21"/>
  <c r="F18" i="21"/>
  <c r="F9" i="21"/>
  <c r="F12" i="21"/>
  <c r="F85" i="21"/>
  <c r="F144" i="21"/>
  <c r="F137" i="21"/>
  <c r="F121" i="21"/>
  <c r="F58" i="21"/>
  <c r="F74" i="21"/>
  <c r="F26" i="21"/>
  <c r="F13" i="21"/>
  <c r="F100" i="21"/>
  <c r="F63" i="21"/>
  <c r="F22" i="21"/>
  <c r="F66" i="21"/>
  <c r="F24" i="21"/>
  <c r="F163" i="21"/>
  <c r="D166" i="21"/>
  <c r="F17" i="21"/>
  <c r="E166" i="21"/>
  <c r="F3" i="21"/>
  <c r="C166" i="21"/>
  <c r="F77" i="21"/>
  <c r="F4" i="21"/>
  <c r="F15" i="21"/>
  <c r="F130" i="21"/>
  <c r="F141" i="21"/>
  <c r="F140" i="21"/>
  <c r="F128" i="21"/>
  <c r="F38" i="21"/>
  <c r="F103" i="21"/>
  <c r="F162" i="21"/>
  <c r="F127" i="21"/>
  <c r="F43" i="21"/>
  <c r="F151" i="21"/>
  <c r="F108" i="21"/>
  <c r="F33" i="21"/>
  <c r="F19" i="21"/>
  <c r="F67" i="21"/>
  <c r="F87" i="21"/>
  <c r="F165" i="21"/>
  <c r="F158" i="21"/>
  <c r="G166" i="21"/>
  <c r="F16" i="21"/>
  <c r="F129" i="21"/>
  <c r="F11" i="21"/>
  <c r="F72" i="21"/>
  <c r="F95" i="21"/>
  <c r="F139" i="21"/>
  <c r="F59" i="21"/>
  <c r="F156" i="21"/>
  <c r="F117" i="21"/>
  <c r="F29" i="21"/>
  <c r="G159" i="20"/>
  <c r="E159" i="20"/>
  <c r="D159" i="20"/>
  <c r="C159" i="20"/>
  <c r="G67" i="20"/>
  <c r="E67" i="20"/>
  <c r="D67" i="20"/>
  <c r="C67" i="20"/>
  <c r="G165" i="20"/>
  <c r="E165" i="20"/>
  <c r="D165" i="20"/>
  <c r="C165" i="20"/>
  <c r="G95" i="20"/>
  <c r="E95" i="20"/>
  <c r="D95" i="20"/>
  <c r="C95" i="20"/>
  <c r="G166" i="20"/>
  <c r="E166" i="20"/>
  <c r="D166" i="20"/>
  <c r="C166" i="20"/>
  <c r="G19" i="20"/>
  <c r="E19" i="20"/>
  <c r="D19" i="20"/>
  <c r="C19" i="20"/>
  <c r="G156" i="20"/>
  <c r="E156" i="20"/>
  <c r="D156" i="20"/>
  <c r="C156" i="20"/>
  <c r="G163" i="20"/>
  <c r="E163" i="20"/>
  <c r="D163" i="20"/>
  <c r="C163" i="20"/>
  <c r="G25" i="20"/>
  <c r="E25" i="20"/>
  <c r="D25" i="20"/>
  <c r="C25" i="20"/>
  <c r="G94" i="20"/>
  <c r="E94" i="20"/>
  <c r="D94" i="20"/>
  <c r="C94" i="20"/>
  <c r="G54" i="20"/>
  <c r="E54" i="20"/>
  <c r="D54" i="20"/>
  <c r="C54" i="20"/>
  <c r="G33" i="20"/>
  <c r="E33" i="20"/>
  <c r="D33" i="20"/>
  <c r="C33" i="20"/>
  <c r="G64" i="20"/>
  <c r="E64" i="20"/>
  <c r="D64" i="20"/>
  <c r="C64" i="20"/>
  <c r="G132" i="20"/>
  <c r="E132" i="20"/>
  <c r="D132" i="20"/>
  <c r="C132" i="20"/>
  <c r="G123" i="20"/>
  <c r="E123" i="20"/>
  <c r="D123" i="20"/>
  <c r="C123" i="20"/>
  <c r="G118" i="20"/>
  <c r="E118" i="20"/>
  <c r="D118" i="20"/>
  <c r="C118" i="20"/>
  <c r="G162" i="20"/>
  <c r="E162" i="20"/>
  <c r="D162" i="20"/>
  <c r="C162" i="20"/>
  <c r="G101" i="20"/>
  <c r="E101" i="20"/>
  <c r="D101" i="20"/>
  <c r="C101" i="20"/>
  <c r="G97" i="20"/>
  <c r="E97" i="20"/>
  <c r="D97" i="20"/>
  <c r="C97" i="20"/>
  <c r="G14" i="20"/>
  <c r="E14" i="20"/>
  <c r="D14" i="20"/>
  <c r="C14" i="20"/>
  <c r="G144" i="20"/>
  <c r="E144" i="20"/>
  <c r="D144" i="20"/>
  <c r="C144" i="20"/>
  <c r="G153" i="20"/>
  <c r="E153" i="20"/>
  <c r="D153" i="20"/>
  <c r="C153" i="20"/>
  <c r="G32" i="20"/>
  <c r="E32" i="20"/>
  <c r="D32" i="20"/>
  <c r="C32" i="20"/>
  <c r="G40" i="20"/>
  <c r="E40" i="20"/>
  <c r="D40" i="20"/>
  <c r="C40" i="20"/>
  <c r="G164" i="20"/>
  <c r="E164" i="20"/>
  <c r="D164" i="20"/>
  <c r="C164" i="20"/>
  <c r="G135" i="20"/>
  <c r="E135" i="20"/>
  <c r="D135" i="20"/>
  <c r="C135" i="20"/>
  <c r="G38" i="20"/>
  <c r="E38" i="20"/>
  <c r="D38" i="20"/>
  <c r="C38" i="20"/>
  <c r="G41" i="20"/>
  <c r="E41" i="20"/>
  <c r="D41" i="20"/>
  <c r="C41" i="20"/>
  <c r="G57" i="20"/>
  <c r="E57" i="20"/>
  <c r="D57" i="20"/>
  <c r="C57" i="20"/>
  <c r="G53" i="20"/>
  <c r="E53" i="20"/>
  <c r="D53" i="20"/>
  <c r="C53" i="20"/>
  <c r="G93" i="20"/>
  <c r="E93" i="20"/>
  <c r="D93" i="20"/>
  <c r="C93" i="20"/>
  <c r="G92" i="20"/>
  <c r="E92" i="20"/>
  <c r="D92" i="20"/>
  <c r="C92" i="20"/>
  <c r="G21" i="20"/>
  <c r="E21" i="20"/>
  <c r="D21" i="20"/>
  <c r="C21" i="20"/>
  <c r="G91" i="20"/>
  <c r="E91" i="20"/>
  <c r="D91" i="20"/>
  <c r="C91" i="20"/>
  <c r="G75" i="20"/>
  <c r="E75" i="20"/>
  <c r="D75" i="20"/>
  <c r="C75" i="20"/>
  <c r="G147" i="20"/>
  <c r="E147" i="20"/>
  <c r="D147" i="20"/>
  <c r="C147" i="20"/>
  <c r="G51" i="20"/>
  <c r="E51" i="20"/>
  <c r="D51" i="20"/>
  <c r="C51" i="20"/>
  <c r="G69" i="20"/>
  <c r="E69" i="20"/>
  <c r="D69" i="20"/>
  <c r="C69" i="20"/>
  <c r="G124" i="20"/>
  <c r="E124" i="20"/>
  <c r="D124" i="20"/>
  <c r="C124" i="20"/>
  <c r="G3" i="20"/>
  <c r="E3" i="20"/>
  <c r="D3" i="20"/>
  <c r="C3" i="20"/>
  <c r="G34" i="20"/>
  <c r="E34" i="20"/>
  <c r="D34" i="20"/>
  <c r="C34" i="20"/>
  <c r="G60" i="20"/>
  <c r="E60" i="20"/>
  <c r="D60" i="20"/>
  <c r="C60" i="20"/>
  <c r="G90" i="20"/>
  <c r="E90" i="20"/>
  <c r="D90" i="20"/>
  <c r="C90" i="20"/>
  <c r="G59" i="20"/>
  <c r="E59" i="20"/>
  <c r="D59" i="20"/>
  <c r="C59" i="20"/>
  <c r="G114" i="20"/>
  <c r="E114" i="20"/>
  <c r="D114" i="20"/>
  <c r="C114" i="20"/>
  <c r="G126" i="20"/>
  <c r="E126" i="20"/>
  <c r="D126" i="20"/>
  <c r="C126" i="20"/>
  <c r="G71" i="20"/>
  <c r="E71" i="20"/>
  <c r="D71" i="20"/>
  <c r="C71" i="20"/>
  <c r="G122" i="20"/>
  <c r="E122" i="20"/>
  <c r="D122" i="20"/>
  <c r="C122" i="20"/>
  <c r="G37" i="20"/>
  <c r="E37" i="20"/>
  <c r="D37" i="20"/>
  <c r="C37" i="20"/>
  <c r="G30" i="20"/>
  <c r="E30" i="20"/>
  <c r="D30" i="20"/>
  <c r="C30" i="20"/>
  <c r="G89" i="20"/>
  <c r="E89" i="20"/>
  <c r="D89" i="20"/>
  <c r="C89" i="20"/>
  <c r="E48" i="20"/>
  <c r="D48" i="20"/>
  <c r="C48" i="20"/>
  <c r="G70" i="20"/>
  <c r="E70" i="20"/>
  <c r="D70" i="20"/>
  <c r="C70" i="20"/>
  <c r="G104" i="20"/>
  <c r="E104" i="20"/>
  <c r="D104" i="20"/>
  <c r="C104" i="20"/>
  <c r="G39" i="20"/>
  <c r="E39" i="20"/>
  <c r="D39" i="20"/>
  <c r="C39" i="20"/>
  <c r="G66" i="20"/>
  <c r="E66" i="20"/>
  <c r="D66" i="20"/>
  <c r="C66" i="20"/>
  <c r="G138" i="20"/>
  <c r="E138" i="20"/>
  <c r="D138" i="20"/>
  <c r="C138" i="20"/>
  <c r="G11" i="20"/>
  <c r="E11" i="20"/>
  <c r="D11" i="20"/>
  <c r="C11" i="20"/>
  <c r="G88" i="20"/>
  <c r="E88" i="20"/>
  <c r="D88" i="20"/>
  <c r="C88" i="20"/>
  <c r="G87" i="20"/>
  <c r="E87" i="20"/>
  <c r="D87" i="20"/>
  <c r="C87" i="20"/>
  <c r="G145" i="20"/>
  <c r="E145" i="20"/>
  <c r="D145" i="20"/>
  <c r="C145" i="20"/>
  <c r="G86" i="20"/>
  <c r="E86" i="20"/>
  <c r="D86" i="20"/>
  <c r="C86" i="20"/>
  <c r="G24" i="20"/>
  <c r="E24" i="20"/>
  <c r="D24" i="20"/>
  <c r="C24" i="20"/>
  <c r="G160" i="20"/>
  <c r="E160" i="20"/>
  <c r="D160" i="20"/>
  <c r="C160" i="20"/>
  <c r="G13" i="20"/>
  <c r="E13" i="20"/>
  <c r="D13" i="20"/>
  <c r="C13" i="20"/>
  <c r="G85" i="20"/>
  <c r="E85" i="20"/>
  <c r="D85" i="20"/>
  <c r="C85" i="20"/>
  <c r="G8" i="20"/>
  <c r="E8" i="20"/>
  <c r="D8" i="20"/>
  <c r="C8" i="20"/>
  <c r="G36" i="20"/>
  <c r="E36" i="20"/>
  <c r="D36" i="20"/>
  <c r="C36" i="20"/>
  <c r="G110" i="20"/>
  <c r="E110" i="20"/>
  <c r="D110" i="20"/>
  <c r="C110" i="20"/>
  <c r="G107" i="20"/>
  <c r="E107" i="20"/>
  <c r="D107" i="20"/>
  <c r="C107" i="20"/>
  <c r="G55" i="20"/>
  <c r="E55" i="20"/>
  <c r="D55" i="20"/>
  <c r="C55" i="20"/>
  <c r="G108" i="20"/>
  <c r="E108" i="20"/>
  <c r="D108" i="20"/>
  <c r="C108" i="20"/>
  <c r="G140" i="20"/>
  <c r="E140" i="20"/>
  <c r="D140" i="20"/>
  <c r="C140" i="20"/>
  <c r="G157" i="20"/>
  <c r="E157" i="20"/>
  <c r="D157" i="20"/>
  <c r="C157" i="20"/>
  <c r="G139" i="20"/>
  <c r="E139" i="20"/>
  <c r="D139" i="20"/>
  <c r="C139" i="20"/>
  <c r="G117" i="20"/>
  <c r="E117" i="20"/>
  <c r="D117" i="20"/>
  <c r="C117" i="20"/>
  <c r="G68" i="20"/>
  <c r="E68" i="20"/>
  <c r="D68" i="20"/>
  <c r="C68" i="20"/>
  <c r="G143" i="20"/>
  <c r="E143" i="20"/>
  <c r="D143" i="20"/>
  <c r="C143" i="20"/>
  <c r="G74" i="20"/>
  <c r="E74" i="20"/>
  <c r="D74" i="20"/>
  <c r="C74" i="20"/>
  <c r="G96" i="20"/>
  <c r="E96" i="20"/>
  <c r="D96" i="20"/>
  <c r="C96" i="20"/>
  <c r="G46" i="20"/>
  <c r="E46" i="20"/>
  <c r="D46" i="20"/>
  <c r="C46" i="20"/>
  <c r="G129" i="20"/>
  <c r="E129" i="20"/>
  <c r="D129" i="20"/>
  <c r="C129" i="20"/>
  <c r="G141" i="20"/>
  <c r="E141" i="20"/>
  <c r="D141" i="20"/>
  <c r="C141" i="20"/>
  <c r="G99" i="20"/>
  <c r="E99" i="20"/>
  <c r="D99" i="20"/>
  <c r="C99" i="20"/>
  <c r="G76" i="20"/>
  <c r="E76" i="20"/>
  <c r="D76" i="20"/>
  <c r="C76" i="20"/>
  <c r="G43" i="20"/>
  <c r="E43" i="20"/>
  <c r="D43" i="20"/>
  <c r="C43" i="20"/>
  <c r="G31" i="20"/>
  <c r="E31" i="20"/>
  <c r="D31" i="20"/>
  <c r="C31" i="20"/>
  <c r="G10" i="20"/>
  <c r="E10" i="20"/>
  <c r="D10" i="20"/>
  <c r="C10" i="20"/>
  <c r="G150" i="20"/>
  <c r="E150" i="20"/>
  <c r="D150" i="20"/>
  <c r="C150" i="20"/>
  <c r="G125" i="20"/>
  <c r="E125" i="20"/>
  <c r="D125" i="20"/>
  <c r="C125" i="20"/>
  <c r="G20" i="20"/>
  <c r="E20" i="20"/>
  <c r="D20" i="20"/>
  <c r="C20" i="20"/>
  <c r="G84" i="20"/>
  <c r="E84" i="20"/>
  <c r="D84" i="20"/>
  <c r="C84" i="20"/>
  <c r="G52" i="20"/>
  <c r="E52" i="20"/>
  <c r="D52" i="20"/>
  <c r="C52" i="20"/>
  <c r="G56" i="20"/>
  <c r="E56" i="20"/>
  <c r="D56" i="20"/>
  <c r="C56" i="20"/>
  <c r="G73" i="20"/>
  <c r="E73" i="20"/>
  <c r="D73" i="20"/>
  <c r="C73" i="20"/>
  <c r="G9" i="20"/>
  <c r="E9" i="20"/>
  <c r="D9" i="20"/>
  <c r="C9" i="20"/>
  <c r="G49" i="20"/>
  <c r="E49" i="20"/>
  <c r="D49" i="20"/>
  <c r="C49" i="20"/>
  <c r="G44" i="20"/>
  <c r="E44" i="20"/>
  <c r="D44" i="20"/>
  <c r="C44" i="20"/>
  <c r="G47" i="20"/>
  <c r="E47" i="20"/>
  <c r="D47" i="20"/>
  <c r="C47" i="20"/>
  <c r="G6" i="20"/>
  <c r="E6" i="20"/>
  <c r="D6" i="20"/>
  <c r="C6" i="20"/>
  <c r="G35" i="20"/>
  <c r="E35" i="20"/>
  <c r="D35" i="20"/>
  <c r="C35" i="20"/>
  <c r="G149" i="20"/>
  <c r="E149" i="20"/>
  <c r="D149" i="20"/>
  <c r="C149" i="20"/>
  <c r="G146" i="20"/>
  <c r="E146" i="20"/>
  <c r="D146" i="20"/>
  <c r="C146" i="20"/>
  <c r="G105" i="20"/>
  <c r="E105" i="20"/>
  <c r="D105" i="20"/>
  <c r="C105" i="20"/>
  <c r="G28" i="20"/>
  <c r="E28" i="20"/>
  <c r="D28" i="20"/>
  <c r="C28" i="20"/>
  <c r="G137" i="20"/>
  <c r="E137" i="20"/>
  <c r="D137" i="20"/>
  <c r="C137" i="20"/>
  <c r="G120" i="20"/>
  <c r="E120" i="20"/>
  <c r="D120" i="20"/>
  <c r="C120" i="20"/>
  <c r="G12" i="20"/>
  <c r="E12" i="20"/>
  <c r="D12" i="20"/>
  <c r="C12" i="20"/>
  <c r="G142" i="20"/>
  <c r="E142" i="20"/>
  <c r="D142" i="20"/>
  <c r="C142" i="20"/>
  <c r="G112" i="20"/>
  <c r="E112" i="20"/>
  <c r="D112" i="20"/>
  <c r="C112" i="20"/>
  <c r="G61" i="20"/>
  <c r="E61" i="20"/>
  <c r="D61" i="20"/>
  <c r="C61" i="20"/>
  <c r="G121" i="20"/>
  <c r="E121" i="20"/>
  <c r="D121" i="20"/>
  <c r="C121" i="20"/>
  <c r="G98" i="20"/>
  <c r="E98" i="20"/>
  <c r="D98" i="20"/>
  <c r="C98" i="20"/>
  <c r="G133" i="20"/>
  <c r="E133" i="20"/>
  <c r="D133" i="20"/>
  <c r="C133" i="20"/>
  <c r="G158" i="20"/>
  <c r="E158" i="20"/>
  <c r="D158" i="20"/>
  <c r="C158" i="20"/>
  <c r="G161" i="20"/>
  <c r="E161" i="20"/>
  <c r="D161" i="20"/>
  <c r="C161" i="20"/>
  <c r="G119" i="20"/>
  <c r="E119" i="20"/>
  <c r="D119" i="20"/>
  <c r="C119" i="20"/>
  <c r="G134" i="20"/>
  <c r="E134" i="20"/>
  <c r="D134" i="20"/>
  <c r="C134" i="20"/>
  <c r="G62" i="20"/>
  <c r="E62" i="20"/>
  <c r="D62" i="20"/>
  <c r="C62" i="20"/>
  <c r="G72" i="20"/>
  <c r="E72" i="20"/>
  <c r="D72" i="20"/>
  <c r="C72" i="20"/>
  <c r="G45" i="20"/>
  <c r="E45" i="20"/>
  <c r="D45" i="20"/>
  <c r="C45" i="20"/>
  <c r="G109" i="20"/>
  <c r="E109" i="20"/>
  <c r="D109" i="20"/>
  <c r="C109" i="20"/>
  <c r="G42" i="20"/>
  <c r="E42" i="20"/>
  <c r="D42" i="20"/>
  <c r="C42" i="20"/>
  <c r="G130" i="20"/>
  <c r="E130" i="20"/>
  <c r="D130" i="20"/>
  <c r="C130" i="20"/>
  <c r="G148" i="20"/>
  <c r="E148" i="20"/>
  <c r="D148" i="20"/>
  <c r="C148" i="20"/>
  <c r="G131" i="20"/>
  <c r="E131" i="20"/>
  <c r="D131" i="20"/>
  <c r="C131" i="20"/>
  <c r="G26" i="20"/>
  <c r="E26" i="20"/>
  <c r="D26" i="20"/>
  <c r="C26" i="20"/>
  <c r="G58" i="20"/>
  <c r="E58" i="20"/>
  <c r="D58" i="20"/>
  <c r="C58" i="20"/>
  <c r="G151" i="20"/>
  <c r="E151" i="20"/>
  <c r="D151" i="20"/>
  <c r="C151" i="20"/>
  <c r="G102" i="20"/>
  <c r="E102" i="20"/>
  <c r="D102" i="20"/>
  <c r="C102" i="20"/>
  <c r="G83" i="20"/>
  <c r="E83" i="20"/>
  <c r="D83" i="20"/>
  <c r="C83" i="20"/>
  <c r="G154" i="20"/>
  <c r="E154" i="20"/>
  <c r="D154" i="20"/>
  <c r="C154" i="20"/>
  <c r="G29" i="20"/>
  <c r="E29" i="20"/>
  <c r="D29" i="20"/>
  <c r="C29" i="20"/>
  <c r="G23" i="20"/>
  <c r="E23" i="20"/>
  <c r="D23" i="20"/>
  <c r="C23" i="20"/>
  <c r="G100" i="20"/>
  <c r="E100" i="20"/>
  <c r="D100" i="20"/>
  <c r="C100" i="20"/>
  <c r="G82" i="20"/>
  <c r="E82" i="20"/>
  <c r="D82" i="20"/>
  <c r="C82" i="20"/>
  <c r="G111" i="20"/>
  <c r="E111" i="20"/>
  <c r="D111" i="20"/>
  <c r="C111" i="20"/>
  <c r="G136" i="20"/>
  <c r="E136" i="20"/>
  <c r="D136" i="20"/>
  <c r="C136" i="20"/>
  <c r="G15" i="20"/>
  <c r="E15" i="20"/>
  <c r="D15" i="20"/>
  <c r="C15" i="20"/>
  <c r="G16" i="20"/>
  <c r="E16" i="20"/>
  <c r="D16" i="20"/>
  <c r="C16" i="20"/>
  <c r="G4" i="20"/>
  <c r="E4" i="20"/>
  <c r="D4" i="20"/>
  <c r="C4" i="20"/>
  <c r="G127" i="20"/>
  <c r="E127" i="20"/>
  <c r="D127" i="20"/>
  <c r="C127" i="20"/>
  <c r="G81" i="20"/>
  <c r="E81" i="20"/>
  <c r="D81" i="20"/>
  <c r="C81" i="20"/>
  <c r="G80" i="20"/>
  <c r="E80" i="20"/>
  <c r="D80" i="20"/>
  <c r="C80" i="20"/>
  <c r="G106" i="20"/>
  <c r="E106" i="20"/>
  <c r="D106" i="20"/>
  <c r="C106" i="20"/>
  <c r="G116" i="20"/>
  <c r="E116" i="20"/>
  <c r="D116" i="20"/>
  <c r="C116" i="20"/>
  <c r="G79" i="20"/>
  <c r="E79" i="20"/>
  <c r="D79" i="20"/>
  <c r="C79" i="20"/>
  <c r="G63" i="20"/>
  <c r="E63" i="20"/>
  <c r="D63" i="20"/>
  <c r="C63" i="20"/>
  <c r="G155" i="20"/>
  <c r="E155" i="20"/>
  <c r="D155" i="20"/>
  <c r="C155" i="20"/>
  <c r="G27" i="20"/>
  <c r="E27" i="20"/>
  <c r="D27" i="20"/>
  <c r="C27" i="20"/>
  <c r="G7" i="20"/>
  <c r="E7" i="20"/>
  <c r="D7" i="20"/>
  <c r="C7" i="20"/>
  <c r="G78" i="20"/>
  <c r="E78" i="20"/>
  <c r="D78" i="20"/>
  <c r="C78" i="20"/>
  <c r="G18" i="20"/>
  <c r="E18" i="20"/>
  <c r="D18" i="20"/>
  <c r="C18" i="20"/>
  <c r="G113" i="20"/>
  <c r="E113" i="20"/>
  <c r="D113" i="20"/>
  <c r="C113" i="20"/>
  <c r="G128" i="20"/>
  <c r="E128" i="20"/>
  <c r="D128" i="20"/>
  <c r="C128" i="20"/>
  <c r="G115" i="20"/>
  <c r="E115" i="20"/>
  <c r="D115" i="20"/>
  <c r="C115" i="20"/>
  <c r="G103" i="20"/>
  <c r="E103" i="20"/>
  <c r="D103" i="20"/>
  <c r="C103" i="20"/>
  <c r="G77" i="20"/>
  <c r="E77" i="20"/>
  <c r="D77" i="20"/>
  <c r="C77" i="20"/>
  <c r="G152" i="20"/>
  <c r="E152" i="20"/>
  <c r="D152" i="20"/>
  <c r="C152" i="20"/>
  <c r="G22" i="20"/>
  <c r="E22" i="20"/>
  <c r="D22" i="20"/>
  <c r="C22" i="20"/>
  <c r="G50" i="20"/>
  <c r="E50" i="20"/>
  <c r="D50" i="20"/>
  <c r="C50" i="20"/>
  <c r="G65" i="20"/>
  <c r="E65" i="20"/>
  <c r="D65" i="20"/>
  <c r="C65" i="20"/>
  <c r="G5" i="20"/>
  <c r="E5" i="20"/>
  <c r="D5" i="20"/>
  <c r="C5" i="20"/>
  <c r="G17" i="20"/>
  <c r="E17" i="20"/>
  <c r="D17" i="20"/>
  <c r="C17" i="20"/>
  <c r="F63" i="20" l="1"/>
  <c r="F126" i="20"/>
  <c r="F59" i="20"/>
  <c r="F34" i="20"/>
  <c r="F162" i="20"/>
  <c r="F58" i="20"/>
  <c r="F148" i="20"/>
  <c r="F35" i="20"/>
  <c r="F125" i="20"/>
  <c r="F80" i="20"/>
  <c r="F19" i="20"/>
  <c r="F165" i="20"/>
  <c r="F159" i="20"/>
  <c r="F121" i="20"/>
  <c r="F61" i="20"/>
  <c r="F137" i="20"/>
  <c r="F65" i="20"/>
  <c r="F107" i="20"/>
  <c r="F97" i="20"/>
  <c r="F100" i="20"/>
  <c r="F62" i="20"/>
  <c r="F149" i="20"/>
  <c r="F13" i="20"/>
  <c r="F37" i="20"/>
  <c r="F94" i="20"/>
  <c r="F103" i="20"/>
  <c r="F113" i="20"/>
  <c r="F18" i="20"/>
  <c r="F83" i="20"/>
  <c r="F26" i="20"/>
  <c r="F42" i="20"/>
  <c r="F56" i="20"/>
  <c r="F84" i="20"/>
  <c r="F10" i="20"/>
  <c r="F43" i="20"/>
  <c r="F74" i="20"/>
  <c r="F138" i="20"/>
  <c r="F66" i="20"/>
  <c r="F21" i="20"/>
  <c r="F93" i="20"/>
  <c r="F57" i="20"/>
  <c r="F41" i="20"/>
  <c r="F135" i="20"/>
  <c r="F144" i="20"/>
  <c r="F81" i="20"/>
  <c r="F15" i="20"/>
  <c r="F23" i="20"/>
  <c r="F6" i="20"/>
  <c r="F55" i="20"/>
  <c r="F160" i="20"/>
  <c r="F114" i="20"/>
  <c r="F147" i="20"/>
  <c r="F132" i="20"/>
  <c r="F33" i="20"/>
  <c r="F95" i="20"/>
  <c r="F45" i="20"/>
  <c r="F105" i="20"/>
  <c r="F124" i="20"/>
  <c r="F123" i="20"/>
  <c r="F50" i="20"/>
  <c r="F22" i="20"/>
  <c r="F152" i="20"/>
  <c r="F79" i="20"/>
  <c r="F154" i="20"/>
  <c r="F119" i="20"/>
  <c r="F161" i="20"/>
  <c r="F158" i="20"/>
  <c r="F44" i="20"/>
  <c r="F49" i="20"/>
  <c r="F76" i="20"/>
  <c r="F157" i="20"/>
  <c r="F110" i="20"/>
  <c r="F86" i="20"/>
  <c r="F145" i="20"/>
  <c r="F122" i="20"/>
  <c r="F75" i="20"/>
  <c r="F91" i="20"/>
  <c r="F163" i="20"/>
  <c r="F115" i="20"/>
  <c r="F155" i="20"/>
  <c r="F106" i="20"/>
  <c r="F127" i="20"/>
  <c r="F111" i="20"/>
  <c r="F82" i="20"/>
  <c r="F29" i="20"/>
  <c r="F102" i="20"/>
  <c r="F72" i="20"/>
  <c r="F134" i="20"/>
  <c r="F98" i="20"/>
  <c r="F112" i="20"/>
  <c r="F120" i="20"/>
  <c r="F146" i="20"/>
  <c r="F47" i="20"/>
  <c r="F52" i="20"/>
  <c r="F150" i="20"/>
  <c r="F99" i="20"/>
  <c r="F143" i="20"/>
  <c r="F117" i="20"/>
  <c r="F108" i="20"/>
  <c r="F85" i="20"/>
  <c r="F24" i="20"/>
  <c r="F87" i="20"/>
  <c r="F11" i="20"/>
  <c r="F39" i="20"/>
  <c r="F48" i="20"/>
  <c r="F89" i="20"/>
  <c r="F71" i="20"/>
  <c r="F90" i="20"/>
  <c r="F69" i="20"/>
  <c r="F92" i="20"/>
  <c r="F53" i="20"/>
  <c r="F153" i="20"/>
  <c r="F77" i="20"/>
  <c r="F7" i="20"/>
  <c r="F116" i="20"/>
  <c r="F136" i="20"/>
  <c r="F133" i="20"/>
  <c r="F9" i="20"/>
  <c r="F31" i="20"/>
  <c r="F46" i="20"/>
  <c r="F139" i="20"/>
  <c r="F8" i="20"/>
  <c r="F70" i="20"/>
  <c r="F30" i="20"/>
  <c r="F51" i="20"/>
  <c r="F14" i="20"/>
  <c r="F101" i="20"/>
  <c r="F64" i="20"/>
  <c r="F166" i="20"/>
  <c r="F67" i="20"/>
  <c r="F38" i="20"/>
  <c r="D167" i="20"/>
  <c r="F17" i="20"/>
  <c r="E167" i="20"/>
  <c r="F5" i="20"/>
  <c r="C167" i="20"/>
  <c r="F78" i="20"/>
  <c r="F4" i="20"/>
  <c r="F16" i="20"/>
  <c r="F131" i="20"/>
  <c r="F142" i="20"/>
  <c r="F141" i="20"/>
  <c r="F129" i="20"/>
  <c r="F36" i="20"/>
  <c r="F104" i="20"/>
  <c r="F164" i="20"/>
  <c r="F40" i="20"/>
  <c r="F54" i="20"/>
  <c r="F128" i="20"/>
  <c r="F151" i="20"/>
  <c r="F109" i="20"/>
  <c r="F28" i="20"/>
  <c r="F20" i="20"/>
  <c r="F68" i="20"/>
  <c r="F88" i="20"/>
  <c r="F3" i="20"/>
  <c r="F156" i="20"/>
  <c r="G167" i="20"/>
  <c r="F27" i="20"/>
  <c r="F130" i="20"/>
  <c r="F12" i="20"/>
  <c r="F73" i="20"/>
  <c r="F96" i="20"/>
  <c r="F140" i="20"/>
  <c r="F60" i="20"/>
  <c r="F32" i="20"/>
  <c r="F118" i="20"/>
  <c r="F25" i="20"/>
  <c r="G163" i="19"/>
  <c r="E163" i="19"/>
  <c r="D163" i="19"/>
  <c r="C163" i="19"/>
  <c r="G66" i="19"/>
  <c r="E66" i="19"/>
  <c r="D66" i="19"/>
  <c r="C66" i="19"/>
  <c r="G167" i="19"/>
  <c r="E167" i="19"/>
  <c r="D167" i="19"/>
  <c r="C167" i="19"/>
  <c r="G93" i="19"/>
  <c r="E93" i="19"/>
  <c r="D93" i="19"/>
  <c r="C93" i="19"/>
  <c r="G10" i="19"/>
  <c r="E10" i="19"/>
  <c r="D10" i="19"/>
  <c r="C10" i="19"/>
  <c r="G26" i="19"/>
  <c r="E26" i="19"/>
  <c r="D26" i="19"/>
  <c r="C26" i="19"/>
  <c r="G159" i="19"/>
  <c r="E159" i="19"/>
  <c r="D159" i="19"/>
  <c r="C159" i="19"/>
  <c r="G165" i="19"/>
  <c r="E165" i="19"/>
  <c r="D165" i="19"/>
  <c r="C165" i="19"/>
  <c r="G28" i="19"/>
  <c r="E28" i="19"/>
  <c r="D28" i="19"/>
  <c r="C28" i="19"/>
  <c r="G92" i="19"/>
  <c r="E92" i="19"/>
  <c r="D92" i="19"/>
  <c r="C92" i="19"/>
  <c r="G53" i="19"/>
  <c r="E53" i="19"/>
  <c r="D53" i="19"/>
  <c r="C53" i="19"/>
  <c r="G147" i="19"/>
  <c r="E147" i="19"/>
  <c r="D147" i="19"/>
  <c r="C147" i="19"/>
  <c r="G62" i="19"/>
  <c r="E62" i="19"/>
  <c r="D62" i="19"/>
  <c r="C62" i="19"/>
  <c r="G132" i="19"/>
  <c r="E132" i="19"/>
  <c r="D132" i="19"/>
  <c r="C132" i="19"/>
  <c r="G123" i="19"/>
  <c r="E123" i="19"/>
  <c r="D123" i="19"/>
  <c r="C123" i="19"/>
  <c r="G48" i="19"/>
  <c r="E48" i="19"/>
  <c r="D48" i="19"/>
  <c r="C48" i="19"/>
  <c r="G118" i="19"/>
  <c r="E118" i="19"/>
  <c r="D118" i="19"/>
  <c r="C118" i="19"/>
  <c r="G151" i="19"/>
  <c r="E151" i="19"/>
  <c r="D151" i="19"/>
  <c r="C151" i="19"/>
  <c r="G100" i="19"/>
  <c r="E100" i="19"/>
  <c r="D100" i="19"/>
  <c r="C100" i="19"/>
  <c r="G96" i="19"/>
  <c r="E96" i="19"/>
  <c r="D96" i="19"/>
  <c r="C96" i="19"/>
  <c r="G16" i="19"/>
  <c r="E16" i="19"/>
  <c r="D16" i="19"/>
  <c r="C16" i="19"/>
  <c r="G144" i="19"/>
  <c r="E144" i="19"/>
  <c r="D144" i="19"/>
  <c r="C144" i="19"/>
  <c r="G157" i="19"/>
  <c r="E157" i="19"/>
  <c r="D157" i="19"/>
  <c r="C157" i="19"/>
  <c r="G37" i="19"/>
  <c r="E37" i="19"/>
  <c r="D37" i="19"/>
  <c r="C37" i="19"/>
  <c r="G36" i="19"/>
  <c r="E36" i="19"/>
  <c r="D36" i="19"/>
  <c r="C36" i="19"/>
  <c r="G166" i="19"/>
  <c r="E166" i="19"/>
  <c r="D166" i="19"/>
  <c r="C166" i="19"/>
  <c r="G135" i="19"/>
  <c r="E135" i="19"/>
  <c r="D135" i="19"/>
  <c r="C135" i="19"/>
  <c r="G33" i="19"/>
  <c r="E33" i="19"/>
  <c r="D33" i="19"/>
  <c r="C33" i="19"/>
  <c r="G94" i="19"/>
  <c r="E94" i="19"/>
  <c r="D94" i="19"/>
  <c r="C94" i="19"/>
  <c r="G17" i="19"/>
  <c r="E17" i="19"/>
  <c r="D17" i="19"/>
  <c r="C17" i="19"/>
  <c r="G52" i="19"/>
  <c r="E52" i="19"/>
  <c r="D52" i="19"/>
  <c r="C52" i="19"/>
  <c r="G91" i="19"/>
  <c r="E91" i="19"/>
  <c r="D91" i="19"/>
  <c r="C91" i="19"/>
  <c r="G90" i="19"/>
  <c r="E90" i="19"/>
  <c r="D90" i="19"/>
  <c r="C90" i="19"/>
  <c r="G29" i="19"/>
  <c r="E29" i="19"/>
  <c r="D29" i="19"/>
  <c r="C29" i="19"/>
  <c r="G89" i="19"/>
  <c r="E89" i="19"/>
  <c r="D89" i="19"/>
  <c r="C89" i="19"/>
  <c r="G73" i="19"/>
  <c r="E73" i="19"/>
  <c r="D73" i="19"/>
  <c r="C73" i="19"/>
  <c r="G149" i="19"/>
  <c r="E149" i="19"/>
  <c r="D149" i="19"/>
  <c r="C149" i="19"/>
  <c r="G20" i="19"/>
  <c r="E20" i="19"/>
  <c r="D20" i="19"/>
  <c r="C20" i="19"/>
  <c r="G68" i="19"/>
  <c r="E68" i="19"/>
  <c r="D68" i="19"/>
  <c r="C68" i="19"/>
  <c r="G124" i="19"/>
  <c r="E124" i="19"/>
  <c r="D124" i="19"/>
  <c r="C124" i="19"/>
  <c r="G3" i="19"/>
  <c r="E3" i="19"/>
  <c r="D3" i="19"/>
  <c r="C3" i="19"/>
  <c r="G38" i="19"/>
  <c r="E38" i="19"/>
  <c r="D38" i="19"/>
  <c r="C38" i="19"/>
  <c r="G58" i="19"/>
  <c r="E58" i="19"/>
  <c r="D58" i="19"/>
  <c r="C58" i="19"/>
  <c r="G88" i="19"/>
  <c r="E88" i="19"/>
  <c r="D88" i="19"/>
  <c r="C88" i="19"/>
  <c r="G57" i="19"/>
  <c r="E57" i="19"/>
  <c r="D57" i="19"/>
  <c r="C57" i="19"/>
  <c r="G114" i="19"/>
  <c r="E114" i="19"/>
  <c r="D114" i="19"/>
  <c r="C114" i="19"/>
  <c r="G126" i="19"/>
  <c r="E126" i="19"/>
  <c r="D126" i="19"/>
  <c r="C126" i="19"/>
  <c r="G70" i="19"/>
  <c r="E70" i="19"/>
  <c r="D70" i="19"/>
  <c r="C70" i="19"/>
  <c r="G122" i="19"/>
  <c r="E122" i="19"/>
  <c r="D122" i="19"/>
  <c r="C122" i="19"/>
  <c r="G40" i="19"/>
  <c r="E40" i="19"/>
  <c r="D40" i="19"/>
  <c r="C40" i="19"/>
  <c r="G34" i="19"/>
  <c r="E34" i="19"/>
  <c r="D34" i="19"/>
  <c r="C34" i="19"/>
  <c r="G87" i="19"/>
  <c r="E87" i="19"/>
  <c r="D87" i="19"/>
  <c r="C87" i="19"/>
  <c r="E47" i="19"/>
  <c r="D47" i="19"/>
  <c r="C47" i="19"/>
  <c r="G69" i="19"/>
  <c r="E69" i="19"/>
  <c r="D69" i="19"/>
  <c r="C69" i="19"/>
  <c r="G103" i="19"/>
  <c r="E103" i="19"/>
  <c r="D103" i="19"/>
  <c r="C103" i="19"/>
  <c r="G41" i="19"/>
  <c r="E41" i="19"/>
  <c r="D41" i="19"/>
  <c r="C41" i="19"/>
  <c r="G65" i="19"/>
  <c r="E65" i="19"/>
  <c r="D65" i="19"/>
  <c r="C65" i="19"/>
  <c r="G138" i="19"/>
  <c r="E138" i="19"/>
  <c r="D138" i="19"/>
  <c r="C138" i="19"/>
  <c r="G13" i="19"/>
  <c r="E13" i="19"/>
  <c r="D13" i="19"/>
  <c r="C13" i="19"/>
  <c r="G86" i="19"/>
  <c r="E86" i="19"/>
  <c r="D86" i="19"/>
  <c r="C86" i="19"/>
  <c r="G85" i="19"/>
  <c r="E85" i="19"/>
  <c r="D85" i="19"/>
  <c r="C85" i="19"/>
  <c r="G146" i="19"/>
  <c r="E146" i="19"/>
  <c r="D146" i="19"/>
  <c r="C146" i="19"/>
  <c r="G84" i="19"/>
  <c r="E84" i="19"/>
  <c r="D84" i="19"/>
  <c r="C84" i="19"/>
  <c r="G27" i="19"/>
  <c r="E27" i="19"/>
  <c r="D27" i="19"/>
  <c r="C27" i="19"/>
  <c r="G30" i="19"/>
  <c r="E30" i="19"/>
  <c r="D30" i="19"/>
  <c r="C30" i="19"/>
  <c r="G4" i="19"/>
  <c r="E4" i="19"/>
  <c r="D4" i="19"/>
  <c r="C4" i="19"/>
  <c r="G83" i="19"/>
  <c r="E83" i="19"/>
  <c r="D83" i="19"/>
  <c r="C83" i="19"/>
  <c r="G82" i="19"/>
  <c r="E82" i="19"/>
  <c r="D82" i="19"/>
  <c r="C82" i="19"/>
  <c r="G9" i="19"/>
  <c r="E9" i="19"/>
  <c r="D9" i="19"/>
  <c r="C9" i="19"/>
  <c r="G39" i="19"/>
  <c r="E39" i="19"/>
  <c r="D39" i="19"/>
  <c r="C39" i="19"/>
  <c r="G109" i="19"/>
  <c r="E109" i="19"/>
  <c r="D109" i="19"/>
  <c r="C109" i="19"/>
  <c r="G106" i="19"/>
  <c r="E106" i="19"/>
  <c r="D106" i="19"/>
  <c r="C106" i="19"/>
  <c r="G54" i="19"/>
  <c r="E54" i="19"/>
  <c r="D54" i="19"/>
  <c r="C54" i="19"/>
  <c r="G107" i="19"/>
  <c r="E107" i="19"/>
  <c r="D107" i="19"/>
  <c r="C107" i="19"/>
  <c r="G140" i="19"/>
  <c r="E140" i="19"/>
  <c r="D140" i="19"/>
  <c r="C140" i="19"/>
  <c r="G160" i="19"/>
  <c r="E160" i="19"/>
  <c r="D160" i="19"/>
  <c r="C160" i="19"/>
  <c r="G139" i="19"/>
  <c r="E139" i="19"/>
  <c r="D139" i="19"/>
  <c r="C139" i="19"/>
  <c r="G117" i="19"/>
  <c r="E117" i="19"/>
  <c r="D117" i="19"/>
  <c r="C117" i="19"/>
  <c r="G67" i="19"/>
  <c r="E67" i="19"/>
  <c r="D67" i="19"/>
  <c r="C67" i="19"/>
  <c r="G143" i="19"/>
  <c r="E143" i="19"/>
  <c r="D143" i="19"/>
  <c r="C143" i="19"/>
  <c r="G25" i="19"/>
  <c r="E25" i="19"/>
  <c r="D25" i="19"/>
  <c r="C25" i="19"/>
  <c r="G95" i="19"/>
  <c r="E95" i="19"/>
  <c r="D95" i="19"/>
  <c r="C95" i="19"/>
  <c r="G46" i="19"/>
  <c r="E46" i="19"/>
  <c r="D46" i="19"/>
  <c r="C46" i="19"/>
  <c r="G129" i="19"/>
  <c r="E129" i="19"/>
  <c r="D129" i="19"/>
  <c r="C129" i="19"/>
  <c r="G141" i="19"/>
  <c r="E141" i="19"/>
  <c r="D141" i="19"/>
  <c r="C141" i="19"/>
  <c r="G98" i="19"/>
  <c r="E98" i="19"/>
  <c r="D98" i="19"/>
  <c r="C98" i="19"/>
  <c r="G74" i="19"/>
  <c r="E74" i="19"/>
  <c r="D74" i="19"/>
  <c r="C74" i="19"/>
  <c r="G44" i="19"/>
  <c r="E44" i="19"/>
  <c r="D44" i="19"/>
  <c r="C44" i="19"/>
  <c r="G21" i="19"/>
  <c r="E21" i="19"/>
  <c r="D21" i="19"/>
  <c r="C21" i="19"/>
  <c r="G12" i="19"/>
  <c r="E12" i="19"/>
  <c r="D12" i="19"/>
  <c r="C12" i="19"/>
  <c r="G152" i="19"/>
  <c r="E152" i="19"/>
  <c r="D152" i="19"/>
  <c r="C152" i="19"/>
  <c r="G125" i="19"/>
  <c r="E125" i="19"/>
  <c r="D125" i="19"/>
  <c r="C125" i="19"/>
  <c r="G22" i="19"/>
  <c r="E22" i="19"/>
  <c r="D22" i="19"/>
  <c r="C22" i="19"/>
  <c r="G81" i="19"/>
  <c r="E81" i="19"/>
  <c r="D81" i="19"/>
  <c r="C81" i="19"/>
  <c r="G51" i="19"/>
  <c r="E51" i="19"/>
  <c r="D51" i="19"/>
  <c r="C51" i="19"/>
  <c r="G55" i="19"/>
  <c r="E55" i="19"/>
  <c r="D55" i="19"/>
  <c r="C55" i="19"/>
  <c r="G72" i="19"/>
  <c r="E72" i="19"/>
  <c r="D72" i="19"/>
  <c r="C72" i="19"/>
  <c r="G8" i="19"/>
  <c r="E8" i="19"/>
  <c r="D8" i="19"/>
  <c r="C8" i="19"/>
  <c r="G49" i="19"/>
  <c r="E49" i="19"/>
  <c r="D49" i="19"/>
  <c r="C49" i="19"/>
  <c r="G19" i="19"/>
  <c r="E19" i="19"/>
  <c r="D19" i="19"/>
  <c r="C19" i="19"/>
  <c r="G42" i="19"/>
  <c r="E42" i="19"/>
  <c r="D42" i="19"/>
  <c r="C42" i="19"/>
  <c r="G5" i="19"/>
  <c r="E5" i="19"/>
  <c r="D5" i="19"/>
  <c r="C5" i="19"/>
  <c r="G43" i="19"/>
  <c r="E43" i="19"/>
  <c r="D43" i="19"/>
  <c r="C43" i="19"/>
  <c r="G153" i="19"/>
  <c r="E153" i="19"/>
  <c r="D153" i="19"/>
  <c r="C153" i="19"/>
  <c r="G148" i="19"/>
  <c r="E148" i="19"/>
  <c r="D148" i="19"/>
  <c r="C148" i="19"/>
  <c r="G104" i="19"/>
  <c r="E104" i="19"/>
  <c r="D104" i="19"/>
  <c r="C104" i="19"/>
  <c r="G32" i="19"/>
  <c r="E32" i="19"/>
  <c r="D32" i="19"/>
  <c r="C32" i="19"/>
  <c r="G137" i="19"/>
  <c r="E137" i="19"/>
  <c r="D137" i="19"/>
  <c r="C137" i="19"/>
  <c r="G120" i="19"/>
  <c r="E120" i="19"/>
  <c r="D120" i="19"/>
  <c r="C120" i="19"/>
  <c r="G15" i="19"/>
  <c r="E15" i="19"/>
  <c r="D15" i="19"/>
  <c r="C15" i="19"/>
  <c r="G142" i="19"/>
  <c r="E142" i="19"/>
  <c r="D142" i="19"/>
  <c r="C142" i="19"/>
  <c r="G111" i="19"/>
  <c r="E111" i="19"/>
  <c r="D111" i="19"/>
  <c r="C111" i="19"/>
  <c r="G59" i="19"/>
  <c r="E59" i="19"/>
  <c r="D59" i="19"/>
  <c r="C59" i="19"/>
  <c r="G121" i="19"/>
  <c r="E121" i="19"/>
  <c r="D121" i="19"/>
  <c r="C121" i="19"/>
  <c r="G97" i="19"/>
  <c r="E97" i="19"/>
  <c r="D97" i="19"/>
  <c r="C97" i="19"/>
  <c r="G133" i="19"/>
  <c r="E133" i="19"/>
  <c r="D133" i="19"/>
  <c r="C133" i="19"/>
  <c r="G164" i="19"/>
  <c r="E164" i="19"/>
  <c r="D164" i="19"/>
  <c r="C164" i="19"/>
  <c r="G119" i="19"/>
  <c r="E119" i="19"/>
  <c r="D119" i="19"/>
  <c r="C119" i="19"/>
  <c r="G134" i="19"/>
  <c r="E134" i="19"/>
  <c r="D134" i="19"/>
  <c r="C134" i="19"/>
  <c r="G60" i="19"/>
  <c r="E60" i="19"/>
  <c r="D60" i="19"/>
  <c r="C60" i="19"/>
  <c r="G71" i="19"/>
  <c r="E71" i="19"/>
  <c r="D71" i="19"/>
  <c r="C71" i="19"/>
  <c r="G45" i="19"/>
  <c r="E45" i="19"/>
  <c r="D45" i="19"/>
  <c r="C45" i="19"/>
  <c r="G108" i="19"/>
  <c r="E108" i="19"/>
  <c r="D108" i="19"/>
  <c r="C108" i="19"/>
  <c r="G161" i="19"/>
  <c r="E161" i="19"/>
  <c r="D161" i="19"/>
  <c r="C161" i="19"/>
  <c r="G130" i="19"/>
  <c r="E130" i="19"/>
  <c r="D130" i="19"/>
  <c r="C130" i="19"/>
  <c r="G150" i="19"/>
  <c r="E150" i="19"/>
  <c r="D150" i="19"/>
  <c r="C150" i="19"/>
  <c r="G131" i="19"/>
  <c r="E131" i="19"/>
  <c r="D131" i="19"/>
  <c r="C131" i="19"/>
  <c r="G145" i="19"/>
  <c r="E145" i="19"/>
  <c r="D145" i="19"/>
  <c r="C145" i="19"/>
  <c r="G56" i="19"/>
  <c r="E56" i="19"/>
  <c r="D56" i="19"/>
  <c r="C56" i="19"/>
  <c r="G154" i="19"/>
  <c r="E154" i="19"/>
  <c r="D154" i="19"/>
  <c r="C154" i="19"/>
  <c r="G101" i="19"/>
  <c r="E101" i="19"/>
  <c r="D101" i="19"/>
  <c r="C101" i="19"/>
  <c r="G80" i="19"/>
  <c r="E80" i="19"/>
  <c r="D80" i="19"/>
  <c r="C80" i="19"/>
  <c r="G63" i="19"/>
  <c r="E63" i="19"/>
  <c r="D63" i="19"/>
  <c r="C63" i="19"/>
  <c r="G35" i="19"/>
  <c r="E35" i="19"/>
  <c r="D35" i="19"/>
  <c r="C35" i="19"/>
  <c r="G162" i="19"/>
  <c r="E162" i="19"/>
  <c r="D162" i="19"/>
  <c r="C162" i="19"/>
  <c r="G99" i="19"/>
  <c r="E99" i="19"/>
  <c r="D99" i="19"/>
  <c r="C99" i="19"/>
  <c r="G79" i="19"/>
  <c r="E79" i="19"/>
  <c r="D79" i="19"/>
  <c r="C79" i="19"/>
  <c r="G110" i="19"/>
  <c r="E110" i="19"/>
  <c r="D110" i="19"/>
  <c r="C110" i="19"/>
  <c r="G136" i="19"/>
  <c r="E136" i="19"/>
  <c r="D136" i="19"/>
  <c r="C136" i="19"/>
  <c r="G18" i="19"/>
  <c r="E18" i="19"/>
  <c r="D18" i="19"/>
  <c r="C18" i="19"/>
  <c r="G156" i="19"/>
  <c r="E156" i="19"/>
  <c r="D156" i="19"/>
  <c r="C156" i="19"/>
  <c r="G7" i="19"/>
  <c r="E7" i="19"/>
  <c r="D7" i="19"/>
  <c r="C7" i="19"/>
  <c r="G127" i="19"/>
  <c r="E127" i="19"/>
  <c r="D127" i="19"/>
  <c r="C127" i="19"/>
  <c r="G112" i="19"/>
  <c r="E112" i="19"/>
  <c r="D112" i="19"/>
  <c r="C112" i="19"/>
  <c r="G78" i="19"/>
  <c r="E78" i="19"/>
  <c r="D78" i="19"/>
  <c r="C78" i="19"/>
  <c r="G105" i="19"/>
  <c r="E105" i="19"/>
  <c r="D105" i="19"/>
  <c r="C105" i="19"/>
  <c r="G116" i="19"/>
  <c r="E116" i="19"/>
  <c r="D116" i="19"/>
  <c r="C116" i="19"/>
  <c r="G77" i="19"/>
  <c r="E77" i="19"/>
  <c r="D77" i="19"/>
  <c r="C77" i="19"/>
  <c r="G61" i="19"/>
  <c r="E61" i="19"/>
  <c r="D61" i="19"/>
  <c r="C61" i="19"/>
  <c r="G158" i="19"/>
  <c r="E158" i="19"/>
  <c r="D158" i="19"/>
  <c r="C158" i="19"/>
  <c r="G31" i="19"/>
  <c r="E31" i="19"/>
  <c r="D31" i="19"/>
  <c r="C31" i="19"/>
  <c r="G11" i="19"/>
  <c r="E11" i="19"/>
  <c r="D11" i="19"/>
  <c r="C11" i="19"/>
  <c r="G76" i="19"/>
  <c r="E76" i="19"/>
  <c r="D76" i="19"/>
  <c r="C76" i="19"/>
  <c r="G23" i="19"/>
  <c r="E23" i="19"/>
  <c r="D23" i="19"/>
  <c r="C23" i="19"/>
  <c r="G113" i="19"/>
  <c r="E113" i="19"/>
  <c r="D113" i="19"/>
  <c r="C113" i="19"/>
  <c r="G128" i="19"/>
  <c r="E128" i="19"/>
  <c r="D128" i="19"/>
  <c r="C128" i="19"/>
  <c r="G115" i="19"/>
  <c r="E115" i="19"/>
  <c r="D115" i="19"/>
  <c r="C115" i="19"/>
  <c r="G102" i="19"/>
  <c r="E102" i="19"/>
  <c r="D102" i="19"/>
  <c r="C102" i="19"/>
  <c r="G75" i="19"/>
  <c r="E75" i="19"/>
  <c r="D75" i="19"/>
  <c r="C75" i="19"/>
  <c r="G155" i="19"/>
  <c r="E155" i="19"/>
  <c r="D155" i="19"/>
  <c r="C155" i="19"/>
  <c r="G24" i="19"/>
  <c r="E24" i="19"/>
  <c r="D24" i="19"/>
  <c r="C24" i="19"/>
  <c r="G50" i="19"/>
  <c r="E50" i="19"/>
  <c r="D50" i="19"/>
  <c r="C50" i="19"/>
  <c r="G64" i="19"/>
  <c r="E64" i="19"/>
  <c r="D64" i="19"/>
  <c r="C64" i="19"/>
  <c r="G6" i="19"/>
  <c r="E6" i="19"/>
  <c r="D6" i="19"/>
  <c r="C6" i="19"/>
  <c r="G14" i="19"/>
  <c r="E14" i="19"/>
  <c r="D14" i="19"/>
  <c r="C14" i="19"/>
  <c r="F17" i="19" l="1"/>
  <c r="F135" i="19"/>
  <c r="F26" i="19"/>
  <c r="F82" i="19"/>
  <c r="F119" i="19"/>
  <c r="F164" i="19"/>
  <c r="F97" i="19"/>
  <c r="F121" i="19"/>
  <c r="F120" i="19"/>
  <c r="F137" i="19"/>
  <c r="F160" i="19"/>
  <c r="F107" i="19"/>
  <c r="F124" i="19"/>
  <c r="F91" i="19"/>
  <c r="F12" i="19"/>
  <c r="F122" i="19"/>
  <c r="F70" i="19"/>
  <c r="F126" i="19"/>
  <c r="F93" i="19"/>
  <c r="F61" i="19"/>
  <c r="F105" i="19"/>
  <c r="F78" i="19"/>
  <c r="F18" i="19"/>
  <c r="F110" i="19"/>
  <c r="F104" i="19"/>
  <c r="F81" i="19"/>
  <c r="F138" i="19"/>
  <c r="F144" i="19"/>
  <c r="F151" i="19"/>
  <c r="F123" i="19"/>
  <c r="F132" i="19"/>
  <c r="F165" i="19"/>
  <c r="F56" i="19"/>
  <c r="F125" i="19"/>
  <c r="F115" i="19"/>
  <c r="F101" i="19"/>
  <c r="F45" i="19"/>
  <c r="F71" i="19"/>
  <c r="F43" i="19"/>
  <c r="F19" i="19"/>
  <c r="F49" i="19"/>
  <c r="F51" i="19"/>
  <c r="F84" i="19"/>
  <c r="F146" i="19"/>
  <c r="F85" i="19"/>
  <c r="F57" i="19"/>
  <c r="F73" i="19"/>
  <c r="F89" i="19"/>
  <c r="F90" i="19"/>
  <c r="F96" i="19"/>
  <c r="F147" i="19"/>
  <c r="F163" i="19"/>
  <c r="F23" i="19"/>
  <c r="F158" i="19"/>
  <c r="F112" i="19"/>
  <c r="F99" i="19"/>
  <c r="F35" i="19"/>
  <c r="F145" i="19"/>
  <c r="F150" i="19"/>
  <c r="F153" i="19"/>
  <c r="F44" i="19"/>
  <c r="F143" i="19"/>
  <c r="F54" i="19"/>
  <c r="F4" i="19"/>
  <c r="F65" i="19"/>
  <c r="F47" i="19"/>
  <c r="F114" i="19"/>
  <c r="F167" i="19"/>
  <c r="F79" i="19"/>
  <c r="F113" i="19"/>
  <c r="F64" i="19"/>
  <c r="F50" i="19"/>
  <c r="F24" i="19"/>
  <c r="F155" i="19"/>
  <c r="F77" i="19"/>
  <c r="F127" i="19"/>
  <c r="F63" i="19"/>
  <c r="F59" i="19"/>
  <c r="F106" i="19"/>
  <c r="F111" i="19"/>
  <c r="F152" i="19"/>
  <c r="F83" i="19"/>
  <c r="F27" i="19"/>
  <c r="F13" i="19"/>
  <c r="F87" i="19"/>
  <c r="F88" i="19"/>
  <c r="F68" i="19"/>
  <c r="F52" i="19"/>
  <c r="F102" i="19"/>
  <c r="F162" i="19"/>
  <c r="F80" i="19"/>
  <c r="F161" i="19"/>
  <c r="F60" i="19"/>
  <c r="F5" i="19"/>
  <c r="F55" i="19"/>
  <c r="F74" i="19"/>
  <c r="F25" i="19"/>
  <c r="F109" i="19"/>
  <c r="F30" i="19"/>
  <c r="F40" i="19"/>
  <c r="F38" i="19"/>
  <c r="F149" i="19"/>
  <c r="F29" i="19"/>
  <c r="F92" i="19"/>
  <c r="F134" i="19"/>
  <c r="F148" i="19"/>
  <c r="F42" i="19"/>
  <c r="F98" i="19"/>
  <c r="F117" i="19"/>
  <c r="F41" i="19"/>
  <c r="F157" i="19"/>
  <c r="F48" i="19"/>
  <c r="F75" i="19"/>
  <c r="F11" i="19"/>
  <c r="F116" i="19"/>
  <c r="F136" i="19"/>
  <c r="F133" i="19"/>
  <c r="F8" i="19"/>
  <c r="F21" i="19"/>
  <c r="F46" i="19"/>
  <c r="F139" i="19"/>
  <c r="F9" i="19"/>
  <c r="F69" i="19"/>
  <c r="F34" i="19"/>
  <c r="F20" i="19"/>
  <c r="F94" i="19"/>
  <c r="F16" i="19"/>
  <c r="F100" i="19"/>
  <c r="F62" i="19"/>
  <c r="F10" i="19"/>
  <c r="F66" i="19"/>
  <c r="F33" i="19"/>
  <c r="D168" i="19"/>
  <c r="F14" i="19"/>
  <c r="E168" i="19"/>
  <c r="F6" i="19"/>
  <c r="C168" i="19"/>
  <c r="F76" i="19"/>
  <c r="F7" i="19"/>
  <c r="F156" i="19"/>
  <c r="F131" i="19"/>
  <c r="F142" i="19"/>
  <c r="F141" i="19"/>
  <c r="F129" i="19"/>
  <c r="F39" i="19"/>
  <c r="F103" i="19"/>
  <c r="F166" i="19"/>
  <c r="F36" i="19"/>
  <c r="F53" i="19"/>
  <c r="F128" i="19"/>
  <c r="F154" i="19"/>
  <c r="F108" i="19"/>
  <c r="F32" i="19"/>
  <c r="F22" i="19"/>
  <c r="F67" i="19"/>
  <c r="F86" i="19"/>
  <c r="F3" i="19"/>
  <c r="F159" i="19"/>
  <c r="G168" i="19"/>
  <c r="F31" i="19"/>
  <c r="F130" i="19"/>
  <c r="F15" i="19"/>
  <c r="F72" i="19"/>
  <c r="F95" i="19"/>
  <c r="F140" i="19"/>
  <c r="F58" i="19"/>
  <c r="F37" i="19"/>
  <c r="F118" i="19"/>
  <c r="F28" i="19"/>
  <c r="C14" i="18"/>
  <c r="D14" i="18"/>
  <c r="E14" i="18"/>
  <c r="G14" i="18"/>
  <c r="G170" i="18"/>
  <c r="E170" i="18"/>
  <c r="D170" i="18"/>
  <c r="C170" i="18"/>
  <c r="G72" i="18"/>
  <c r="E72" i="18"/>
  <c r="D72" i="18"/>
  <c r="C72" i="18"/>
  <c r="G175" i="18"/>
  <c r="E175" i="18"/>
  <c r="D175" i="18"/>
  <c r="C175" i="18"/>
  <c r="G107" i="18"/>
  <c r="E107" i="18"/>
  <c r="D107" i="18"/>
  <c r="C107" i="18"/>
  <c r="G9" i="18"/>
  <c r="E9" i="18"/>
  <c r="D9" i="18"/>
  <c r="C9" i="18"/>
  <c r="G32" i="18"/>
  <c r="E32" i="18"/>
  <c r="D32" i="18"/>
  <c r="C32" i="18"/>
  <c r="G174" i="18"/>
  <c r="E174" i="18"/>
  <c r="D174" i="18"/>
  <c r="C174" i="18"/>
  <c r="G34" i="18"/>
  <c r="E34" i="18"/>
  <c r="D34" i="18"/>
  <c r="C34" i="18"/>
  <c r="G20" i="18"/>
  <c r="E20" i="18"/>
  <c r="D20" i="18"/>
  <c r="C20" i="18"/>
  <c r="G22" i="18"/>
  <c r="E22" i="18"/>
  <c r="D22" i="18"/>
  <c r="C22" i="18"/>
  <c r="G158" i="18"/>
  <c r="E158" i="18"/>
  <c r="D158" i="18"/>
  <c r="C158" i="18"/>
  <c r="G66" i="18"/>
  <c r="E66" i="18"/>
  <c r="D66" i="18"/>
  <c r="C66" i="18"/>
  <c r="G145" i="18"/>
  <c r="E145" i="18"/>
  <c r="D145" i="18"/>
  <c r="C145" i="18"/>
  <c r="G137" i="18"/>
  <c r="E137" i="18"/>
  <c r="D137" i="18"/>
  <c r="C137" i="18"/>
  <c r="G132" i="18"/>
  <c r="E132" i="18"/>
  <c r="D132" i="18"/>
  <c r="C132" i="18"/>
  <c r="G163" i="18"/>
  <c r="E163" i="18"/>
  <c r="D163" i="18"/>
  <c r="C163" i="18"/>
  <c r="G114" i="18"/>
  <c r="E114" i="18"/>
  <c r="D114" i="18"/>
  <c r="C114" i="18"/>
  <c r="G110" i="18"/>
  <c r="E110" i="18"/>
  <c r="D110" i="18"/>
  <c r="C110" i="18"/>
  <c r="G85" i="18"/>
  <c r="E85" i="18"/>
  <c r="D85" i="18"/>
  <c r="C85" i="18"/>
  <c r="G17" i="18"/>
  <c r="E17" i="18"/>
  <c r="D17" i="18"/>
  <c r="C17" i="18"/>
  <c r="G31" i="18"/>
  <c r="E31" i="18"/>
  <c r="D31" i="18"/>
  <c r="C31" i="18"/>
  <c r="G156" i="18"/>
  <c r="E156" i="18"/>
  <c r="D156" i="18"/>
  <c r="C156" i="18"/>
  <c r="G168" i="18"/>
  <c r="E168" i="18"/>
  <c r="D168" i="18"/>
  <c r="C168" i="18"/>
  <c r="G41" i="18"/>
  <c r="E41" i="18"/>
  <c r="D41" i="18"/>
  <c r="C41" i="18"/>
  <c r="G173" i="18"/>
  <c r="E173" i="18"/>
  <c r="D173" i="18"/>
  <c r="C173" i="18"/>
  <c r="G55" i="18"/>
  <c r="E55" i="18"/>
  <c r="D55" i="18"/>
  <c r="C55" i="18"/>
  <c r="G106" i="18"/>
  <c r="E106" i="18"/>
  <c r="D106" i="18"/>
  <c r="C106" i="18"/>
  <c r="G105" i="18"/>
  <c r="E105" i="18"/>
  <c r="D105" i="18"/>
  <c r="C105" i="18"/>
  <c r="G35" i="18"/>
  <c r="E35" i="18"/>
  <c r="D35" i="18"/>
  <c r="C35" i="18"/>
  <c r="G67" i="18"/>
  <c r="E67" i="18"/>
  <c r="D67" i="18"/>
  <c r="C67" i="18"/>
  <c r="G104" i="18"/>
  <c r="E104" i="18"/>
  <c r="D104" i="18"/>
  <c r="C104" i="18"/>
  <c r="G83" i="18"/>
  <c r="E83" i="18"/>
  <c r="D83" i="18"/>
  <c r="C83" i="18"/>
  <c r="G161" i="18"/>
  <c r="E161" i="18"/>
  <c r="D161" i="18"/>
  <c r="C161" i="18"/>
  <c r="G103" i="18"/>
  <c r="E103" i="18"/>
  <c r="D103" i="18"/>
  <c r="C103" i="18"/>
  <c r="G74" i="18"/>
  <c r="E74" i="18"/>
  <c r="D74" i="18"/>
  <c r="C74" i="18"/>
  <c r="G138" i="18"/>
  <c r="E138" i="18"/>
  <c r="D138" i="18"/>
  <c r="C138" i="18"/>
  <c r="G3" i="18"/>
  <c r="E3" i="18"/>
  <c r="D3" i="18"/>
  <c r="C3" i="18"/>
  <c r="G15" i="18"/>
  <c r="E15" i="18"/>
  <c r="D15" i="18"/>
  <c r="C15" i="18"/>
  <c r="G61" i="18"/>
  <c r="E61" i="18"/>
  <c r="D61" i="18"/>
  <c r="C61" i="18"/>
  <c r="G102" i="18"/>
  <c r="E102" i="18"/>
  <c r="D102" i="18"/>
  <c r="C102" i="18"/>
  <c r="G60" i="18"/>
  <c r="E60" i="18"/>
  <c r="D60" i="18"/>
  <c r="C60" i="18"/>
  <c r="G128" i="18"/>
  <c r="E128" i="18"/>
  <c r="D128" i="18"/>
  <c r="C128" i="18"/>
  <c r="G140" i="18"/>
  <c r="E140" i="18"/>
  <c r="D140" i="18"/>
  <c r="C140" i="18"/>
  <c r="G76" i="18"/>
  <c r="E76" i="18"/>
  <c r="D76" i="18"/>
  <c r="C76" i="18"/>
  <c r="G136" i="18"/>
  <c r="E136" i="18"/>
  <c r="D136" i="18"/>
  <c r="C136" i="18"/>
  <c r="G43" i="18"/>
  <c r="E43" i="18"/>
  <c r="D43" i="18"/>
  <c r="C43" i="18"/>
  <c r="G23" i="18"/>
  <c r="E23" i="18"/>
  <c r="D23" i="18"/>
  <c r="C23" i="18"/>
  <c r="G101" i="18"/>
  <c r="E101" i="18"/>
  <c r="D101" i="18"/>
  <c r="C101" i="18"/>
  <c r="E51" i="18"/>
  <c r="D51" i="18"/>
  <c r="C51" i="18"/>
  <c r="G75" i="18"/>
  <c r="E75" i="18"/>
  <c r="D75" i="18"/>
  <c r="C75" i="18"/>
  <c r="G117" i="18"/>
  <c r="E117" i="18"/>
  <c r="D117" i="18"/>
  <c r="C117" i="18"/>
  <c r="G44" i="18"/>
  <c r="E44" i="18"/>
  <c r="D44" i="18"/>
  <c r="C44" i="18"/>
  <c r="G70" i="18"/>
  <c r="E70" i="18"/>
  <c r="D70" i="18"/>
  <c r="C70" i="18"/>
  <c r="G151" i="18"/>
  <c r="E151" i="18"/>
  <c r="D151" i="18"/>
  <c r="C151" i="18"/>
  <c r="G12" i="18"/>
  <c r="E12" i="18"/>
  <c r="D12" i="18"/>
  <c r="C12" i="18"/>
  <c r="G100" i="18"/>
  <c r="E100" i="18"/>
  <c r="D100" i="18"/>
  <c r="C100" i="18"/>
  <c r="G99" i="18"/>
  <c r="E99" i="18"/>
  <c r="D99" i="18"/>
  <c r="C99" i="18"/>
  <c r="G157" i="18"/>
  <c r="E157" i="18"/>
  <c r="D157" i="18"/>
  <c r="C157" i="18"/>
  <c r="G98" i="18"/>
  <c r="E98" i="18"/>
  <c r="D98" i="18"/>
  <c r="C98" i="18"/>
  <c r="G33" i="18"/>
  <c r="E33" i="18"/>
  <c r="D33" i="18"/>
  <c r="C33" i="18"/>
  <c r="G36" i="18"/>
  <c r="E36" i="18"/>
  <c r="D36" i="18"/>
  <c r="C36" i="18"/>
  <c r="G4" i="18"/>
  <c r="E4" i="18"/>
  <c r="D4" i="18"/>
  <c r="C4" i="18"/>
  <c r="G97" i="18"/>
  <c r="E97" i="18"/>
  <c r="D97" i="18"/>
  <c r="C97" i="18"/>
  <c r="G96" i="18"/>
  <c r="E96" i="18"/>
  <c r="D96" i="18"/>
  <c r="C96" i="18"/>
  <c r="G8" i="18"/>
  <c r="E8" i="18"/>
  <c r="D8" i="18"/>
  <c r="C8" i="18"/>
  <c r="G42" i="18"/>
  <c r="E42" i="18"/>
  <c r="D42" i="18"/>
  <c r="C42" i="18"/>
  <c r="G124" i="18"/>
  <c r="E124" i="18"/>
  <c r="D124" i="18"/>
  <c r="C124" i="18"/>
  <c r="G121" i="18"/>
  <c r="E121" i="18"/>
  <c r="D121" i="18"/>
  <c r="C121" i="18"/>
  <c r="G57" i="18"/>
  <c r="E57" i="18"/>
  <c r="D57" i="18"/>
  <c r="C57" i="18"/>
  <c r="G122" i="18"/>
  <c r="E122" i="18"/>
  <c r="D122" i="18"/>
  <c r="C122" i="18"/>
  <c r="G153" i="18"/>
  <c r="E153" i="18"/>
  <c r="D153" i="18"/>
  <c r="C153" i="18"/>
  <c r="G165" i="18"/>
  <c r="E165" i="18"/>
  <c r="D165" i="18"/>
  <c r="C165" i="18"/>
  <c r="G152" i="18"/>
  <c r="E152" i="18"/>
  <c r="D152" i="18"/>
  <c r="C152" i="18"/>
  <c r="G131" i="18"/>
  <c r="E131" i="18"/>
  <c r="D131" i="18"/>
  <c r="C131" i="18"/>
  <c r="G73" i="18"/>
  <c r="E73" i="18"/>
  <c r="D73" i="18"/>
  <c r="C73" i="18"/>
  <c r="G155" i="18"/>
  <c r="E155" i="18"/>
  <c r="D155" i="18"/>
  <c r="C155" i="18"/>
  <c r="G80" i="18"/>
  <c r="E80" i="18"/>
  <c r="D80" i="18"/>
  <c r="C80" i="18"/>
  <c r="G109" i="18"/>
  <c r="E109" i="18"/>
  <c r="D109" i="18"/>
  <c r="C109" i="18"/>
  <c r="G50" i="18"/>
  <c r="E50" i="18"/>
  <c r="D50" i="18"/>
  <c r="C50" i="18"/>
  <c r="G143" i="18"/>
  <c r="E143" i="18"/>
  <c r="D143" i="18"/>
  <c r="C143" i="18"/>
  <c r="G5" i="18"/>
  <c r="E5" i="18"/>
  <c r="D5" i="18"/>
  <c r="C5" i="18"/>
  <c r="G112" i="18"/>
  <c r="E112" i="18"/>
  <c r="D112" i="18"/>
  <c r="C112" i="18"/>
  <c r="G87" i="18"/>
  <c r="E87" i="18"/>
  <c r="D87" i="18"/>
  <c r="C87" i="18"/>
  <c r="G47" i="18"/>
  <c r="E47" i="18"/>
  <c r="D47" i="18"/>
  <c r="C47" i="18"/>
  <c r="G25" i="18"/>
  <c r="E25" i="18"/>
  <c r="D25" i="18"/>
  <c r="C25" i="18"/>
  <c r="G18" i="18"/>
  <c r="E18" i="18"/>
  <c r="D18" i="18"/>
  <c r="C18" i="18"/>
  <c r="G164" i="18"/>
  <c r="E164" i="18"/>
  <c r="D164" i="18"/>
  <c r="C164" i="18"/>
  <c r="G139" i="18"/>
  <c r="E139" i="18"/>
  <c r="D139" i="18"/>
  <c r="C139" i="18"/>
  <c r="G26" i="18"/>
  <c r="E26" i="18"/>
  <c r="D26" i="18"/>
  <c r="C26" i="18"/>
  <c r="G95" i="18"/>
  <c r="E95" i="18"/>
  <c r="D95" i="18"/>
  <c r="C95" i="18"/>
  <c r="G54" i="18"/>
  <c r="E54" i="18"/>
  <c r="D54" i="18"/>
  <c r="C54" i="18"/>
  <c r="G58" i="18"/>
  <c r="E58" i="18"/>
  <c r="D58" i="18"/>
  <c r="C58" i="18"/>
  <c r="G79" i="18"/>
  <c r="E79" i="18"/>
  <c r="D79" i="18"/>
  <c r="C79" i="18"/>
  <c r="G10" i="18"/>
  <c r="E10" i="18"/>
  <c r="D10" i="18"/>
  <c r="C10" i="18"/>
  <c r="G52" i="18"/>
  <c r="E52" i="18"/>
  <c r="D52" i="18"/>
  <c r="C52" i="18"/>
  <c r="G19" i="18"/>
  <c r="E19" i="18"/>
  <c r="D19" i="18"/>
  <c r="C19" i="18"/>
  <c r="G45" i="18"/>
  <c r="E45" i="18"/>
  <c r="D45" i="18"/>
  <c r="C45" i="18"/>
  <c r="G7" i="18"/>
  <c r="E7" i="18"/>
  <c r="D7" i="18"/>
  <c r="C7" i="18"/>
  <c r="G38" i="18"/>
  <c r="E38" i="18"/>
  <c r="D38" i="18"/>
  <c r="C38" i="18"/>
  <c r="G65" i="18"/>
  <c r="E65" i="18"/>
  <c r="D65" i="18"/>
  <c r="C65" i="18"/>
  <c r="G160" i="18"/>
  <c r="E160" i="18"/>
  <c r="D160" i="18"/>
  <c r="C160" i="18"/>
  <c r="G118" i="18"/>
  <c r="E118" i="18"/>
  <c r="D118" i="18"/>
  <c r="C118" i="18"/>
  <c r="G150" i="18"/>
  <c r="E150" i="18"/>
  <c r="D150" i="18"/>
  <c r="C150" i="18"/>
  <c r="G134" i="18"/>
  <c r="E134" i="18"/>
  <c r="D134" i="18"/>
  <c r="C134" i="18"/>
  <c r="G16" i="18"/>
  <c r="E16" i="18"/>
  <c r="D16" i="18"/>
  <c r="C16" i="18"/>
  <c r="G154" i="18"/>
  <c r="E154" i="18"/>
  <c r="D154" i="18"/>
  <c r="C154" i="18"/>
  <c r="G126" i="18"/>
  <c r="E126" i="18"/>
  <c r="D126" i="18"/>
  <c r="C126" i="18"/>
  <c r="G62" i="18"/>
  <c r="E62" i="18"/>
  <c r="D62" i="18"/>
  <c r="C62" i="18"/>
  <c r="G135" i="18"/>
  <c r="E135" i="18"/>
  <c r="D135" i="18"/>
  <c r="C135" i="18"/>
  <c r="G111" i="18"/>
  <c r="E111" i="18"/>
  <c r="D111" i="18"/>
  <c r="C111" i="18"/>
  <c r="G146" i="18"/>
  <c r="E146" i="18"/>
  <c r="D146" i="18"/>
  <c r="C146" i="18"/>
  <c r="G171" i="18"/>
  <c r="E171" i="18"/>
  <c r="D171" i="18"/>
  <c r="C171" i="18"/>
  <c r="G133" i="18"/>
  <c r="E133" i="18"/>
  <c r="D133" i="18"/>
  <c r="C133" i="18"/>
  <c r="G147" i="18"/>
  <c r="E147" i="18"/>
  <c r="D147" i="18"/>
  <c r="C147" i="18"/>
  <c r="G63" i="18"/>
  <c r="E63" i="18"/>
  <c r="D63" i="18"/>
  <c r="C63" i="18"/>
  <c r="G78" i="18"/>
  <c r="E78" i="18"/>
  <c r="D78" i="18"/>
  <c r="C78" i="18"/>
  <c r="G49" i="18"/>
  <c r="E49" i="18"/>
  <c r="D49" i="18"/>
  <c r="C49" i="18"/>
  <c r="G123" i="18"/>
  <c r="E123" i="18"/>
  <c r="D123" i="18"/>
  <c r="C123" i="18"/>
  <c r="G48" i="18"/>
  <c r="E48" i="18"/>
  <c r="D48" i="18"/>
  <c r="C48" i="18"/>
  <c r="G172" i="18"/>
  <c r="E172" i="18"/>
  <c r="D172" i="18"/>
  <c r="C172" i="18"/>
  <c r="G162" i="18"/>
  <c r="E162" i="18"/>
  <c r="D162" i="18"/>
  <c r="C162" i="18"/>
  <c r="G144" i="18"/>
  <c r="E144" i="18"/>
  <c r="D144" i="18"/>
  <c r="C144" i="18"/>
  <c r="G40" i="18"/>
  <c r="E40" i="18"/>
  <c r="D40" i="18"/>
  <c r="C40" i="18"/>
  <c r="G39" i="18"/>
  <c r="E39" i="18"/>
  <c r="D39" i="18"/>
  <c r="C39" i="18"/>
  <c r="G94" i="18"/>
  <c r="E94" i="18"/>
  <c r="D94" i="18"/>
  <c r="C94" i="18"/>
  <c r="G148" i="18"/>
  <c r="E148" i="18"/>
  <c r="D148" i="18"/>
  <c r="C148" i="18"/>
  <c r="G21" i="18"/>
  <c r="E21" i="18"/>
  <c r="D21" i="18"/>
  <c r="C21" i="18"/>
  <c r="G59" i="18"/>
  <c r="E59" i="18"/>
  <c r="D59" i="18"/>
  <c r="C59" i="18"/>
  <c r="G166" i="18"/>
  <c r="E166" i="18"/>
  <c r="D166" i="18"/>
  <c r="C166" i="18"/>
  <c r="E108" i="18"/>
  <c r="D108" i="18"/>
  <c r="C108" i="18"/>
  <c r="G115" i="18"/>
  <c r="E115" i="18"/>
  <c r="D115" i="18"/>
  <c r="C115" i="18"/>
  <c r="G71" i="18"/>
  <c r="E71" i="18"/>
  <c r="D71" i="18"/>
  <c r="C71" i="18"/>
  <c r="G86" i="18"/>
  <c r="E86" i="18"/>
  <c r="D86" i="18"/>
  <c r="C86" i="18"/>
  <c r="G28" i="18"/>
  <c r="E28" i="18"/>
  <c r="D28" i="18"/>
  <c r="C28" i="18"/>
  <c r="G46" i="18"/>
  <c r="E46" i="18"/>
  <c r="D46" i="18"/>
  <c r="C46" i="18"/>
  <c r="G93" i="18"/>
  <c r="E93" i="18"/>
  <c r="D93" i="18"/>
  <c r="C93" i="18"/>
  <c r="G113" i="18"/>
  <c r="E113" i="18"/>
  <c r="D113" i="18"/>
  <c r="C113" i="18"/>
  <c r="G92" i="18"/>
  <c r="E92" i="18"/>
  <c r="D92" i="18"/>
  <c r="C92" i="18"/>
  <c r="G82" i="18"/>
  <c r="E82" i="18"/>
  <c r="D82" i="18"/>
  <c r="C82" i="18"/>
  <c r="G81" i="18"/>
  <c r="E81" i="18"/>
  <c r="D81" i="18"/>
  <c r="C81" i="18"/>
  <c r="G125" i="18"/>
  <c r="E125" i="18"/>
  <c r="D125" i="18"/>
  <c r="C125" i="18"/>
  <c r="G149" i="18"/>
  <c r="E149" i="18"/>
  <c r="D149" i="18"/>
  <c r="C149" i="18"/>
  <c r="G24" i="18"/>
  <c r="E24" i="18"/>
  <c r="D24" i="18"/>
  <c r="C24" i="18"/>
  <c r="G30" i="18"/>
  <c r="E30" i="18"/>
  <c r="D30" i="18"/>
  <c r="C30" i="18"/>
  <c r="G11" i="18"/>
  <c r="E11" i="18"/>
  <c r="D11" i="18"/>
  <c r="C11" i="18"/>
  <c r="G119" i="18"/>
  <c r="E119" i="18"/>
  <c r="D119" i="18"/>
  <c r="C119" i="18"/>
  <c r="G141" i="18"/>
  <c r="E141" i="18"/>
  <c r="D141" i="18"/>
  <c r="C141" i="18"/>
  <c r="G77" i="18"/>
  <c r="E77" i="18"/>
  <c r="D77" i="18"/>
  <c r="C77" i="18"/>
  <c r="G91" i="18"/>
  <c r="E91" i="18"/>
  <c r="D91" i="18"/>
  <c r="C91" i="18"/>
  <c r="G120" i="18"/>
  <c r="E120" i="18"/>
  <c r="D120" i="18"/>
  <c r="C120" i="18"/>
  <c r="G84" i="18"/>
  <c r="E84" i="18"/>
  <c r="D84" i="18"/>
  <c r="C84" i="18"/>
  <c r="G130" i="18"/>
  <c r="E130" i="18"/>
  <c r="D130" i="18"/>
  <c r="C130" i="18"/>
  <c r="G90" i="18"/>
  <c r="E90" i="18"/>
  <c r="D90" i="18"/>
  <c r="C90" i="18"/>
  <c r="G68" i="18"/>
  <c r="E68" i="18"/>
  <c r="D68" i="18"/>
  <c r="C68" i="18"/>
  <c r="G64" i="18"/>
  <c r="E64" i="18"/>
  <c r="D64" i="18"/>
  <c r="C64" i="18"/>
  <c r="G169" i="18"/>
  <c r="E169" i="18"/>
  <c r="D169" i="18"/>
  <c r="C169" i="18"/>
  <c r="G37" i="18"/>
  <c r="E37" i="18"/>
  <c r="D37" i="18"/>
  <c r="C37" i="18"/>
  <c r="G13" i="18"/>
  <c r="E13" i="18"/>
  <c r="D13" i="18"/>
  <c r="C13" i="18"/>
  <c r="G89" i="18"/>
  <c r="E89" i="18"/>
  <c r="D89" i="18"/>
  <c r="C89" i="18"/>
  <c r="G29" i="18"/>
  <c r="E29" i="18"/>
  <c r="D29" i="18"/>
  <c r="C29" i="18"/>
  <c r="G56" i="18"/>
  <c r="E56" i="18"/>
  <c r="D56" i="18"/>
  <c r="C56" i="18"/>
  <c r="G127" i="18"/>
  <c r="E127" i="18"/>
  <c r="D127" i="18"/>
  <c r="C127" i="18"/>
  <c r="G142" i="18"/>
  <c r="E142" i="18"/>
  <c r="D142" i="18"/>
  <c r="C142" i="18"/>
  <c r="G129" i="18"/>
  <c r="E129" i="18"/>
  <c r="D129" i="18"/>
  <c r="C129" i="18"/>
  <c r="G116" i="18"/>
  <c r="E116" i="18"/>
  <c r="D116" i="18"/>
  <c r="C116" i="18"/>
  <c r="G88" i="18"/>
  <c r="E88" i="18"/>
  <c r="D88" i="18"/>
  <c r="C88" i="18"/>
  <c r="G167" i="18"/>
  <c r="E167" i="18"/>
  <c r="D167" i="18"/>
  <c r="C167" i="18"/>
  <c r="G27" i="18"/>
  <c r="E27" i="18"/>
  <c r="D27" i="18"/>
  <c r="C27" i="18"/>
  <c r="G53" i="18"/>
  <c r="E53" i="18"/>
  <c r="D53" i="18"/>
  <c r="C53" i="18"/>
  <c r="G69" i="18"/>
  <c r="E69" i="18"/>
  <c r="D69" i="18"/>
  <c r="C69" i="18"/>
  <c r="G6" i="18"/>
  <c r="E6" i="18"/>
  <c r="D6" i="18"/>
  <c r="C6" i="18"/>
  <c r="G159" i="18"/>
  <c r="E159" i="18"/>
  <c r="D159" i="18"/>
  <c r="C159" i="18"/>
  <c r="F14" i="18" l="1"/>
  <c r="F67" i="18"/>
  <c r="F35" i="18"/>
  <c r="F31" i="18"/>
  <c r="F85" i="18"/>
  <c r="F110" i="18"/>
  <c r="F170" i="18"/>
  <c r="F124" i="18"/>
  <c r="F151" i="18"/>
  <c r="F44" i="18"/>
  <c r="F51" i="18"/>
  <c r="F127" i="18"/>
  <c r="F13" i="18"/>
  <c r="F30" i="18"/>
  <c r="F149" i="18"/>
  <c r="F125" i="18"/>
  <c r="F93" i="18"/>
  <c r="F131" i="18"/>
  <c r="F74" i="18"/>
  <c r="F173" i="18"/>
  <c r="F58" i="18"/>
  <c r="F164" i="18"/>
  <c r="F18" i="18"/>
  <c r="F101" i="18"/>
  <c r="F88" i="18"/>
  <c r="F116" i="18"/>
  <c r="F120" i="18"/>
  <c r="F71" i="18"/>
  <c r="F144" i="18"/>
  <c r="F65" i="18"/>
  <c r="F143" i="18"/>
  <c r="F57" i="18"/>
  <c r="F159" i="18"/>
  <c r="F84" i="18"/>
  <c r="F46" i="18"/>
  <c r="F28" i="18"/>
  <c r="F49" i="18"/>
  <c r="F129" i="18"/>
  <c r="F81" i="18"/>
  <c r="F82" i="18"/>
  <c r="F92" i="18"/>
  <c r="F59" i="18"/>
  <c r="F21" i="18"/>
  <c r="F148" i="18"/>
  <c r="F48" i="18"/>
  <c r="F126" i="18"/>
  <c r="F10" i="18"/>
  <c r="F109" i="18"/>
  <c r="F80" i="18"/>
  <c r="F155" i="18"/>
  <c r="F73" i="18"/>
  <c r="F36" i="18"/>
  <c r="F117" i="18"/>
  <c r="F76" i="18"/>
  <c r="F60" i="18"/>
  <c r="F66" i="18"/>
  <c r="F169" i="18"/>
  <c r="F111" i="18"/>
  <c r="F7" i="18"/>
  <c r="F153" i="18"/>
  <c r="F4" i="18"/>
  <c r="F161" i="18"/>
  <c r="F163" i="18"/>
  <c r="F132" i="18"/>
  <c r="F174" i="18"/>
  <c r="F27" i="18"/>
  <c r="F147" i="18"/>
  <c r="F118" i="18"/>
  <c r="F160" i="18"/>
  <c r="F112" i="18"/>
  <c r="F8" i="18"/>
  <c r="F99" i="18"/>
  <c r="F43" i="18"/>
  <c r="F61" i="18"/>
  <c r="F15" i="18"/>
  <c r="F105" i="18"/>
  <c r="F55" i="18"/>
  <c r="F20" i="18"/>
  <c r="F171" i="18"/>
  <c r="F146" i="18"/>
  <c r="F45" i="18"/>
  <c r="F50" i="18"/>
  <c r="F72" i="18"/>
  <c r="F130" i="18"/>
  <c r="F141" i="18"/>
  <c r="F119" i="18"/>
  <c r="F108" i="18"/>
  <c r="F40" i="18"/>
  <c r="F123" i="18"/>
  <c r="F62" i="18"/>
  <c r="F150" i="18"/>
  <c r="F95" i="18"/>
  <c r="F139" i="18"/>
  <c r="F47" i="18"/>
  <c r="F87" i="18"/>
  <c r="F97" i="18"/>
  <c r="F33" i="18"/>
  <c r="F100" i="18"/>
  <c r="F75" i="18"/>
  <c r="F102" i="18"/>
  <c r="F168" i="18"/>
  <c r="F158" i="18"/>
  <c r="F175" i="18"/>
  <c r="F78" i="18"/>
  <c r="F157" i="18"/>
  <c r="F12" i="18"/>
  <c r="F22" i="18"/>
  <c r="F9" i="18"/>
  <c r="F142" i="18"/>
  <c r="F68" i="18"/>
  <c r="F77" i="18"/>
  <c r="F24" i="18"/>
  <c r="F113" i="18"/>
  <c r="F115" i="18"/>
  <c r="F63" i="18"/>
  <c r="F134" i="18"/>
  <c r="F52" i="18"/>
  <c r="F54" i="18"/>
  <c r="F122" i="18"/>
  <c r="F121" i="18"/>
  <c r="F70" i="18"/>
  <c r="F140" i="18"/>
  <c r="F128" i="18"/>
  <c r="F106" i="18"/>
  <c r="F156" i="18"/>
  <c r="F145" i="18"/>
  <c r="F172" i="18"/>
  <c r="F25" i="18"/>
  <c r="C176" i="18"/>
  <c r="G176" i="18"/>
  <c r="F167" i="18"/>
  <c r="F37" i="18"/>
  <c r="F94" i="18"/>
  <c r="F39" i="18"/>
  <c r="F135" i="18"/>
  <c r="F16" i="18"/>
  <c r="F26" i="18"/>
  <c r="F165" i="18"/>
  <c r="F23" i="18"/>
  <c r="F3" i="18"/>
  <c r="F138" i="18"/>
  <c r="F104" i="18"/>
  <c r="F41" i="18"/>
  <c r="F17" i="18"/>
  <c r="F32" i="18"/>
  <c r="F56" i="18"/>
  <c r="F29" i="18"/>
  <c r="F91" i="18"/>
  <c r="F166" i="18"/>
  <c r="F152" i="18"/>
  <c r="F96" i="18"/>
  <c r="F137" i="18"/>
  <c r="F34" i="18"/>
  <c r="E176" i="18"/>
  <c r="D176" i="18"/>
  <c r="F6" i="18"/>
  <c r="F69" i="18"/>
  <c r="F64" i="18"/>
  <c r="F86" i="18"/>
  <c r="F162" i="18"/>
  <c r="F38" i="18"/>
  <c r="F79" i="18"/>
  <c r="F103" i="18"/>
  <c r="F107" i="18"/>
  <c r="F53" i="18"/>
  <c r="F89" i="18"/>
  <c r="F90" i="18"/>
  <c r="F11" i="18"/>
  <c r="F133" i="18"/>
  <c r="F154" i="18"/>
  <c r="F19" i="18"/>
  <c r="F5" i="18"/>
  <c r="F42" i="18"/>
  <c r="F98" i="18"/>
  <c r="F136" i="18"/>
  <c r="F83" i="18"/>
  <c r="F114" i="18"/>
  <c r="G55" i="17"/>
  <c r="E55" i="17"/>
  <c r="D55" i="17"/>
  <c r="C55" i="17"/>
  <c r="G172" i="17"/>
  <c r="E172" i="17"/>
  <c r="D172" i="17"/>
  <c r="C172" i="17"/>
  <c r="G72" i="17"/>
  <c r="E72" i="17"/>
  <c r="D72" i="17"/>
  <c r="C72" i="17"/>
  <c r="G107" i="17"/>
  <c r="E107" i="17"/>
  <c r="D107" i="17"/>
  <c r="C107" i="17"/>
  <c r="G175" i="17"/>
  <c r="E175" i="17"/>
  <c r="D175" i="17"/>
  <c r="C175" i="17"/>
  <c r="G106" i="17"/>
  <c r="E106" i="17"/>
  <c r="D106" i="17"/>
  <c r="C106" i="17"/>
  <c r="G9" i="17"/>
  <c r="E9" i="17"/>
  <c r="D9" i="17"/>
  <c r="C9" i="17"/>
  <c r="G20" i="17"/>
  <c r="E20" i="17"/>
  <c r="D20" i="17"/>
  <c r="C20" i="17"/>
  <c r="G105" i="17"/>
  <c r="E105" i="17"/>
  <c r="D105" i="17"/>
  <c r="C105" i="17"/>
  <c r="G32" i="17"/>
  <c r="E32" i="17"/>
  <c r="D32" i="17"/>
  <c r="C32" i="17"/>
  <c r="G23" i="17"/>
  <c r="E23" i="17"/>
  <c r="D23" i="17"/>
  <c r="C23" i="17"/>
  <c r="G21" i="17"/>
  <c r="E21" i="17"/>
  <c r="D21" i="17"/>
  <c r="C21" i="17"/>
  <c r="G170" i="17"/>
  <c r="E170" i="17"/>
  <c r="D170" i="17"/>
  <c r="C170" i="17"/>
  <c r="G66" i="17"/>
  <c r="E66" i="17"/>
  <c r="D66" i="17"/>
  <c r="C66" i="17"/>
  <c r="G143" i="17"/>
  <c r="E143" i="17"/>
  <c r="D143" i="17"/>
  <c r="C143" i="17"/>
  <c r="G135" i="17"/>
  <c r="E135" i="17"/>
  <c r="D135" i="17"/>
  <c r="C135" i="17"/>
  <c r="G51" i="17"/>
  <c r="E51" i="17"/>
  <c r="D51" i="17"/>
  <c r="C51" i="17"/>
  <c r="G130" i="17"/>
  <c r="E130" i="17"/>
  <c r="D130" i="17"/>
  <c r="C130" i="17"/>
  <c r="G169" i="17"/>
  <c r="E169" i="17"/>
  <c r="D169" i="17"/>
  <c r="C169" i="17"/>
  <c r="G112" i="17"/>
  <c r="E112" i="17"/>
  <c r="D112" i="17"/>
  <c r="C112" i="17"/>
  <c r="G108" i="17"/>
  <c r="E108" i="17"/>
  <c r="D108" i="17"/>
  <c r="C108" i="17"/>
  <c r="G85" i="17"/>
  <c r="E85" i="17"/>
  <c r="D85" i="17"/>
  <c r="C85" i="17"/>
  <c r="G15" i="17"/>
  <c r="E15" i="17"/>
  <c r="D15" i="17"/>
  <c r="C15" i="17"/>
  <c r="G30" i="17"/>
  <c r="E30" i="17"/>
  <c r="D30" i="17"/>
  <c r="C30" i="17"/>
  <c r="G157" i="17"/>
  <c r="E157" i="17"/>
  <c r="D157" i="17"/>
  <c r="C157" i="17"/>
  <c r="G163" i="17"/>
  <c r="E163" i="17"/>
  <c r="D163" i="17"/>
  <c r="C163" i="17"/>
  <c r="G33" i="17"/>
  <c r="E33" i="17"/>
  <c r="D33" i="17"/>
  <c r="C33" i="17"/>
  <c r="G173" i="17"/>
  <c r="E173" i="17"/>
  <c r="D173" i="17"/>
  <c r="C173" i="17"/>
  <c r="G57" i="17"/>
  <c r="E57" i="17"/>
  <c r="D57" i="17"/>
  <c r="C57" i="17"/>
  <c r="G171" i="17"/>
  <c r="E171" i="17"/>
  <c r="D171" i="17"/>
  <c r="C171" i="17"/>
  <c r="G104" i="17"/>
  <c r="E104" i="17"/>
  <c r="D104" i="17"/>
  <c r="C104" i="17"/>
  <c r="G103" i="17"/>
  <c r="E103" i="17"/>
  <c r="D103" i="17"/>
  <c r="C103" i="17"/>
  <c r="G28" i="17"/>
  <c r="E28" i="17"/>
  <c r="D28" i="17"/>
  <c r="C28" i="17"/>
  <c r="G67" i="17"/>
  <c r="E67" i="17"/>
  <c r="D67" i="17"/>
  <c r="C67" i="17"/>
  <c r="G40" i="17"/>
  <c r="E40" i="17"/>
  <c r="D40" i="17"/>
  <c r="C40" i="17"/>
  <c r="G83" i="17"/>
  <c r="E83" i="17"/>
  <c r="D83" i="17"/>
  <c r="C83" i="17"/>
  <c r="G156" i="17"/>
  <c r="E156" i="17"/>
  <c r="D156" i="17"/>
  <c r="C156" i="17"/>
  <c r="G102" i="17"/>
  <c r="E102" i="17"/>
  <c r="D102" i="17"/>
  <c r="C102" i="17"/>
  <c r="G73" i="17"/>
  <c r="E73" i="17"/>
  <c r="D73" i="17"/>
  <c r="C73" i="17"/>
  <c r="G137" i="17"/>
  <c r="E137" i="17"/>
  <c r="D137" i="17"/>
  <c r="C137" i="17"/>
  <c r="G3" i="17"/>
  <c r="E3" i="17"/>
  <c r="D3" i="17"/>
  <c r="C3" i="17"/>
  <c r="G36" i="17"/>
  <c r="E36" i="17"/>
  <c r="D36" i="17"/>
  <c r="C36" i="17"/>
  <c r="G62" i="17"/>
  <c r="E62" i="17"/>
  <c r="D62" i="17"/>
  <c r="C62" i="17"/>
  <c r="G101" i="17"/>
  <c r="E101" i="17"/>
  <c r="D101" i="17"/>
  <c r="C101" i="17"/>
  <c r="G61" i="17"/>
  <c r="E61" i="17"/>
  <c r="D61" i="17"/>
  <c r="C61" i="17"/>
  <c r="G126" i="17"/>
  <c r="E126" i="17"/>
  <c r="D126" i="17"/>
  <c r="C126" i="17"/>
  <c r="G139" i="17"/>
  <c r="E139" i="17"/>
  <c r="D139" i="17"/>
  <c r="C139" i="17"/>
  <c r="G75" i="17"/>
  <c r="E75" i="17"/>
  <c r="D75" i="17"/>
  <c r="C75" i="17"/>
  <c r="G134" i="17"/>
  <c r="E134" i="17"/>
  <c r="D134" i="17"/>
  <c r="C134" i="17"/>
  <c r="G38" i="17"/>
  <c r="E38" i="17"/>
  <c r="D38" i="17"/>
  <c r="C38" i="17"/>
  <c r="G24" i="17"/>
  <c r="E24" i="17"/>
  <c r="D24" i="17"/>
  <c r="C24" i="17"/>
  <c r="G100" i="17"/>
  <c r="E100" i="17"/>
  <c r="D100" i="17"/>
  <c r="C100" i="17"/>
  <c r="E50" i="17"/>
  <c r="D50" i="17"/>
  <c r="C50" i="17"/>
  <c r="G74" i="17"/>
  <c r="E74" i="17"/>
  <c r="D74" i="17"/>
  <c r="C74" i="17"/>
  <c r="G115" i="17"/>
  <c r="E115" i="17"/>
  <c r="D115" i="17"/>
  <c r="C115" i="17"/>
  <c r="G39" i="17"/>
  <c r="E39" i="17"/>
  <c r="D39" i="17"/>
  <c r="C39" i="17"/>
  <c r="G70" i="17"/>
  <c r="E70" i="17"/>
  <c r="D70" i="17"/>
  <c r="C70" i="17"/>
  <c r="G148" i="17"/>
  <c r="E148" i="17"/>
  <c r="D148" i="17"/>
  <c r="C148" i="17"/>
  <c r="G13" i="17"/>
  <c r="E13" i="17"/>
  <c r="D13" i="17"/>
  <c r="C13" i="17"/>
  <c r="G99" i="17"/>
  <c r="E99" i="17"/>
  <c r="D99" i="17"/>
  <c r="C99" i="17"/>
  <c r="G98" i="17"/>
  <c r="E98" i="17"/>
  <c r="D98" i="17"/>
  <c r="C98" i="17"/>
  <c r="G153" i="17"/>
  <c r="E153" i="17"/>
  <c r="D153" i="17"/>
  <c r="C153" i="17"/>
  <c r="G97" i="17"/>
  <c r="E97" i="17"/>
  <c r="D97" i="17"/>
  <c r="C97" i="17"/>
  <c r="G31" i="17"/>
  <c r="E31" i="17"/>
  <c r="D31" i="17"/>
  <c r="C31" i="17"/>
  <c r="G34" i="17"/>
  <c r="E34" i="17"/>
  <c r="D34" i="17"/>
  <c r="C34" i="17"/>
  <c r="G4" i="17"/>
  <c r="E4" i="17"/>
  <c r="D4" i="17"/>
  <c r="C4" i="17"/>
  <c r="G96" i="17"/>
  <c r="E96" i="17"/>
  <c r="D96" i="17"/>
  <c r="C96" i="17"/>
  <c r="G95" i="17"/>
  <c r="E95" i="17"/>
  <c r="D95" i="17"/>
  <c r="C95" i="17"/>
  <c r="G11" i="17"/>
  <c r="E11" i="17"/>
  <c r="D11" i="17"/>
  <c r="C11" i="17"/>
  <c r="G37" i="17"/>
  <c r="E37" i="17"/>
  <c r="D37" i="17"/>
  <c r="C37" i="17"/>
  <c r="G122" i="17"/>
  <c r="E122" i="17"/>
  <c r="D122" i="17"/>
  <c r="C122" i="17"/>
  <c r="G119" i="17"/>
  <c r="E119" i="17"/>
  <c r="D119" i="17"/>
  <c r="C119" i="17"/>
  <c r="G58" i="17"/>
  <c r="E58" i="17"/>
  <c r="D58" i="17"/>
  <c r="C58" i="17"/>
  <c r="G120" i="17"/>
  <c r="E120" i="17"/>
  <c r="D120" i="17"/>
  <c r="C120" i="17"/>
  <c r="G150" i="17"/>
  <c r="E150" i="17"/>
  <c r="D150" i="17"/>
  <c r="C150" i="17"/>
  <c r="G160" i="17"/>
  <c r="E160" i="17"/>
  <c r="D160" i="17"/>
  <c r="C160" i="17"/>
  <c r="G149" i="17"/>
  <c r="E149" i="17"/>
  <c r="D149" i="17"/>
  <c r="C149" i="17"/>
  <c r="G129" i="17"/>
  <c r="E129" i="17"/>
  <c r="D129" i="17"/>
  <c r="C129" i="17"/>
  <c r="G26" i="17"/>
  <c r="E26" i="17"/>
  <c r="D26" i="17"/>
  <c r="C26" i="17"/>
  <c r="G152" i="17"/>
  <c r="E152" i="17"/>
  <c r="D152" i="17"/>
  <c r="C152" i="17"/>
  <c r="G80" i="17"/>
  <c r="E80" i="17"/>
  <c r="D80" i="17"/>
  <c r="C80" i="17"/>
  <c r="G43" i="17"/>
  <c r="E43" i="17"/>
  <c r="D43" i="17"/>
  <c r="C43" i="17"/>
  <c r="G49" i="17"/>
  <c r="E49" i="17"/>
  <c r="D49" i="17"/>
  <c r="C49" i="17"/>
  <c r="G142" i="17"/>
  <c r="E142" i="17"/>
  <c r="D142" i="17"/>
  <c r="C142" i="17"/>
  <c r="G5" i="17"/>
  <c r="E5" i="17"/>
  <c r="D5" i="17"/>
  <c r="C5" i="17"/>
  <c r="G110" i="17"/>
  <c r="E110" i="17"/>
  <c r="D110" i="17"/>
  <c r="C110" i="17"/>
  <c r="G87" i="17"/>
  <c r="E87" i="17"/>
  <c r="D87" i="17"/>
  <c r="C87" i="17"/>
  <c r="G46" i="17"/>
  <c r="E46" i="17"/>
  <c r="D46" i="17"/>
  <c r="C46" i="17"/>
  <c r="G19" i="17"/>
  <c r="E19" i="17"/>
  <c r="D19" i="17"/>
  <c r="C19" i="17"/>
  <c r="G16" i="17"/>
  <c r="E16" i="17"/>
  <c r="D16" i="17"/>
  <c r="C16" i="17"/>
  <c r="G159" i="17"/>
  <c r="E159" i="17"/>
  <c r="D159" i="17"/>
  <c r="C159" i="17"/>
  <c r="G138" i="17"/>
  <c r="E138" i="17"/>
  <c r="D138" i="17"/>
  <c r="C138" i="17"/>
  <c r="G167" i="17"/>
  <c r="E167" i="17"/>
  <c r="D167" i="17"/>
  <c r="C167" i="17"/>
  <c r="G94" i="17"/>
  <c r="E94" i="17"/>
  <c r="D94" i="17"/>
  <c r="C94" i="17"/>
  <c r="G54" i="17"/>
  <c r="E54" i="17"/>
  <c r="D54" i="17"/>
  <c r="C54" i="17"/>
  <c r="G59" i="17"/>
  <c r="E59" i="17"/>
  <c r="D59" i="17"/>
  <c r="C59" i="17"/>
  <c r="G79" i="17"/>
  <c r="E79" i="17"/>
  <c r="D79" i="17"/>
  <c r="C79" i="17"/>
  <c r="G10" i="17"/>
  <c r="E10" i="17"/>
  <c r="D10" i="17"/>
  <c r="C10" i="17"/>
  <c r="G52" i="17"/>
  <c r="E52" i="17"/>
  <c r="D52" i="17"/>
  <c r="C52" i="17"/>
  <c r="G17" i="17"/>
  <c r="E17" i="17"/>
  <c r="D17" i="17"/>
  <c r="C17" i="17"/>
  <c r="G41" i="17"/>
  <c r="E41" i="17"/>
  <c r="D41" i="17"/>
  <c r="C41" i="17"/>
  <c r="G8" i="17"/>
  <c r="E8" i="17"/>
  <c r="D8" i="17"/>
  <c r="C8" i="17"/>
  <c r="G45" i="17"/>
  <c r="E45" i="17"/>
  <c r="D45" i="17"/>
  <c r="C45" i="17"/>
  <c r="G65" i="17"/>
  <c r="E65" i="17"/>
  <c r="D65" i="17"/>
  <c r="C65" i="17"/>
  <c r="G155" i="17"/>
  <c r="E155" i="17"/>
  <c r="D155" i="17"/>
  <c r="C155" i="17"/>
  <c r="G116" i="17"/>
  <c r="E116" i="17"/>
  <c r="D116" i="17"/>
  <c r="C116" i="17"/>
  <c r="G147" i="17"/>
  <c r="E147" i="17"/>
  <c r="D147" i="17"/>
  <c r="C147" i="17"/>
  <c r="G132" i="17"/>
  <c r="E132" i="17"/>
  <c r="D132" i="17"/>
  <c r="C132" i="17"/>
  <c r="G14" i="17"/>
  <c r="E14" i="17"/>
  <c r="D14" i="17"/>
  <c r="C14" i="17"/>
  <c r="G151" i="17"/>
  <c r="E151" i="17"/>
  <c r="D151" i="17"/>
  <c r="C151" i="17"/>
  <c r="G124" i="17"/>
  <c r="E124" i="17"/>
  <c r="D124" i="17"/>
  <c r="C124" i="17"/>
  <c r="G63" i="17"/>
  <c r="E63" i="17"/>
  <c r="D63" i="17"/>
  <c r="C63" i="17"/>
  <c r="G133" i="17"/>
  <c r="E133" i="17"/>
  <c r="D133" i="17"/>
  <c r="C133" i="17"/>
  <c r="G109" i="17"/>
  <c r="E109" i="17"/>
  <c r="D109" i="17"/>
  <c r="C109" i="17"/>
  <c r="G144" i="17"/>
  <c r="E144" i="17"/>
  <c r="D144" i="17"/>
  <c r="C144" i="17"/>
  <c r="G168" i="17"/>
  <c r="E168" i="17"/>
  <c r="D168" i="17"/>
  <c r="C168" i="17"/>
  <c r="G131" i="17"/>
  <c r="E131" i="17"/>
  <c r="D131" i="17"/>
  <c r="C131" i="17"/>
  <c r="G145" i="17"/>
  <c r="E145" i="17"/>
  <c r="D145" i="17"/>
  <c r="C145" i="17"/>
  <c r="G56" i="17"/>
  <c r="E56" i="17"/>
  <c r="D56" i="17"/>
  <c r="C56" i="17"/>
  <c r="G78" i="17"/>
  <c r="E78" i="17"/>
  <c r="D78" i="17"/>
  <c r="C78" i="17"/>
  <c r="G48" i="17"/>
  <c r="E48" i="17"/>
  <c r="D48" i="17"/>
  <c r="C48" i="17"/>
  <c r="G121" i="17"/>
  <c r="E121" i="17"/>
  <c r="D121" i="17"/>
  <c r="C121" i="17"/>
  <c r="G47" i="17"/>
  <c r="E47" i="17"/>
  <c r="D47" i="17"/>
  <c r="C47" i="17"/>
  <c r="G165" i="17"/>
  <c r="E165" i="17"/>
  <c r="D165" i="17"/>
  <c r="C165" i="17"/>
  <c r="G158" i="17"/>
  <c r="E158" i="17"/>
  <c r="D158" i="17"/>
  <c r="C158" i="17"/>
  <c r="G174" i="17"/>
  <c r="E174" i="17"/>
  <c r="D174" i="17"/>
  <c r="C174" i="17"/>
  <c r="G35" i="17"/>
  <c r="E35" i="17"/>
  <c r="D35" i="17"/>
  <c r="C35" i="17"/>
  <c r="G60" i="17"/>
  <c r="E60" i="17"/>
  <c r="D60" i="17"/>
  <c r="C60" i="17"/>
  <c r="G161" i="17"/>
  <c r="E161" i="17"/>
  <c r="D161" i="17"/>
  <c r="C161" i="17"/>
  <c r="G113" i="17"/>
  <c r="E113" i="17"/>
  <c r="D113" i="17"/>
  <c r="C113" i="17"/>
  <c r="G71" i="17"/>
  <c r="E71" i="17"/>
  <c r="D71" i="17"/>
  <c r="C71" i="17"/>
  <c r="G86" i="17"/>
  <c r="E86" i="17"/>
  <c r="D86" i="17"/>
  <c r="C86" i="17"/>
  <c r="G76" i="17"/>
  <c r="E76" i="17"/>
  <c r="D76" i="17"/>
  <c r="C76" i="17"/>
  <c r="G136" i="17"/>
  <c r="E136" i="17"/>
  <c r="D136" i="17"/>
  <c r="C136" i="17"/>
  <c r="G93" i="17"/>
  <c r="E93" i="17"/>
  <c r="D93" i="17"/>
  <c r="C93" i="17"/>
  <c r="G111" i="17"/>
  <c r="E111" i="17"/>
  <c r="D111" i="17"/>
  <c r="C111" i="17"/>
  <c r="G92" i="17"/>
  <c r="E92" i="17"/>
  <c r="D92" i="17"/>
  <c r="C92" i="17"/>
  <c r="G82" i="17"/>
  <c r="E82" i="17"/>
  <c r="D82" i="17"/>
  <c r="C82" i="17"/>
  <c r="G81" i="17"/>
  <c r="E81" i="17"/>
  <c r="D81" i="17"/>
  <c r="C81" i="17"/>
  <c r="G123" i="17"/>
  <c r="E123" i="17"/>
  <c r="D123" i="17"/>
  <c r="C123" i="17"/>
  <c r="G146" i="17"/>
  <c r="E146" i="17"/>
  <c r="D146" i="17"/>
  <c r="C146" i="17"/>
  <c r="G22" i="17"/>
  <c r="E22" i="17"/>
  <c r="D22" i="17"/>
  <c r="C22" i="17"/>
  <c r="G29" i="17"/>
  <c r="E29" i="17"/>
  <c r="D29" i="17"/>
  <c r="C29" i="17"/>
  <c r="G12" i="17"/>
  <c r="E12" i="17"/>
  <c r="D12" i="17"/>
  <c r="C12" i="17"/>
  <c r="G117" i="17"/>
  <c r="E117" i="17"/>
  <c r="D117" i="17"/>
  <c r="C117" i="17"/>
  <c r="G140" i="17"/>
  <c r="E140" i="17"/>
  <c r="D140" i="17"/>
  <c r="C140" i="17"/>
  <c r="G77" i="17"/>
  <c r="E77" i="17"/>
  <c r="D77" i="17"/>
  <c r="C77" i="17"/>
  <c r="G91" i="17"/>
  <c r="E91" i="17"/>
  <c r="D91" i="17"/>
  <c r="C91" i="17"/>
  <c r="G118" i="17"/>
  <c r="E118" i="17"/>
  <c r="D118" i="17"/>
  <c r="C118" i="17"/>
  <c r="G84" i="17"/>
  <c r="E84" i="17"/>
  <c r="D84" i="17"/>
  <c r="C84" i="17"/>
  <c r="G128" i="17"/>
  <c r="E128" i="17"/>
  <c r="D128" i="17"/>
  <c r="C128" i="17"/>
  <c r="G90" i="17"/>
  <c r="E90" i="17"/>
  <c r="D90" i="17"/>
  <c r="C90" i="17"/>
  <c r="G68" i="17"/>
  <c r="E68" i="17"/>
  <c r="D68" i="17"/>
  <c r="C68" i="17"/>
  <c r="G64" i="17"/>
  <c r="E64" i="17"/>
  <c r="D64" i="17"/>
  <c r="C64" i="17"/>
  <c r="G164" i="17"/>
  <c r="E164" i="17"/>
  <c r="D164" i="17"/>
  <c r="C164" i="17"/>
  <c r="G7" i="17"/>
  <c r="E7" i="17"/>
  <c r="D7" i="17"/>
  <c r="C7" i="17"/>
  <c r="G18" i="17"/>
  <c r="E18" i="17"/>
  <c r="D18" i="17"/>
  <c r="C18" i="17"/>
  <c r="G89" i="17"/>
  <c r="E89" i="17"/>
  <c r="D89" i="17"/>
  <c r="C89" i="17"/>
  <c r="G27" i="17"/>
  <c r="E27" i="17"/>
  <c r="D27" i="17"/>
  <c r="C27" i="17"/>
  <c r="G125" i="17"/>
  <c r="E125" i="17"/>
  <c r="D125" i="17"/>
  <c r="C125" i="17"/>
  <c r="G44" i="17"/>
  <c r="E44" i="17"/>
  <c r="D44" i="17"/>
  <c r="C44" i="17"/>
  <c r="G42" i="17"/>
  <c r="E42" i="17"/>
  <c r="D42" i="17"/>
  <c r="C42" i="17"/>
  <c r="G141" i="17"/>
  <c r="E141" i="17"/>
  <c r="D141" i="17"/>
  <c r="C141" i="17"/>
  <c r="G166" i="17"/>
  <c r="E166" i="17"/>
  <c r="D166" i="17"/>
  <c r="C166" i="17"/>
  <c r="G127" i="17"/>
  <c r="E127" i="17"/>
  <c r="D127" i="17"/>
  <c r="C127" i="17"/>
  <c r="G114" i="17"/>
  <c r="E114" i="17"/>
  <c r="D114" i="17"/>
  <c r="C114" i="17"/>
  <c r="G88" i="17"/>
  <c r="E88" i="17"/>
  <c r="D88" i="17"/>
  <c r="C88" i="17"/>
  <c r="G162" i="17"/>
  <c r="E162" i="17"/>
  <c r="D162" i="17"/>
  <c r="C162" i="17"/>
  <c r="G25" i="17"/>
  <c r="E25" i="17"/>
  <c r="D25" i="17"/>
  <c r="C25" i="17"/>
  <c r="G53" i="17"/>
  <c r="E53" i="17"/>
  <c r="D53" i="17"/>
  <c r="C53" i="17"/>
  <c r="G69" i="17"/>
  <c r="E69" i="17"/>
  <c r="D69" i="17"/>
  <c r="C69" i="17"/>
  <c r="G6" i="17"/>
  <c r="E6" i="17"/>
  <c r="D6" i="17"/>
  <c r="C6" i="17"/>
  <c r="G154" i="17"/>
  <c r="E154" i="17"/>
  <c r="D154" i="17"/>
  <c r="C154" i="17"/>
  <c r="F63" i="17" l="1"/>
  <c r="F108" i="17"/>
  <c r="F112" i="17"/>
  <c r="F169" i="17"/>
  <c r="F66" i="17"/>
  <c r="F25" i="17"/>
  <c r="F74" i="17"/>
  <c r="F8" i="17"/>
  <c r="F119" i="17"/>
  <c r="F98" i="17"/>
  <c r="F90" i="17"/>
  <c r="F118" i="17"/>
  <c r="F117" i="17"/>
  <c r="F18" i="17"/>
  <c r="F122" i="17"/>
  <c r="F34" i="17"/>
  <c r="F67" i="17"/>
  <c r="F162" i="17"/>
  <c r="F48" i="17"/>
  <c r="F160" i="17"/>
  <c r="F156" i="17"/>
  <c r="F55" i="17"/>
  <c r="F29" i="17"/>
  <c r="F76" i="17"/>
  <c r="F10" i="17"/>
  <c r="F49" i="17"/>
  <c r="F134" i="17"/>
  <c r="F61" i="17"/>
  <c r="F21" i="17"/>
  <c r="F106" i="17"/>
  <c r="F68" i="17"/>
  <c r="F131" i="17"/>
  <c r="F168" i="17"/>
  <c r="F109" i="17"/>
  <c r="F153" i="17"/>
  <c r="F157" i="17"/>
  <c r="F15" i="17"/>
  <c r="F72" i="17"/>
  <c r="F6" i="17"/>
  <c r="F69" i="17"/>
  <c r="F164" i="17"/>
  <c r="F128" i="17"/>
  <c r="F82" i="17"/>
  <c r="F93" i="17"/>
  <c r="F144" i="17"/>
  <c r="F116" i="17"/>
  <c r="F45" i="17"/>
  <c r="F152" i="17"/>
  <c r="F95" i="17"/>
  <c r="F50" i="17"/>
  <c r="F126" i="17"/>
  <c r="F137" i="17"/>
  <c r="F102" i="17"/>
  <c r="F20" i="17"/>
  <c r="F44" i="17"/>
  <c r="F27" i="17"/>
  <c r="F91" i="17"/>
  <c r="F146" i="17"/>
  <c r="F35" i="17"/>
  <c r="F158" i="17"/>
  <c r="F133" i="17"/>
  <c r="F54" i="17"/>
  <c r="F159" i="17"/>
  <c r="F19" i="17"/>
  <c r="F46" i="17"/>
  <c r="F120" i="17"/>
  <c r="F11" i="17"/>
  <c r="F13" i="17"/>
  <c r="F70" i="17"/>
  <c r="F75" i="17"/>
  <c r="F103" i="17"/>
  <c r="F57" i="17"/>
  <c r="F23" i="17"/>
  <c r="F64" i="17"/>
  <c r="F22" i="17"/>
  <c r="F58" i="17"/>
  <c r="F143" i="17"/>
  <c r="F127" i="17"/>
  <c r="F88" i="17"/>
  <c r="F42" i="17"/>
  <c r="F125" i="17"/>
  <c r="F77" i="17"/>
  <c r="F113" i="17"/>
  <c r="F60" i="17"/>
  <c r="F147" i="17"/>
  <c r="F105" i="17"/>
  <c r="F138" i="17"/>
  <c r="F16" i="17"/>
  <c r="F148" i="17"/>
  <c r="F139" i="17"/>
  <c r="F173" i="17"/>
  <c r="F135" i="17"/>
  <c r="F172" i="17"/>
  <c r="F114" i="17"/>
  <c r="F123" i="17"/>
  <c r="F86" i="17"/>
  <c r="F71" i="17"/>
  <c r="F78" i="17"/>
  <c r="F56" i="17"/>
  <c r="F124" i="17"/>
  <c r="F14" i="17"/>
  <c r="F132" i="17"/>
  <c r="F79" i="17"/>
  <c r="F59" i="17"/>
  <c r="F87" i="17"/>
  <c r="F129" i="17"/>
  <c r="F100" i="17"/>
  <c r="F38" i="17"/>
  <c r="F101" i="17"/>
  <c r="F62" i="17"/>
  <c r="F36" i="17"/>
  <c r="F28" i="17"/>
  <c r="F30" i="17"/>
  <c r="F170" i="17"/>
  <c r="F32" i="17"/>
  <c r="F175" i="17"/>
  <c r="F52" i="17"/>
  <c r="F40" i="17"/>
  <c r="D176" i="17"/>
  <c r="F53" i="17"/>
  <c r="F166" i="17"/>
  <c r="F12" i="17"/>
  <c r="F111" i="17"/>
  <c r="F174" i="17"/>
  <c r="F47" i="17"/>
  <c r="F145" i="17"/>
  <c r="F151" i="17"/>
  <c r="F65" i="17"/>
  <c r="F17" i="17"/>
  <c r="F94" i="17"/>
  <c r="F110" i="17"/>
  <c r="F142" i="17"/>
  <c r="F80" i="17"/>
  <c r="F37" i="17"/>
  <c r="F4" i="17"/>
  <c r="F97" i="17"/>
  <c r="F39" i="17"/>
  <c r="F115" i="17"/>
  <c r="F83" i="17"/>
  <c r="F104" i="17"/>
  <c r="F163" i="17"/>
  <c r="F9" i="17"/>
  <c r="F107" i="17"/>
  <c r="E176" i="17"/>
  <c r="G176" i="17"/>
  <c r="F154" i="17"/>
  <c r="F7" i="17"/>
  <c r="F140" i="17"/>
  <c r="F165" i="17"/>
  <c r="F43" i="17"/>
  <c r="F149" i="17"/>
  <c r="F24" i="17"/>
  <c r="F33" i="17"/>
  <c r="F85" i="17"/>
  <c r="C176" i="17"/>
  <c r="F89" i="17"/>
  <c r="F84" i="17"/>
  <c r="F92" i="17"/>
  <c r="F136" i="17"/>
  <c r="F155" i="17"/>
  <c r="F41" i="17"/>
  <c r="F5" i="17"/>
  <c r="F150" i="17"/>
  <c r="F96" i="17"/>
  <c r="F31" i="17"/>
  <c r="F73" i="17"/>
  <c r="F130" i="17"/>
  <c r="F51" i="17"/>
  <c r="F141" i="17"/>
  <c r="F81" i="17"/>
  <c r="F161" i="17"/>
  <c r="F121" i="17"/>
  <c r="F167" i="17"/>
  <c r="F26" i="17"/>
  <c r="F99" i="17"/>
  <c r="F3" i="17"/>
  <c r="F171" i="17"/>
  <c r="G102" i="16"/>
  <c r="E102" i="16"/>
  <c r="D102" i="16"/>
  <c r="C102" i="16"/>
  <c r="G157" i="16"/>
  <c r="E157" i="16"/>
  <c r="D157" i="16"/>
  <c r="C157" i="16"/>
  <c r="G67" i="16"/>
  <c r="E67" i="16"/>
  <c r="D67" i="16"/>
  <c r="C67" i="16"/>
  <c r="G169" i="16"/>
  <c r="E169" i="16"/>
  <c r="D169" i="16"/>
  <c r="C169" i="16"/>
  <c r="G101" i="16"/>
  <c r="E101" i="16"/>
  <c r="D101" i="16"/>
  <c r="C101" i="16"/>
  <c r="G11" i="16"/>
  <c r="E11" i="16"/>
  <c r="D11" i="16"/>
  <c r="C11" i="16"/>
  <c r="G32" i="16"/>
  <c r="E32" i="16"/>
  <c r="D32" i="16"/>
  <c r="C32" i="16"/>
  <c r="G100" i="16"/>
  <c r="E100" i="16"/>
  <c r="D100" i="16"/>
  <c r="C100" i="16"/>
  <c r="G43" i="16"/>
  <c r="E43" i="16"/>
  <c r="D43" i="16"/>
  <c r="C43" i="16"/>
  <c r="G38" i="16"/>
  <c r="E38" i="16"/>
  <c r="D38" i="16"/>
  <c r="C38" i="16"/>
  <c r="G23" i="16"/>
  <c r="E23" i="16"/>
  <c r="D23" i="16"/>
  <c r="C23" i="16"/>
  <c r="G34" i="16"/>
  <c r="E34" i="16"/>
  <c r="D34" i="16"/>
  <c r="C34" i="16"/>
  <c r="G62" i="16"/>
  <c r="E62" i="16"/>
  <c r="D62" i="16"/>
  <c r="C62" i="16"/>
  <c r="G137" i="16"/>
  <c r="E137" i="16"/>
  <c r="D137" i="16"/>
  <c r="C137" i="16"/>
  <c r="G130" i="16"/>
  <c r="E130" i="16"/>
  <c r="D130" i="16"/>
  <c r="C130" i="16"/>
  <c r="G124" i="16"/>
  <c r="E124" i="16"/>
  <c r="D124" i="16"/>
  <c r="C124" i="16"/>
  <c r="G107" i="16"/>
  <c r="E107" i="16"/>
  <c r="D107" i="16"/>
  <c r="C107" i="16"/>
  <c r="G103" i="16"/>
  <c r="E103" i="16"/>
  <c r="D103" i="16"/>
  <c r="C103" i="16"/>
  <c r="G80" i="16"/>
  <c r="E80" i="16"/>
  <c r="D80" i="16"/>
  <c r="C80" i="16"/>
  <c r="G15" i="16"/>
  <c r="E15" i="16"/>
  <c r="D15" i="16"/>
  <c r="C15" i="16"/>
  <c r="G164" i="16"/>
  <c r="E164" i="16"/>
  <c r="D164" i="16"/>
  <c r="C164" i="16"/>
  <c r="G47" i="16"/>
  <c r="E47" i="16"/>
  <c r="D47" i="16"/>
  <c r="C47" i="16"/>
  <c r="G158" i="16"/>
  <c r="E158" i="16"/>
  <c r="D158" i="16"/>
  <c r="C158" i="16"/>
  <c r="G126" i="16"/>
  <c r="E126" i="16"/>
  <c r="D126" i="16"/>
  <c r="C126" i="16"/>
  <c r="G168" i="16"/>
  <c r="E168" i="16"/>
  <c r="D168" i="16"/>
  <c r="C168" i="16"/>
  <c r="G52" i="16"/>
  <c r="E52" i="16"/>
  <c r="D52" i="16"/>
  <c r="C52" i="16"/>
  <c r="G167" i="16"/>
  <c r="E167" i="16"/>
  <c r="D167" i="16"/>
  <c r="C167" i="16"/>
  <c r="G99" i="16"/>
  <c r="E99" i="16"/>
  <c r="D99" i="16"/>
  <c r="C99" i="16"/>
  <c r="G98" i="16"/>
  <c r="E98" i="16"/>
  <c r="D98" i="16"/>
  <c r="C98" i="16"/>
  <c r="G31" i="16"/>
  <c r="E31" i="16"/>
  <c r="D31" i="16"/>
  <c r="C31" i="16"/>
  <c r="G63" i="16"/>
  <c r="E63" i="16"/>
  <c r="D63" i="16"/>
  <c r="C63" i="16"/>
  <c r="G97" i="16"/>
  <c r="E97" i="16"/>
  <c r="D97" i="16"/>
  <c r="C97" i="16"/>
  <c r="G78" i="16"/>
  <c r="E78" i="16"/>
  <c r="D78" i="16"/>
  <c r="C78" i="16"/>
  <c r="G151" i="16"/>
  <c r="E151" i="16"/>
  <c r="D151" i="16"/>
  <c r="C151" i="16"/>
  <c r="G96" i="16"/>
  <c r="E96" i="16"/>
  <c r="D96" i="16"/>
  <c r="C96" i="16"/>
  <c r="G69" i="16"/>
  <c r="E69" i="16"/>
  <c r="D69" i="16"/>
  <c r="C69" i="16"/>
  <c r="G132" i="16"/>
  <c r="E132" i="16"/>
  <c r="D132" i="16"/>
  <c r="C132" i="16"/>
  <c r="G3" i="16"/>
  <c r="E3" i="16"/>
  <c r="D3" i="16"/>
  <c r="C3" i="16"/>
  <c r="G26" i="16"/>
  <c r="E26" i="16"/>
  <c r="D26" i="16"/>
  <c r="C26" i="16"/>
  <c r="G57" i="16"/>
  <c r="E57" i="16"/>
  <c r="D57" i="16"/>
  <c r="C57" i="16"/>
  <c r="G95" i="16"/>
  <c r="E95" i="16"/>
  <c r="D95" i="16"/>
  <c r="C95" i="16"/>
  <c r="G56" i="16"/>
  <c r="E56" i="16"/>
  <c r="D56" i="16"/>
  <c r="C56" i="16"/>
  <c r="G120" i="16"/>
  <c r="E120" i="16"/>
  <c r="D120" i="16"/>
  <c r="C120" i="16"/>
  <c r="G134" i="16"/>
  <c r="E134" i="16"/>
  <c r="D134" i="16"/>
  <c r="C134" i="16"/>
  <c r="G71" i="16"/>
  <c r="E71" i="16"/>
  <c r="D71" i="16"/>
  <c r="C71" i="16"/>
  <c r="G129" i="16"/>
  <c r="E129" i="16"/>
  <c r="D129" i="16"/>
  <c r="C129" i="16"/>
  <c r="G51" i="16"/>
  <c r="E51" i="16"/>
  <c r="D51" i="16"/>
  <c r="C51" i="16"/>
  <c r="G12" i="16"/>
  <c r="E12" i="16"/>
  <c r="D12" i="16"/>
  <c r="C12" i="16"/>
  <c r="G94" i="16"/>
  <c r="E94" i="16"/>
  <c r="D94" i="16"/>
  <c r="C94" i="16"/>
  <c r="E48" i="16"/>
  <c r="D48" i="16"/>
  <c r="C48" i="16"/>
  <c r="G70" i="16"/>
  <c r="E70" i="16"/>
  <c r="D70" i="16"/>
  <c r="C70" i="16"/>
  <c r="G110" i="16"/>
  <c r="E110" i="16"/>
  <c r="D110" i="16"/>
  <c r="C110" i="16"/>
  <c r="G39" i="16"/>
  <c r="E39" i="16"/>
  <c r="D39" i="16"/>
  <c r="C39" i="16"/>
  <c r="G65" i="16"/>
  <c r="E65" i="16"/>
  <c r="D65" i="16"/>
  <c r="C65" i="16"/>
  <c r="G142" i="16"/>
  <c r="E142" i="16"/>
  <c r="D142" i="16"/>
  <c r="C142" i="16"/>
  <c r="G20" i="16"/>
  <c r="E20" i="16"/>
  <c r="D20" i="16"/>
  <c r="C20" i="16"/>
  <c r="G93" i="16"/>
  <c r="E93" i="16"/>
  <c r="D93" i="16"/>
  <c r="C93" i="16"/>
  <c r="G92" i="16"/>
  <c r="E92" i="16"/>
  <c r="D92" i="16"/>
  <c r="C92" i="16"/>
  <c r="G147" i="16"/>
  <c r="E147" i="16"/>
  <c r="D147" i="16"/>
  <c r="C147" i="16"/>
  <c r="G91" i="16"/>
  <c r="E91" i="16"/>
  <c r="D91" i="16"/>
  <c r="C91" i="16"/>
  <c r="G33" i="16"/>
  <c r="E33" i="16"/>
  <c r="D33" i="16"/>
  <c r="C33" i="16"/>
  <c r="G35" i="16"/>
  <c r="E35" i="16"/>
  <c r="D35" i="16"/>
  <c r="C35" i="16"/>
  <c r="G4" i="16"/>
  <c r="E4" i="16"/>
  <c r="D4" i="16"/>
  <c r="C4" i="16"/>
  <c r="G90" i="16"/>
  <c r="E90" i="16"/>
  <c r="D90" i="16"/>
  <c r="C90" i="16"/>
  <c r="G89" i="16"/>
  <c r="E89" i="16"/>
  <c r="D89" i="16"/>
  <c r="C89" i="16"/>
  <c r="G8" i="16"/>
  <c r="E8" i="16"/>
  <c r="D8" i="16"/>
  <c r="C8" i="16"/>
  <c r="G37" i="16"/>
  <c r="E37" i="16"/>
  <c r="D37" i="16"/>
  <c r="C37" i="16"/>
  <c r="G116" i="16"/>
  <c r="E116" i="16"/>
  <c r="D116" i="16"/>
  <c r="C116" i="16"/>
  <c r="G113" i="16"/>
  <c r="E113" i="16"/>
  <c r="D113" i="16"/>
  <c r="C113" i="16"/>
  <c r="G53" i="16"/>
  <c r="E53" i="16"/>
  <c r="D53" i="16"/>
  <c r="C53" i="16"/>
  <c r="G114" i="16"/>
  <c r="E114" i="16"/>
  <c r="D114" i="16"/>
  <c r="C114" i="16"/>
  <c r="G144" i="16"/>
  <c r="E144" i="16"/>
  <c r="D144" i="16"/>
  <c r="C144" i="16"/>
  <c r="G155" i="16"/>
  <c r="E155" i="16"/>
  <c r="D155" i="16"/>
  <c r="C155" i="16"/>
  <c r="G143" i="16"/>
  <c r="E143" i="16"/>
  <c r="D143" i="16"/>
  <c r="C143" i="16"/>
  <c r="G123" i="16"/>
  <c r="E123" i="16"/>
  <c r="D123" i="16"/>
  <c r="C123" i="16"/>
  <c r="G28" i="16"/>
  <c r="E28" i="16"/>
  <c r="D28" i="16"/>
  <c r="C28" i="16"/>
  <c r="G145" i="16"/>
  <c r="E145" i="16"/>
  <c r="D145" i="16"/>
  <c r="C145" i="16"/>
  <c r="G74" i="16"/>
  <c r="E74" i="16"/>
  <c r="D74" i="16"/>
  <c r="C74" i="16"/>
  <c r="G41" i="16"/>
  <c r="E41" i="16"/>
  <c r="D41" i="16"/>
  <c r="C41" i="16"/>
  <c r="G46" i="16"/>
  <c r="E46" i="16"/>
  <c r="D46" i="16"/>
  <c r="C46" i="16"/>
  <c r="G146" i="16"/>
  <c r="E146" i="16"/>
  <c r="D146" i="16"/>
  <c r="C146" i="16"/>
  <c r="G136" i="16"/>
  <c r="E136" i="16"/>
  <c r="D136" i="16"/>
  <c r="C136" i="16"/>
  <c r="G13" i="16"/>
  <c r="E13" i="16"/>
  <c r="D13" i="16"/>
  <c r="C13" i="16"/>
  <c r="G105" i="16"/>
  <c r="E105" i="16"/>
  <c r="D105" i="16"/>
  <c r="C105" i="16"/>
  <c r="G82" i="16"/>
  <c r="E82" i="16"/>
  <c r="D82" i="16"/>
  <c r="C82" i="16"/>
  <c r="G42" i="16"/>
  <c r="E42" i="16"/>
  <c r="D42" i="16"/>
  <c r="C42" i="16"/>
  <c r="G21" i="16"/>
  <c r="E21" i="16"/>
  <c r="D21" i="16"/>
  <c r="C21" i="16"/>
  <c r="G25" i="16"/>
  <c r="E25" i="16"/>
  <c r="D25" i="16"/>
  <c r="C25" i="16"/>
  <c r="G154" i="16"/>
  <c r="E154" i="16"/>
  <c r="D154" i="16"/>
  <c r="C154" i="16"/>
  <c r="G133" i="16"/>
  <c r="E133" i="16"/>
  <c r="D133" i="16"/>
  <c r="C133" i="16"/>
  <c r="G17" i="16"/>
  <c r="E17" i="16"/>
  <c r="D17" i="16"/>
  <c r="C17" i="16"/>
  <c r="G24" i="16"/>
  <c r="E24" i="16"/>
  <c r="D24" i="16"/>
  <c r="C24" i="16"/>
  <c r="G54" i="16"/>
  <c r="E54" i="16"/>
  <c r="D54" i="16"/>
  <c r="C54" i="16"/>
  <c r="G73" i="16"/>
  <c r="E73" i="16"/>
  <c r="D73" i="16"/>
  <c r="C73" i="16"/>
  <c r="G6" i="16"/>
  <c r="E6" i="16"/>
  <c r="D6" i="16"/>
  <c r="C6" i="16"/>
  <c r="G49" i="16"/>
  <c r="E49" i="16"/>
  <c r="D49" i="16"/>
  <c r="C49" i="16"/>
  <c r="G19" i="16"/>
  <c r="E19" i="16"/>
  <c r="D19" i="16"/>
  <c r="C19" i="16"/>
  <c r="G165" i="16"/>
  <c r="E165" i="16"/>
  <c r="D165" i="16"/>
  <c r="C165" i="16"/>
  <c r="G9" i="16"/>
  <c r="E9" i="16"/>
  <c r="D9" i="16"/>
  <c r="C9" i="16"/>
  <c r="G150" i="16"/>
  <c r="E150" i="16"/>
  <c r="D150" i="16"/>
  <c r="C150" i="16"/>
  <c r="G61" i="16"/>
  <c r="E61" i="16"/>
  <c r="D61" i="16"/>
  <c r="C61" i="16"/>
  <c r="G149" i="16"/>
  <c r="E149" i="16"/>
  <c r="D149" i="16"/>
  <c r="C149" i="16"/>
  <c r="G60" i="16"/>
  <c r="E60" i="16"/>
  <c r="D60" i="16"/>
  <c r="C60" i="16"/>
  <c r="G141" i="16"/>
  <c r="E141" i="16"/>
  <c r="D141" i="16"/>
  <c r="C141" i="16"/>
  <c r="G127" i="16"/>
  <c r="E127" i="16"/>
  <c r="D127" i="16"/>
  <c r="C127" i="16"/>
  <c r="G14" i="16"/>
  <c r="E14" i="16"/>
  <c r="D14" i="16"/>
  <c r="C14" i="16"/>
  <c r="G161" i="16"/>
  <c r="E161" i="16"/>
  <c r="D161" i="16"/>
  <c r="C161" i="16"/>
  <c r="G118" i="16"/>
  <c r="E118" i="16"/>
  <c r="D118" i="16"/>
  <c r="C118" i="16"/>
  <c r="G58" i="16"/>
  <c r="E58" i="16"/>
  <c r="D58" i="16"/>
  <c r="C58" i="16"/>
  <c r="G128" i="16"/>
  <c r="E128" i="16"/>
  <c r="D128" i="16"/>
  <c r="C128" i="16"/>
  <c r="G104" i="16"/>
  <c r="E104" i="16"/>
  <c r="D104" i="16"/>
  <c r="C104" i="16"/>
  <c r="G138" i="16"/>
  <c r="E138" i="16"/>
  <c r="D138" i="16"/>
  <c r="C138" i="16"/>
  <c r="G163" i="16"/>
  <c r="E163" i="16"/>
  <c r="D163" i="16"/>
  <c r="C163" i="16"/>
  <c r="G125" i="16"/>
  <c r="E125" i="16"/>
  <c r="D125" i="16"/>
  <c r="C125" i="16"/>
  <c r="G139" i="16"/>
  <c r="E139" i="16"/>
  <c r="D139" i="16"/>
  <c r="C139" i="16"/>
  <c r="G152" i="16"/>
  <c r="E152" i="16"/>
  <c r="D152" i="16"/>
  <c r="C152" i="16"/>
  <c r="G72" i="16"/>
  <c r="E72" i="16"/>
  <c r="D72" i="16"/>
  <c r="C72" i="16"/>
  <c r="G45" i="16"/>
  <c r="E45" i="16"/>
  <c r="D45" i="16"/>
  <c r="C45" i="16"/>
  <c r="G115" i="16"/>
  <c r="E115" i="16"/>
  <c r="D115" i="16"/>
  <c r="C115" i="16"/>
  <c r="G44" i="16"/>
  <c r="E44" i="16"/>
  <c r="D44" i="16"/>
  <c r="C44" i="16"/>
  <c r="G75" i="16"/>
  <c r="E75" i="16"/>
  <c r="D75" i="16"/>
  <c r="C75" i="16"/>
  <c r="G160" i="16"/>
  <c r="E160" i="16"/>
  <c r="D160" i="16"/>
  <c r="C160" i="16"/>
  <c r="G166" i="16"/>
  <c r="E166" i="16"/>
  <c r="D166" i="16"/>
  <c r="C166" i="16"/>
  <c r="G36" i="16"/>
  <c r="E36" i="16"/>
  <c r="D36" i="16"/>
  <c r="C36" i="16"/>
  <c r="G55" i="16"/>
  <c r="E55" i="16"/>
  <c r="D55" i="16"/>
  <c r="C55" i="16"/>
  <c r="G156" i="16"/>
  <c r="E156" i="16"/>
  <c r="D156" i="16"/>
  <c r="C156" i="16"/>
  <c r="G108" i="16"/>
  <c r="E108" i="16"/>
  <c r="D108" i="16"/>
  <c r="C108" i="16"/>
  <c r="G66" i="16"/>
  <c r="E66" i="16"/>
  <c r="D66" i="16"/>
  <c r="C66" i="16"/>
  <c r="G81" i="16"/>
  <c r="E81" i="16"/>
  <c r="D81" i="16"/>
  <c r="C81" i="16"/>
  <c r="G83" i="16"/>
  <c r="E83" i="16"/>
  <c r="D83" i="16"/>
  <c r="C83" i="16"/>
  <c r="G131" i="16"/>
  <c r="E131" i="16"/>
  <c r="D131" i="16"/>
  <c r="C131" i="16"/>
  <c r="G159" i="16"/>
  <c r="E159" i="16"/>
  <c r="D159" i="16"/>
  <c r="C159" i="16"/>
  <c r="G106" i="16"/>
  <c r="E106" i="16"/>
  <c r="D106" i="16"/>
  <c r="C106" i="16"/>
  <c r="G88" i="16"/>
  <c r="E88" i="16"/>
  <c r="D88" i="16"/>
  <c r="C88" i="16"/>
  <c r="G77" i="16"/>
  <c r="E77" i="16"/>
  <c r="D77" i="16"/>
  <c r="C77" i="16"/>
  <c r="G76" i="16"/>
  <c r="E76" i="16"/>
  <c r="D76" i="16"/>
  <c r="C76" i="16"/>
  <c r="G117" i="16"/>
  <c r="E117" i="16"/>
  <c r="D117" i="16"/>
  <c r="C117" i="16"/>
  <c r="G140" i="16"/>
  <c r="E140" i="16"/>
  <c r="D140" i="16"/>
  <c r="C140" i="16"/>
  <c r="G29" i="16"/>
  <c r="E29" i="16"/>
  <c r="D29" i="16"/>
  <c r="C29" i="16"/>
  <c r="G22" i="16"/>
  <c r="E22" i="16"/>
  <c r="D22" i="16"/>
  <c r="C22" i="16"/>
  <c r="G7" i="16"/>
  <c r="E7" i="16"/>
  <c r="D7" i="16"/>
  <c r="C7" i="16"/>
  <c r="G111" i="16"/>
  <c r="E111" i="16"/>
  <c r="D111" i="16"/>
  <c r="C111" i="16"/>
  <c r="G135" i="16"/>
  <c r="E135" i="16"/>
  <c r="D135" i="16"/>
  <c r="C135" i="16"/>
  <c r="G68" i="16"/>
  <c r="E68" i="16"/>
  <c r="D68" i="16"/>
  <c r="C68" i="16"/>
  <c r="G87" i="16"/>
  <c r="E87" i="16"/>
  <c r="D87" i="16"/>
  <c r="C87" i="16"/>
  <c r="G112" i="16"/>
  <c r="E112" i="16"/>
  <c r="D112" i="16"/>
  <c r="C112" i="16"/>
  <c r="G79" i="16"/>
  <c r="E79" i="16"/>
  <c r="D79" i="16"/>
  <c r="C79" i="16"/>
  <c r="G122" i="16"/>
  <c r="E122" i="16"/>
  <c r="D122" i="16"/>
  <c r="C122" i="16"/>
  <c r="G86" i="16"/>
  <c r="E86" i="16"/>
  <c r="D86" i="16"/>
  <c r="C86" i="16"/>
  <c r="G64" i="16"/>
  <c r="E64" i="16"/>
  <c r="D64" i="16"/>
  <c r="C64" i="16"/>
  <c r="G59" i="16"/>
  <c r="E59" i="16"/>
  <c r="D59" i="16"/>
  <c r="C59" i="16"/>
  <c r="G16" i="16"/>
  <c r="E16" i="16"/>
  <c r="D16" i="16"/>
  <c r="C16" i="16"/>
  <c r="G10" i="16"/>
  <c r="E10" i="16"/>
  <c r="D10" i="16"/>
  <c r="C10" i="16"/>
  <c r="G18" i="16"/>
  <c r="E18" i="16"/>
  <c r="D18" i="16"/>
  <c r="C18" i="16"/>
  <c r="G85" i="16"/>
  <c r="E85" i="16"/>
  <c r="D85" i="16"/>
  <c r="C85" i="16"/>
  <c r="G30" i="16"/>
  <c r="E30" i="16"/>
  <c r="D30" i="16"/>
  <c r="C30" i="16"/>
  <c r="G119" i="16"/>
  <c r="E119" i="16"/>
  <c r="D119" i="16"/>
  <c r="C119" i="16"/>
  <c r="G40" i="16"/>
  <c r="E40" i="16"/>
  <c r="D40" i="16"/>
  <c r="C40" i="16"/>
  <c r="G121" i="16"/>
  <c r="E121" i="16"/>
  <c r="D121" i="16"/>
  <c r="C121" i="16"/>
  <c r="G109" i="16"/>
  <c r="E109" i="16"/>
  <c r="D109" i="16"/>
  <c r="C109" i="16"/>
  <c r="G84" i="16"/>
  <c r="E84" i="16"/>
  <c r="D84" i="16"/>
  <c r="C84" i="16"/>
  <c r="G153" i="16"/>
  <c r="E153" i="16"/>
  <c r="D153" i="16"/>
  <c r="C153" i="16"/>
  <c r="G27" i="16"/>
  <c r="E27" i="16"/>
  <c r="D27" i="16"/>
  <c r="C27" i="16"/>
  <c r="G50" i="16"/>
  <c r="E50" i="16"/>
  <c r="D50" i="16"/>
  <c r="C50" i="16"/>
  <c r="G162" i="16"/>
  <c r="E162" i="16"/>
  <c r="D162" i="16"/>
  <c r="C162" i="16"/>
  <c r="G5" i="16"/>
  <c r="E5" i="16"/>
  <c r="D5" i="16"/>
  <c r="C5" i="16"/>
  <c r="G148" i="16"/>
  <c r="E148" i="16"/>
  <c r="D148" i="16"/>
  <c r="C148" i="16"/>
  <c r="F132" i="16" l="1"/>
  <c r="F97" i="16"/>
  <c r="F98" i="16"/>
  <c r="F99" i="16"/>
  <c r="F47" i="16"/>
  <c r="F32" i="16"/>
  <c r="F157" i="16"/>
  <c r="F152" i="16"/>
  <c r="F162" i="16"/>
  <c r="F121" i="16"/>
  <c r="F16" i="16"/>
  <c r="F59" i="16"/>
  <c r="F64" i="16"/>
  <c r="F55" i="16"/>
  <c r="F160" i="16"/>
  <c r="F45" i="16"/>
  <c r="F123" i="16"/>
  <c r="F53" i="16"/>
  <c r="F95" i="16"/>
  <c r="F29" i="16"/>
  <c r="F60" i="16"/>
  <c r="F49" i="16"/>
  <c r="F24" i="16"/>
  <c r="F133" i="16"/>
  <c r="F146" i="16"/>
  <c r="F145" i="16"/>
  <c r="F94" i="16"/>
  <c r="F120" i="16"/>
  <c r="F34" i="16"/>
  <c r="F68" i="16"/>
  <c r="F118" i="16"/>
  <c r="F89" i="16"/>
  <c r="F92" i="16"/>
  <c r="F48" i="16"/>
  <c r="F164" i="16"/>
  <c r="F103" i="16"/>
  <c r="F137" i="16"/>
  <c r="F135" i="16"/>
  <c r="F111" i="16"/>
  <c r="F88" i="16"/>
  <c r="F66" i="16"/>
  <c r="F58" i="16"/>
  <c r="F165" i="16"/>
  <c r="F113" i="16"/>
  <c r="F33" i="16"/>
  <c r="F169" i="16"/>
  <c r="F112" i="16"/>
  <c r="F159" i="16"/>
  <c r="F104" i="16"/>
  <c r="F128" i="16"/>
  <c r="F149" i="16"/>
  <c r="F150" i="16"/>
  <c r="F105" i="16"/>
  <c r="F114" i="16"/>
  <c r="F90" i="16"/>
  <c r="F39" i="16"/>
  <c r="F71" i="16"/>
  <c r="F134" i="16"/>
  <c r="F69" i="16"/>
  <c r="F130" i="16"/>
  <c r="F101" i="16"/>
  <c r="F30" i="16"/>
  <c r="F117" i="16"/>
  <c r="F77" i="16"/>
  <c r="F36" i="16"/>
  <c r="F72" i="16"/>
  <c r="F127" i="16"/>
  <c r="F141" i="16"/>
  <c r="F154" i="16"/>
  <c r="F42" i="16"/>
  <c r="F20" i="16"/>
  <c r="F65" i="16"/>
  <c r="F52" i="16"/>
  <c r="F100" i="16"/>
  <c r="F44" i="16"/>
  <c r="F87" i="16"/>
  <c r="F108" i="16"/>
  <c r="F155" i="16"/>
  <c r="F153" i="16"/>
  <c r="F109" i="16"/>
  <c r="F131" i="16"/>
  <c r="F139" i="16"/>
  <c r="F54" i="16"/>
  <c r="F74" i="16"/>
  <c r="F116" i="16"/>
  <c r="F26" i="16"/>
  <c r="F31" i="16"/>
  <c r="F158" i="16"/>
  <c r="F84" i="16"/>
  <c r="F18" i="16"/>
  <c r="F122" i="16"/>
  <c r="F140" i="16"/>
  <c r="F138" i="16"/>
  <c r="F6" i="16"/>
  <c r="F21" i="16"/>
  <c r="F46" i="16"/>
  <c r="F143" i="16"/>
  <c r="F8" i="16"/>
  <c r="F70" i="16"/>
  <c r="F12" i="16"/>
  <c r="F96" i="16"/>
  <c r="F63" i="16"/>
  <c r="F80" i="16"/>
  <c r="F38" i="16"/>
  <c r="F9" i="16"/>
  <c r="F82" i="16"/>
  <c r="F35" i="16"/>
  <c r="F51" i="16"/>
  <c r="F151" i="16"/>
  <c r="F50" i="16"/>
  <c r="F27" i="16"/>
  <c r="F119" i="16"/>
  <c r="F86" i="16"/>
  <c r="F106" i="16"/>
  <c r="F83" i="16"/>
  <c r="F125" i="16"/>
  <c r="F163" i="16"/>
  <c r="F61" i="16"/>
  <c r="F19" i="16"/>
  <c r="F25" i="16"/>
  <c r="F4" i="16"/>
  <c r="F91" i="16"/>
  <c r="F147" i="16"/>
  <c r="F142" i="16"/>
  <c r="F129" i="16"/>
  <c r="F56" i="16"/>
  <c r="F78" i="16"/>
  <c r="F168" i="16"/>
  <c r="F15" i="16"/>
  <c r="F107" i="16"/>
  <c r="F62" i="16"/>
  <c r="F11" i="16"/>
  <c r="F67" i="16"/>
  <c r="D170" i="16"/>
  <c r="F148" i="16"/>
  <c r="E170" i="16"/>
  <c r="F5" i="16"/>
  <c r="C170" i="16"/>
  <c r="F85" i="16"/>
  <c r="F7" i="16"/>
  <c r="F22" i="16"/>
  <c r="F166" i="16"/>
  <c r="F161" i="16"/>
  <c r="F13" i="16"/>
  <c r="F136" i="16"/>
  <c r="F37" i="16"/>
  <c r="F110" i="16"/>
  <c r="F23" i="16"/>
  <c r="F40" i="16"/>
  <c r="F76" i="16"/>
  <c r="F156" i="16"/>
  <c r="F115" i="16"/>
  <c r="F17" i="16"/>
  <c r="F28" i="16"/>
  <c r="F93" i="16"/>
  <c r="F3" i="16"/>
  <c r="F167" i="16"/>
  <c r="G170" i="16"/>
  <c r="F10" i="16"/>
  <c r="F79" i="16"/>
  <c r="F81" i="16"/>
  <c r="F75" i="16"/>
  <c r="F14" i="16"/>
  <c r="F73" i="16"/>
  <c r="F41" i="16"/>
  <c r="F144" i="16"/>
  <c r="F57" i="16"/>
  <c r="F126" i="16"/>
  <c r="F124" i="16"/>
  <c r="F43" i="16"/>
  <c r="F102" i="16"/>
  <c r="C52" i="15"/>
  <c r="D52" i="15"/>
  <c r="E52" i="15"/>
  <c r="G52" i="15"/>
  <c r="G156" i="15"/>
  <c r="E156" i="15"/>
  <c r="D156" i="15"/>
  <c r="C156" i="15"/>
  <c r="G68" i="15"/>
  <c r="E68" i="15"/>
  <c r="D68" i="15"/>
  <c r="C68" i="15"/>
  <c r="G170" i="15"/>
  <c r="E170" i="15"/>
  <c r="D170" i="15"/>
  <c r="C170" i="15"/>
  <c r="G102" i="15"/>
  <c r="E102" i="15"/>
  <c r="D102" i="15"/>
  <c r="C102" i="15"/>
  <c r="G11" i="15"/>
  <c r="E11" i="15"/>
  <c r="D11" i="15"/>
  <c r="C11" i="15"/>
  <c r="G32" i="15"/>
  <c r="E32" i="15"/>
  <c r="D32" i="15"/>
  <c r="C32" i="15"/>
  <c r="G101" i="15"/>
  <c r="E101" i="15"/>
  <c r="D101" i="15"/>
  <c r="C101" i="15"/>
  <c r="G151" i="15"/>
  <c r="E151" i="15"/>
  <c r="D151" i="15"/>
  <c r="C151" i="15"/>
  <c r="G43" i="15"/>
  <c r="E43" i="15"/>
  <c r="D43" i="15"/>
  <c r="C43" i="15"/>
  <c r="G19" i="15"/>
  <c r="E19" i="15"/>
  <c r="D19" i="15"/>
  <c r="C19" i="15"/>
  <c r="G165" i="15"/>
  <c r="E165" i="15"/>
  <c r="D165" i="15"/>
  <c r="C165" i="15"/>
  <c r="G35" i="15"/>
  <c r="E35" i="15"/>
  <c r="D35" i="15"/>
  <c r="C35" i="15"/>
  <c r="G63" i="15"/>
  <c r="E63" i="15"/>
  <c r="D63" i="15"/>
  <c r="C63" i="15"/>
  <c r="G137" i="15"/>
  <c r="E137" i="15"/>
  <c r="D137" i="15"/>
  <c r="C137" i="15"/>
  <c r="G130" i="15"/>
  <c r="E130" i="15"/>
  <c r="D130" i="15"/>
  <c r="C130" i="15"/>
  <c r="G124" i="15"/>
  <c r="E124" i="15"/>
  <c r="D124" i="15"/>
  <c r="C124" i="15"/>
  <c r="G107" i="15"/>
  <c r="E107" i="15"/>
  <c r="D107" i="15"/>
  <c r="C107" i="15"/>
  <c r="G152" i="15"/>
  <c r="E152" i="15"/>
  <c r="D152" i="15"/>
  <c r="C152" i="15"/>
  <c r="G103" i="15"/>
  <c r="E103" i="15"/>
  <c r="D103" i="15"/>
  <c r="C103" i="15"/>
  <c r="G81" i="15"/>
  <c r="E81" i="15"/>
  <c r="D81" i="15"/>
  <c r="C81" i="15"/>
  <c r="G163" i="15"/>
  <c r="E163" i="15"/>
  <c r="D163" i="15"/>
  <c r="C163" i="15"/>
  <c r="G164" i="15"/>
  <c r="E164" i="15"/>
  <c r="D164" i="15"/>
  <c r="C164" i="15"/>
  <c r="G47" i="15"/>
  <c r="E47" i="15"/>
  <c r="D47" i="15"/>
  <c r="C47" i="15"/>
  <c r="G157" i="15"/>
  <c r="E157" i="15"/>
  <c r="D157" i="15"/>
  <c r="C157" i="15"/>
  <c r="G126" i="15"/>
  <c r="E126" i="15"/>
  <c r="D126" i="15"/>
  <c r="C126" i="15"/>
  <c r="G169" i="15"/>
  <c r="E169" i="15"/>
  <c r="D169" i="15"/>
  <c r="C169" i="15"/>
  <c r="G53" i="15"/>
  <c r="E53" i="15"/>
  <c r="D53" i="15"/>
  <c r="C53" i="15"/>
  <c r="G167" i="15"/>
  <c r="E167" i="15"/>
  <c r="D167" i="15"/>
  <c r="C167" i="15"/>
  <c r="G100" i="15"/>
  <c r="E100" i="15"/>
  <c r="D100" i="15"/>
  <c r="C100" i="15"/>
  <c r="G99" i="15"/>
  <c r="E99" i="15"/>
  <c r="D99" i="15"/>
  <c r="C99" i="15"/>
  <c r="G31" i="15"/>
  <c r="E31" i="15"/>
  <c r="D31" i="15"/>
  <c r="C31" i="15"/>
  <c r="G64" i="15"/>
  <c r="E64" i="15"/>
  <c r="D64" i="15"/>
  <c r="C64" i="15"/>
  <c r="G98" i="15"/>
  <c r="E98" i="15"/>
  <c r="D98" i="15"/>
  <c r="C98" i="15"/>
  <c r="G79" i="15"/>
  <c r="E79" i="15"/>
  <c r="D79" i="15"/>
  <c r="C79" i="15"/>
  <c r="G150" i="15"/>
  <c r="E150" i="15"/>
  <c r="D150" i="15"/>
  <c r="C150" i="15"/>
  <c r="G97" i="15"/>
  <c r="E97" i="15"/>
  <c r="D97" i="15"/>
  <c r="C97" i="15"/>
  <c r="G70" i="15"/>
  <c r="E70" i="15"/>
  <c r="D70" i="15"/>
  <c r="C70" i="15"/>
  <c r="G132" i="15"/>
  <c r="E132" i="15"/>
  <c r="D132" i="15"/>
  <c r="C132" i="15"/>
  <c r="G3" i="15"/>
  <c r="E3" i="15"/>
  <c r="D3" i="15"/>
  <c r="C3" i="15"/>
  <c r="G26" i="15"/>
  <c r="E26" i="15"/>
  <c r="D26" i="15"/>
  <c r="C26" i="15"/>
  <c r="G58" i="15"/>
  <c r="E58" i="15"/>
  <c r="D58" i="15"/>
  <c r="C58" i="15"/>
  <c r="G96" i="15"/>
  <c r="E96" i="15"/>
  <c r="D96" i="15"/>
  <c r="C96" i="15"/>
  <c r="G57" i="15"/>
  <c r="E57" i="15"/>
  <c r="D57" i="15"/>
  <c r="C57" i="15"/>
  <c r="G120" i="15"/>
  <c r="E120" i="15"/>
  <c r="D120" i="15"/>
  <c r="C120" i="15"/>
  <c r="G134" i="15"/>
  <c r="E134" i="15"/>
  <c r="D134" i="15"/>
  <c r="C134" i="15"/>
  <c r="G72" i="15"/>
  <c r="E72" i="15"/>
  <c r="D72" i="15"/>
  <c r="C72" i="15"/>
  <c r="G129" i="15"/>
  <c r="E129" i="15"/>
  <c r="D129" i="15"/>
  <c r="C129" i="15"/>
  <c r="G51" i="15"/>
  <c r="E51" i="15"/>
  <c r="D51" i="15"/>
  <c r="C51" i="15"/>
  <c r="G13" i="15"/>
  <c r="E13" i="15"/>
  <c r="D13" i="15"/>
  <c r="C13" i="15"/>
  <c r="G95" i="15"/>
  <c r="E95" i="15"/>
  <c r="D95" i="15"/>
  <c r="C95" i="15"/>
  <c r="E48" i="15"/>
  <c r="D48" i="15"/>
  <c r="C48" i="15"/>
  <c r="G71" i="15"/>
  <c r="E71" i="15"/>
  <c r="D71" i="15"/>
  <c r="C71" i="15"/>
  <c r="G110" i="15"/>
  <c r="E110" i="15"/>
  <c r="D110" i="15"/>
  <c r="C110" i="15"/>
  <c r="G39" i="15"/>
  <c r="E39" i="15"/>
  <c r="D39" i="15"/>
  <c r="C39" i="15"/>
  <c r="G66" i="15"/>
  <c r="E66" i="15"/>
  <c r="D66" i="15"/>
  <c r="C66" i="15"/>
  <c r="G142" i="15"/>
  <c r="E142" i="15"/>
  <c r="D142" i="15"/>
  <c r="C142" i="15"/>
  <c r="G23" i="15"/>
  <c r="E23" i="15"/>
  <c r="D23" i="15"/>
  <c r="C23" i="15"/>
  <c r="G94" i="15"/>
  <c r="E94" i="15"/>
  <c r="D94" i="15"/>
  <c r="C94" i="15"/>
  <c r="G93" i="15"/>
  <c r="E93" i="15"/>
  <c r="D93" i="15"/>
  <c r="C93" i="15"/>
  <c r="G147" i="15"/>
  <c r="E147" i="15"/>
  <c r="D147" i="15"/>
  <c r="C147" i="15"/>
  <c r="G92" i="15"/>
  <c r="E92" i="15"/>
  <c r="D92" i="15"/>
  <c r="C92" i="15"/>
  <c r="G34" i="15"/>
  <c r="E34" i="15"/>
  <c r="D34" i="15"/>
  <c r="C34" i="15"/>
  <c r="G36" i="15"/>
  <c r="E36" i="15"/>
  <c r="D36" i="15"/>
  <c r="C36" i="15"/>
  <c r="G4" i="15"/>
  <c r="E4" i="15"/>
  <c r="D4" i="15"/>
  <c r="C4" i="15"/>
  <c r="G91" i="15"/>
  <c r="E91" i="15"/>
  <c r="D91" i="15"/>
  <c r="C91" i="15"/>
  <c r="G90" i="15"/>
  <c r="E90" i="15"/>
  <c r="D90" i="15"/>
  <c r="C90" i="15"/>
  <c r="G6" i="15"/>
  <c r="E6" i="15"/>
  <c r="D6" i="15"/>
  <c r="C6" i="15"/>
  <c r="G38" i="15"/>
  <c r="E38" i="15"/>
  <c r="D38" i="15"/>
  <c r="C38" i="15"/>
  <c r="G116" i="15"/>
  <c r="E116" i="15"/>
  <c r="D116" i="15"/>
  <c r="C116" i="15"/>
  <c r="G113" i="15"/>
  <c r="E113" i="15"/>
  <c r="D113" i="15"/>
  <c r="C113" i="15"/>
  <c r="G54" i="15"/>
  <c r="E54" i="15"/>
  <c r="D54" i="15"/>
  <c r="C54" i="15"/>
  <c r="G114" i="15"/>
  <c r="E114" i="15"/>
  <c r="D114" i="15"/>
  <c r="C114" i="15"/>
  <c r="G144" i="15"/>
  <c r="E144" i="15"/>
  <c r="D144" i="15"/>
  <c r="C144" i="15"/>
  <c r="G33" i="15"/>
  <c r="E33" i="15"/>
  <c r="D33" i="15"/>
  <c r="C33" i="15"/>
  <c r="G143" i="15"/>
  <c r="E143" i="15"/>
  <c r="D143" i="15"/>
  <c r="C143" i="15"/>
  <c r="G123" i="15"/>
  <c r="E123" i="15"/>
  <c r="D123" i="15"/>
  <c r="C123" i="15"/>
  <c r="G28" i="15"/>
  <c r="E28" i="15"/>
  <c r="D28" i="15"/>
  <c r="C28" i="15"/>
  <c r="G145" i="15"/>
  <c r="E145" i="15"/>
  <c r="D145" i="15"/>
  <c r="C145" i="15"/>
  <c r="G75" i="15"/>
  <c r="E75" i="15"/>
  <c r="D75" i="15"/>
  <c r="C75" i="15"/>
  <c r="G41" i="15"/>
  <c r="E41" i="15"/>
  <c r="D41" i="15"/>
  <c r="C41" i="15"/>
  <c r="G46" i="15"/>
  <c r="E46" i="15"/>
  <c r="D46" i="15"/>
  <c r="C46" i="15"/>
  <c r="G146" i="15"/>
  <c r="E146" i="15"/>
  <c r="D146" i="15"/>
  <c r="C146" i="15"/>
  <c r="G136" i="15"/>
  <c r="E136" i="15"/>
  <c r="D136" i="15"/>
  <c r="C136" i="15"/>
  <c r="G17" i="15"/>
  <c r="E17" i="15"/>
  <c r="D17" i="15"/>
  <c r="C17" i="15"/>
  <c r="G105" i="15"/>
  <c r="E105" i="15"/>
  <c r="D105" i="15"/>
  <c r="C105" i="15"/>
  <c r="G83" i="15"/>
  <c r="E83" i="15"/>
  <c r="D83" i="15"/>
  <c r="C83" i="15"/>
  <c r="G42" i="15"/>
  <c r="E42" i="15"/>
  <c r="D42" i="15"/>
  <c r="C42" i="15"/>
  <c r="G20" i="15"/>
  <c r="E20" i="15"/>
  <c r="D20" i="15"/>
  <c r="C20" i="15"/>
  <c r="G25" i="15"/>
  <c r="E25" i="15"/>
  <c r="D25" i="15"/>
  <c r="C25" i="15"/>
  <c r="G154" i="15"/>
  <c r="E154" i="15"/>
  <c r="D154" i="15"/>
  <c r="C154" i="15"/>
  <c r="G133" i="15"/>
  <c r="E133" i="15"/>
  <c r="D133" i="15"/>
  <c r="C133" i="15"/>
  <c r="G22" i="15"/>
  <c r="E22" i="15"/>
  <c r="D22" i="15"/>
  <c r="C22" i="15"/>
  <c r="G24" i="15"/>
  <c r="E24" i="15"/>
  <c r="D24" i="15"/>
  <c r="C24" i="15"/>
  <c r="G55" i="15"/>
  <c r="E55" i="15"/>
  <c r="D55" i="15"/>
  <c r="C55" i="15"/>
  <c r="G74" i="15"/>
  <c r="E74" i="15"/>
  <c r="D74" i="15"/>
  <c r="C74" i="15"/>
  <c r="G8" i="15"/>
  <c r="E8" i="15"/>
  <c r="D8" i="15"/>
  <c r="C8" i="15"/>
  <c r="G49" i="15"/>
  <c r="E49" i="15"/>
  <c r="D49" i="15"/>
  <c r="C49" i="15"/>
  <c r="G18" i="15"/>
  <c r="E18" i="15"/>
  <c r="D18" i="15"/>
  <c r="C18" i="15"/>
  <c r="G168" i="15"/>
  <c r="E168" i="15"/>
  <c r="D168" i="15"/>
  <c r="C168" i="15"/>
  <c r="G9" i="15"/>
  <c r="E9" i="15"/>
  <c r="D9" i="15"/>
  <c r="C9" i="15"/>
  <c r="G15" i="15"/>
  <c r="E15" i="15"/>
  <c r="D15" i="15"/>
  <c r="C15" i="15"/>
  <c r="G62" i="15"/>
  <c r="E62" i="15"/>
  <c r="D62" i="15"/>
  <c r="C62" i="15"/>
  <c r="G149" i="15"/>
  <c r="E149" i="15"/>
  <c r="D149" i="15"/>
  <c r="C149" i="15"/>
  <c r="G61" i="15"/>
  <c r="E61" i="15"/>
  <c r="D61" i="15"/>
  <c r="C61" i="15"/>
  <c r="G141" i="15"/>
  <c r="E141" i="15"/>
  <c r="D141" i="15"/>
  <c r="C141" i="15"/>
  <c r="G127" i="15"/>
  <c r="E127" i="15"/>
  <c r="D127" i="15"/>
  <c r="C127" i="15"/>
  <c r="G14" i="15"/>
  <c r="E14" i="15"/>
  <c r="D14" i="15"/>
  <c r="C14" i="15"/>
  <c r="G160" i="15"/>
  <c r="E160" i="15"/>
  <c r="D160" i="15"/>
  <c r="C160" i="15"/>
  <c r="G118" i="15"/>
  <c r="E118" i="15"/>
  <c r="D118" i="15"/>
  <c r="C118" i="15"/>
  <c r="G59" i="15"/>
  <c r="E59" i="15"/>
  <c r="D59" i="15"/>
  <c r="C59" i="15"/>
  <c r="G128" i="15"/>
  <c r="E128" i="15"/>
  <c r="D128" i="15"/>
  <c r="C128" i="15"/>
  <c r="G104" i="15"/>
  <c r="E104" i="15"/>
  <c r="D104" i="15"/>
  <c r="C104" i="15"/>
  <c r="G138" i="15"/>
  <c r="E138" i="15"/>
  <c r="D138" i="15"/>
  <c r="C138" i="15"/>
  <c r="G162" i="15"/>
  <c r="E162" i="15"/>
  <c r="D162" i="15"/>
  <c r="C162" i="15"/>
  <c r="G125" i="15"/>
  <c r="E125" i="15"/>
  <c r="D125" i="15"/>
  <c r="C125" i="15"/>
  <c r="G139" i="15"/>
  <c r="E139" i="15"/>
  <c r="D139" i="15"/>
  <c r="C139" i="15"/>
  <c r="G73" i="15"/>
  <c r="E73" i="15"/>
  <c r="D73" i="15"/>
  <c r="C73" i="15"/>
  <c r="G45" i="15"/>
  <c r="E45" i="15"/>
  <c r="D45" i="15"/>
  <c r="C45" i="15"/>
  <c r="G115" i="15"/>
  <c r="E115" i="15"/>
  <c r="D115" i="15"/>
  <c r="C115" i="15"/>
  <c r="G44" i="15"/>
  <c r="E44" i="15"/>
  <c r="D44" i="15"/>
  <c r="C44" i="15"/>
  <c r="G76" i="15"/>
  <c r="E76" i="15"/>
  <c r="D76" i="15"/>
  <c r="C76" i="15"/>
  <c r="G159" i="15"/>
  <c r="E159" i="15"/>
  <c r="D159" i="15"/>
  <c r="C159" i="15"/>
  <c r="G166" i="15"/>
  <c r="E166" i="15"/>
  <c r="D166" i="15"/>
  <c r="C166" i="15"/>
  <c r="G37" i="15"/>
  <c r="E37" i="15"/>
  <c r="D37" i="15"/>
  <c r="C37" i="15"/>
  <c r="G56" i="15"/>
  <c r="E56" i="15"/>
  <c r="D56" i="15"/>
  <c r="C56" i="15"/>
  <c r="G155" i="15"/>
  <c r="E155" i="15"/>
  <c r="D155" i="15"/>
  <c r="C155" i="15"/>
  <c r="G108" i="15"/>
  <c r="E108" i="15"/>
  <c r="D108" i="15"/>
  <c r="C108" i="15"/>
  <c r="G67" i="15"/>
  <c r="E67" i="15"/>
  <c r="D67" i="15"/>
  <c r="C67" i="15"/>
  <c r="G82" i="15"/>
  <c r="E82" i="15"/>
  <c r="D82" i="15"/>
  <c r="C82" i="15"/>
  <c r="G84" i="15"/>
  <c r="E84" i="15"/>
  <c r="D84" i="15"/>
  <c r="C84" i="15"/>
  <c r="G131" i="15"/>
  <c r="E131" i="15"/>
  <c r="D131" i="15"/>
  <c r="C131" i="15"/>
  <c r="G158" i="15"/>
  <c r="E158" i="15"/>
  <c r="D158" i="15"/>
  <c r="C158" i="15"/>
  <c r="G106" i="15"/>
  <c r="E106" i="15"/>
  <c r="D106" i="15"/>
  <c r="C106" i="15"/>
  <c r="G89" i="15"/>
  <c r="E89" i="15"/>
  <c r="D89" i="15"/>
  <c r="C89" i="15"/>
  <c r="G78" i="15"/>
  <c r="E78" i="15"/>
  <c r="D78" i="15"/>
  <c r="C78" i="15"/>
  <c r="G77" i="15"/>
  <c r="E77" i="15"/>
  <c r="D77" i="15"/>
  <c r="C77" i="15"/>
  <c r="G117" i="15"/>
  <c r="E117" i="15"/>
  <c r="D117" i="15"/>
  <c r="C117" i="15"/>
  <c r="G140" i="15"/>
  <c r="E140" i="15"/>
  <c r="D140" i="15"/>
  <c r="C140" i="15"/>
  <c r="G29" i="15"/>
  <c r="E29" i="15"/>
  <c r="D29" i="15"/>
  <c r="C29" i="15"/>
  <c r="G21" i="15"/>
  <c r="E21" i="15"/>
  <c r="D21" i="15"/>
  <c r="C21" i="15"/>
  <c r="G7" i="15"/>
  <c r="E7" i="15"/>
  <c r="D7" i="15"/>
  <c r="C7" i="15"/>
  <c r="G111" i="15"/>
  <c r="E111" i="15"/>
  <c r="D111" i="15"/>
  <c r="C111" i="15"/>
  <c r="G135" i="15"/>
  <c r="E135" i="15"/>
  <c r="D135" i="15"/>
  <c r="C135" i="15"/>
  <c r="G69" i="15"/>
  <c r="E69" i="15"/>
  <c r="D69" i="15"/>
  <c r="C69" i="15"/>
  <c r="G88" i="15"/>
  <c r="E88" i="15"/>
  <c r="D88" i="15"/>
  <c r="C88" i="15"/>
  <c r="G112" i="15"/>
  <c r="E112" i="15"/>
  <c r="D112" i="15"/>
  <c r="C112" i="15"/>
  <c r="G80" i="15"/>
  <c r="E80" i="15"/>
  <c r="D80" i="15"/>
  <c r="C80" i="15"/>
  <c r="G122" i="15"/>
  <c r="E122" i="15"/>
  <c r="D122" i="15"/>
  <c r="C122" i="15"/>
  <c r="G87" i="15"/>
  <c r="E87" i="15"/>
  <c r="D87" i="15"/>
  <c r="C87" i="15"/>
  <c r="G65" i="15"/>
  <c r="E65" i="15"/>
  <c r="D65" i="15"/>
  <c r="C65" i="15"/>
  <c r="G60" i="15"/>
  <c r="E60" i="15"/>
  <c r="D60" i="15"/>
  <c r="C60" i="15"/>
  <c r="G16" i="15"/>
  <c r="E16" i="15"/>
  <c r="D16" i="15"/>
  <c r="C16" i="15"/>
  <c r="G10" i="15"/>
  <c r="E10" i="15"/>
  <c r="D10" i="15"/>
  <c r="C10" i="15"/>
  <c r="G12" i="15"/>
  <c r="E12" i="15"/>
  <c r="D12" i="15"/>
  <c r="C12" i="15"/>
  <c r="G86" i="15"/>
  <c r="E86" i="15"/>
  <c r="D86" i="15"/>
  <c r="C86" i="15"/>
  <c r="G30" i="15"/>
  <c r="E30" i="15"/>
  <c r="D30" i="15"/>
  <c r="C30" i="15"/>
  <c r="G119" i="15"/>
  <c r="E119" i="15"/>
  <c r="D119" i="15"/>
  <c r="C119" i="15"/>
  <c r="G40" i="15"/>
  <c r="E40" i="15"/>
  <c r="D40" i="15"/>
  <c r="C40" i="15"/>
  <c r="G121" i="15"/>
  <c r="E121" i="15"/>
  <c r="D121" i="15"/>
  <c r="C121" i="15"/>
  <c r="G109" i="15"/>
  <c r="E109" i="15"/>
  <c r="D109" i="15"/>
  <c r="C109" i="15"/>
  <c r="G85" i="15"/>
  <c r="E85" i="15"/>
  <c r="D85" i="15"/>
  <c r="C85" i="15"/>
  <c r="G153" i="15"/>
  <c r="E153" i="15"/>
  <c r="D153" i="15"/>
  <c r="C153" i="15"/>
  <c r="G27" i="15"/>
  <c r="E27" i="15"/>
  <c r="D27" i="15"/>
  <c r="C27" i="15"/>
  <c r="G50" i="15"/>
  <c r="E50" i="15"/>
  <c r="D50" i="15"/>
  <c r="C50" i="15"/>
  <c r="G161" i="15"/>
  <c r="E161" i="15"/>
  <c r="D161" i="15"/>
  <c r="C161" i="15"/>
  <c r="G5" i="15"/>
  <c r="E5" i="15"/>
  <c r="D5" i="15"/>
  <c r="C5" i="15"/>
  <c r="G148" i="15"/>
  <c r="E148" i="15"/>
  <c r="D148" i="15"/>
  <c r="C148" i="15"/>
  <c r="C235" i="11"/>
  <c r="D235" i="11"/>
  <c r="E235" i="11"/>
  <c r="G235" i="11"/>
  <c r="C42" i="11"/>
  <c r="D42" i="11"/>
  <c r="E42" i="11"/>
  <c r="G42" i="11"/>
  <c r="C236" i="11"/>
  <c r="D236" i="11"/>
  <c r="E236" i="11"/>
  <c r="G236" i="11"/>
  <c r="C310" i="11"/>
  <c r="D310" i="11"/>
  <c r="E310" i="11"/>
  <c r="G310" i="11"/>
  <c r="C326" i="11"/>
  <c r="D326" i="11"/>
  <c r="E326" i="11"/>
  <c r="G326" i="11"/>
  <c r="C237" i="11"/>
  <c r="D237" i="11"/>
  <c r="E237" i="11"/>
  <c r="G237" i="11"/>
  <c r="C259" i="11"/>
  <c r="D259" i="11"/>
  <c r="E259" i="11"/>
  <c r="G259" i="11"/>
  <c r="C309" i="11"/>
  <c r="D309" i="11"/>
  <c r="E309" i="11"/>
  <c r="G309" i="11"/>
  <c r="C27" i="11"/>
  <c r="D27" i="11"/>
  <c r="E27" i="11"/>
  <c r="G27" i="11"/>
  <c r="C238" i="11"/>
  <c r="D238" i="11"/>
  <c r="E238" i="11"/>
  <c r="G238" i="11"/>
  <c r="C275" i="11"/>
  <c r="D275" i="11"/>
  <c r="E275" i="11"/>
  <c r="G275" i="11"/>
  <c r="C239" i="11"/>
  <c r="D239" i="11"/>
  <c r="E239" i="11"/>
  <c r="G239" i="11"/>
  <c r="C240" i="11"/>
  <c r="D240" i="11"/>
  <c r="E240" i="11"/>
  <c r="G240" i="11"/>
  <c r="C255" i="11"/>
  <c r="D255" i="11"/>
  <c r="E255" i="11"/>
  <c r="G255" i="11"/>
  <c r="C241" i="11"/>
  <c r="D241" i="11"/>
  <c r="E241" i="11"/>
  <c r="G241" i="11"/>
  <c r="C291" i="11"/>
  <c r="D291" i="11"/>
  <c r="E291" i="11"/>
  <c r="G291" i="11"/>
  <c r="C242" i="11"/>
  <c r="D242" i="11"/>
  <c r="E242" i="11"/>
  <c r="G242" i="11"/>
  <c r="C66" i="11"/>
  <c r="D66" i="11"/>
  <c r="E66" i="11"/>
  <c r="G66" i="11"/>
  <c r="C292" i="11"/>
  <c r="D292" i="11"/>
  <c r="E292" i="11"/>
  <c r="G292" i="11"/>
  <c r="C243" i="11"/>
  <c r="D243" i="11"/>
  <c r="E243" i="11"/>
  <c r="G243" i="11"/>
  <c r="C244" i="11"/>
  <c r="D244" i="11"/>
  <c r="E244" i="11"/>
  <c r="G244" i="11"/>
  <c r="C318" i="11"/>
  <c r="D318" i="11"/>
  <c r="E318" i="11"/>
  <c r="G318" i="11"/>
  <c r="C313" i="11"/>
  <c r="D313" i="11"/>
  <c r="E313" i="11"/>
  <c r="G313" i="11"/>
  <c r="C323" i="11"/>
  <c r="D323" i="11"/>
  <c r="E323" i="11"/>
  <c r="G323" i="11"/>
  <c r="C245" i="11"/>
  <c r="D245" i="11"/>
  <c r="E245" i="11"/>
  <c r="G245" i="11"/>
  <c r="C12" i="11"/>
  <c r="D12" i="11"/>
  <c r="E12" i="11"/>
  <c r="G12" i="11"/>
  <c r="C38" i="11"/>
  <c r="D38" i="11"/>
  <c r="E38" i="11"/>
  <c r="G38" i="11"/>
  <c r="C246" i="11"/>
  <c r="D246" i="11"/>
  <c r="E246" i="11"/>
  <c r="G246" i="11"/>
  <c r="C247" i="11"/>
  <c r="D247" i="11"/>
  <c r="E247" i="11"/>
  <c r="G247" i="11"/>
  <c r="C248" i="11"/>
  <c r="D248" i="11"/>
  <c r="E248" i="11"/>
  <c r="G248" i="11"/>
  <c r="F244" i="11" l="1"/>
  <c r="F326" i="11"/>
  <c r="F310" i="11"/>
  <c r="F236" i="11"/>
  <c r="F42" i="11"/>
  <c r="F235" i="11"/>
  <c r="F243" i="11"/>
  <c r="F292" i="11"/>
  <c r="F66" i="11"/>
  <c r="F242" i="11"/>
  <c r="F291" i="11"/>
  <c r="F241" i="11"/>
  <c r="F255" i="11"/>
  <c r="F240" i="11"/>
  <c r="F239" i="11"/>
  <c r="F275" i="11"/>
  <c r="F238" i="11"/>
  <c r="F27" i="11"/>
  <c r="F309" i="11"/>
  <c r="F259" i="11"/>
  <c r="F237" i="11"/>
  <c r="F247" i="11"/>
  <c r="F246" i="11"/>
  <c r="F38" i="11"/>
  <c r="F12" i="11"/>
  <c r="F245" i="11"/>
  <c r="F323" i="11"/>
  <c r="F313" i="11"/>
  <c r="F318" i="11"/>
  <c r="F52" i="15"/>
  <c r="F96" i="15"/>
  <c r="F132" i="15"/>
  <c r="F47" i="15"/>
  <c r="F123" i="15"/>
  <c r="F54" i="15"/>
  <c r="F121" i="15"/>
  <c r="F78" i="15"/>
  <c r="F108" i="15"/>
  <c r="F56" i="15"/>
  <c r="F24" i="15"/>
  <c r="F133" i="15"/>
  <c r="F69" i="15"/>
  <c r="F95" i="15"/>
  <c r="F120" i="15"/>
  <c r="F35" i="15"/>
  <c r="F32" i="15"/>
  <c r="F30" i="15"/>
  <c r="F118" i="15"/>
  <c r="F61" i="15"/>
  <c r="F93" i="15"/>
  <c r="F48" i="15"/>
  <c r="F164" i="15"/>
  <c r="F103" i="15"/>
  <c r="F137" i="15"/>
  <c r="F37" i="15"/>
  <c r="F73" i="15"/>
  <c r="F90" i="15"/>
  <c r="F99" i="15"/>
  <c r="F100" i="15"/>
  <c r="F59" i="15"/>
  <c r="F29" i="15"/>
  <c r="F161" i="15"/>
  <c r="F168" i="15"/>
  <c r="F49" i="15"/>
  <c r="F113" i="15"/>
  <c r="F116" i="15"/>
  <c r="F34" i="15"/>
  <c r="F98" i="15"/>
  <c r="F170" i="15"/>
  <c r="F156" i="15"/>
  <c r="F65" i="15"/>
  <c r="F135" i="15"/>
  <c r="F111" i="15"/>
  <c r="F89" i="15"/>
  <c r="F45" i="15"/>
  <c r="F104" i="15"/>
  <c r="F128" i="15"/>
  <c r="F149" i="15"/>
  <c r="F15" i="15"/>
  <c r="F105" i="15"/>
  <c r="F146" i="15"/>
  <c r="F75" i="15"/>
  <c r="F114" i="15"/>
  <c r="F91" i="15"/>
  <c r="F39" i="15"/>
  <c r="F72" i="15"/>
  <c r="F134" i="15"/>
  <c r="F70" i="15"/>
  <c r="F130" i="15"/>
  <c r="F102" i="15"/>
  <c r="F112" i="15"/>
  <c r="F88" i="15"/>
  <c r="F158" i="15"/>
  <c r="F159" i="15"/>
  <c r="F44" i="15"/>
  <c r="F139" i="15"/>
  <c r="F154" i="15"/>
  <c r="F42" i="15"/>
  <c r="F33" i="15"/>
  <c r="F23" i="15"/>
  <c r="F66" i="15"/>
  <c r="F53" i="15"/>
  <c r="F151" i="15"/>
  <c r="F101" i="15"/>
  <c r="F83" i="15"/>
  <c r="F16" i="15"/>
  <c r="F60" i="15"/>
  <c r="F117" i="15"/>
  <c r="F127" i="15"/>
  <c r="F141" i="15"/>
  <c r="F9" i="15"/>
  <c r="F145" i="15"/>
  <c r="F153" i="15"/>
  <c r="F109" i="15"/>
  <c r="F131" i="15"/>
  <c r="F67" i="15"/>
  <c r="F55" i="15"/>
  <c r="F51" i="15"/>
  <c r="F26" i="15"/>
  <c r="F150" i="15"/>
  <c r="F31" i="15"/>
  <c r="F152" i="15"/>
  <c r="F122" i="15"/>
  <c r="F138" i="15"/>
  <c r="F8" i="15"/>
  <c r="F20" i="15"/>
  <c r="F46" i="15"/>
  <c r="F143" i="15"/>
  <c r="F6" i="15"/>
  <c r="F71" i="15"/>
  <c r="F13" i="15"/>
  <c r="F97" i="15"/>
  <c r="F64" i="15"/>
  <c r="F81" i="15"/>
  <c r="F19" i="15"/>
  <c r="F36" i="15"/>
  <c r="F157" i="15"/>
  <c r="F85" i="15"/>
  <c r="F12" i="15"/>
  <c r="F140" i="15"/>
  <c r="F50" i="15"/>
  <c r="F27" i="15"/>
  <c r="F119" i="15"/>
  <c r="F87" i="15"/>
  <c r="F106" i="15"/>
  <c r="F84" i="15"/>
  <c r="F125" i="15"/>
  <c r="F162" i="15"/>
  <c r="F62" i="15"/>
  <c r="F18" i="15"/>
  <c r="F25" i="15"/>
  <c r="F4" i="15"/>
  <c r="F92" i="15"/>
  <c r="F147" i="15"/>
  <c r="F142" i="15"/>
  <c r="F129" i="15"/>
  <c r="F57" i="15"/>
  <c r="F79" i="15"/>
  <c r="F169" i="15"/>
  <c r="F163" i="15"/>
  <c r="F107" i="15"/>
  <c r="F63" i="15"/>
  <c r="F11" i="15"/>
  <c r="F68" i="15"/>
  <c r="D171" i="15"/>
  <c r="F148" i="15"/>
  <c r="E171" i="15"/>
  <c r="F5" i="15"/>
  <c r="C171" i="15"/>
  <c r="F86" i="15"/>
  <c r="F7" i="15"/>
  <c r="F21" i="15"/>
  <c r="F166" i="15"/>
  <c r="F160" i="15"/>
  <c r="F17" i="15"/>
  <c r="F136" i="15"/>
  <c r="F38" i="15"/>
  <c r="F110" i="15"/>
  <c r="F165" i="15"/>
  <c r="F40" i="15"/>
  <c r="F77" i="15"/>
  <c r="F155" i="15"/>
  <c r="F115" i="15"/>
  <c r="F22" i="15"/>
  <c r="F28" i="15"/>
  <c r="F94" i="15"/>
  <c r="F3" i="15"/>
  <c r="F167" i="15"/>
  <c r="G171" i="15"/>
  <c r="F10" i="15"/>
  <c r="F80" i="15"/>
  <c r="F82" i="15"/>
  <c r="F76" i="15"/>
  <c r="F14" i="15"/>
  <c r="F74" i="15"/>
  <c r="F41" i="15"/>
  <c r="F144" i="15"/>
  <c r="F58" i="15"/>
  <c r="F126" i="15"/>
  <c r="F124" i="15"/>
  <c r="F43" i="15"/>
  <c r="F248" i="11"/>
  <c r="C293" i="11" l="1"/>
  <c r="D293" i="11"/>
  <c r="E293" i="11"/>
  <c r="G293" i="11"/>
  <c r="C140" i="11"/>
  <c r="D140" i="11"/>
  <c r="E140" i="11"/>
  <c r="G140" i="11"/>
  <c r="C141" i="11"/>
  <c r="D141" i="11"/>
  <c r="E141" i="11"/>
  <c r="G141" i="11"/>
  <c r="C327" i="11"/>
  <c r="D327" i="11"/>
  <c r="E327" i="11"/>
  <c r="G327" i="11"/>
  <c r="C278" i="11"/>
  <c r="D278" i="11"/>
  <c r="E278" i="11"/>
  <c r="G278" i="11"/>
  <c r="C142" i="11"/>
  <c r="D142" i="11"/>
  <c r="E142" i="11"/>
  <c r="G142" i="11"/>
  <c r="C143" i="11"/>
  <c r="D143" i="11"/>
  <c r="E143" i="11"/>
  <c r="G143" i="11"/>
  <c r="C144" i="11"/>
  <c r="D144" i="11"/>
  <c r="E144" i="11"/>
  <c r="G144" i="11"/>
  <c r="C145" i="11"/>
  <c r="D145" i="11"/>
  <c r="E145" i="11"/>
  <c r="G145" i="11"/>
  <c r="C146" i="11"/>
  <c r="D146" i="11"/>
  <c r="E146" i="11"/>
  <c r="G146" i="11"/>
  <c r="C63" i="11"/>
  <c r="D63" i="11"/>
  <c r="E63" i="11"/>
  <c r="G63" i="11"/>
  <c r="C147" i="11"/>
  <c r="D147" i="11"/>
  <c r="E147" i="11"/>
  <c r="G147" i="11"/>
  <c r="C270" i="11"/>
  <c r="D270" i="11"/>
  <c r="E270" i="11"/>
  <c r="G270" i="11"/>
  <c r="C282" i="11"/>
  <c r="D282" i="11"/>
  <c r="E282" i="11"/>
  <c r="G282" i="11"/>
  <c r="C148" i="11"/>
  <c r="D148" i="11"/>
  <c r="E148" i="11"/>
  <c r="G148" i="11"/>
  <c r="C149" i="11"/>
  <c r="D149" i="11"/>
  <c r="E149" i="11"/>
  <c r="G149" i="11"/>
  <c r="C64" i="11"/>
  <c r="D64" i="11"/>
  <c r="E64" i="11"/>
  <c r="G64" i="11"/>
  <c r="C306" i="11"/>
  <c r="D306" i="11"/>
  <c r="E306" i="11"/>
  <c r="G306" i="11"/>
  <c r="C150" i="11"/>
  <c r="D150" i="11"/>
  <c r="E150" i="11"/>
  <c r="G150" i="11"/>
  <c r="C277" i="11"/>
  <c r="D277" i="11"/>
  <c r="E277" i="11"/>
  <c r="G277" i="11"/>
  <c r="C297" i="11"/>
  <c r="D297" i="11"/>
  <c r="E297" i="11"/>
  <c r="G297" i="11"/>
  <c r="C37" i="11"/>
  <c r="D37" i="11"/>
  <c r="E37" i="11"/>
  <c r="G37" i="11"/>
  <c r="C256" i="11"/>
  <c r="D256" i="11"/>
  <c r="E256" i="11"/>
  <c r="G256" i="11"/>
  <c r="C307" i="11"/>
  <c r="D307" i="11"/>
  <c r="E307" i="11"/>
  <c r="G307" i="11"/>
  <c r="C45" i="11"/>
  <c r="D45" i="11"/>
  <c r="E45" i="11"/>
  <c r="G45" i="11"/>
  <c r="C151" i="11"/>
  <c r="D151" i="11"/>
  <c r="E151" i="11"/>
  <c r="G151" i="11"/>
  <c r="C25" i="11"/>
  <c r="D25" i="11"/>
  <c r="E25" i="11"/>
  <c r="G25" i="11"/>
  <c r="C7" i="11"/>
  <c r="D7" i="11"/>
  <c r="E7" i="11"/>
  <c r="G7" i="11"/>
  <c r="C51" i="11"/>
  <c r="D51" i="11"/>
  <c r="E51" i="11"/>
  <c r="G51" i="11"/>
  <c r="C320" i="11"/>
  <c r="D320" i="11"/>
  <c r="E320" i="11"/>
  <c r="G320" i="11"/>
  <c r="C152" i="11"/>
  <c r="D152" i="11"/>
  <c r="E152" i="11"/>
  <c r="G152" i="11"/>
  <c r="C54" i="11"/>
  <c r="D54" i="11"/>
  <c r="E54" i="11"/>
  <c r="G54" i="11"/>
  <c r="C5" i="11"/>
  <c r="D5" i="11"/>
  <c r="E5" i="11"/>
  <c r="G5" i="11"/>
  <c r="C74" i="11"/>
  <c r="D74" i="11"/>
  <c r="E74" i="11"/>
  <c r="G74" i="11"/>
  <c r="C59" i="11"/>
  <c r="D59" i="11"/>
  <c r="E59" i="11"/>
  <c r="G59" i="11"/>
  <c r="C31" i="11"/>
  <c r="D31" i="11"/>
  <c r="E31" i="11"/>
  <c r="G31" i="11"/>
  <c r="C283" i="11"/>
  <c r="D283" i="11"/>
  <c r="E283" i="11"/>
  <c r="G283" i="11"/>
  <c r="C20" i="11"/>
  <c r="D20" i="11"/>
  <c r="E20" i="11"/>
  <c r="G20" i="11"/>
  <c r="C284" i="11"/>
  <c r="D284" i="11"/>
  <c r="E284" i="11"/>
  <c r="G284" i="11"/>
  <c r="C153" i="11"/>
  <c r="D153" i="11"/>
  <c r="E153" i="11"/>
  <c r="G153" i="11"/>
  <c r="C26" i="11"/>
  <c r="D26" i="11"/>
  <c r="E26" i="11"/>
  <c r="G26" i="11"/>
  <c r="C21" i="11"/>
  <c r="D21" i="11"/>
  <c r="E21" i="11"/>
  <c r="G21" i="11"/>
  <c r="C29" i="11"/>
  <c r="D29" i="11"/>
  <c r="E29" i="11"/>
  <c r="G29" i="11"/>
  <c r="C67" i="11"/>
  <c r="D67" i="11"/>
  <c r="E67" i="11"/>
  <c r="G67" i="11"/>
  <c r="C257" i="11"/>
  <c r="D257" i="11"/>
  <c r="E257" i="11"/>
  <c r="G257" i="11"/>
  <c r="C17" i="11"/>
  <c r="D17" i="11"/>
  <c r="E17" i="11"/>
  <c r="G17" i="11"/>
  <c r="C290" i="11"/>
  <c r="D290" i="11"/>
  <c r="E290" i="11"/>
  <c r="G290" i="11"/>
  <c r="C53" i="11"/>
  <c r="D53" i="11"/>
  <c r="E53" i="11"/>
  <c r="G53" i="11"/>
  <c r="C50" i="11"/>
  <c r="D50" i="11"/>
  <c r="E50" i="11"/>
  <c r="G50" i="11"/>
  <c r="C58" i="11"/>
  <c r="D58" i="11"/>
  <c r="E58" i="11"/>
  <c r="G58" i="11"/>
  <c r="C76" i="11"/>
  <c r="D76" i="11"/>
  <c r="E76" i="11"/>
  <c r="G76" i="11"/>
  <c r="C301" i="11"/>
  <c r="D301" i="11"/>
  <c r="E301" i="11"/>
  <c r="G301" i="11"/>
  <c r="C154" i="11"/>
  <c r="D154" i="11"/>
  <c r="E154" i="11"/>
  <c r="G154" i="11"/>
  <c r="C70" i="11"/>
  <c r="D70" i="11"/>
  <c r="E70" i="11"/>
  <c r="G70" i="11"/>
  <c r="C155" i="11"/>
  <c r="D155" i="11"/>
  <c r="E155" i="11"/>
  <c r="G155" i="11"/>
  <c r="C274" i="11"/>
  <c r="D274" i="11"/>
  <c r="E274" i="11"/>
  <c r="G274" i="11"/>
  <c r="C156" i="11"/>
  <c r="D156" i="11"/>
  <c r="E156" i="11"/>
  <c r="G156" i="11"/>
  <c r="C299" i="11"/>
  <c r="D299" i="11"/>
  <c r="E299" i="11"/>
  <c r="G299" i="11"/>
  <c r="C24" i="11"/>
  <c r="D24" i="11"/>
  <c r="E24" i="11"/>
  <c r="G24" i="11"/>
  <c r="C157" i="11"/>
  <c r="D157" i="11"/>
  <c r="E157" i="11"/>
  <c r="G157" i="11"/>
  <c r="C158" i="11"/>
  <c r="D158" i="11"/>
  <c r="E158" i="11"/>
  <c r="G158" i="11"/>
  <c r="C159" i="11"/>
  <c r="D159" i="11"/>
  <c r="E159" i="11"/>
  <c r="G159" i="11"/>
  <c r="C160" i="11"/>
  <c r="D160" i="11"/>
  <c r="E160" i="11"/>
  <c r="G160" i="11"/>
  <c r="C321" i="11"/>
  <c r="D321" i="11"/>
  <c r="E321" i="11"/>
  <c r="G321" i="11"/>
  <c r="C161" i="11"/>
  <c r="D161" i="11"/>
  <c r="E161" i="11"/>
  <c r="G161" i="11"/>
  <c r="C300" i="11"/>
  <c r="D300" i="11"/>
  <c r="E300" i="11"/>
  <c r="G300" i="11"/>
  <c r="C162" i="11"/>
  <c r="D162" i="11"/>
  <c r="E162" i="11"/>
  <c r="G162" i="11"/>
  <c r="C266" i="11"/>
  <c r="D266" i="11"/>
  <c r="E266" i="11"/>
  <c r="G266" i="11"/>
  <c r="C52" i="11"/>
  <c r="D52" i="11"/>
  <c r="E52" i="11"/>
  <c r="G52" i="11"/>
  <c r="C163" i="11"/>
  <c r="D163" i="11"/>
  <c r="E163" i="11"/>
  <c r="G163" i="11"/>
  <c r="C57" i="11"/>
  <c r="D57" i="11"/>
  <c r="E57" i="11"/>
  <c r="G57" i="11"/>
  <c r="C164" i="11"/>
  <c r="D164" i="11"/>
  <c r="E164" i="11"/>
  <c r="G164" i="11"/>
  <c r="C165" i="11"/>
  <c r="D165" i="11"/>
  <c r="E165" i="11"/>
  <c r="G165" i="11"/>
  <c r="C166" i="11"/>
  <c r="D166" i="11"/>
  <c r="E166" i="11"/>
  <c r="G166" i="11"/>
  <c r="C264" i="11"/>
  <c r="D264" i="11"/>
  <c r="E264" i="11"/>
  <c r="G264" i="11"/>
  <c r="C268" i="11"/>
  <c r="D268" i="11"/>
  <c r="E268" i="11"/>
  <c r="G268" i="11"/>
  <c r="C167" i="11"/>
  <c r="D167" i="11"/>
  <c r="E167" i="11"/>
  <c r="G167" i="11"/>
  <c r="C168" i="11"/>
  <c r="D168" i="11"/>
  <c r="E168" i="11"/>
  <c r="G168" i="11"/>
  <c r="C169" i="11"/>
  <c r="D169" i="11"/>
  <c r="E169" i="11"/>
  <c r="G169" i="11"/>
  <c r="C170" i="11"/>
  <c r="D170" i="11"/>
  <c r="E170" i="11"/>
  <c r="G170" i="11"/>
  <c r="C18" i="11"/>
  <c r="D18" i="11"/>
  <c r="E18" i="11"/>
  <c r="G18" i="11"/>
  <c r="C171" i="11"/>
  <c r="D171" i="11"/>
  <c r="E171" i="11"/>
  <c r="G171" i="11"/>
  <c r="C172" i="11"/>
  <c r="D172" i="11"/>
  <c r="E172" i="11"/>
  <c r="G172" i="11"/>
  <c r="C173" i="11"/>
  <c r="D173" i="11"/>
  <c r="E173" i="11"/>
  <c r="G173" i="11"/>
  <c r="C174" i="11"/>
  <c r="D174" i="11"/>
  <c r="E174" i="11"/>
  <c r="G174" i="11"/>
  <c r="C175" i="11"/>
  <c r="D175" i="11"/>
  <c r="E175" i="11"/>
  <c r="G175" i="11"/>
  <c r="C305" i="11"/>
  <c r="D305" i="11"/>
  <c r="E305" i="11"/>
  <c r="G305" i="11"/>
  <c r="C176" i="11"/>
  <c r="D176" i="11"/>
  <c r="E176" i="11"/>
  <c r="G176" i="11"/>
  <c r="C8" i="11"/>
  <c r="D8" i="11"/>
  <c r="E8" i="11"/>
  <c r="G8" i="11"/>
  <c r="C287" i="11"/>
  <c r="D287" i="11"/>
  <c r="E287" i="11"/>
  <c r="G287" i="11"/>
  <c r="C177" i="11"/>
  <c r="D177" i="11"/>
  <c r="E177" i="11"/>
  <c r="G177" i="11"/>
  <c r="C36" i="11"/>
  <c r="D36" i="11"/>
  <c r="E36" i="11"/>
  <c r="G36" i="11"/>
  <c r="C41" i="11"/>
  <c r="D41" i="11"/>
  <c r="E41" i="11"/>
  <c r="G41" i="11"/>
  <c r="C178" i="11"/>
  <c r="D178" i="11"/>
  <c r="E178" i="11"/>
  <c r="G178" i="11"/>
  <c r="C302" i="11"/>
  <c r="D302" i="11"/>
  <c r="E302" i="11"/>
  <c r="G302" i="11"/>
  <c r="C179" i="11"/>
  <c r="D179" i="11"/>
  <c r="E179" i="11"/>
  <c r="G179" i="11"/>
  <c r="C296" i="11"/>
  <c r="D296" i="11"/>
  <c r="E296" i="11"/>
  <c r="G296" i="11"/>
  <c r="C180" i="11"/>
  <c r="D180" i="11"/>
  <c r="E180" i="11"/>
  <c r="G180" i="11"/>
  <c r="C181" i="11"/>
  <c r="D181" i="11"/>
  <c r="E181" i="11"/>
  <c r="G181" i="11"/>
  <c r="C75" i="11"/>
  <c r="D75" i="11"/>
  <c r="E75" i="11"/>
  <c r="G75" i="11"/>
  <c r="C182" i="11"/>
  <c r="D182" i="11"/>
  <c r="E182" i="11"/>
  <c r="G182" i="11"/>
  <c r="C183" i="11"/>
  <c r="D183" i="11"/>
  <c r="E183" i="11"/>
  <c r="G183" i="11"/>
  <c r="C184" i="11"/>
  <c r="D184" i="11"/>
  <c r="E184" i="11"/>
  <c r="G184" i="11"/>
  <c r="C15" i="11"/>
  <c r="D15" i="11"/>
  <c r="E15" i="11"/>
  <c r="G15" i="11"/>
  <c r="C298" i="11"/>
  <c r="D298" i="11"/>
  <c r="E298" i="11"/>
  <c r="G298" i="11"/>
  <c r="C185" i="11"/>
  <c r="D185" i="11"/>
  <c r="E185" i="11"/>
  <c r="G185" i="11"/>
  <c r="C68" i="11"/>
  <c r="D68" i="11"/>
  <c r="E68" i="11"/>
  <c r="G68" i="11"/>
  <c r="C186" i="11"/>
  <c r="D186" i="11"/>
  <c r="E186" i="11"/>
  <c r="G186" i="11"/>
  <c r="C44" i="11"/>
  <c r="D44" i="11"/>
  <c r="E44" i="11"/>
  <c r="G44" i="11"/>
  <c r="C187" i="11"/>
  <c r="D187" i="11"/>
  <c r="E187" i="11"/>
  <c r="G187" i="11"/>
  <c r="C262" i="11"/>
  <c r="D262" i="11"/>
  <c r="E262" i="11"/>
  <c r="G262" i="11"/>
  <c r="C188" i="11"/>
  <c r="D188" i="11"/>
  <c r="E188" i="11"/>
  <c r="G188" i="11"/>
  <c r="C72" i="11"/>
  <c r="D72" i="11"/>
  <c r="E72" i="11"/>
  <c r="G72" i="11"/>
  <c r="C189" i="11"/>
  <c r="D189" i="11"/>
  <c r="E189" i="11"/>
  <c r="G189" i="11"/>
  <c r="C190" i="11"/>
  <c r="D190" i="11"/>
  <c r="E190" i="11"/>
  <c r="G190" i="11"/>
  <c r="C191" i="11"/>
  <c r="D191" i="11"/>
  <c r="E191" i="11"/>
  <c r="G191" i="11"/>
  <c r="C265" i="11"/>
  <c r="D265" i="11"/>
  <c r="E265" i="11"/>
  <c r="G265" i="11"/>
  <c r="C192" i="11"/>
  <c r="D192" i="11"/>
  <c r="E192" i="11"/>
  <c r="G192" i="11"/>
  <c r="C193" i="11"/>
  <c r="D193" i="11"/>
  <c r="E193" i="11"/>
  <c r="G193" i="11"/>
  <c r="C194" i="11"/>
  <c r="D194" i="11"/>
  <c r="E194" i="11"/>
  <c r="G194" i="11"/>
  <c r="C304" i="11"/>
  <c r="D304" i="11"/>
  <c r="E304" i="11"/>
  <c r="G304" i="11"/>
  <c r="C22" i="11"/>
  <c r="D22" i="11"/>
  <c r="E22" i="11"/>
  <c r="G22" i="11"/>
  <c r="C195" i="11"/>
  <c r="D195" i="11"/>
  <c r="E195" i="11"/>
  <c r="G195" i="11"/>
  <c r="C46" i="11"/>
  <c r="D46" i="11"/>
  <c r="E46" i="11"/>
  <c r="G46" i="11"/>
  <c r="C196" i="11"/>
  <c r="D196" i="11"/>
  <c r="E196" i="11"/>
  <c r="G196" i="11"/>
  <c r="C279" i="11"/>
  <c r="D279" i="11"/>
  <c r="E279" i="11"/>
  <c r="G279" i="11"/>
  <c r="C197" i="11"/>
  <c r="D197" i="11"/>
  <c r="E197" i="11"/>
  <c r="G197" i="11"/>
  <c r="C198" i="11"/>
  <c r="D198" i="11"/>
  <c r="E198" i="11"/>
  <c r="G198" i="11"/>
  <c r="C199" i="11"/>
  <c r="D199" i="11"/>
  <c r="E199" i="11"/>
  <c r="G199" i="11"/>
  <c r="C200" i="11"/>
  <c r="D200" i="11"/>
  <c r="E200" i="11"/>
  <c r="G200" i="11"/>
  <c r="C201" i="11"/>
  <c r="D201" i="11"/>
  <c r="E201" i="11"/>
  <c r="G201" i="11"/>
  <c r="C73" i="11"/>
  <c r="D73" i="11"/>
  <c r="E73" i="11"/>
  <c r="G73" i="11"/>
  <c r="C285" i="11"/>
  <c r="D285" i="11"/>
  <c r="E285" i="11"/>
  <c r="G285" i="11"/>
  <c r="C202" i="11"/>
  <c r="D202" i="11"/>
  <c r="E202" i="11"/>
  <c r="G202" i="11"/>
  <c r="C271" i="11"/>
  <c r="D271" i="11"/>
  <c r="E271" i="11"/>
  <c r="G271" i="11"/>
  <c r="C203" i="11"/>
  <c r="D203" i="11"/>
  <c r="E203" i="11"/>
  <c r="G203" i="11"/>
  <c r="C61" i="11"/>
  <c r="D61" i="11"/>
  <c r="E61" i="11"/>
  <c r="G61" i="11"/>
  <c r="C204" i="11"/>
  <c r="D204" i="11"/>
  <c r="E204" i="11"/>
  <c r="G204" i="11"/>
  <c r="C316" i="11"/>
  <c r="D316" i="11"/>
  <c r="E316" i="11"/>
  <c r="G316" i="11"/>
  <c r="C205" i="11"/>
  <c r="D205" i="11"/>
  <c r="E205" i="11"/>
  <c r="G205" i="11"/>
  <c r="C206" i="11"/>
  <c r="D206" i="11"/>
  <c r="E206" i="11"/>
  <c r="G206" i="11"/>
  <c r="C207" i="11"/>
  <c r="D207" i="11"/>
  <c r="E207" i="11"/>
  <c r="G207" i="11"/>
  <c r="C208" i="11"/>
  <c r="D208" i="11"/>
  <c r="E208" i="11"/>
  <c r="G208" i="11"/>
  <c r="C209" i="11"/>
  <c r="D209" i="11"/>
  <c r="E209" i="11"/>
  <c r="G209" i="11"/>
  <c r="C210" i="11"/>
  <c r="D210" i="11"/>
  <c r="E210" i="11"/>
  <c r="G210" i="11"/>
  <c r="C62" i="11"/>
  <c r="D62" i="11"/>
  <c r="E62" i="11"/>
  <c r="G62" i="11"/>
  <c r="C211" i="11"/>
  <c r="D211" i="11"/>
  <c r="E211" i="11"/>
  <c r="G211" i="11"/>
  <c r="C212" i="11"/>
  <c r="D212" i="11"/>
  <c r="E212" i="11"/>
  <c r="G212" i="11"/>
  <c r="C213" i="11"/>
  <c r="D213" i="11"/>
  <c r="E213" i="11"/>
  <c r="G213" i="11"/>
  <c r="C3" i="11"/>
  <c r="D3" i="11"/>
  <c r="E3" i="11"/>
  <c r="G3" i="11"/>
  <c r="C281" i="11"/>
  <c r="D281" i="11"/>
  <c r="E281" i="11"/>
  <c r="G281" i="11"/>
  <c r="C71" i="11"/>
  <c r="D71" i="11"/>
  <c r="E71" i="11"/>
  <c r="G71" i="11"/>
  <c r="C214" i="11"/>
  <c r="D214" i="11"/>
  <c r="E214" i="11"/>
  <c r="G214" i="11"/>
  <c r="C14" i="11"/>
  <c r="D14" i="11"/>
  <c r="E14" i="11"/>
  <c r="G14" i="11"/>
  <c r="C215" i="11"/>
  <c r="D215" i="11"/>
  <c r="E215" i="11"/>
  <c r="G215" i="11"/>
  <c r="C308" i="11"/>
  <c r="D308" i="11"/>
  <c r="E308" i="11"/>
  <c r="G308" i="11"/>
  <c r="C216" i="11"/>
  <c r="D216" i="11"/>
  <c r="E216" i="11"/>
  <c r="G216" i="11"/>
  <c r="C77" i="11"/>
  <c r="D77" i="11"/>
  <c r="E77" i="11"/>
  <c r="G77" i="11"/>
  <c r="C217" i="11"/>
  <c r="D217" i="11"/>
  <c r="E217" i="11"/>
  <c r="G217" i="11"/>
  <c r="C43" i="11"/>
  <c r="D43" i="11"/>
  <c r="E43" i="11"/>
  <c r="G43" i="11"/>
  <c r="C218" i="11"/>
  <c r="D218" i="11"/>
  <c r="E218" i="11"/>
  <c r="G218" i="11"/>
  <c r="C219" i="11"/>
  <c r="D219" i="11"/>
  <c r="E219" i="11"/>
  <c r="G219" i="11"/>
  <c r="C13" i="11"/>
  <c r="D13" i="11"/>
  <c r="E13" i="11"/>
  <c r="G13" i="11"/>
  <c r="C220" i="11"/>
  <c r="D220" i="11"/>
  <c r="E220" i="11"/>
  <c r="G220" i="11"/>
  <c r="C221" i="11"/>
  <c r="D221" i="11"/>
  <c r="E221" i="11"/>
  <c r="G221" i="11"/>
  <c r="C222" i="11"/>
  <c r="D222" i="11"/>
  <c r="E222" i="11"/>
  <c r="G222" i="11"/>
  <c r="C223" i="11"/>
  <c r="D223" i="11"/>
  <c r="E223" i="11"/>
  <c r="G223" i="11"/>
  <c r="C56" i="11"/>
  <c r="D56" i="11"/>
  <c r="E56" i="11"/>
  <c r="G56" i="11"/>
  <c r="C330" i="11"/>
  <c r="D330" i="11"/>
  <c r="E330" i="11"/>
  <c r="G330" i="11"/>
  <c r="C224" i="11"/>
  <c r="D224" i="11"/>
  <c r="E224" i="11"/>
  <c r="G224" i="11"/>
  <c r="C225" i="11"/>
  <c r="D225" i="11"/>
  <c r="E225" i="11"/>
  <c r="G225" i="11"/>
  <c r="C226" i="11"/>
  <c r="D226" i="11"/>
  <c r="E226" i="11"/>
  <c r="G226" i="11"/>
  <c r="C227" i="11"/>
  <c r="D227" i="11"/>
  <c r="E227" i="11"/>
  <c r="G227" i="11"/>
  <c r="C228" i="11"/>
  <c r="D228" i="11"/>
  <c r="E228" i="11"/>
  <c r="G228" i="11"/>
  <c r="C229" i="11"/>
  <c r="D229" i="11"/>
  <c r="E229" i="11"/>
  <c r="G229" i="11"/>
  <c r="C289" i="11"/>
  <c r="D289" i="11"/>
  <c r="E289" i="11"/>
  <c r="G289" i="11"/>
  <c r="C230" i="11"/>
  <c r="D230" i="11"/>
  <c r="E230" i="11"/>
  <c r="G230" i="11"/>
  <c r="C319" i="11"/>
  <c r="D319" i="11"/>
  <c r="E319" i="11"/>
  <c r="G319" i="11"/>
  <c r="C312" i="11"/>
  <c r="D312" i="11"/>
  <c r="E312" i="11"/>
  <c r="G312" i="11"/>
  <c r="C231" i="11"/>
  <c r="D231" i="11"/>
  <c r="E231" i="11"/>
  <c r="G231" i="11"/>
  <c r="C232" i="11"/>
  <c r="D232" i="11"/>
  <c r="E232" i="11"/>
  <c r="G232" i="11"/>
  <c r="C233" i="11"/>
  <c r="D233" i="11"/>
  <c r="E233" i="11"/>
  <c r="G233" i="11"/>
  <c r="C234" i="11"/>
  <c r="D234" i="11"/>
  <c r="E234" i="11"/>
  <c r="G234" i="11"/>
  <c r="C317" i="11"/>
  <c r="D317" i="11"/>
  <c r="E317" i="11"/>
  <c r="G317" i="11"/>
  <c r="C28" i="11"/>
  <c r="D28" i="11"/>
  <c r="E28" i="11"/>
  <c r="G28" i="11"/>
  <c r="C249" i="11"/>
  <c r="D249" i="11"/>
  <c r="E249" i="11"/>
  <c r="G249" i="11"/>
  <c r="C9" i="11"/>
  <c r="D9" i="11"/>
  <c r="E9" i="11"/>
  <c r="G9" i="11"/>
  <c r="C250" i="11"/>
  <c r="D250" i="11"/>
  <c r="E250" i="11"/>
  <c r="G250" i="11"/>
  <c r="C251" i="11"/>
  <c r="D251" i="11"/>
  <c r="E251" i="11"/>
  <c r="G251" i="11"/>
  <c r="C252" i="11"/>
  <c r="D252" i="11"/>
  <c r="E252" i="11"/>
  <c r="G252" i="11"/>
  <c r="C332" i="11"/>
  <c r="D332" i="11"/>
  <c r="E332" i="11"/>
  <c r="G332" i="11"/>
  <c r="C253" i="11"/>
  <c r="D253" i="11"/>
  <c r="E253" i="11"/>
  <c r="G253" i="11"/>
  <c r="C69" i="11"/>
  <c r="D69" i="11"/>
  <c r="E69" i="11"/>
  <c r="G69" i="11"/>
  <c r="C331" i="11"/>
  <c r="D331" i="11"/>
  <c r="E331" i="11"/>
  <c r="G331" i="11"/>
  <c r="C254" i="11"/>
  <c r="D254" i="11"/>
  <c r="E254" i="11"/>
  <c r="G254" i="11"/>
  <c r="C81" i="11"/>
  <c r="D81" i="11"/>
  <c r="E81" i="11"/>
  <c r="G81" i="11"/>
  <c r="C4" i="11"/>
  <c r="D4" i="11"/>
  <c r="E4" i="11"/>
  <c r="G4" i="11"/>
  <c r="C39" i="11"/>
  <c r="D39" i="11"/>
  <c r="E39" i="11"/>
  <c r="G39" i="11"/>
  <c r="C82" i="11"/>
  <c r="D82" i="11"/>
  <c r="E82" i="11"/>
  <c r="G82" i="11"/>
  <c r="C83" i="11"/>
  <c r="D83" i="11"/>
  <c r="E83" i="11"/>
  <c r="G83" i="11"/>
  <c r="C55" i="11"/>
  <c r="D55" i="11"/>
  <c r="E55" i="11"/>
  <c r="G55" i="11"/>
  <c r="C32" i="11"/>
  <c r="D32" i="11"/>
  <c r="E32" i="11"/>
  <c r="G32" i="11"/>
  <c r="C329" i="11"/>
  <c r="D329" i="11"/>
  <c r="E329" i="11"/>
  <c r="G329" i="11"/>
  <c r="C84" i="11"/>
  <c r="D84" i="11"/>
  <c r="E84" i="11"/>
  <c r="G84" i="11"/>
  <c r="C85" i="11"/>
  <c r="D85" i="11"/>
  <c r="E85" i="11"/>
  <c r="G85" i="11"/>
  <c r="C261" i="11"/>
  <c r="D261" i="11"/>
  <c r="E261" i="11"/>
  <c r="G261" i="11"/>
  <c r="C272" i="11"/>
  <c r="D272" i="11"/>
  <c r="E272" i="11"/>
  <c r="G272" i="11"/>
  <c r="C86" i="11"/>
  <c r="D86" i="11"/>
  <c r="E86" i="11"/>
  <c r="G86" i="11"/>
  <c r="C288" i="11"/>
  <c r="D288" i="11"/>
  <c r="E288" i="11"/>
  <c r="G288" i="11"/>
  <c r="C87" i="11"/>
  <c r="D87" i="11"/>
  <c r="E87" i="11"/>
  <c r="G87" i="11"/>
  <c r="C88" i="11"/>
  <c r="D88" i="11"/>
  <c r="E88" i="11"/>
  <c r="G88" i="11"/>
  <c r="C286" i="11"/>
  <c r="D286" i="11"/>
  <c r="E286" i="11"/>
  <c r="G286" i="11"/>
  <c r="C89" i="11"/>
  <c r="D89" i="11"/>
  <c r="E89" i="11"/>
  <c r="G89" i="11"/>
  <c r="C30" i="11"/>
  <c r="D30" i="11"/>
  <c r="E30" i="11"/>
  <c r="G30" i="11"/>
  <c r="C90" i="11"/>
  <c r="D90" i="11"/>
  <c r="E90" i="11"/>
  <c r="G90" i="11"/>
  <c r="C91" i="11"/>
  <c r="D91" i="11"/>
  <c r="E91" i="11"/>
  <c r="G91" i="11"/>
  <c r="C92" i="11"/>
  <c r="D92" i="11"/>
  <c r="E92" i="11"/>
  <c r="G92" i="11"/>
  <c r="C93" i="11"/>
  <c r="D93" i="11"/>
  <c r="E93" i="11"/>
  <c r="G93" i="11"/>
  <c r="C94" i="11"/>
  <c r="D94" i="11"/>
  <c r="E94" i="11"/>
  <c r="G94" i="11"/>
  <c r="C11" i="11"/>
  <c r="D11" i="11"/>
  <c r="E11" i="11"/>
  <c r="G11" i="11"/>
  <c r="C19" i="11"/>
  <c r="D19" i="11"/>
  <c r="E19" i="11"/>
  <c r="G19" i="11"/>
  <c r="C95" i="11"/>
  <c r="D95" i="11"/>
  <c r="E95" i="11"/>
  <c r="G95" i="11"/>
  <c r="C324" i="11"/>
  <c r="D324" i="11"/>
  <c r="E324" i="11"/>
  <c r="G324" i="11"/>
  <c r="C65" i="11"/>
  <c r="D65" i="11"/>
  <c r="E65" i="11"/>
  <c r="G65" i="11"/>
  <c r="C96" i="11"/>
  <c r="D96" i="11"/>
  <c r="E96" i="11"/>
  <c r="G96" i="11"/>
  <c r="C97" i="11"/>
  <c r="D97" i="11"/>
  <c r="E97" i="11"/>
  <c r="G97" i="11"/>
  <c r="C98" i="11"/>
  <c r="D98" i="11"/>
  <c r="E98" i="11"/>
  <c r="G98" i="11"/>
  <c r="C99" i="11"/>
  <c r="D99" i="11"/>
  <c r="E99" i="11"/>
  <c r="G99" i="11"/>
  <c r="C100" i="11"/>
  <c r="D100" i="11"/>
  <c r="E100" i="11"/>
  <c r="G100" i="11"/>
  <c r="C101" i="11"/>
  <c r="D101" i="11"/>
  <c r="E101" i="11"/>
  <c r="G101" i="11"/>
  <c r="C102" i="11"/>
  <c r="D102" i="11"/>
  <c r="E102" i="11"/>
  <c r="G102" i="11"/>
  <c r="C103" i="11"/>
  <c r="D103" i="11"/>
  <c r="E103" i="11"/>
  <c r="G103" i="11"/>
  <c r="C104" i="11"/>
  <c r="D104" i="11"/>
  <c r="E104" i="11"/>
  <c r="G104" i="11"/>
  <c r="C105" i="11"/>
  <c r="D105" i="11"/>
  <c r="E105" i="11"/>
  <c r="G105" i="11"/>
  <c r="C106" i="11"/>
  <c r="D106" i="11"/>
  <c r="E106" i="11"/>
  <c r="G106" i="11"/>
  <c r="C273" i="11"/>
  <c r="D273" i="11"/>
  <c r="E273" i="11"/>
  <c r="G273" i="11"/>
  <c r="C107" i="11"/>
  <c r="D107" i="11"/>
  <c r="E107" i="11"/>
  <c r="G107" i="11"/>
  <c r="C325" i="11"/>
  <c r="D325" i="11"/>
  <c r="E325" i="11"/>
  <c r="G325" i="11"/>
  <c r="C263" i="11"/>
  <c r="D263" i="11"/>
  <c r="E263" i="11"/>
  <c r="G263" i="11"/>
  <c r="C108" i="11"/>
  <c r="D108" i="11"/>
  <c r="E108" i="11"/>
  <c r="G108" i="11"/>
  <c r="C109" i="11"/>
  <c r="D109" i="11"/>
  <c r="E109" i="11"/>
  <c r="G109" i="11"/>
  <c r="C35" i="11"/>
  <c r="D35" i="11"/>
  <c r="E35" i="11"/>
  <c r="G35" i="11"/>
  <c r="C303" i="11"/>
  <c r="D303" i="11"/>
  <c r="E303" i="11"/>
  <c r="G303" i="11"/>
  <c r="C110" i="11"/>
  <c r="D110" i="11"/>
  <c r="E110" i="11"/>
  <c r="G110" i="11"/>
  <c r="C111" i="11"/>
  <c r="D111" i="11"/>
  <c r="E111" i="11"/>
  <c r="G111" i="11"/>
  <c r="C112" i="11"/>
  <c r="D112" i="11"/>
  <c r="E112" i="11"/>
  <c r="G112" i="11"/>
  <c r="C113" i="11"/>
  <c r="D113" i="11"/>
  <c r="E113" i="11"/>
  <c r="G113" i="11"/>
  <c r="C114" i="11"/>
  <c r="D114" i="11"/>
  <c r="E114" i="11"/>
  <c r="G114" i="11"/>
  <c r="C6" i="11"/>
  <c r="D6" i="11"/>
  <c r="E6" i="11"/>
  <c r="G6" i="11"/>
  <c r="C16" i="11"/>
  <c r="D16" i="11"/>
  <c r="E16" i="11"/>
  <c r="G16" i="11"/>
  <c r="C23" i="11"/>
  <c r="D23" i="11"/>
  <c r="E23" i="11"/>
  <c r="G23" i="11"/>
  <c r="C295" i="11"/>
  <c r="D295" i="11"/>
  <c r="E295" i="11"/>
  <c r="G295" i="11"/>
  <c r="C115" i="11"/>
  <c r="D115" i="11"/>
  <c r="E115" i="11"/>
  <c r="G115" i="11"/>
  <c r="C116" i="11"/>
  <c r="D116" i="11"/>
  <c r="E116" i="11"/>
  <c r="G116" i="11"/>
  <c r="C269" i="11"/>
  <c r="D269" i="11"/>
  <c r="E269" i="11"/>
  <c r="G269" i="11"/>
  <c r="C117" i="11"/>
  <c r="D117" i="11"/>
  <c r="E117" i="11"/>
  <c r="G117" i="11"/>
  <c r="C118" i="11"/>
  <c r="D118" i="11"/>
  <c r="E118" i="11"/>
  <c r="G118" i="11"/>
  <c r="C119" i="11"/>
  <c r="D119" i="11"/>
  <c r="E119" i="11"/>
  <c r="G119" i="11"/>
  <c r="C120" i="11"/>
  <c r="D120" i="11"/>
  <c r="E120" i="11"/>
  <c r="G120" i="11"/>
  <c r="C258" i="11"/>
  <c r="D258" i="11"/>
  <c r="E258" i="11"/>
  <c r="G258" i="11"/>
  <c r="C121" i="11"/>
  <c r="D121" i="11"/>
  <c r="E121" i="11"/>
  <c r="G121" i="11"/>
  <c r="C122" i="11"/>
  <c r="D122" i="11"/>
  <c r="E122" i="11"/>
  <c r="G122" i="11"/>
  <c r="C328" i="11"/>
  <c r="D328" i="11"/>
  <c r="E328" i="11"/>
  <c r="G328" i="11"/>
  <c r="C40" i="11"/>
  <c r="D40" i="11"/>
  <c r="E40" i="11"/>
  <c r="G40" i="11"/>
  <c r="C123" i="11"/>
  <c r="D123" i="11"/>
  <c r="E123" i="11"/>
  <c r="G123" i="11"/>
  <c r="C33" i="11"/>
  <c r="D33" i="11"/>
  <c r="E33" i="11"/>
  <c r="G33" i="11"/>
  <c r="C124" i="11"/>
  <c r="D124" i="11"/>
  <c r="E124" i="11"/>
  <c r="G124" i="11"/>
  <c r="C125" i="11"/>
  <c r="D125" i="11"/>
  <c r="E125" i="11"/>
  <c r="G125" i="11"/>
  <c r="C126" i="11"/>
  <c r="D126" i="11"/>
  <c r="E126" i="11"/>
  <c r="G126" i="11"/>
  <c r="C127" i="11"/>
  <c r="D127" i="11"/>
  <c r="E127" i="11"/>
  <c r="G127" i="11"/>
  <c r="C260" i="11"/>
  <c r="D260" i="11"/>
  <c r="E260" i="11"/>
  <c r="G260" i="11"/>
  <c r="C128" i="11"/>
  <c r="D128" i="11"/>
  <c r="E128" i="11"/>
  <c r="G128" i="11"/>
  <c r="C314" i="11"/>
  <c r="D314" i="11"/>
  <c r="E314" i="11"/>
  <c r="G314" i="11"/>
  <c r="C60" i="11"/>
  <c r="D60" i="11"/>
  <c r="E60" i="11"/>
  <c r="G60" i="11"/>
  <c r="C129" i="11"/>
  <c r="D129" i="11"/>
  <c r="E129" i="11"/>
  <c r="G129" i="11"/>
  <c r="C130" i="11"/>
  <c r="D130" i="11"/>
  <c r="E130" i="11"/>
  <c r="G130" i="11"/>
  <c r="C131" i="11"/>
  <c r="D131" i="11"/>
  <c r="E131" i="11"/>
  <c r="G131" i="11"/>
  <c r="C34" i="11"/>
  <c r="D34" i="11"/>
  <c r="E34" i="11"/>
  <c r="G34" i="11"/>
  <c r="C132" i="11"/>
  <c r="D132" i="11"/>
  <c r="E132" i="11"/>
  <c r="G132" i="11"/>
  <c r="C133" i="11"/>
  <c r="D133" i="11"/>
  <c r="E133" i="11"/>
  <c r="G133" i="11"/>
  <c r="C134" i="11"/>
  <c r="D134" i="11"/>
  <c r="E134" i="11"/>
  <c r="G134" i="11"/>
  <c r="C78" i="11"/>
  <c r="D78" i="11"/>
  <c r="E78" i="11"/>
  <c r="G78" i="11"/>
  <c r="C311" i="11"/>
  <c r="D311" i="11"/>
  <c r="E311" i="11"/>
  <c r="G311" i="11"/>
  <c r="C135" i="11"/>
  <c r="D135" i="11"/>
  <c r="E135" i="11"/>
  <c r="G135" i="11"/>
  <c r="C47" i="11"/>
  <c r="D47" i="11"/>
  <c r="E47" i="11"/>
  <c r="G47" i="11"/>
  <c r="C79" i="11"/>
  <c r="D79" i="11"/>
  <c r="E79" i="11"/>
  <c r="G79" i="11"/>
  <c r="C280" i="11"/>
  <c r="D280" i="11"/>
  <c r="E280" i="11"/>
  <c r="G280" i="11"/>
  <c r="C136" i="11"/>
  <c r="D136" i="11"/>
  <c r="E136" i="11"/>
  <c r="G136" i="11"/>
  <c r="C267" i="11"/>
  <c r="D267" i="11"/>
  <c r="E267" i="11"/>
  <c r="G267" i="11"/>
  <c r="C49" i="11"/>
  <c r="D49" i="11"/>
  <c r="E49" i="11"/>
  <c r="G49" i="11"/>
  <c r="C10" i="11"/>
  <c r="D10" i="11"/>
  <c r="E10" i="11"/>
  <c r="G10" i="11"/>
  <c r="C137" i="11"/>
  <c r="D137" i="11"/>
  <c r="E137" i="11"/>
  <c r="G137" i="11"/>
  <c r="C138" i="11"/>
  <c r="D138" i="11"/>
  <c r="E138" i="11"/>
  <c r="G138" i="11"/>
  <c r="C139" i="11"/>
  <c r="D139" i="11"/>
  <c r="E139" i="11"/>
  <c r="G139" i="11"/>
  <c r="C315" i="11"/>
  <c r="D315" i="11"/>
  <c r="E315" i="11"/>
  <c r="G315" i="11"/>
  <c r="C294" i="11"/>
  <c r="D294" i="11"/>
  <c r="E294" i="11"/>
  <c r="G294" i="11"/>
  <c r="C276" i="11"/>
  <c r="D276" i="11"/>
  <c r="E276" i="11"/>
  <c r="G276" i="11"/>
  <c r="C48" i="11"/>
  <c r="D48" i="11"/>
  <c r="E48" i="11"/>
  <c r="G48" i="11"/>
  <c r="C322" i="11"/>
  <c r="D322" i="11"/>
  <c r="E322" i="11"/>
  <c r="G322" i="11"/>
  <c r="F293" i="11" l="1"/>
  <c r="F137" i="11"/>
  <c r="F145" i="11"/>
  <c r="F130" i="11"/>
  <c r="F60" i="11"/>
  <c r="F128" i="11"/>
  <c r="F126" i="11"/>
  <c r="F124" i="11"/>
  <c r="F135" i="11"/>
  <c r="F129" i="11"/>
  <c r="F314" i="11"/>
  <c r="F260" i="11"/>
  <c r="F127" i="11"/>
  <c r="F33" i="11"/>
  <c r="F110" i="11"/>
  <c r="F273" i="11"/>
  <c r="F332" i="11"/>
  <c r="F8" i="11"/>
  <c r="F230" i="11"/>
  <c r="F229" i="11"/>
  <c r="F225" i="11"/>
  <c r="F56" i="11"/>
  <c r="F210" i="11"/>
  <c r="F199" i="11"/>
  <c r="F11" i="11"/>
  <c r="F81" i="11"/>
  <c r="F18" i="11"/>
  <c r="F170" i="11"/>
  <c r="F169" i="11"/>
  <c r="F168" i="11"/>
  <c r="F167" i="11"/>
  <c r="F268" i="11"/>
  <c r="F50" i="11"/>
  <c r="F5" i="11"/>
  <c r="F289" i="11"/>
  <c r="F226" i="11"/>
  <c r="F224" i="11"/>
  <c r="F99" i="11"/>
  <c r="F234" i="11"/>
  <c r="F298" i="11"/>
  <c r="F296" i="11"/>
  <c r="F84" i="11"/>
  <c r="F98" i="11"/>
  <c r="F97" i="11"/>
  <c r="F65" i="11"/>
  <c r="F324" i="11"/>
  <c r="F19" i="11"/>
  <c r="F9" i="11"/>
  <c r="F165" i="11"/>
  <c r="F286" i="11"/>
  <c r="F304" i="11"/>
  <c r="F72" i="11"/>
  <c r="F45" i="11"/>
  <c r="F64" i="11"/>
  <c r="F106" i="11"/>
  <c r="F105" i="11"/>
  <c r="F104" i="11"/>
  <c r="F103" i="11"/>
  <c r="F102" i="11"/>
  <c r="F101" i="11"/>
  <c r="F100" i="11"/>
  <c r="F96" i="11"/>
  <c r="F95" i="11"/>
  <c r="F223" i="11"/>
  <c r="F125" i="11"/>
  <c r="F295" i="11"/>
  <c r="F227" i="11"/>
  <c r="F218" i="11"/>
  <c r="F281" i="11"/>
  <c r="F61" i="11"/>
  <c r="F161" i="11"/>
  <c r="F156" i="11"/>
  <c r="F26" i="11"/>
  <c r="F123" i="11"/>
  <c r="F40" i="11"/>
  <c r="F328" i="11"/>
  <c r="F122" i="11"/>
  <c r="F121" i="11"/>
  <c r="F194" i="11"/>
  <c r="F193" i="11"/>
  <c r="F192" i="11"/>
  <c r="F265" i="11"/>
  <c r="F191" i="11"/>
  <c r="F307" i="11"/>
  <c r="F256" i="11"/>
  <c r="F37" i="11"/>
  <c r="F297" i="11"/>
  <c r="F277" i="11"/>
  <c r="F322" i="11"/>
  <c r="F48" i="11"/>
  <c r="F276" i="11"/>
  <c r="F294" i="11"/>
  <c r="F315" i="11"/>
  <c r="F139" i="11"/>
  <c r="F138" i="11"/>
  <c r="F329" i="11"/>
  <c r="F32" i="11"/>
  <c r="F55" i="11"/>
  <c r="F83" i="11"/>
  <c r="F82" i="11"/>
  <c r="F39" i="11"/>
  <c r="F4" i="11"/>
  <c r="F254" i="11"/>
  <c r="F331" i="11"/>
  <c r="F69" i="11"/>
  <c r="F213" i="11"/>
  <c r="F212" i="11"/>
  <c r="F211" i="11"/>
  <c r="F188" i="11"/>
  <c r="F262" i="11"/>
  <c r="F187" i="11"/>
  <c r="F44" i="11"/>
  <c r="F186" i="11"/>
  <c r="F274" i="11"/>
  <c r="F155" i="11"/>
  <c r="F70" i="11"/>
  <c r="F154" i="11"/>
  <c r="F301" i="11"/>
  <c r="F149" i="11"/>
  <c r="F148" i="11"/>
  <c r="F282" i="11"/>
  <c r="F270" i="11"/>
  <c r="F147" i="11"/>
  <c r="F258" i="11"/>
  <c r="F303" i="11"/>
  <c r="F35" i="11"/>
  <c r="F109" i="11"/>
  <c r="F108" i="11"/>
  <c r="F263" i="11"/>
  <c r="F325" i="11"/>
  <c r="F107" i="11"/>
  <c r="F209" i="11"/>
  <c r="F208" i="11"/>
  <c r="F207" i="11"/>
  <c r="F206" i="11"/>
  <c r="F205" i="11"/>
  <c r="F176" i="11"/>
  <c r="F305" i="11"/>
  <c r="F175" i="11"/>
  <c r="F174" i="11"/>
  <c r="F173" i="11"/>
  <c r="F53" i="11"/>
  <c r="F290" i="11"/>
  <c r="F17" i="11"/>
  <c r="F257" i="11"/>
  <c r="F67" i="11"/>
  <c r="F120" i="11"/>
  <c r="F119" i="11"/>
  <c r="F118" i="11"/>
  <c r="F117" i="11"/>
  <c r="F269" i="11"/>
  <c r="F116" i="11"/>
  <c r="F115" i="11"/>
  <c r="F232" i="11"/>
  <c r="F231" i="11"/>
  <c r="F312" i="11"/>
  <c r="F203" i="11"/>
  <c r="F271" i="11"/>
  <c r="F202" i="11"/>
  <c r="F10" i="11"/>
  <c r="F49" i="11"/>
  <c r="F267" i="11"/>
  <c r="F136" i="11"/>
  <c r="F280" i="11"/>
  <c r="F79" i="11"/>
  <c r="F47" i="11"/>
  <c r="F88" i="11"/>
  <c r="F87" i="11"/>
  <c r="F288" i="11"/>
  <c r="F86" i="11"/>
  <c r="F272" i="11"/>
  <c r="F261" i="11"/>
  <c r="F85" i="11"/>
  <c r="F221" i="11"/>
  <c r="F220" i="11"/>
  <c r="F13" i="11"/>
  <c r="F216" i="11"/>
  <c r="F285" i="11"/>
  <c r="F73" i="11"/>
  <c r="F15" i="11"/>
  <c r="F184" i="11"/>
  <c r="F183" i="11"/>
  <c r="F182" i="11"/>
  <c r="F75" i="11"/>
  <c r="F164" i="11"/>
  <c r="F57" i="11"/>
  <c r="F163" i="11"/>
  <c r="F52" i="11"/>
  <c r="F266" i="11"/>
  <c r="F153" i="11"/>
  <c r="F284" i="11"/>
  <c r="F20" i="11"/>
  <c r="F283" i="11"/>
  <c r="F31" i="11"/>
  <c r="F144" i="11"/>
  <c r="F143" i="11"/>
  <c r="F142" i="11"/>
  <c r="F278" i="11"/>
  <c r="F327" i="11"/>
  <c r="F311" i="11"/>
  <c r="F78" i="11"/>
  <c r="F134" i="11"/>
  <c r="F133" i="11"/>
  <c r="F132" i="11"/>
  <c r="F34" i="11"/>
  <c r="F131" i="11"/>
  <c r="F23" i="11"/>
  <c r="F16" i="11"/>
  <c r="F6" i="11"/>
  <c r="F114" i="11"/>
  <c r="F113" i="11"/>
  <c r="F112" i="11"/>
  <c r="F111" i="11"/>
  <c r="F94" i="11"/>
  <c r="F93" i="11"/>
  <c r="F92" i="11"/>
  <c r="F91" i="11"/>
  <c r="F90" i="11"/>
  <c r="F30" i="11"/>
  <c r="F89" i="11"/>
  <c r="F252" i="11"/>
  <c r="F251" i="11"/>
  <c r="F249" i="11"/>
  <c r="F28" i="11"/>
  <c r="F317" i="11"/>
  <c r="F43" i="11"/>
  <c r="F217" i="11"/>
  <c r="F308" i="11"/>
  <c r="F215" i="11"/>
  <c r="F14" i="11"/>
  <c r="F71" i="11"/>
  <c r="F198" i="11"/>
  <c r="F197" i="11"/>
  <c r="F279" i="11"/>
  <c r="F196" i="11"/>
  <c r="F46" i="11"/>
  <c r="F179" i="11"/>
  <c r="F302" i="11"/>
  <c r="F178" i="11"/>
  <c r="F41" i="11"/>
  <c r="F36" i="11"/>
  <c r="F321" i="11"/>
  <c r="F160" i="11"/>
  <c r="F159" i="11"/>
  <c r="F158" i="11"/>
  <c r="F157" i="11"/>
  <c r="F54" i="11"/>
  <c r="F152" i="11"/>
  <c r="F320" i="11"/>
  <c r="F51" i="11"/>
  <c r="F7" i="11"/>
  <c r="F330" i="11"/>
  <c r="F214" i="11"/>
  <c r="F250" i="11"/>
  <c r="F228" i="11"/>
  <c r="F77" i="11"/>
  <c r="F253" i="11"/>
  <c r="F319" i="11"/>
  <c r="F219" i="11"/>
  <c r="F62" i="11"/>
  <c r="F316" i="11"/>
  <c r="F204" i="11"/>
  <c r="F201" i="11"/>
  <c r="F200" i="11"/>
  <c r="F195" i="11"/>
  <c r="F22" i="11"/>
  <c r="F190" i="11"/>
  <c r="F189" i="11"/>
  <c r="F68" i="11"/>
  <c r="F185" i="11"/>
  <c r="F181" i="11"/>
  <c r="F180" i="11"/>
  <c r="F177" i="11"/>
  <c r="F287" i="11"/>
  <c r="F172" i="11"/>
  <c r="F171" i="11"/>
  <c r="F264" i="11"/>
  <c r="F166" i="11"/>
  <c r="F162" i="11"/>
  <c r="F300" i="11"/>
  <c r="F24" i="11"/>
  <c r="F299" i="11"/>
  <c r="F76" i="11"/>
  <c r="F58" i="11"/>
  <c r="F29" i="11"/>
  <c r="F21" i="11"/>
  <c r="F59" i="11"/>
  <c r="F74" i="11"/>
  <c r="F25" i="11"/>
  <c r="F151" i="11"/>
  <c r="F150" i="11"/>
  <c r="F306" i="11"/>
  <c r="F63" i="11"/>
  <c r="F146" i="11"/>
  <c r="F141" i="11"/>
  <c r="F140" i="11"/>
  <c r="F233" i="11"/>
  <c r="F222" i="11"/>
  <c r="F3" i="11"/>
  <c r="G154" i="14"/>
  <c r="E154" i="14"/>
  <c r="D154" i="14"/>
  <c r="C154" i="14"/>
  <c r="G169" i="14"/>
  <c r="E169" i="14"/>
  <c r="D169" i="14"/>
  <c r="C169" i="14"/>
  <c r="G136" i="14"/>
  <c r="E136" i="14"/>
  <c r="D136" i="14"/>
  <c r="C136" i="14"/>
  <c r="G19" i="14"/>
  <c r="E19" i="14"/>
  <c r="D19" i="14"/>
  <c r="C19" i="14"/>
  <c r="G157" i="14"/>
  <c r="E157" i="14"/>
  <c r="D157" i="14"/>
  <c r="C157" i="14"/>
  <c r="G138" i="14"/>
  <c r="E138" i="14"/>
  <c r="D138" i="14"/>
  <c r="C138" i="14"/>
  <c r="G20" i="14"/>
  <c r="E20" i="14"/>
  <c r="D20" i="14"/>
  <c r="C20" i="14"/>
  <c r="G161" i="14"/>
  <c r="E161" i="14"/>
  <c r="D161" i="14"/>
  <c r="C161" i="14"/>
  <c r="G73" i="14"/>
  <c r="E73" i="14"/>
  <c r="D73" i="14"/>
  <c r="C73" i="14"/>
  <c r="G37" i="14"/>
  <c r="E37" i="14"/>
  <c r="D37" i="14"/>
  <c r="C37" i="14"/>
  <c r="G63" i="14"/>
  <c r="E63" i="14"/>
  <c r="D63" i="14"/>
  <c r="C63" i="14"/>
  <c r="G97" i="14"/>
  <c r="E97" i="14"/>
  <c r="D97" i="14"/>
  <c r="C97" i="14"/>
  <c r="G151" i="14"/>
  <c r="E151" i="14"/>
  <c r="D151" i="14"/>
  <c r="C151" i="14"/>
  <c r="G55" i="14"/>
  <c r="E55" i="14"/>
  <c r="D55" i="14"/>
  <c r="C55" i="14"/>
  <c r="G148" i="14"/>
  <c r="E148" i="14"/>
  <c r="D148" i="14"/>
  <c r="C148" i="14"/>
  <c r="G146" i="14"/>
  <c r="E146" i="14"/>
  <c r="D146" i="14"/>
  <c r="C146" i="14"/>
  <c r="G132" i="14"/>
  <c r="E132" i="14"/>
  <c r="D132" i="14"/>
  <c r="C132" i="14"/>
  <c r="G145" i="14"/>
  <c r="E145" i="14"/>
  <c r="D145" i="14"/>
  <c r="C145" i="14"/>
  <c r="G144" i="14"/>
  <c r="E144" i="14"/>
  <c r="D144" i="14"/>
  <c r="C144" i="14"/>
  <c r="G141" i="14"/>
  <c r="E141" i="14"/>
  <c r="D141" i="14"/>
  <c r="C141" i="14"/>
  <c r="G158" i="14"/>
  <c r="E158" i="14"/>
  <c r="D158" i="14"/>
  <c r="C158" i="14"/>
  <c r="G137" i="14"/>
  <c r="E137" i="14"/>
  <c r="D137" i="14"/>
  <c r="C137" i="14"/>
  <c r="G133" i="14"/>
  <c r="E133" i="14"/>
  <c r="D133" i="14"/>
  <c r="C133" i="14"/>
  <c r="G135" i="14"/>
  <c r="E135" i="14"/>
  <c r="D135" i="14"/>
  <c r="C135" i="14"/>
  <c r="G131" i="14"/>
  <c r="E131" i="14"/>
  <c r="D131" i="14"/>
  <c r="C131" i="14"/>
  <c r="G127" i="14"/>
  <c r="E127" i="14"/>
  <c r="D127" i="14"/>
  <c r="C127" i="14"/>
  <c r="G124" i="14"/>
  <c r="E124" i="14"/>
  <c r="D124" i="14"/>
  <c r="C124" i="14"/>
  <c r="G155" i="14"/>
  <c r="E155" i="14"/>
  <c r="D155" i="14"/>
  <c r="C155" i="14"/>
  <c r="G122" i="14"/>
  <c r="E122" i="14"/>
  <c r="D122" i="14"/>
  <c r="C122" i="14"/>
  <c r="G121" i="14"/>
  <c r="E121" i="14"/>
  <c r="D121" i="14"/>
  <c r="C121" i="14"/>
  <c r="G119" i="14"/>
  <c r="E119" i="14"/>
  <c r="D119" i="14"/>
  <c r="C119" i="14"/>
  <c r="G118" i="14"/>
  <c r="E118" i="14"/>
  <c r="D118" i="14"/>
  <c r="C118" i="14"/>
  <c r="G116" i="14"/>
  <c r="E116" i="14"/>
  <c r="D116" i="14"/>
  <c r="C116" i="14"/>
  <c r="G115" i="14"/>
  <c r="E115" i="14"/>
  <c r="D115" i="14"/>
  <c r="C115" i="14"/>
  <c r="G113" i="14"/>
  <c r="E113" i="14"/>
  <c r="D113" i="14"/>
  <c r="C113" i="14"/>
  <c r="G114" i="14"/>
  <c r="E114" i="14"/>
  <c r="D114" i="14"/>
  <c r="C114" i="14"/>
  <c r="G164" i="14"/>
  <c r="E164" i="14"/>
  <c r="D164" i="14"/>
  <c r="C164" i="14"/>
  <c r="G111" i="14"/>
  <c r="E111" i="14"/>
  <c r="D111" i="14"/>
  <c r="C111" i="14"/>
  <c r="G110" i="14"/>
  <c r="E110" i="14"/>
  <c r="D110" i="14"/>
  <c r="C110" i="14"/>
  <c r="G109" i="14"/>
  <c r="E109" i="14"/>
  <c r="D109" i="14"/>
  <c r="C109" i="14"/>
  <c r="G107" i="14"/>
  <c r="E107" i="14"/>
  <c r="D107" i="14"/>
  <c r="C107" i="14"/>
  <c r="G44" i="14"/>
  <c r="E44" i="14"/>
  <c r="D44" i="14"/>
  <c r="C44" i="14"/>
  <c r="G69" i="14"/>
  <c r="E69" i="14"/>
  <c r="D69" i="14"/>
  <c r="C69" i="14"/>
  <c r="G103" i="14"/>
  <c r="E103" i="14"/>
  <c r="D103" i="14"/>
  <c r="C103" i="14"/>
  <c r="G128" i="14"/>
  <c r="E128" i="14"/>
  <c r="D128" i="14"/>
  <c r="C128" i="14"/>
  <c r="G166" i="14"/>
  <c r="E166" i="14"/>
  <c r="D166" i="14"/>
  <c r="C166" i="14"/>
  <c r="G101" i="14"/>
  <c r="E101" i="14"/>
  <c r="D101" i="14"/>
  <c r="C101" i="14"/>
  <c r="G100" i="14"/>
  <c r="E100" i="14"/>
  <c r="D100" i="14"/>
  <c r="C100" i="14"/>
  <c r="G99" i="14"/>
  <c r="E99" i="14"/>
  <c r="D99" i="14"/>
  <c r="C99" i="14"/>
  <c r="G96" i="14"/>
  <c r="E96" i="14"/>
  <c r="D96" i="14"/>
  <c r="C96" i="14"/>
  <c r="G95" i="14"/>
  <c r="E95" i="14"/>
  <c r="D95" i="14"/>
  <c r="C95" i="14"/>
  <c r="G93" i="14"/>
  <c r="E93" i="14"/>
  <c r="D93" i="14"/>
  <c r="C93" i="14"/>
  <c r="G92" i="14"/>
  <c r="E92" i="14"/>
  <c r="D92" i="14"/>
  <c r="C92" i="14"/>
  <c r="G167" i="14"/>
  <c r="E167" i="14"/>
  <c r="D167" i="14"/>
  <c r="C167" i="14"/>
  <c r="G23" i="14"/>
  <c r="E23" i="14"/>
  <c r="D23" i="14"/>
  <c r="C23" i="14"/>
  <c r="G147" i="14"/>
  <c r="E147" i="14"/>
  <c r="D147" i="14"/>
  <c r="C147" i="14"/>
  <c r="G106" i="14"/>
  <c r="E106" i="14"/>
  <c r="D106" i="14"/>
  <c r="C106" i="14"/>
  <c r="G85" i="14"/>
  <c r="E85" i="14"/>
  <c r="D85" i="14"/>
  <c r="C85" i="14"/>
  <c r="G52" i="14"/>
  <c r="E52" i="14"/>
  <c r="D52" i="14"/>
  <c r="C52" i="14"/>
  <c r="G31" i="14"/>
  <c r="E31" i="14"/>
  <c r="D31" i="14"/>
  <c r="C31" i="14"/>
  <c r="G64" i="14"/>
  <c r="E64" i="14"/>
  <c r="D64" i="14"/>
  <c r="C64" i="14"/>
  <c r="G126" i="14"/>
  <c r="E126" i="14"/>
  <c r="D126" i="14"/>
  <c r="C126" i="14"/>
  <c r="G156" i="14"/>
  <c r="E156" i="14"/>
  <c r="D156" i="14"/>
  <c r="C156" i="14"/>
  <c r="G117" i="14"/>
  <c r="E117" i="14"/>
  <c r="D117" i="14"/>
  <c r="C117" i="14"/>
  <c r="G108" i="14"/>
  <c r="E108" i="14"/>
  <c r="D108" i="14"/>
  <c r="C108" i="14"/>
  <c r="G104" i="14"/>
  <c r="E104" i="14"/>
  <c r="D104" i="14"/>
  <c r="C104" i="14"/>
  <c r="G83" i="14"/>
  <c r="E83" i="14"/>
  <c r="D83" i="14"/>
  <c r="C83" i="14"/>
  <c r="G162" i="14"/>
  <c r="E162" i="14"/>
  <c r="D162" i="14"/>
  <c r="C162" i="14"/>
  <c r="G163" i="14"/>
  <c r="E163" i="14"/>
  <c r="D163" i="14"/>
  <c r="C163" i="14"/>
  <c r="G74" i="14"/>
  <c r="E74" i="14"/>
  <c r="D74" i="14"/>
  <c r="C74" i="14"/>
  <c r="G142" i="14"/>
  <c r="E142" i="14"/>
  <c r="D142" i="14"/>
  <c r="C142" i="14"/>
  <c r="G129" i="14"/>
  <c r="E129" i="14"/>
  <c r="D129" i="14"/>
  <c r="C129" i="14"/>
  <c r="G15" i="14"/>
  <c r="E15" i="14"/>
  <c r="D15" i="14"/>
  <c r="C15" i="14"/>
  <c r="G160" i="14"/>
  <c r="E160" i="14"/>
  <c r="D160" i="14"/>
  <c r="C160" i="14"/>
  <c r="G84" i="14"/>
  <c r="E84" i="14"/>
  <c r="D84" i="14"/>
  <c r="C84" i="14"/>
  <c r="G120" i="14"/>
  <c r="E120" i="14"/>
  <c r="D120" i="14"/>
  <c r="C120" i="14"/>
  <c r="G61" i="14"/>
  <c r="E61" i="14"/>
  <c r="D61" i="14"/>
  <c r="C61" i="14"/>
  <c r="G130" i="14"/>
  <c r="E130" i="14"/>
  <c r="D130" i="14"/>
  <c r="C130" i="14"/>
  <c r="G33" i="14"/>
  <c r="E33" i="14"/>
  <c r="D33" i="14"/>
  <c r="C33" i="14"/>
  <c r="G105" i="14"/>
  <c r="E105" i="14"/>
  <c r="D105" i="14"/>
  <c r="C105" i="14"/>
  <c r="G139" i="14"/>
  <c r="E139" i="14"/>
  <c r="D139" i="14"/>
  <c r="C139" i="14"/>
  <c r="G90" i="14"/>
  <c r="E90" i="14"/>
  <c r="D90" i="14"/>
  <c r="C90" i="14"/>
  <c r="G26" i="14"/>
  <c r="E26" i="14"/>
  <c r="D26" i="14"/>
  <c r="C26" i="14"/>
  <c r="G70" i="14"/>
  <c r="E70" i="14"/>
  <c r="D70" i="14"/>
  <c r="C70" i="14"/>
  <c r="G89" i="14"/>
  <c r="E89" i="14"/>
  <c r="D89" i="14"/>
  <c r="C89" i="14"/>
  <c r="G88" i="14"/>
  <c r="E88" i="14"/>
  <c r="D88" i="14"/>
  <c r="C88" i="14"/>
  <c r="G42" i="14"/>
  <c r="E42" i="14"/>
  <c r="D42" i="14"/>
  <c r="C42" i="14"/>
  <c r="G86" i="14"/>
  <c r="E86" i="14"/>
  <c r="D86" i="14"/>
  <c r="C86" i="14"/>
  <c r="G150" i="14"/>
  <c r="E150" i="14"/>
  <c r="D150" i="14"/>
  <c r="C150" i="14"/>
  <c r="G125" i="14"/>
  <c r="E125" i="14"/>
  <c r="D125" i="14"/>
  <c r="C125" i="14"/>
  <c r="G82" i="14"/>
  <c r="E82" i="14"/>
  <c r="D82" i="14"/>
  <c r="C82" i="14"/>
  <c r="G81" i="14"/>
  <c r="E81" i="14"/>
  <c r="D81" i="14"/>
  <c r="C81" i="14"/>
  <c r="G80" i="14"/>
  <c r="E80" i="14"/>
  <c r="D80" i="14"/>
  <c r="C80" i="14"/>
  <c r="G79" i="14"/>
  <c r="E79" i="14"/>
  <c r="D79" i="14"/>
  <c r="C79" i="14"/>
  <c r="G76" i="14"/>
  <c r="E76" i="14"/>
  <c r="D76" i="14"/>
  <c r="C76" i="14"/>
  <c r="G75" i="14"/>
  <c r="E75" i="14"/>
  <c r="D75" i="14"/>
  <c r="C75" i="14"/>
  <c r="G72" i="14"/>
  <c r="E72" i="14"/>
  <c r="D72" i="14"/>
  <c r="C72" i="14"/>
  <c r="G36" i="14"/>
  <c r="E36" i="14"/>
  <c r="D36" i="14"/>
  <c r="C36" i="14"/>
  <c r="G71" i="14"/>
  <c r="E71" i="14"/>
  <c r="D71" i="14"/>
  <c r="C71" i="14"/>
  <c r="G67" i="14"/>
  <c r="E67" i="14"/>
  <c r="D67" i="14"/>
  <c r="C67" i="14"/>
  <c r="G66" i="14"/>
  <c r="E66" i="14"/>
  <c r="D66" i="14"/>
  <c r="C66" i="14"/>
  <c r="G65" i="14"/>
  <c r="E65" i="14"/>
  <c r="D65" i="14"/>
  <c r="C65" i="14"/>
  <c r="G87" i="14"/>
  <c r="E87" i="14"/>
  <c r="D87" i="14"/>
  <c r="C87" i="14"/>
  <c r="G60" i="14"/>
  <c r="E60" i="14"/>
  <c r="D60" i="14"/>
  <c r="C60" i="14"/>
  <c r="G165" i="14"/>
  <c r="E165" i="14"/>
  <c r="D165" i="14"/>
  <c r="C165" i="14"/>
  <c r="G59" i="14"/>
  <c r="E59" i="14"/>
  <c r="D59" i="14"/>
  <c r="C59" i="14"/>
  <c r="G57" i="14"/>
  <c r="E57" i="14"/>
  <c r="D57" i="14"/>
  <c r="C57" i="14"/>
  <c r="G56" i="14"/>
  <c r="E56" i="14"/>
  <c r="D56" i="14"/>
  <c r="C56" i="14"/>
  <c r="G29" i="14"/>
  <c r="E29" i="14"/>
  <c r="D29" i="14"/>
  <c r="C29" i="14"/>
  <c r="G54" i="14"/>
  <c r="E54" i="14"/>
  <c r="D54" i="14"/>
  <c r="C54" i="14"/>
  <c r="G149" i="14"/>
  <c r="E149" i="14"/>
  <c r="D149" i="14"/>
  <c r="C149" i="14"/>
  <c r="G98" i="14"/>
  <c r="E98" i="14"/>
  <c r="D98" i="14"/>
  <c r="C98" i="14"/>
  <c r="G78" i="14"/>
  <c r="E78" i="14"/>
  <c r="D78" i="14"/>
  <c r="C78" i="14"/>
  <c r="G143" i="14"/>
  <c r="E143" i="14"/>
  <c r="D143" i="14"/>
  <c r="C143" i="14"/>
  <c r="G50" i="14"/>
  <c r="E50" i="14"/>
  <c r="D50" i="14"/>
  <c r="C50" i="14"/>
  <c r="G62" i="14"/>
  <c r="E62" i="14"/>
  <c r="D62" i="14"/>
  <c r="C62" i="14"/>
  <c r="G53" i="14"/>
  <c r="E53" i="14"/>
  <c r="D53" i="14"/>
  <c r="C53" i="14"/>
  <c r="G49" i="14"/>
  <c r="E49" i="14"/>
  <c r="D49" i="14"/>
  <c r="C49" i="14"/>
  <c r="G58" i="14"/>
  <c r="E58" i="14"/>
  <c r="D58" i="14"/>
  <c r="C58" i="14"/>
  <c r="G41" i="14"/>
  <c r="E41" i="14"/>
  <c r="D41" i="14"/>
  <c r="C41" i="14"/>
  <c r="G134" i="14"/>
  <c r="E134" i="14"/>
  <c r="D134" i="14"/>
  <c r="C134" i="14"/>
  <c r="G77" i="14"/>
  <c r="E77" i="14"/>
  <c r="D77" i="14"/>
  <c r="C77" i="14"/>
  <c r="G39" i="14"/>
  <c r="E39" i="14"/>
  <c r="D39" i="14"/>
  <c r="C39" i="14"/>
  <c r="G48" i="14"/>
  <c r="E48" i="14"/>
  <c r="D48" i="14"/>
  <c r="C48" i="14"/>
  <c r="G47" i="14"/>
  <c r="E47" i="14"/>
  <c r="D47" i="14"/>
  <c r="C47" i="14"/>
  <c r="G94" i="14"/>
  <c r="E94" i="14"/>
  <c r="D94" i="14"/>
  <c r="C94" i="14"/>
  <c r="G91" i="14"/>
  <c r="E91" i="14"/>
  <c r="D91" i="14"/>
  <c r="C91" i="14"/>
  <c r="G140" i="14"/>
  <c r="E140" i="14"/>
  <c r="D140" i="14"/>
  <c r="C140" i="14"/>
  <c r="G68" i="14"/>
  <c r="E68" i="14"/>
  <c r="D68" i="14"/>
  <c r="C68" i="14"/>
  <c r="G22" i="14"/>
  <c r="E22" i="14"/>
  <c r="D22" i="14"/>
  <c r="C22" i="14"/>
  <c r="G34" i="14"/>
  <c r="E34" i="14"/>
  <c r="D34" i="14"/>
  <c r="C34" i="14"/>
  <c r="G38" i="14"/>
  <c r="E38" i="14"/>
  <c r="D38" i="14"/>
  <c r="C38" i="14"/>
  <c r="G28" i="14"/>
  <c r="E28" i="14"/>
  <c r="D28" i="14"/>
  <c r="C28" i="14"/>
  <c r="G159" i="14"/>
  <c r="E159" i="14"/>
  <c r="D159" i="14"/>
  <c r="C159" i="14"/>
  <c r="G32" i="14"/>
  <c r="E32" i="14"/>
  <c r="D32" i="14"/>
  <c r="C32" i="14"/>
  <c r="G21" i="14"/>
  <c r="E21" i="14"/>
  <c r="D21" i="14"/>
  <c r="C21" i="14"/>
  <c r="G40" i="14"/>
  <c r="E40" i="14"/>
  <c r="D40" i="14"/>
  <c r="C40" i="14"/>
  <c r="G13" i="14"/>
  <c r="E13" i="14"/>
  <c r="D13" i="14"/>
  <c r="C13" i="14"/>
  <c r="G102" i="14"/>
  <c r="E102" i="14"/>
  <c r="D102" i="14"/>
  <c r="C102" i="14"/>
  <c r="G45" i="14"/>
  <c r="E45" i="14"/>
  <c r="D45" i="14"/>
  <c r="C45" i="14"/>
  <c r="G168" i="14"/>
  <c r="E168" i="14"/>
  <c r="D168" i="14"/>
  <c r="C168" i="14"/>
  <c r="G17" i="14"/>
  <c r="E17" i="14"/>
  <c r="D17" i="14"/>
  <c r="C17" i="14"/>
  <c r="G25" i="14"/>
  <c r="E25" i="14"/>
  <c r="D25" i="14"/>
  <c r="C25" i="14"/>
  <c r="G27" i="14"/>
  <c r="E27" i="14"/>
  <c r="D27" i="14"/>
  <c r="C27" i="14"/>
  <c r="G10" i="14"/>
  <c r="E10" i="14"/>
  <c r="D10" i="14"/>
  <c r="C10" i="14"/>
  <c r="G24" i="14"/>
  <c r="E24" i="14"/>
  <c r="D24" i="14"/>
  <c r="C24" i="14"/>
  <c r="G12" i="14"/>
  <c r="E12" i="14"/>
  <c r="D12" i="14"/>
  <c r="C12" i="14"/>
  <c r="E51" i="14"/>
  <c r="D51" i="14"/>
  <c r="C51" i="14"/>
  <c r="G11" i="14"/>
  <c r="E11" i="14"/>
  <c r="D11" i="14"/>
  <c r="C11" i="14"/>
  <c r="G123" i="14"/>
  <c r="D123" i="14"/>
  <c r="C123" i="14"/>
  <c r="G46" i="14"/>
  <c r="E46" i="14"/>
  <c r="D46" i="14"/>
  <c r="C46" i="14"/>
  <c r="G112" i="14"/>
  <c r="D112" i="14"/>
  <c r="C112" i="14"/>
  <c r="G18" i="14"/>
  <c r="E18" i="14"/>
  <c r="D18" i="14"/>
  <c r="C18" i="14"/>
  <c r="G16" i="14"/>
  <c r="E16" i="14"/>
  <c r="D16" i="14"/>
  <c r="C16" i="14"/>
  <c r="G153" i="14"/>
  <c r="E153" i="14"/>
  <c r="D153" i="14"/>
  <c r="C153" i="14"/>
  <c r="G30" i="14"/>
  <c r="E30" i="14"/>
  <c r="D30" i="14"/>
  <c r="C30" i="14"/>
  <c r="G43" i="14"/>
  <c r="E43" i="14"/>
  <c r="D43" i="14"/>
  <c r="C43" i="14"/>
  <c r="G35" i="14"/>
  <c r="E35" i="14"/>
  <c r="D35" i="14"/>
  <c r="C35" i="14"/>
  <c r="G8" i="14"/>
  <c r="E8" i="14"/>
  <c r="D8" i="14"/>
  <c r="C8" i="14"/>
  <c r="G6" i="14"/>
  <c r="E6" i="14"/>
  <c r="D6" i="14"/>
  <c r="C6" i="14"/>
  <c r="G152" i="14"/>
  <c r="E152" i="14"/>
  <c r="D152" i="14"/>
  <c r="C152" i="14"/>
  <c r="G4" i="14"/>
  <c r="E4" i="14"/>
  <c r="D4" i="14"/>
  <c r="C4" i="14"/>
  <c r="G14" i="14"/>
  <c r="E14" i="14"/>
  <c r="D14" i="14"/>
  <c r="C14" i="14"/>
  <c r="G7" i="14"/>
  <c r="E7" i="14"/>
  <c r="D7" i="14"/>
  <c r="C7" i="14"/>
  <c r="G9" i="14"/>
  <c r="E9" i="14"/>
  <c r="D9" i="14"/>
  <c r="C9" i="14"/>
  <c r="G3" i="14"/>
  <c r="E3" i="14"/>
  <c r="D3" i="14"/>
  <c r="C3" i="14"/>
  <c r="G5" i="14"/>
  <c r="E5" i="14"/>
  <c r="D5" i="14"/>
  <c r="C5" i="14"/>
  <c r="F103" i="14" l="1"/>
  <c r="F130" i="14"/>
  <c r="F8" i="14"/>
  <c r="F30" i="14"/>
  <c r="F159" i="14"/>
  <c r="F38" i="14"/>
  <c r="F34" i="14"/>
  <c r="F68" i="14"/>
  <c r="F140" i="14"/>
  <c r="F91" i="14"/>
  <c r="F94" i="14"/>
  <c r="F53" i="14"/>
  <c r="F62" i="14"/>
  <c r="F143" i="14"/>
  <c r="F78" i="14"/>
  <c r="F98" i="14"/>
  <c r="F149" i="14"/>
  <c r="F88" i="14"/>
  <c r="F70" i="14"/>
  <c r="F139" i="14"/>
  <c r="F33" i="14"/>
  <c r="F132" i="14"/>
  <c r="F84" i="14"/>
  <c r="F31" i="14"/>
  <c r="F105" i="14"/>
  <c r="F123" i="14"/>
  <c r="F92" i="14"/>
  <c r="F93" i="14"/>
  <c r="F96" i="14"/>
  <c r="F146" i="14"/>
  <c r="F46" i="14"/>
  <c r="F56" i="14"/>
  <c r="F80" i="14"/>
  <c r="F164" i="14"/>
  <c r="F115" i="14"/>
  <c r="F116" i="14"/>
  <c r="F121" i="14"/>
  <c r="F158" i="14"/>
  <c r="F141" i="14"/>
  <c r="F145" i="14"/>
  <c r="F169" i="14"/>
  <c r="C170" i="14"/>
  <c r="F9" i="14"/>
  <c r="F27" i="14"/>
  <c r="F17" i="14"/>
  <c r="F168" i="14"/>
  <c r="F45" i="14"/>
  <c r="F39" i="14"/>
  <c r="F86" i="14"/>
  <c r="F167" i="14"/>
  <c r="F122" i="14"/>
  <c r="F127" i="14"/>
  <c r="F97" i="14"/>
  <c r="F153" i="14"/>
  <c r="F11" i="14"/>
  <c r="F81" i="14"/>
  <c r="F52" i="14"/>
  <c r="F100" i="14"/>
  <c r="F110" i="14"/>
  <c r="F19" i="14"/>
  <c r="F3" i="14"/>
  <c r="F7" i="14"/>
  <c r="F6" i="14"/>
  <c r="F87" i="14"/>
  <c r="F66" i="14"/>
  <c r="F71" i="14"/>
  <c r="F36" i="14"/>
  <c r="F72" i="14"/>
  <c r="F75" i="14"/>
  <c r="F74" i="14"/>
  <c r="F162" i="14"/>
  <c r="F83" i="14"/>
  <c r="F108" i="14"/>
  <c r="F117" i="14"/>
  <c r="F156" i="14"/>
  <c r="F126" i="14"/>
  <c r="F95" i="14"/>
  <c r="F99" i="14"/>
  <c r="F69" i="14"/>
  <c r="F107" i="14"/>
  <c r="F135" i="14"/>
  <c r="F161" i="14"/>
  <c r="F157" i="14"/>
  <c r="D170" i="14"/>
  <c r="F40" i="14"/>
  <c r="F57" i="14"/>
  <c r="F150" i="14"/>
  <c r="F26" i="14"/>
  <c r="F160" i="14"/>
  <c r="F23" i="14"/>
  <c r="F10" i="14"/>
  <c r="F58" i="14"/>
  <c r="F109" i="14"/>
  <c r="G170" i="14"/>
  <c r="F14" i="14"/>
  <c r="F112" i="14"/>
  <c r="F51" i="14"/>
  <c r="F12" i="14"/>
  <c r="F24" i="14"/>
  <c r="F25" i="14"/>
  <c r="F21" i="14"/>
  <c r="F32" i="14"/>
  <c r="F22" i="14"/>
  <c r="F77" i="14"/>
  <c r="F134" i="14"/>
  <c r="F41" i="14"/>
  <c r="F50" i="14"/>
  <c r="F59" i="14"/>
  <c r="F165" i="14"/>
  <c r="F60" i="14"/>
  <c r="F67" i="14"/>
  <c r="F82" i="14"/>
  <c r="F125" i="14"/>
  <c r="F42" i="14"/>
  <c r="F90" i="14"/>
  <c r="F15" i="14"/>
  <c r="F129" i="14"/>
  <c r="F142" i="14"/>
  <c r="F104" i="14"/>
  <c r="F85" i="14"/>
  <c r="F106" i="14"/>
  <c r="F147" i="14"/>
  <c r="F101" i="14"/>
  <c r="F128" i="14"/>
  <c r="F111" i="14"/>
  <c r="F118" i="14"/>
  <c r="F155" i="14"/>
  <c r="F133" i="14"/>
  <c r="F148" i="14"/>
  <c r="F63" i="14"/>
  <c r="F20" i="14"/>
  <c r="F136" i="14"/>
  <c r="F113" i="14"/>
  <c r="F131" i="14"/>
  <c r="F151" i="14"/>
  <c r="F73" i="14"/>
  <c r="F154" i="14"/>
  <c r="F35" i="14"/>
  <c r="F43" i="14"/>
  <c r="F13" i="14"/>
  <c r="F48" i="14"/>
  <c r="F29" i="14"/>
  <c r="F79" i="14"/>
  <c r="F120" i="14"/>
  <c r="F64" i="14"/>
  <c r="F166" i="14"/>
  <c r="F44" i="14"/>
  <c r="F114" i="14"/>
  <c r="F119" i="14"/>
  <c r="F124" i="14"/>
  <c r="F137" i="14"/>
  <c r="F144" i="14"/>
  <c r="F55" i="14"/>
  <c r="F37" i="14"/>
  <c r="F138" i="14"/>
  <c r="F28" i="14"/>
  <c r="F54" i="14"/>
  <c r="F89" i="14"/>
  <c r="F61" i="14"/>
  <c r="F163" i="14"/>
  <c r="E170" i="14"/>
  <c r="F102" i="14"/>
  <c r="F47" i="14"/>
  <c r="F49" i="14"/>
  <c r="F65" i="14"/>
  <c r="F76" i="14"/>
  <c r="F5" i="14"/>
  <c r="F4" i="14"/>
  <c r="F152" i="14"/>
  <c r="F16" i="14"/>
  <c r="F18" i="14"/>
  <c r="G154" i="13" l="1"/>
  <c r="E154" i="13"/>
  <c r="D154" i="13"/>
  <c r="C154" i="13"/>
  <c r="G171" i="13"/>
  <c r="E171" i="13"/>
  <c r="D171" i="13"/>
  <c r="C171" i="13"/>
  <c r="G133" i="13"/>
  <c r="E133" i="13"/>
  <c r="D133" i="13"/>
  <c r="C133" i="13"/>
  <c r="G19" i="13"/>
  <c r="E19" i="13"/>
  <c r="D19" i="13"/>
  <c r="C19" i="13"/>
  <c r="G93" i="13"/>
  <c r="E93" i="13"/>
  <c r="D93" i="13"/>
  <c r="C93" i="13"/>
  <c r="G156" i="13"/>
  <c r="E156" i="13"/>
  <c r="D156" i="13"/>
  <c r="C156" i="13"/>
  <c r="G162" i="13"/>
  <c r="E162" i="13"/>
  <c r="D162" i="13"/>
  <c r="C162" i="13"/>
  <c r="G17" i="13"/>
  <c r="E17" i="13"/>
  <c r="D17" i="13"/>
  <c r="C17" i="13"/>
  <c r="G165" i="13"/>
  <c r="E165" i="13"/>
  <c r="D165" i="13"/>
  <c r="C165" i="13"/>
  <c r="G68" i="13"/>
  <c r="E68" i="13"/>
  <c r="D68" i="13"/>
  <c r="C68" i="13"/>
  <c r="G37" i="13"/>
  <c r="E37" i="13"/>
  <c r="D37" i="13"/>
  <c r="C37" i="13"/>
  <c r="G59" i="13"/>
  <c r="E59" i="13"/>
  <c r="D59" i="13"/>
  <c r="C59" i="13"/>
  <c r="G94" i="13"/>
  <c r="E94" i="13"/>
  <c r="D94" i="13"/>
  <c r="C94" i="13"/>
  <c r="G150" i="13"/>
  <c r="E150" i="13"/>
  <c r="D150" i="13"/>
  <c r="C150" i="13"/>
  <c r="G51" i="13"/>
  <c r="E51" i="13"/>
  <c r="D51" i="13"/>
  <c r="C51" i="13"/>
  <c r="G147" i="13"/>
  <c r="E147" i="13"/>
  <c r="D147" i="13"/>
  <c r="C147" i="13"/>
  <c r="G144" i="13"/>
  <c r="E144" i="13"/>
  <c r="D144" i="13"/>
  <c r="C144" i="13"/>
  <c r="G143" i="13"/>
  <c r="E143" i="13"/>
  <c r="D143" i="13"/>
  <c r="C143" i="13"/>
  <c r="G142" i="13"/>
  <c r="E142" i="13"/>
  <c r="D142" i="13"/>
  <c r="C142" i="13"/>
  <c r="G138" i="13"/>
  <c r="E138" i="13"/>
  <c r="D138" i="13"/>
  <c r="C138" i="13"/>
  <c r="G157" i="13"/>
  <c r="E157" i="13"/>
  <c r="D157" i="13"/>
  <c r="C157" i="13"/>
  <c r="G134" i="13"/>
  <c r="E134" i="13"/>
  <c r="D134" i="13"/>
  <c r="C134" i="13"/>
  <c r="G130" i="13"/>
  <c r="E130" i="13"/>
  <c r="D130" i="13"/>
  <c r="C130" i="13"/>
  <c r="G132" i="13"/>
  <c r="E132" i="13"/>
  <c r="D132" i="13"/>
  <c r="C132" i="13"/>
  <c r="G129" i="13"/>
  <c r="E129" i="13"/>
  <c r="D129" i="13"/>
  <c r="C129" i="13"/>
  <c r="G126" i="13"/>
  <c r="E126" i="13"/>
  <c r="D126" i="13"/>
  <c r="C126" i="13"/>
  <c r="G123" i="13"/>
  <c r="E123" i="13"/>
  <c r="D123" i="13"/>
  <c r="C123" i="13"/>
  <c r="G166" i="13"/>
  <c r="E166" i="13"/>
  <c r="D166" i="13"/>
  <c r="C166" i="13"/>
  <c r="G120" i="13"/>
  <c r="E120" i="13"/>
  <c r="D120" i="13"/>
  <c r="C120" i="13"/>
  <c r="G119" i="13"/>
  <c r="E119" i="13"/>
  <c r="D119" i="13"/>
  <c r="C119" i="13"/>
  <c r="G116" i="13"/>
  <c r="E116" i="13"/>
  <c r="D116" i="13"/>
  <c r="C116" i="13"/>
  <c r="G115" i="13"/>
  <c r="E115" i="13"/>
  <c r="D115" i="13"/>
  <c r="C115" i="13"/>
  <c r="G113" i="13"/>
  <c r="E113" i="13"/>
  <c r="D113" i="13"/>
  <c r="C113" i="13"/>
  <c r="G111" i="13"/>
  <c r="E111" i="13"/>
  <c r="D111" i="13"/>
  <c r="C111" i="13"/>
  <c r="G112" i="13"/>
  <c r="E112" i="13"/>
  <c r="D112" i="13"/>
  <c r="C112" i="13"/>
  <c r="G109" i="13"/>
  <c r="E109" i="13"/>
  <c r="D109" i="13"/>
  <c r="C109" i="13"/>
  <c r="G108" i="13"/>
  <c r="E108" i="13"/>
  <c r="D108" i="13"/>
  <c r="C108" i="13"/>
  <c r="G107" i="13"/>
  <c r="E107" i="13"/>
  <c r="D107" i="13"/>
  <c r="C107" i="13"/>
  <c r="G105" i="13"/>
  <c r="E105" i="13"/>
  <c r="D105" i="13"/>
  <c r="C105" i="13"/>
  <c r="G41" i="13"/>
  <c r="E41" i="13"/>
  <c r="D41" i="13"/>
  <c r="C41" i="13"/>
  <c r="G65" i="13"/>
  <c r="E65" i="13"/>
  <c r="D65" i="13"/>
  <c r="C65" i="13"/>
  <c r="G100" i="13"/>
  <c r="E100" i="13"/>
  <c r="D100" i="13"/>
  <c r="C100" i="13"/>
  <c r="G127" i="13"/>
  <c r="E127" i="13"/>
  <c r="D127" i="13"/>
  <c r="C127" i="13"/>
  <c r="G169" i="13"/>
  <c r="E169" i="13"/>
  <c r="D169" i="13"/>
  <c r="C169" i="13"/>
  <c r="G98" i="13"/>
  <c r="E98" i="13"/>
  <c r="D98" i="13"/>
  <c r="C98" i="13"/>
  <c r="G97" i="13"/>
  <c r="E97" i="13"/>
  <c r="D97" i="13"/>
  <c r="C97" i="13"/>
  <c r="G96" i="13"/>
  <c r="E96" i="13"/>
  <c r="D96" i="13"/>
  <c r="C96" i="13"/>
  <c r="G92" i="13"/>
  <c r="E92" i="13"/>
  <c r="D92" i="13"/>
  <c r="C92" i="13"/>
  <c r="G91" i="13"/>
  <c r="E91" i="13"/>
  <c r="D91" i="13"/>
  <c r="C91" i="13"/>
  <c r="G89" i="13"/>
  <c r="E89" i="13"/>
  <c r="D89" i="13"/>
  <c r="C89" i="13"/>
  <c r="G88" i="13"/>
  <c r="E88" i="13"/>
  <c r="D88" i="13"/>
  <c r="C88" i="13"/>
  <c r="G86" i="13"/>
  <c r="E86" i="13"/>
  <c r="D86" i="13"/>
  <c r="C86" i="13"/>
  <c r="G168" i="13"/>
  <c r="E168" i="13"/>
  <c r="D168" i="13"/>
  <c r="C168" i="13"/>
  <c r="G23" i="13"/>
  <c r="E23" i="13"/>
  <c r="D23" i="13"/>
  <c r="C23" i="13"/>
  <c r="G118" i="13"/>
  <c r="E118" i="13"/>
  <c r="D118" i="13"/>
  <c r="C118" i="13"/>
  <c r="G148" i="13"/>
  <c r="E148" i="13"/>
  <c r="D148" i="13"/>
  <c r="C148" i="13"/>
  <c r="G29" i="13"/>
  <c r="E29" i="13"/>
  <c r="D29" i="13"/>
  <c r="C29" i="13"/>
  <c r="G60" i="13"/>
  <c r="E60" i="13"/>
  <c r="D60" i="13"/>
  <c r="C60" i="13"/>
  <c r="G135" i="13"/>
  <c r="E135" i="13"/>
  <c r="D135" i="13"/>
  <c r="C135" i="13"/>
  <c r="G85" i="13"/>
  <c r="E85" i="13"/>
  <c r="D85" i="13"/>
  <c r="C85" i="13"/>
  <c r="G146" i="13"/>
  <c r="E146" i="13"/>
  <c r="D146" i="13"/>
  <c r="C146" i="13"/>
  <c r="G145" i="13"/>
  <c r="E145" i="13"/>
  <c r="D145" i="13"/>
  <c r="C145" i="13"/>
  <c r="G104" i="13"/>
  <c r="E104" i="13"/>
  <c r="D104" i="13"/>
  <c r="C104" i="13"/>
  <c r="G79" i="13"/>
  <c r="E79" i="13"/>
  <c r="D79" i="13"/>
  <c r="C79" i="13"/>
  <c r="G48" i="13"/>
  <c r="E48" i="13"/>
  <c r="D48" i="13"/>
  <c r="C48" i="13"/>
  <c r="G125" i="13"/>
  <c r="E125" i="13"/>
  <c r="D125" i="13"/>
  <c r="C125" i="13"/>
  <c r="G155" i="13"/>
  <c r="E155" i="13"/>
  <c r="D155" i="13"/>
  <c r="C155" i="13"/>
  <c r="G106" i="13"/>
  <c r="E106" i="13"/>
  <c r="D106" i="13"/>
  <c r="C106" i="13"/>
  <c r="G114" i="13"/>
  <c r="E114" i="13"/>
  <c r="D114" i="13"/>
  <c r="C114" i="13"/>
  <c r="G102" i="13"/>
  <c r="E102" i="13"/>
  <c r="D102" i="13"/>
  <c r="C102" i="13"/>
  <c r="G77" i="13"/>
  <c r="E77" i="13"/>
  <c r="D77" i="13"/>
  <c r="C77" i="13"/>
  <c r="G164" i="13"/>
  <c r="E164" i="13"/>
  <c r="D164" i="13"/>
  <c r="C164" i="13"/>
  <c r="G167" i="13"/>
  <c r="E167" i="13"/>
  <c r="D167" i="13"/>
  <c r="C167" i="13"/>
  <c r="G46" i="13"/>
  <c r="E46" i="13"/>
  <c r="D46" i="13"/>
  <c r="C46" i="13"/>
  <c r="G159" i="13"/>
  <c r="E159" i="13"/>
  <c r="D159" i="13"/>
  <c r="C159" i="13"/>
  <c r="G140" i="13"/>
  <c r="E140" i="13"/>
  <c r="D140" i="13"/>
  <c r="C140" i="13"/>
  <c r="G128" i="13"/>
  <c r="E128" i="13"/>
  <c r="D128" i="13"/>
  <c r="C128" i="13"/>
  <c r="G15" i="13"/>
  <c r="E15" i="13"/>
  <c r="D15" i="13"/>
  <c r="C15" i="13"/>
  <c r="G160" i="13"/>
  <c r="E160" i="13"/>
  <c r="D160" i="13"/>
  <c r="C160" i="13"/>
  <c r="G78" i="13"/>
  <c r="E78" i="13"/>
  <c r="D78" i="13"/>
  <c r="C78" i="13"/>
  <c r="G117" i="13"/>
  <c r="E117" i="13"/>
  <c r="D117" i="13"/>
  <c r="C117" i="13"/>
  <c r="G57" i="13"/>
  <c r="E57" i="13"/>
  <c r="D57" i="13"/>
  <c r="C57" i="13"/>
  <c r="G158" i="13"/>
  <c r="E158" i="13"/>
  <c r="D158" i="13"/>
  <c r="C158" i="13"/>
  <c r="G31" i="13"/>
  <c r="E31" i="13"/>
  <c r="D31" i="13"/>
  <c r="C31" i="13"/>
  <c r="G103" i="13"/>
  <c r="E103" i="13"/>
  <c r="D103" i="13"/>
  <c r="C103" i="13"/>
  <c r="G136" i="13"/>
  <c r="E136" i="13"/>
  <c r="D136" i="13"/>
  <c r="C136" i="13"/>
  <c r="G84" i="13"/>
  <c r="E84" i="13"/>
  <c r="D84" i="13"/>
  <c r="C84" i="13"/>
  <c r="G25" i="13"/>
  <c r="E25" i="13"/>
  <c r="D25" i="13"/>
  <c r="C25" i="13"/>
  <c r="G32" i="13"/>
  <c r="E32" i="13"/>
  <c r="D32" i="13"/>
  <c r="C32" i="13"/>
  <c r="G83" i="13"/>
  <c r="E83" i="13"/>
  <c r="D83" i="13"/>
  <c r="C83" i="13"/>
  <c r="G82" i="13"/>
  <c r="E82" i="13"/>
  <c r="D82" i="13"/>
  <c r="C82" i="13"/>
  <c r="G80" i="13"/>
  <c r="E80" i="13"/>
  <c r="D80" i="13"/>
  <c r="C80" i="13"/>
  <c r="G124" i="13"/>
  <c r="E124" i="13"/>
  <c r="D124" i="13"/>
  <c r="C124" i="13"/>
  <c r="G76" i="13"/>
  <c r="E76" i="13"/>
  <c r="D76" i="13"/>
  <c r="C76" i="13"/>
  <c r="G75" i="13"/>
  <c r="E75" i="13"/>
  <c r="D75" i="13"/>
  <c r="C75" i="13"/>
  <c r="G74" i="13"/>
  <c r="E74" i="13"/>
  <c r="D74" i="13"/>
  <c r="C74" i="13"/>
  <c r="G73" i="13"/>
  <c r="E73" i="13"/>
  <c r="D73" i="13"/>
  <c r="C73" i="13"/>
  <c r="G70" i="13"/>
  <c r="E70" i="13"/>
  <c r="D70" i="13"/>
  <c r="C70" i="13"/>
  <c r="G69" i="13"/>
  <c r="E69" i="13"/>
  <c r="D69" i="13"/>
  <c r="C69" i="13"/>
  <c r="G67" i="13"/>
  <c r="E67" i="13"/>
  <c r="D67" i="13"/>
  <c r="C67" i="13"/>
  <c r="G36" i="13"/>
  <c r="E36" i="13"/>
  <c r="D36" i="13"/>
  <c r="C36" i="13"/>
  <c r="G66" i="13"/>
  <c r="E66" i="13"/>
  <c r="D66" i="13"/>
  <c r="C66" i="13"/>
  <c r="G63" i="13"/>
  <c r="E63" i="13"/>
  <c r="D63" i="13"/>
  <c r="C63" i="13"/>
  <c r="G62" i="13"/>
  <c r="E62" i="13"/>
  <c r="D62" i="13"/>
  <c r="C62" i="13"/>
  <c r="G61" i="13"/>
  <c r="E61" i="13"/>
  <c r="D61" i="13"/>
  <c r="C61" i="13"/>
  <c r="G81" i="13"/>
  <c r="E81" i="13"/>
  <c r="D81" i="13"/>
  <c r="C81" i="13"/>
  <c r="G56" i="13"/>
  <c r="E56" i="13"/>
  <c r="D56" i="13"/>
  <c r="C56" i="13"/>
  <c r="G163" i="13"/>
  <c r="E163" i="13"/>
  <c r="D163" i="13"/>
  <c r="C163" i="13"/>
  <c r="G55" i="13"/>
  <c r="E55" i="13"/>
  <c r="D55" i="13"/>
  <c r="C55" i="13"/>
  <c r="G53" i="13"/>
  <c r="E53" i="13"/>
  <c r="D53" i="13"/>
  <c r="C53" i="13"/>
  <c r="G52" i="13"/>
  <c r="E52" i="13"/>
  <c r="D52" i="13"/>
  <c r="C52" i="13"/>
  <c r="G28" i="13"/>
  <c r="E28" i="13"/>
  <c r="D28" i="13"/>
  <c r="C28" i="13"/>
  <c r="G50" i="13"/>
  <c r="E50" i="13"/>
  <c r="D50" i="13"/>
  <c r="C50" i="13"/>
  <c r="G149" i="13"/>
  <c r="E149" i="13"/>
  <c r="D149" i="13"/>
  <c r="C149" i="13"/>
  <c r="G95" i="13"/>
  <c r="E95" i="13"/>
  <c r="D95" i="13"/>
  <c r="C95" i="13"/>
  <c r="G72" i="13"/>
  <c r="E72" i="13"/>
  <c r="D72" i="13"/>
  <c r="C72" i="13"/>
  <c r="G141" i="13"/>
  <c r="E141" i="13"/>
  <c r="D141" i="13"/>
  <c r="C141" i="13"/>
  <c r="G58" i="13"/>
  <c r="E58" i="13"/>
  <c r="D58" i="13"/>
  <c r="C58" i="13"/>
  <c r="G49" i="13"/>
  <c r="E49" i="13"/>
  <c r="D49" i="13"/>
  <c r="C49" i="13"/>
  <c r="G45" i="13"/>
  <c r="E45" i="13"/>
  <c r="D45" i="13"/>
  <c r="C45" i="13"/>
  <c r="G54" i="13"/>
  <c r="E54" i="13"/>
  <c r="D54" i="13"/>
  <c r="C54" i="13"/>
  <c r="G40" i="13"/>
  <c r="E40" i="13"/>
  <c r="D40" i="13"/>
  <c r="C40" i="13"/>
  <c r="G131" i="13"/>
  <c r="E131" i="13"/>
  <c r="D131" i="13"/>
  <c r="C131" i="13"/>
  <c r="G71" i="13"/>
  <c r="E71" i="13"/>
  <c r="D71" i="13"/>
  <c r="C71" i="13"/>
  <c r="G101" i="13"/>
  <c r="E101" i="13"/>
  <c r="D101" i="13"/>
  <c r="C101" i="13"/>
  <c r="G44" i="13"/>
  <c r="E44" i="13"/>
  <c r="D44" i="13"/>
  <c r="C44" i="13"/>
  <c r="G43" i="13"/>
  <c r="E43" i="13"/>
  <c r="D43" i="13"/>
  <c r="C43" i="13"/>
  <c r="G90" i="13"/>
  <c r="E90" i="13"/>
  <c r="D90" i="13"/>
  <c r="C90" i="13"/>
  <c r="G87" i="13"/>
  <c r="E87" i="13"/>
  <c r="D87" i="13"/>
  <c r="C87" i="13"/>
  <c r="G137" i="13"/>
  <c r="E137" i="13"/>
  <c r="D137" i="13"/>
  <c r="C137" i="13"/>
  <c r="G64" i="13"/>
  <c r="E64" i="13"/>
  <c r="D64" i="13"/>
  <c r="C64" i="13"/>
  <c r="G22" i="13"/>
  <c r="E22" i="13"/>
  <c r="D22" i="13"/>
  <c r="C22" i="13"/>
  <c r="G34" i="13"/>
  <c r="E34" i="13"/>
  <c r="D34" i="13"/>
  <c r="C34" i="13"/>
  <c r="G38" i="13"/>
  <c r="E38" i="13"/>
  <c r="D38" i="13"/>
  <c r="C38" i="13"/>
  <c r="G27" i="13"/>
  <c r="E27" i="13"/>
  <c r="D27" i="13"/>
  <c r="C27" i="13"/>
  <c r="G161" i="13"/>
  <c r="E161" i="13"/>
  <c r="D161" i="13"/>
  <c r="C161" i="13"/>
  <c r="G30" i="13"/>
  <c r="E30" i="13"/>
  <c r="D30" i="13"/>
  <c r="C30" i="13"/>
  <c r="G20" i="13"/>
  <c r="E20" i="13"/>
  <c r="D20" i="13"/>
  <c r="C20" i="13"/>
  <c r="G39" i="13"/>
  <c r="E39" i="13"/>
  <c r="D39" i="13"/>
  <c r="C39" i="13"/>
  <c r="G11" i="13"/>
  <c r="E11" i="13"/>
  <c r="D11" i="13"/>
  <c r="C11" i="13"/>
  <c r="G99" i="13"/>
  <c r="E99" i="13"/>
  <c r="D99" i="13"/>
  <c r="C99" i="13"/>
  <c r="G42" i="13"/>
  <c r="E42" i="13"/>
  <c r="D42" i="13"/>
  <c r="C42" i="13"/>
  <c r="G170" i="13"/>
  <c r="E170" i="13"/>
  <c r="D170" i="13"/>
  <c r="C170" i="13"/>
  <c r="G18" i="13"/>
  <c r="E18" i="13"/>
  <c r="D18" i="13"/>
  <c r="C18" i="13"/>
  <c r="G24" i="13"/>
  <c r="E24" i="13"/>
  <c r="D24" i="13"/>
  <c r="C24" i="13"/>
  <c r="G26" i="13"/>
  <c r="E26" i="13"/>
  <c r="D26" i="13"/>
  <c r="C26" i="13"/>
  <c r="G9" i="13"/>
  <c r="E9" i="13"/>
  <c r="D9" i="13"/>
  <c r="C9" i="13"/>
  <c r="G121" i="13"/>
  <c r="E121" i="13"/>
  <c r="D121" i="13"/>
  <c r="C121" i="13"/>
  <c r="G13" i="13"/>
  <c r="E13" i="13"/>
  <c r="D13" i="13"/>
  <c r="C13" i="13"/>
  <c r="E47" i="13"/>
  <c r="D47" i="13"/>
  <c r="C47" i="13"/>
  <c r="G12" i="13"/>
  <c r="E12" i="13"/>
  <c r="D12" i="13"/>
  <c r="C12" i="13"/>
  <c r="G122" i="13"/>
  <c r="D122" i="13"/>
  <c r="C122" i="13"/>
  <c r="G33" i="13"/>
  <c r="E33" i="13"/>
  <c r="D33" i="13"/>
  <c r="C33" i="13"/>
  <c r="G110" i="13"/>
  <c r="D110" i="13"/>
  <c r="C110" i="13"/>
  <c r="G21" i="13"/>
  <c r="E21" i="13"/>
  <c r="D21" i="13"/>
  <c r="C21" i="13"/>
  <c r="G16" i="13"/>
  <c r="E16" i="13"/>
  <c r="D16" i="13"/>
  <c r="C16" i="13"/>
  <c r="G153" i="13"/>
  <c r="E153" i="13"/>
  <c r="D153" i="13"/>
  <c r="C153" i="13"/>
  <c r="G139" i="13"/>
  <c r="E139" i="13"/>
  <c r="D139" i="13"/>
  <c r="C139" i="13"/>
  <c r="G152" i="13"/>
  <c r="E152" i="13"/>
  <c r="D152" i="13"/>
  <c r="C152" i="13"/>
  <c r="G35" i="13"/>
  <c r="E35" i="13"/>
  <c r="D35" i="13"/>
  <c r="C35" i="13"/>
  <c r="G8" i="13"/>
  <c r="E8" i="13"/>
  <c r="D8" i="13"/>
  <c r="C8" i="13"/>
  <c r="G6" i="13"/>
  <c r="E6" i="13"/>
  <c r="D6" i="13"/>
  <c r="C6" i="13"/>
  <c r="G151" i="13"/>
  <c r="E151" i="13"/>
  <c r="D151" i="13"/>
  <c r="C151" i="13"/>
  <c r="G4" i="13"/>
  <c r="E4" i="13"/>
  <c r="D4" i="13"/>
  <c r="C4" i="13"/>
  <c r="G14" i="13"/>
  <c r="E14" i="13"/>
  <c r="D14" i="13"/>
  <c r="C14" i="13"/>
  <c r="G10" i="13"/>
  <c r="E10" i="13"/>
  <c r="D10" i="13"/>
  <c r="C10" i="13"/>
  <c r="G7" i="13"/>
  <c r="E7" i="13"/>
  <c r="D7" i="13"/>
  <c r="C7" i="13"/>
  <c r="G5" i="13"/>
  <c r="E5" i="13"/>
  <c r="D5" i="13"/>
  <c r="C5" i="13"/>
  <c r="G3" i="13"/>
  <c r="E3" i="13"/>
  <c r="D3" i="13"/>
  <c r="C3" i="13"/>
  <c r="F42" i="13" l="1"/>
  <c r="F80" i="13"/>
  <c r="F122" i="13"/>
  <c r="F13" i="13"/>
  <c r="F9" i="13"/>
  <c r="F105" i="13"/>
  <c r="F113" i="13"/>
  <c r="F6" i="13"/>
  <c r="F38" i="13"/>
  <c r="F90" i="13"/>
  <c r="F101" i="13"/>
  <c r="F54" i="13"/>
  <c r="F58" i="13"/>
  <c r="F149" i="13"/>
  <c r="F52" i="13"/>
  <c r="F63" i="13"/>
  <c r="F36" i="13"/>
  <c r="F69" i="13"/>
  <c r="F124" i="13"/>
  <c r="F25" i="13"/>
  <c r="F84" i="13"/>
  <c r="F103" i="13"/>
  <c r="F158" i="13"/>
  <c r="F78" i="13"/>
  <c r="F159" i="13"/>
  <c r="F164" i="13"/>
  <c r="F106" i="13"/>
  <c r="F104" i="13"/>
  <c r="F118" i="13"/>
  <c r="F92" i="13"/>
  <c r="F132" i="13"/>
  <c r="F130" i="13"/>
  <c r="F138" i="13"/>
  <c r="F33" i="13"/>
  <c r="F93" i="13"/>
  <c r="F10" i="13"/>
  <c r="F14" i="13"/>
  <c r="F35" i="13"/>
  <c r="F152" i="13"/>
  <c r="F139" i="13"/>
  <c r="F161" i="13"/>
  <c r="F137" i="13"/>
  <c r="F141" i="13"/>
  <c r="F72" i="13"/>
  <c r="F95" i="13"/>
  <c r="F56" i="13"/>
  <c r="F61" i="13"/>
  <c r="F73" i="13"/>
  <c r="F74" i="13"/>
  <c r="F75" i="13"/>
  <c r="F169" i="13"/>
  <c r="F100" i="13"/>
  <c r="F108" i="13"/>
  <c r="F109" i="13"/>
  <c r="F171" i="13"/>
  <c r="F12" i="13"/>
  <c r="F32" i="13"/>
  <c r="F114" i="13"/>
  <c r="F125" i="13"/>
  <c r="F86" i="13"/>
  <c r="F89" i="13"/>
  <c r="F126" i="13"/>
  <c r="F94" i="13"/>
  <c r="F59" i="13"/>
  <c r="F29" i="13"/>
  <c r="F60" i="13"/>
  <c r="F146" i="13"/>
  <c r="F128" i="13"/>
  <c r="D172" i="13"/>
  <c r="F26" i="13"/>
  <c r="F131" i="13"/>
  <c r="F3" i="13"/>
  <c r="F34" i="13"/>
  <c r="F53" i="13"/>
  <c r="F160" i="13"/>
  <c r="F135" i="13"/>
  <c r="F110" i="13"/>
  <c r="F121" i="13"/>
  <c r="F22" i="13"/>
  <c r="F87" i="13"/>
  <c r="F43" i="13"/>
  <c r="F44" i="13"/>
  <c r="F62" i="13"/>
  <c r="F31" i="13"/>
  <c r="F57" i="13"/>
  <c r="F117" i="13"/>
  <c r="F77" i="13"/>
  <c r="F48" i="13"/>
  <c r="F91" i="13"/>
  <c r="F97" i="13"/>
  <c r="F111" i="13"/>
  <c r="F157" i="13"/>
  <c r="F68" i="13"/>
  <c r="F165" i="13"/>
  <c r="F96" i="13"/>
  <c r="F116" i="13"/>
  <c r="F119" i="13"/>
  <c r="F142" i="13"/>
  <c r="F143" i="13"/>
  <c r="F162" i="13"/>
  <c r="F156" i="13"/>
  <c r="F7" i="13"/>
  <c r="F151" i="13"/>
  <c r="F153" i="13"/>
  <c r="F18" i="13"/>
  <c r="F170" i="13"/>
  <c r="F39" i="13"/>
  <c r="F45" i="13"/>
  <c r="F49" i="13"/>
  <c r="F163" i="13"/>
  <c r="F81" i="13"/>
  <c r="F67" i="13"/>
  <c r="F46" i="13"/>
  <c r="F167" i="13"/>
  <c r="F145" i="13"/>
  <c r="F168" i="13"/>
  <c r="F127" i="13"/>
  <c r="F41" i="13"/>
  <c r="F166" i="13"/>
  <c r="F123" i="13"/>
  <c r="F147" i="13"/>
  <c r="F51" i="13"/>
  <c r="F133" i="13"/>
  <c r="F4" i="13"/>
  <c r="F30" i="13"/>
  <c r="F70" i="13"/>
  <c r="G172" i="13"/>
  <c r="F16" i="13"/>
  <c r="F21" i="13"/>
  <c r="F99" i="13"/>
  <c r="F11" i="13"/>
  <c r="F27" i="13"/>
  <c r="F40" i="13"/>
  <c r="F66" i="13"/>
  <c r="F83" i="13"/>
  <c r="F140" i="13"/>
  <c r="F155" i="13"/>
  <c r="F23" i="13"/>
  <c r="E172" i="13"/>
  <c r="F8" i="13"/>
  <c r="F24" i="13"/>
  <c r="F64" i="13"/>
  <c r="F50" i="13"/>
  <c r="F28" i="13"/>
  <c r="F82" i="13"/>
  <c r="C172" i="13"/>
  <c r="F85" i="13"/>
  <c r="F5" i="13"/>
  <c r="F47" i="13"/>
  <c r="F20" i="13"/>
  <c r="F71" i="13"/>
  <c r="F55" i="13"/>
  <c r="F76" i="13"/>
  <c r="F15" i="13"/>
  <c r="F79" i="13"/>
  <c r="F98" i="13"/>
  <c r="F65" i="13"/>
  <c r="F112" i="13"/>
  <c r="F120" i="13"/>
  <c r="F134" i="13"/>
  <c r="F144" i="13"/>
  <c r="F37" i="13"/>
  <c r="F19" i="13"/>
  <c r="F136" i="13"/>
  <c r="F102" i="13"/>
  <c r="F148" i="13"/>
  <c r="F88" i="13"/>
  <c r="F107" i="13"/>
  <c r="F115" i="13"/>
  <c r="F129" i="13"/>
  <c r="F150" i="13"/>
  <c r="F17" i="13"/>
  <c r="F154" i="13"/>
  <c r="G145" i="12"/>
  <c r="E145" i="12"/>
  <c r="D145" i="12"/>
  <c r="C145" i="12"/>
  <c r="G167" i="12"/>
  <c r="E167" i="12"/>
  <c r="D167" i="12"/>
  <c r="C167" i="12"/>
  <c r="G125" i="12"/>
  <c r="E125" i="12"/>
  <c r="D125" i="12"/>
  <c r="C125" i="12"/>
  <c r="G17" i="12"/>
  <c r="E17" i="12"/>
  <c r="D17" i="12"/>
  <c r="C17" i="12"/>
  <c r="G91" i="12"/>
  <c r="E91" i="12"/>
  <c r="D91" i="12"/>
  <c r="C91" i="12"/>
  <c r="G162" i="12"/>
  <c r="E162" i="12"/>
  <c r="D162" i="12"/>
  <c r="C162" i="12"/>
  <c r="G146" i="12"/>
  <c r="E146" i="12"/>
  <c r="D146" i="12"/>
  <c r="C146" i="12"/>
  <c r="G154" i="12"/>
  <c r="E154" i="12"/>
  <c r="D154" i="12"/>
  <c r="C154" i="12"/>
  <c r="G150" i="12"/>
  <c r="E150" i="12"/>
  <c r="D150" i="12"/>
  <c r="C150" i="12"/>
  <c r="G158" i="12"/>
  <c r="E158" i="12"/>
  <c r="D158" i="12"/>
  <c r="C158" i="12"/>
  <c r="G60" i="12"/>
  <c r="E60" i="12"/>
  <c r="D60" i="12"/>
  <c r="C60" i="12"/>
  <c r="G27" i="12"/>
  <c r="E27" i="12"/>
  <c r="D27" i="12"/>
  <c r="C27" i="12"/>
  <c r="G50" i="12"/>
  <c r="E50" i="12"/>
  <c r="D50" i="12"/>
  <c r="C50" i="12"/>
  <c r="G90" i="12"/>
  <c r="E90" i="12"/>
  <c r="D90" i="12"/>
  <c r="C90" i="12"/>
  <c r="G140" i="12"/>
  <c r="E140" i="12"/>
  <c r="D140" i="12"/>
  <c r="C140" i="12"/>
  <c r="G42" i="12"/>
  <c r="E42" i="12"/>
  <c r="D42" i="12"/>
  <c r="C42" i="12"/>
  <c r="G137" i="12"/>
  <c r="E137" i="12"/>
  <c r="D137" i="12"/>
  <c r="C137" i="12"/>
  <c r="G135" i="12"/>
  <c r="E135" i="12"/>
  <c r="D135" i="12"/>
  <c r="C135" i="12"/>
  <c r="G134" i="12"/>
  <c r="E134" i="12"/>
  <c r="D134" i="12"/>
  <c r="C134" i="12"/>
  <c r="G133" i="12"/>
  <c r="E133" i="12"/>
  <c r="D133" i="12"/>
  <c r="C133" i="12"/>
  <c r="G130" i="12"/>
  <c r="E130" i="12"/>
  <c r="D130" i="12"/>
  <c r="C130" i="12"/>
  <c r="G147" i="12"/>
  <c r="E147" i="12"/>
  <c r="D147" i="12"/>
  <c r="C147" i="12"/>
  <c r="G126" i="12"/>
  <c r="E126" i="12"/>
  <c r="D126" i="12"/>
  <c r="C126" i="12"/>
  <c r="G121" i="12"/>
  <c r="E121" i="12"/>
  <c r="D121" i="12"/>
  <c r="C121" i="12"/>
  <c r="G124" i="12"/>
  <c r="E124" i="12"/>
  <c r="D124" i="12"/>
  <c r="C124" i="12"/>
  <c r="G119" i="12"/>
  <c r="E119" i="12"/>
  <c r="D119" i="12"/>
  <c r="C119" i="12"/>
  <c r="G118" i="12"/>
  <c r="E118" i="12"/>
  <c r="D118" i="12"/>
  <c r="C118" i="12"/>
  <c r="G115" i="12"/>
  <c r="E115" i="12"/>
  <c r="D115" i="12"/>
  <c r="C115" i="12"/>
  <c r="G160" i="12"/>
  <c r="E160" i="12"/>
  <c r="D160" i="12"/>
  <c r="C160" i="12"/>
  <c r="G113" i="12"/>
  <c r="E113" i="12"/>
  <c r="D113" i="12"/>
  <c r="C113" i="12"/>
  <c r="G112" i="12"/>
  <c r="E112" i="12"/>
  <c r="D112" i="12"/>
  <c r="C112" i="12"/>
  <c r="G110" i="12"/>
  <c r="E110" i="12"/>
  <c r="D110" i="12"/>
  <c r="C110" i="12"/>
  <c r="G109" i="12"/>
  <c r="E109" i="12"/>
  <c r="D109" i="12"/>
  <c r="C109" i="12"/>
  <c r="G107" i="12"/>
  <c r="E107" i="12"/>
  <c r="D107" i="12"/>
  <c r="C107" i="12"/>
  <c r="G104" i="12"/>
  <c r="E104" i="12"/>
  <c r="D104" i="12"/>
  <c r="C104" i="12"/>
  <c r="G105" i="12"/>
  <c r="E105" i="12"/>
  <c r="D105" i="12"/>
  <c r="C105" i="12"/>
  <c r="G102" i="12"/>
  <c r="E102" i="12"/>
  <c r="D102" i="12"/>
  <c r="C102" i="12"/>
  <c r="G101" i="12"/>
  <c r="E101" i="12"/>
  <c r="D101" i="12"/>
  <c r="C101" i="12"/>
  <c r="G99" i="12"/>
  <c r="E99" i="12"/>
  <c r="D99" i="12"/>
  <c r="C99" i="12"/>
  <c r="G96" i="12"/>
  <c r="E96" i="12"/>
  <c r="D96" i="12"/>
  <c r="C96" i="12"/>
  <c r="G32" i="12"/>
  <c r="E32" i="12"/>
  <c r="D32" i="12"/>
  <c r="C32" i="12"/>
  <c r="G55" i="12"/>
  <c r="E55" i="12"/>
  <c r="D55" i="12"/>
  <c r="C55" i="12"/>
  <c r="G89" i="12"/>
  <c r="E89" i="12"/>
  <c r="D89" i="12"/>
  <c r="C89" i="12"/>
  <c r="G164" i="12"/>
  <c r="E164" i="12"/>
  <c r="D164" i="12"/>
  <c r="C164" i="12"/>
  <c r="G88" i="12"/>
  <c r="E88" i="12"/>
  <c r="D88" i="12"/>
  <c r="C88" i="12"/>
  <c r="G87" i="12"/>
  <c r="E87" i="12"/>
  <c r="D87" i="12"/>
  <c r="C87" i="12"/>
  <c r="G142" i="12"/>
  <c r="E142" i="12"/>
  <c r="D142" i="12"/>
  <c r="C142" i="12"/>
  <c r="G151" i="12"/>
  <c r="E151" i="12"/>
  <c r="D151" i="12"/>
  <c r="C151" i="12"/>
  <c r="G138" i="12"/>
  <c r="E138" i="12"/>
  <c r="D138" i="12"/>
  <c r="C138" i="12"/>
  <c r="G157" i="12"/>
  <c r="E157" i="12"/>
  <c r="D157" i="12"/>
  <c r="C157" i="12"/>
  <c r="G127" i="12"/>
  <c r="E127" i="12"/>
  <c r="D127" i="12"/>
  <c r="C127" i="12"/>
  <c r="G120" i="12"/>
  <c r="E120" i="12"/>
  <c r="D120" i="12"/>
  <c r="C120" i="12"/>
  <c r="G117" i="12"/>
  <c r="E117" i="12"/>
  <c r="D117" i="12"/>
  <c r="C117" i="12"/>
  <c r="G143" i="12"/>
  <c r="E143" i="12"/>
  <c r="D143" i="12"/>
  <c r="C143" i="12"/>
  <c r="G97" i="12"/>
  <c r="E97" i="12"/>
  <c r="D97" i="12"/>
  <c r="C97" i="12"/>
  <c r="G93" i="12"/>
  <c r="E93" i="12"/>
  <c r="D93" i="12"/>
  <c r="C93" i="12"/>
  <c r="G69" i="12"/>
  <c r="E69" i="12"/>
  <c r="D69" i="12"/>
  <c r="C69" i="12"/>
  <c r="G166" i="12"/>
  <c r="E166" i="12"/>
  <c r="D166" i="12"/>
  <c r="C166" i="12"/>
  <c r="G161" i="12"/>
  <c r="E161" i="12"/>
  <c r="D161" i="12"/>
  <c r="C161" i="12"/>
  <c r="G156" i="12"/>
  <c r="E156" i="12"/>
  <c r="D156" i="12"/>
  <c r="C156" i="12"/>
  <c r="G15" i="12"/>
  <c r="E15" i="12"/>
  <c r="D15" i="12"/>
  <c r="C15" i="12"/>
  <c r="G153" i="12"/>
  <c r="E153" i="12"/>
  <c r="D153" i="12"/>
  <c r="C153" i="12"/>
  <c r="G111" i="12"/>
  <c r="E111" i="12"/>
  <c r="D111" i="12"/>
  <c r="C111" i="12"/>
  <c r="G48" i="12"/>
  <c r="E48" i="12"/>
  <c r="D48" i="12"/>
  <c r="C48" i="12"/>
  <c r="G163" i="12"/>
  <c r="E163" i="12"/>
  <c r="D163" i="12"/>
  <c r="C163" i="12"/>
  <c r="G94" i="12"/>
  <c r="E94" i="12"/>
  <c r="D94" i="12"/>
  <c r="C94" i="12"/>
  <c r="G128" i="12"/>
  <c r="E128" i="12"/>
  <c r="D128" i="12"/>
  <c r="C128" i="12"/>
  <c r="G86" i="12"/>
  <c r="E86" i="12"/>
  <c r="D86" i="12"/>
  <c r="C86" i="12"/>
  <c r="G85" i="12"/>
  <c r="E85" i="12"/>
  <c r="D85" i="12"/>
  <c r="C85" i="12"/>
  <c r="G84" i="12"/>
  <c r="E84" i="12"/>
  <c r="D84" i="12"/>
  <c r="C84" i="12"/>
  <c r="G83" i="12"/>
  <c r="E83" i="12"/>
  <c r="D83" i="12"/>
  <c r="C83" i="12"/>
  <c r="G82" i="12"/>
  <c r="E82" i="12"/>
  <c r="D82" i="12"/>
  <c r="C82" i="12"/>
  <c r="G81" i="12"/>
  <c r="E81" i="12"/>
  <c r="D81" i="12"/>
  <c r="C81" i="12"/>
  <c r="G136" i="12"/>
  <c r="E136" i="12"/>
  <c r="D136" i="12"/>
  <c r="C136" i="12"/>
  <c r="G95" i="12"/>
  <c r="E95" i="12"/>
  <c r="D95" i="12"/>
  <c r="C95" i="12"/>
  <c r="G71" i="12"/>
  <c r="E71" i="12"/>
  <c r="D71" i="12"/>
  <c r="C71" i="12"/>
  <c r="G38" i="12"/>
  <c r="E38" i="12"/>
  <c r="D38" i="12"/>
  <c r="C38" i="12"/>
  <c r="G108" i="12"/>
  <c r="E108" i="12"/>
  <c r="D108" i="12"/>
  <c r="C108" i="12"/>
  <c r="G70" i="12"/>
  <c r="E70" i="12"/>
  <c r="D70" i="12"/>
  <c r="C70" i="12"/>
  <c r="G39" i="12"/>
  <c r="E39" i="12"/>
  <c r="D39" i="12"/>
  <c r="C39" i="12"/>
  <c r="G80" i="12"/>
  <c r="E80" i="12"/>
  <c r="D80" i="12"/>
  <c r="C80" i="12"/>
  <c r="G25" i="12"/>
  <c r="E25" i="12"/>
  <c r="D25" i="12"/>
  <c r="C25" i="12"/>
  <c r="G100" i="12"/>
  <c r="E100" i="12"/>
  <c r="D100" i="12"/>
  <c r="C100" i="12"/>
  <c r="G79" i="12"/>
  <c r="E79" i="12"/>
  <c r="D79" i="12"/>
  <c r="C79" i="12"/>
  <c r="G78" i="12"/>
  <c r="E78" i="12"/>
  <c r="D78" i="12"/>
  <c r="C78" i="12"/>
  <c r="G77" i="12"/>
  <c r="E77" i="12"/>
  <c r="D77" i="12"/>
  <c r="C77" i="12"/>
  <c r="G116" i="12"/>
  <c r="E116" i="12"/>
  <c r="D116" i="12"/>
  <c r="C116" i="12"/>
  <c r="G68" i="12"/>
  <c r="E68" i="12"/>
  <c r="D68" i="12"/>
  <c r="C68" i="12"/>
  <c r="G67" i="12"/>
  <c r="E67" i="12"/>
  <c r="D67" i="12"/>
  <c r="C67" i="12"/>
  <c r="G66" i="12"/>
  <c r="E66" i="12"/>
  <c r="D66" i="12"/>
  <c r="C66" i="12"/>
  <c r="G65" i="12"/>
  <c r="E65" i="12"/>
  <c r="D65" i="12"/>
  <c r="C65" i="12"/>
  <c r="G62" i="12"/>
  <c r="E62" i="12"/>
  <c r="D62" i="12"/>
  <c r="C62" i="12"/>
  <c r="G61" i="12"/>
  <c r="E61" i="12"/>
  <c r="D61" i="12"/>
  <c r="C61" i="12"/>
  <c r="G58" i="12"/>
  <c r="E58" i="12"/>
  <c r="D58" i="12"/>
  <c r="C58" i="12"/>
  <c r="G56" i="12"/>
  <c r="E56" i="12"/>
  <c r="D56" i="12"/>
  <c r="C56" i="12"/>
  <c r="G57" i="12"/>
  <c r="E57" i="12"/>
  <c r="D57" i="12"/>
  <c r="C57" i="12"/>
  <c r="G53" i="12"/>
  <c r="E53" i="12"/>
  <c r="D53" i="12"/>
  <c r="C53" i="12"/>
  <c r="G52" i="12"/>
  <c r="E52" i="12"/>
  <c r="D52" i="12"/>
  <c r="C52" i="12"/>
  <c r="G51" i="12"/>
  <c r="E51" i="12"/>
  <c r="D51" i="12"/>
  <c r="C51" i="12"/>
  <c r="G76" i="12"/>
  <c r="E76" i="12"/>
  <c r="D76" i="12"/>
  <c r="C76" i="12"/>
  <c r="G47" i="12"/>
  <c r="E47" i="12"/>
  <c r="D47" i="12"/>
  <c r="C47" i="12"/>
  <c r="G22" i="12"/>
  <c r="E22" i="12"/>
  <c r="D22" i="12"/>
  <c r="C22" i="12"/>
  <c r="G46" i="12"/>
  <c r="E46" i="12"/>
  <c r="D46" i="12"/>
  <c r="C46" i="12"/>
  <c r="G44" i="12"/>
  <c r="E44" i="12"/>
  <c r="D44" i="12"/>
  <c r="C44" i="12"/>
  <c r="G43" i="12"/>
  <c r="E43" i="12"/>
  <c r="D43" i="12"/>
  <c r="C43" i="12"/>
  <c r="G152" i="12"/>
  <c r="E152" i="12"/>
  <c r="D152" i="12"/>
  <c r="C152" i="12"/>
  <c r="G41" i="12"/>
  <c r="E41" i="12"/>
  <c r="D41" i="12"/>
  <c r="C41" i="12"/>
  <c r="G139" i="12"/>
  <c r="E139" i="12"/>
  <c r="D139" i="12"/>
  <c r="C139" i="12"/>
  <c r="G75" i="12"/>
  <c r="E75" i="12"/>
  <c r="D75" i="12"/>
  <c r="C75" i="12"/>
  <c r="G64" i="12"/>
  <c r="E64" i="12"/>
  <c r="D64" i="12"/>
  <c r="C64" i="12"/>
  <c r="G132" i="12"/>
  <c r="E132" i="12"/>
  <c r="D132" i="12"/>
  <c r="C132" i="12"/>
  <c r="G74" i="12"/>
  <c r="E74" i="12"/>
  <c r="D74" i="12"/>
  <c r="C74" i="12"/>
  <c r="G49" i="12"/>
  <c r="E49" i="12"/>
  <c r="D49" i="12"/>
  <c r="C49" i="12"/>
  <c r="G40" i="12"/>
  <c r="E40" i="12"/>
  <c r="D40" i="12"/>
  <c r="C40" i="12"/>
  <c r="G36" i="12"/>
  <c r="E36" i="12"/>
  <c r="D36" i="12"/>
  <c r="C36" i="12"/>
  <c r="G45" i="12"/>
  <c r="E45" i="12"/>
  <c r="D45" i="12"/>
  <c r="C45" i="12"/>
  <c r="G149" i="12"/>
  <c r="E149" i="12"/>
  <c r="D149" i="12"/>
  <c r="C149" i="12"/>
  <c r="G123" i="12"/>
  <c r="E123" i="12"/>
  <c r="D123" i="12"/>
  <c r="C123" i="12"/>
  <c r="G63" i="12"/>
  <c r="E63" i="12"/>
  <c r="D63" i="12"/>
  <c r="C63" i="12"/>
  <c r="G92" i="12"/>
  <c r="E92" i="12"/>
  <c r="D92" i="12"/>
  <c r="C92" i="12"/>
  <c r="G35" i="12"/>
  <c r="E35" i="12"/>
  <c r="D35" i="12"/>
  <c r="C35" i="12"/>
  <c r="G34" i="12"/>
  <c r="E34" i="12"/>
  <c r="D34" i="12"/>
  <c r="C34" i="12"/>
  <c r="G73" i="12"/>
  <c r="E73" i="12"/>
  <c r="D73" i="12"/>
  <c r="C73" i="12"/>
  <c r="G148" i="12"/>
  <c r="E148" i="12"/>
  <c r="D148" i="12"/>
  <c r="C148" i="12"/>
  <c r="G129" i="12"/>
  <c r="E129" i="12"/>
  <c r="D129" i="12"/>
  <c r="C129" i="12"/>
  <c r="G54" i="12"/>
  <c r="E54" i="12"/>
  <c r="D54" i="12"/>
  <c r="C54" i="12"/>
  <c r="G19" i="12"/>
  <c r="E19" i="12"/>
  <c r="D19" i="12"/>
  <c r="C19" i="12"/>
  <c r="G122" i="12"/>
  <c r="E122" i="12"/>
  <c r="D122" i="12"/>
  <c r="C122" i="12"/>
  <c r="G28" i="12"/>
  <c r="E28" i="12"/>
  <c r="D28" i="12"/>
  <c r="C28" i="12"/>
  <c r="G21" i="12"/>
  <c r="E21" i="12"/>
  <c r="D21" i="12"/>
  <c r="C21" i="12"/>
  <c r="G155" i="12"/>
  <c r="E155" i="12"/>
  <c r="D155" i="12"/>
  <c r="C155" i="12"/>
  <c r="G24" i="12"/>
  <c r="E24" i="12"/>
  <c r="D24" i="12"/>
  <c r="C24" i="12"/>
  <c r="G18" i="12"/>
  <c r="E18" i="12"/>
  <c r="D18" i="12"/>
  <c r="C18" i="12"/>
  <c r="G29" i="12"/>
  <c r="E29" i="12"/>
  <c r="D29" i="12"/>
  <c r="C29" i="12"/>
  <c r="G14" i="12"/>
  <c r="E14" i="12"/>
  <c r="D14" i="12"/>
  <c r="C14" i="12"/>
  <c r="G72" i="12"/>
  <c r="E72" i="12"/>
  <c r="D72" i="12"/>
  <c r="C72" i="12"/>
  <c r="G26" i="12"/>
  <c r="E26" i="12"/>
  <c r="D26" i="12"/>
  <c r="C26" i="12"/>
  <c r="G33" i="12"/>
  <c r="E33" i="12"/>
  <c r="D33" i="12"/>
  <c r="C33" i="12"/>
  <c r="G159" i="12"/>
  <c r="E159" i="12"/>
  <c r="D159" i="12"/>
  <c r="C159" i="12"/>
  <c r="G165" i="12"/>
  <c r="E165" i="12"/>
  <c r="D165" i="12"/>
  <c r="C165" i="12"/>
  <c r="G20" i="12"/>
  <c r="E20" i="12"/>
  <c r="D20" i="12"/>
  <c r="C20" i="12"/>
  <c r="G31" i="12"/>
  <c r="E31" i="12"/>
  <c r="D31" i="12"/>
  <c r="C31" i="12"/>
  <c r="G9" i="12"/>
  <c r="E9" i="12"/>
  <c r="D9" i="12"/>
  <c r="C9" i="12"/>
  <c r="G98" i="12"/>
  <c r="E98" i="12"/>
  <c r="D98" i="12"/>
  <c r="C98" i="12"/>
  <c r="G11" i="12"/>
  <c r="E11" i="12"/>
  <c r="D11" i="12"/>
  <c r="C11" i="12"/>
  <c r="E37" i="12"/>
  <c r="D37" i="12"/>
  <c r="C37" i="12"/>
  <c r="G10" i="12"/>
  <c r="E10" i="12"/>
  <c r="D10" i="12"/>
  <c r="C10" i="12"/>
  <c r="G114" i="12"/>
  <c r="D114" i="12"/>
  <c r="C114" i="12"/>
  <c r="G30" i="12"/>
  <c r="E30" i="12"/>
  <c r="D30" i="12"/>
  <c r="C30" i="12"/>
  <c r="G103" i="12"/>
  <c r="D103" i="12"/>
  <c r="C103" i="12"/>
  <c r="G23" i="12"/>
  <c r="E23" i="12"/>
  <c r="D23" i="12"/>
  <c r="C23" i="12"/>
  <c r="G16" i="12"/>
  <c r="E16" i="12"/>
  <c r="D16" i="12"/>
  <c r="C16" i="12"/>
  <c r="G144" i="12"/>
  <c r="E144" i="12"/>
  <c r="D144" i="12"/>
  <c r="C144" i="12"/>
  <c r="G131" i="12"/>
  <c r="E131" i="12"/>
  <c r="D131" i="12"/>
  <c r="C131" i="12"/>
  <c r="G106" i="12"/>
  <c r="E106" i="12"/>
  <c r="D106" i="12"/>
  <c r="C106" i="12"/>
  <c r="G59" i="12"/>
  <c r="E59" i="12"/>
  <c r="D59" i="12"/>
  <c r="C59" i="12"/>
  <c r="G6" i="12"/>
  <c r="E6" i="12"/>
  <c r="D6" i="12"/>
  <c r="C6" i="12"/>
  <c r="G12" i="12"/>
  <c r="E12" i="12"/>
  <c r="D12" i="12"/>
  <c r="C12" i="12"/>
  <c r="G141" i="12"/>
  <c r="E141" i="12"/>
  <c r="D141" i="12"/>
  <c r="C141" i="12"/>
  <c r="G5" i="12"/>
  <c r="E5" i="12"/>
  <c r="D5" i="12"/>
  <c r="C5" i="12"/>
  <c r="G8" i="12"/>
  <c r="E8" i="12"/>
  <c r="D8" i="12"/>
  <c r="C8" i="12"/>
  <c r="G13" i="12"/>
  <c r="E13" i="12"/>
  <c r="D13" i="12"/>
  <c r="C13" i="12"/>
  <c r="G7" i="12"/>
  <c r="E7" i="12"/>
  <c r="D7" i="12"/>
  <c r="C7" i="12"/>
  <c r="G4" i="12"/>
  <c r="E4" i="12"/>
  <c r="D4" i="12"/>
  <c r="C4" i="12"/>
  <c r="G3" i="12"/>
  <c r="E3" i="12"/>
  <c r="D3" i="12"/>
  <c r="C3" i="12"/>
  <c r="F37" i="12" l="1"/>
  <c r="F11" i="12"/>
  <c r="F31" i="12"/>
  <c r="F46" i="12"/>
  <c r="F22" i="12"/>
  <c r="F51" i="12"/>
  <c r="F52" i="12"/>
  <c r="F68" i="12"/>
  <c r="F116" i="12"/>
  <c r="F77" i="12"/>
  <c r="F167" i="12"/>
  <c r="F7" i="12"/>
  <c r="F107" i="12"/>
  <c r="F82" i="12"/>
  <c r="F135" i="12"/>
  <c r="F150" i="12"/>
  <c r="F35" i="12"/>
  <c r="F49" i="12"/>
  <c r="F71" i="12"/>
  <c r="F95" i="12"/>
  <c r="F81" i="12"/>
  <c r="F112" i="12"/>
  <c r="F130" i="12"/>
  <c r="F106" i="12"/>
  <c r="F144" i="12"/>
  <c r="F20" i="12"/>
  <c r="F26" i="12"/>
  <c r="F122" i="12"/>
  <c r="F164" i="12"/>
  <c r="F96" i="12"/>
  <c r="F101" i="12"/>
  <c r="F102" i="12"/>
  <c r="F104" i="12"/>
  <c r="F13" i="12"/>
  <c r="F12" i="12"/>
  <c r="F19" i="12"/>
  <c r="F73" i="12"/>
  <c r="F152" i="12"/>
  <c r="F151" i="12"/>
  <c r="F87" i="12"/>
  <c r="F134" i="12"/>
  <c r="F17" i="12"/>
  <c r="F4" i="12"/>
  <c r="F18" i="12"/>
  <c r="F21" i="12"/>
  <c r="F28" i="12"/>
  <c r="F74" i="12"/>
  <c r="F139" i="12"/>
  <c r="F65" i="12"/>
  <c r="F80" i="12"/>
  <c r="F94" i="12"/>
  <c r="F48" i="12"/>
  <c r="F97" i="12"/>
  <c r="F55" i="12"/>
  <c r="F118" i="12"/>
  <c r="F124" i="12"/>
  <c r="F121" i="12"/>
  <c r="F147" i="12"/>
  <c r="F162" i="12"/>
  <c r="F23" i="12"/>
  <c r="F103" i="12"/>
  <c r="F14" i="12"/>
  <c r="F63" i="12"/>
  <c r="F123" i="12"/>
  <c r="F36" i="12"/>
  <c r="F40" i="12"/>
  <c r="F53" i="12"/>
  <c r="F61" i="12"/>
  <c r="F113" i="12"/>
  <c r="F90" i="12"/>
  <c r="F50" i="12"/>
  <c r="F60" i="12"/>
  <c r="F158" i="12"/>
  <c r="F29" i="12"/>
  <c r="F92" i="12"/>
  <c r="F44" i="12"/>
  <c r="F91" i="12"/>
  <c r="F5" i="12"/>
  <c r="F114" i="12"/>
  <c r="F9" i="12"/>
  <c r="F33" i="12"/>
  <c r="F155" i="12"/>
  <c r="F148" i="12"/>
  <c r="F45" i="12"/>
  <c r="F75" i="12"/>
  <c r="F43" i="12"/>
  <c r="F76" i="12"/>
  <c r="F58" i="12"/>
  <c r="F66" i="12"/>
  <c r="F100" i="12"/>
  <c r="F25" i="12"/>
  <c r="F39" i="12"/>
  <c r="F70" i="12"/>
  <c r="F84" i="12"/>
  <c r="F128" i="12"/>
  <c r="F15" i="12"/>
  <c r="F69" i="12"/>
  <c r="F93" i="12"/>
  <c r="F105" i="12"/>
  <c r="F110" i="12"/>
  <c r="F126" i="12"/>
  <c r="F133" i="12"/>
  <c r="F27" i="12"/>
  <c r="F146" i="12"/>
  <c r="F6" i="12"/>
  <c r="F10" i="12"/>
  <c r="F67" i="12"/>
  <c r="F38" i="12"/>
  <c r="F85" i="12"/>
  <c r="F143" i="12"/>
  <c r="F157" i="12"/>
  <c r="F89" i="12"/>
  <c r="F141" i="12"/>
  <c r="F8" i="12"/>
  <c r="F131" i="12"/>
  <c r="F30" i="12"/>
  <c r="F98" i="12"/>
  <c r="F159" i="12"/>
  <c r="F24" i="12"/>
  <c r="F129" i="12"/>
  <c r="F149" i="12"/>
  <c r="F64" i="12"/>
  <c r="F47" i="12"/>
  <c r="F56" i="12"/>
  <c r="F108" i="12"/>
  <c r="F136" i="12"/>
  <c r="F86" i="12"/>
  <c r="F153" i="12"/>
  <c r="F156" i="12"/>
  <c r="F127" i="12"/>
  <c r="F88" i="12"/>
  <c r="F32" i="12"/>
  <c r="F160" i="12"/>
  <c r="F115" i="12"/>
  <c r="F137" i="12"/>
  <c r="F42" i="12"/>
  <c r="F125" i="12"/>
  <c r="F142" i="12"/>
  <c r="F120" i="12"/>
  <c r="G168" i="12"/>
  <c r="F166" i="12"/>
  <c r="F161" i="12"/>
  <c r="F111" i="12"/>
  <c r="D168" i="12"/>
  <c r="E168" i="12"/>
  <c r="F16" i="12"/>
  <c r="F72" i="12"/>
  <c r="F34" i="12"/>
  <c r="F41" i="12"/>
  <c r="F62" i="12"/>
  <c r="F79" i="12"/>
  <c r="F163" i="12"/>
  <c r="F138" i="12"/>
  <c r="C168" i="12"/>
  <c r="F3" i="12"/>
  <c r="F59" i="12"/>
  <c r="F165" i="12"/>
  <c r="F54" i="12"/>
  <c r="F132" i="12"/>
  <c r="F57" i="12"/>
  <c r="F78" i="12"/>
  <c r="F83" i="12"/>
  <c r="F117" i="12"/>
  <c r="F99" i="12"/>
  <c r="F109" i="12"/>
  <c r="F119" i="12"/>
  <c r="F140" i="12"/>
  <c r="F154" i="12"/>
  <c r="F145" i="12"/>
  <c r="G80" i="11"/>
  <c r="C80" i="11" l="1"/>
  <c r="E80" i="11" l="1"/>
  <c r="D80" i="11"/>
  <c r="F80" i="11" l="1"/>
  <c r="D333" i="11"/>
  <c r="E333" i="11"/>
  <c r="C333" i="11" l="1"/>
  <c r="G333" i="11"/>
</calcChain>
</file>

<file path=xl/sharedStrings.xml><?xml version="1.0" encoding="utf-8"?>
<sst xmlns="http://schemas.openxmlformats.org/spreadsheetml/2006/main" count="7245" uniqueCount="684">
  <si>
    <t>ورودي</t>
  </si>
  <si>
    <t>خروجي</t>
  </si>
  <si>
    <t>خالص</t>
  </si>
  <si>
    <t/>
  </si>
  <si>
    <t>كد تفصيلي</t>
  </si>
  <si>
    <t>عنوان</t>
  </si>
  <si>
    <t>نوع تفصيلي</t>
  </si>
  <si>
    <t>طرف مقابل</t>
  </si>
  <si>
    <t xml:space="preserve">عليپور </t>
  </si>
  <si>
    <t xml:space="preserve">موسوي اصفهان </t>
  </si>
  <si>
    <t>اصغر نورعلي</t>
  </si>
  <si>
    <t xml:space="preserve">محمد عباسي </t>
  </si>
  <si>
    <t>عسگري</t>
  </si>
  <si>
    <t xml:space="preserve">شمس </t>
  </si>
  <si>
    <t xml:space="preserve">محمدرضا شمسايي </t>
  </si>
  <si>
    <t xml:space="preserve">بهزاد چرخيان </t>
  </si>
  <si>
    <t>محمد نمازي</t>
  </si>
  <si>
    <t xml:space="preserve">فريد لواساني  </t>
  </si>
  <si>
    <t xml:space="preserve">علي محمدي </t>
  </si>
  <si>
    <t>فدوي</t>
  </si>
  <si>
    <t xml:space="preserve">فرهاد سبحاني </t>
  </si>
  <si>
    <t xml:space="preserve">امامي </t>
  </si>
  <si>
    <t xml:space="preserve">مصدقي </t>
  </si>
  <si>
    <t xml:space="preserve">ظهيري </t>
  </si>
  <si>
    <t xml:space="preserve">سيد جعفر توكلي  </t>
  </si>
  <si>
    <t xml:space="preserve">كوهي </t>
  </si>
  <si>
    <t>قدرت اله اورنگي</t>
  </si>
  <si>
    <t>فرزاد اسماعيل زاده</t>
  </si>
  <si>
    <t>ورطوري</t>
  </si>
  <si>
    <t xml:space="preserve">مرتضي جلالي </t>
  </si>
  <si>
    <t xml:space="preserve">احسان شاهسوار </t>
  </si>
  <si>
    <t>عبدالمجيد فيض آبادي</t>
  </si>
  <si>
    <t xml:space="preserve">محسن فياض بخش </t>
  </si>
  <si>
    <t xml:space="preserve">مصطفي نورعلي </t>
  </si>
  <si>
    <t xml:space="preserve">احمد سنجري </t>
  </si>
  <si>
    <t>رضا شريعتي</t>
  </si>
  <si>
    <t>حسن منصفي راد</t>
  </si>
  <si>
    <t xml:space="preserve">حسن شاه گلدي </t>
  </si>
  <si>
    <t xml:space="preserve">علي ميرطاهري </t>
  </si>
  <si>
    <t xml:space="preserve">محسن شجاع كهريز </t>
  </si>
  <si>
    <t xml:space="preserve">عباس شجاعي </t>
  </si>
  <si>
    <t xml:space="preserve">رستم شعبان زاده </t>
  </si>
  <si>
    <t xml:space="preserve">محمد ميرزايي </t>
  </si>
  <si>
    <t xml:space="preserve">اصغر رحمتي  </t>
  </si>
  <si>
    <t xml:space="preserve">علي عليعلي </t>
  </si>
  <si>
    <t>محمدي علي</t>
  </si>
  <si>
    <t xml:space="preserve">قهرمان -دربندي  </t>
  </si>
  <si>
    <t xml:space="preserve">حسين محمودي  </t>
  </si>
  <si>
    <t xml:space="preserve">ميلاد محمدي  </t>
  </si>
  <si>
    <t>محسن طاهري</t>
  </si>
  <si>
    <t xml:space="preserve">علي خدمتكار </t>
  </si>
  <si>
    <t>سليمان قاسمي</t>
  </si>
  <si>
    <t xml:space="preserve">آريا صنعت گران شروين نو </t>
  </si>
  <si>
    <t xml:space="preserve">شهاب گاز سوز </t>
  </si>
  <si>
    <t>توليدي صنعتي صفاشير پارس</t>
  </si>
  <si>
    <t xml:space="preserve">سامفر </t>
  </si>
  <si>
    <t xml:space="preserve">توان جم </t>
  </si>
  <si>
    <t xml:space="preserve">آهاركو </t>
  </si>
  <si>
    <t>آرين كالا تك قومس</t>
  </si>
  <si>
    <t xml:space="preserve">صنايع يكتا تهويه اروند </t>
  </si>
  <si>
    <t xml:space="preserve">پارسيان تراش صنعت </t>
  </si>
  <si>
    <t xml:space="preserve">پارس قفل </t>
  </si>
  <si>
    <t xml:space="preserve">پارا صنعت </t>
  </si>
  <si>
    <t>كلون</t>
  </si>
  <si>
    <t xml:space="preserve">شيرآلات بهداشتي شايان </t>
  </si>
  <si>
    <t xml:space="preserve">البرز يدك </t>
  </si>
  <si>
    <t xml:space="preserve">توليدي شير سازي غريب پويا </t>
  </si>
  <si>
    <t xml:space="preserve">گسترش ارتباطات بهداد </t>
  </si>
  <si>
    <t>شيرگاز لاله</t>
  </si>
  <si>
    <t xml:space="preserve">يراق سازان پرستو </t>
  </si>
  <si>
    <t xml:space="preserve">كلار پويا </t>
  </si>
  <si>
    <t xml:space="preserve">بهجوش آريا </t>
  </si>
  <si>
    <t xml:space="preserve">يراق گستر شبكه </t>
  </si>
  <si>
    <t xml:space="preserve">تكادو صنعت </t>
  </si>
  <si>
    <t>آبكامه</t>
  </si>
  <si>
    <t xml:space="preserve">سينا سازه </t>
  </si>
  <si>
    <t xml:space="preserve">اوج صنعت </t>
  </si>
  <si>
    <t xml:space="preserve">تراش پارس </t>
  </si>
  <si>
    <t xml:space="preserve">پارت سازان شرق </t>
  </si>
  <si>
    <t xml:space="preserve">گاز خودرو صنعت </t>
  </si>
  <si>
    <t>سيستمهاي صنعتي تاكستان</t>
  </si>
  <si>
    <t xml:space="preserve">پيك افروز </t>
  </si>
  <si>
    <t xml:space="preserve">كنتور سازي ايران </t>
  </si>
  <si>
    <t xml:space="preserve">صنايع شهيد دوران </t>
  </si>
  <si>
    <t xml:space="preserve">شيرآلات اورس گهر </t>
  </si>
  <si>
    <t xml:space="preserve">لاما الكترونيك </t>
  </si>
  <si>
    <t xml:space="preserve">آپادانا صنعت </t>
  </si>
  <si>
    <t xml:space="preserve">دنياي هنر </t>
  </si>
  <si>
    <t xml:space="preserve">گاز سوزان </t>
  </si>
  <si>
    <t xml:space="preserve">آب آرا </t>
  </si>
  <si>
    <t xml:space="preserve">دربندي </t>
  </si>
  <si>
    <t>شيرآلات ماعون</t>
  </si>
  <si>
    <t>رگلاتور سازي</t>
  </si>
  <si>
    <t xml:space="preserve">آذر پاد </t>
  </si>
  <si>
    <t xml:space="preserve">نيران شير </t>
  </si>
  <si>
    <t>ايران شير</t>
  </si>
  <si>
    <t xml:space="preserve">شير آلات نگين </t>
  </si>
  <si>
    <t xml:space="preserve">كيهان شير </t>
  </si>
  <si>
    <t xml:space="preserve">ستاره جوش </t>
  </si>
  <si>
    <t xml:space="preserve">تامين كالاي سبز ارس </t>
  </si>
  <si>
    <t xml:space="preserve">تكنو كار </t>
  </si>
  <si>
    <t xml:space="preserve">آلياژ گستر نقش جهان </t>
  </si>
  <si>
    <t xml:space="preserve">نو آوران ابري </t>
  </si>
  <si>
    <t xml:space="preserve">پارس شير </t>
  </si>
  <si>
    <t xml:space="preserve">كارگاه پارسا </t>
  </si>
  <si>
    <t xml:space="preserve">آريا تكنيك </t>
  </si>
  <si>
    <t xml:space="preserve">تكنو استيل </t>
  </si>
  <si>
    <t xml:space="preserve">شير آلات نوين </t>
  </si>
  <si>
    <t>پترو دانيال كيش</t>
  </si>
  <si>
    <t>پايپكس</t>
  </si>
  <si>
    <t xml:space="preserve">اتحاد </t>
  </si>
  <si>
    <t xml:space="preserve">شير آلات بهداشتي قهرمان </t>
  </si>
  <si>
    <t xml:space="preserve">شيرآلات صنعتي اصفهان </t>
  </si>
  <si>
    <t xml:space="preserve">شيرگاز ايران </t>
  </si>
  <si>
    <t xml:space="preserve"> تراشكاري ايلخاني </t>
  </si>
  <si>
    <t xml:space="preserve">تكنو تراش يادگار </t>
  </si>
  <si>
    <t xml:space="preserve">راك جاه  </t>
  </si>
  <si>
    <t>توليدي صنعتي صالح</t>
  </si>
  <si>
    <t xml:space="preserve">دربان </t>
  </si>
  <si>
    <t>گاز كنترل پارس</t>
  </si>
  <si>
    <t>مهندس ملكي (مركز تحقيقات مهندسي)</t>
  </si>
  <si>
    <t xml:space="preserve">بنيادترانس ايران </t>
  </si>
  <si>
    <t>توليدي و صنعتي تهرانچيان</t>
  </si>
  <si>
    <t>صنايع سيمگون</t>
  </si>
  <si>
    <t>آريا صنعت</t>
  </si>
  <si>
    <t xml:space="preserve">تراب تراش </t>
  </si>
  <si>
    <t xml:space="preserve">شيرآلات بهداشتي راسان </t>
  </si>
  <si>
    <t>اتومات ابزار</t>
  </si>
  <si>
    <t>فروشگاه پرچم</t>
  </si>
  <si>
    <t>لوله سبز چابهار</t>
  </si>
  <si>
    <t>لوله پليمر راوند</t>
  </si>
  <si>
    <t>سديد سازه پرشيا</t>
  </si>
  <si>
    <t>شركت نوآوران آينده پويا</t>
  </si>
  <si>
    <t xml:space="preserve">قدرت مرادي  </t>
  </si>
  <si>
    <t>كد</t>
  </si>
  <si>
    <t>گردش بدهكار</t>
  </si>
  <si>
    <t>گردش بستانكار</t>
  </si>
  <si>
    <t>مانده بدهكار</t>
  </si>
  <si>
    <t>مانده بستانكار</t>
  </si>
  <si>
    <t>حسابهای دریافتنی</t>
  </si>
  <si>
    <t>چکهای در جریان وصول</t>
  </si>
  <si>
    <t>چکهای نزد صندوق</t>
  </si>
  <si>
    <t>شركت درسا هود</t>
  </si>
  <si>
    <t xml:space="preserve">كارگاه بختيار مختاري </t>
  </si>
  <si>
    <t xml:space="preserve">سري تراشي شهران </t>
  </si>
  <si>
    <t>مانده سوفاله</t>
  </si>
  <si>
    <t xml:space="preserve">علي اكبري </t>
  </si>
  <si>
    <t xml:space="preserve">جعفر هوشمند </t>
  </si>
  <si>
    <t xml:space="preserve">گل آقا تيموري </t>
  </si>
  <si>
    <t xml:space="preserve">كارگاه برادران حسيني  </t>
  </si>
  <si>
    <t>شركت پالمو</t>
  </si>
  <si>
    <t xml:space="preserve">كيزايران </t>
  </si>
  <si>
    <t>رنگين فلزشرق</t>
  </si>
  <si>
    <t xml:space="preserve">تراشكاري موسوي </t>
  </si>
  <si>
    <t>شهرياري علي</t>
  </si>
  <si>
    <t>علي شهرياري</t>
  </si>
  <si>
    <t xml:space="preserve">شيخي (دوده) </t>
  </si>
  <si>
    <t>سينا نوربخش</t>
  </si>
  <si>
    <t xml:space="preserve">مانده ریالی </t>
  </si>
  <si>
    <t>عنوان رديابي</t>
  </si>
  <si>
    <t xml:space="preserve">مهدي يوسفي  </t>
  </si>
  <si>
    <t>شيرآلات بهداشتي شودر</t>
  </si>
  <si>
    <t xml:space="preserve">مريم فيض آبادي  </t>
  </si>
  <si>
    <t>شير گاز آذران</t>
  </si>
  <si>
    <t>شركت ايمن تك پيشرو</t>
  </si>
  <si>
    <t>شيرآلات ايرانيان</t>
  </si>
  <si>
    <t xml:space="preserve">محمد شاهسوار </t>
  </si>
  <si>
    <t>ايران شرق نيشابور</t>
  </si>
  <si>
    <t xml:space="preserve">رضا صالحي </t>
  </si>
  <si>
    <t xml:space="preserve">گلاب گيران محسن </t>
  </si>
  <si>
    <t xml:space="preserve">مسعود صلاحي </t>
  </si>
  <si>
    <t xml:space="preserve">اصغر محمدي </t>
  </si>
  <si>
    <t>شيرآلات عالي</t>
  </si>
  <si>
    <t xml:space="preserve">عليرضا نيكپور </t>
  </si>
  <si>
    <t>حسيني حسن</t>
  </si>
  <si>
    <t>قفل ميلاك</t>
  </si>
  <si>
    <t xml:space="preserve">شركت بتا </t>
  </si>
  <si>
    <t xml:space="preserve">سيدناصر پورموسوي </t>
  </si>
  <si>
    <t>بايا سيلندر</t>
  </si>
  <si>
    <t xml:space="preserve">شيرآلات اترس </t>
  </si>
  <si>
    <t xml:space="preserve">سيدعلي موثقي </t>
  </si>
  <si>
    <t>محمد شريفي</t>
  </si>
  <si>
    <t xml:space="preserve">چپر ايلخاني </t>
  </si>
  <si>
    <t>شناور شبنم</t>
  </si>
  <si>
    <t xml:space="preserve">ابراهيم رضائي </t>
  </si>
  <si>
    <t>عباسعلي رضايي</t>
  </si>
  <si>
    <t xml:space="preserve">سعيد طاهرزاده </t>
  </si>
  <si>
    <t>شركت قفل پنج ستاره</t>
  </si>
  <si>
    <t>شركت صنعتي پيش آهنگ</t>
  </si>
  <si>
    <t xml:space="preserve">شركت گسترش تك </t>
  </si>
  <si>
    <t xml:space="preserve">شركت صنايع گاز ايران </t>
  </si>
  <si>
    <t xml:space="preserve">حسام كريمان  </t>
  </si>
  <si>
    <t xml:space="preserve">ابوالقاسم اصغري </t>
  </si>
  <si>
    <t xml:space="preserve">عباس سربندي  </t>
  </si>
  <si>
    <t xml:space="preserve">محمدرضا آفاقي </t>
  </si>
  <si>
    <t xml:space="preserve">عليرضا باقري </t>
  </si>
  <si>
    <t>شركت قاره سبز</t>
  </si>
  <si>
    <t>كامل پيوند</t>
  </si>
  <si>
    <t>مس دميرتبريز</t>
  </si>
  <si>
    <t>توسعه قطعات اليكا</t>
  </si>
  <si>
    <t>آب بان صنعتگران</t>
  </si>
  <si>
    <t>منيرصنعت</t>
  </si>
  <si>
    <t>مهارمشعل</t>
  </si>
  <si>
    <t>شركت كيزايران</t>
  </si>
  <si>
    <t xml:space="preserve">جواد عرب </t>
  </si>
  <si>
    <t>عمارت</t>
  </si>
  <si>
    <t>سمنان فرز</t>
  </si>
  <si>
    <t>پارس سوئيچ</t>
  </si>
  <si>
    <t>قوي ساز نيرو</t>
  </si>
  <si>
    <t>شركت ابزاربرقي ايران</t>
  </si>
  <si>
    <t xml:space="preserve">علي شريعتي </t>
  </si>
  <si>
    <t>شركت صباتوليد</t>
  </si>
  <si>
    <t xml:space="preserve">شركت تهويه دماوندپارس </t>
  </si>
  <si>
    <t>ادهم مس تبريز</t>
  </si>
  <si>
    <t>افشين سرخابي</t>
  </si>
  <si>
    <t xml:space="preserve">حسين مرجاني </t>
  </si>
  <si>
    <t>شركت ذوب ريزان همدان</t>
  </si>
  <si>
    <t xml:space="preserve">سيدحميد كاظمي </t>
  </si>
  <si>
    <t>شركت آفتابگردان</t>
  </si>
  <si>
    <t xml:space="preserve">غلامرضا كارگزارازغندي </t>
  </si>
  <si>
    <t xml:space="preserve">حسين رزقي </t>
  </si>
  <si>
    <t xml:space="preserve">محسن عليعلي  </t>
  </si>
  <si>
    <t xml:space="preserve">محراب نجاتي  </t>
  </si>
  <si>
    <t xml:space="preserve">مهرداد آقازاده  </t>
  </si>
  <si>
    <t>كاظمي محمد</t>
  </si>
  <si>
    <t xml:space="preserve">عبدالله يادگار </t>
  </si>
  <si>
    <t xml:space="preserve">صفر محمد داورپناه </t>
  </si>
  <si>
    <t xml:space="preserve">مهدي حسيني  </t>
  </si>
  <si>
    <t xml:space="preserve">رضا احمدآبادي </t>
  </si>
  <si>
    <t>سلوكي</t>
  </si>
  <si>
    <t xml:space="preserve">حميدرضا شفيعي </t>
  </si>
  <si>
    <t>عابديني ناصر</t>
  </si>
  <si>
    <t xml:space="preserve">شاهين مقدسي </t>
  </si>
  <si>
    <t xml:space="preserve">حسين جمشيدي  </t>
  </si>
  <si>
    <t xml:space="preserve">حسن مرجاني </t>
  </si>
  <si>
    <t xml:space="preserve">حامد جولائي </t>
  </si>
  <si>
    <t>آژن كيله خاورميانه</t>
  </si>
  <si>
    <t>يزدبسپار</t>
  </si>
  <si>
    <t>ايران گرمافر</t>
  </si>
  <si>
    <t>رايان صنعت</t>
  </si>
  <si>
    <t>رابط صنعت كوشا</t>
  </si>
  <si>
    <t>بوتان</t>
  </si>
  <si>
    <t>جهان پاور</t>
  </si>
  <si>
    <t>زرين فلز</t>
  </si>
  <si>
    <t>شركت ميراب</t>
  </si>
  <si>
    <t>شركت فاراب</t>
  </si>
  <si>
    <t>شركت لنگرمرواريدسبز</t>
  </si>
  <si>
    <t>شركت صبوران پليمر</t>
  </si>
  <si>
    <t>شركت نيك</t>
  </si>
  <si>
    <t>حاتم صالحي</t>
  </si>
  <si>
    <t>ارس سيستم</t>
  </si>
  <si>
    <t>شركت آتا باي تبريز</t>
  </si>
  <si>
    <t>شركت توتي</t>
  </si>
  <si>
    <t xml:space="preserve">توليدي شير سازي سامين </t>
  </si>
  <si>
    <t xml:space="preserve">رحيم فتوت </t>
  </si>
  <si>
    <t>خسروآبادي مهدي</t>
  </si>
  <si>
    <t>آقامرادي وحيد</t>
  </si>
  <si>
    <t>شركت مس رسانا</t>
  </si>
  <si>
    <t xml:space="preserve">كارخانه علي </t>
  </si>
  <si>
    <t>شركت سيتكو</t>
  </si>
  <si>
    <t xml:space="preserve">احمدي مهدي </t>
  </si>
  <si>
    <t>شركت به تراش</t>
  </si>
  <si>
    <t xml:space="preserve">حميد قشقائي </t>
  </si>
  <si>
    <t>شركت آونداميرآب</t>
  </si>
  <si>
    <t>مهدوي عليرضا</t>
  </si>
  <si>
    <t>شركت سنادرب البرز</t>
  </si>
  <si>
    <t>شركت آذرپاد(جعفري)</t>
  </si>
  <si>
    <t xml:space="preserve">عالي  محمدرضا </t>
  </si>
  <si>
    <t xml:space="preserve">شريف موسوي سيد مرتضي </t>
  </si>
  <si>
    <t>توان انديشان ايمن ساز فاخر</t>
  </si>
  <si>
    <t>قورچيان مينا</t>
  </si>
  <si>
    <t>خسروآبادي محمد</t>
  </si>
  <si>
    <t xml:space="preserve">سهرابي مجتبي </t>
  </si>
  <si>
    <t>شركت آبي نسب</t>
  </si>
  <si>
    <t>تاجيك  صادق</t>
  </si>
  <si>
    <t xml:space="preserve">گلپايگاني </t>
  </si>
  <si>
    <t>شركت قفل دركوب</t>
  </si>
  <si>
    <t>قهرماني  محمدرضا</t>
  </si>
  <si>
    <t>شركت كارت اعتبار فارس</t>
  </si>
  <si>
    <t>شركت سبزكوش</t>
  </si>
  <si>
    <t>شركت تانيران</t>
  </si>
  <si>
    <t>محمدي منصور</t>
  </si>
  <si>
    <t>رنجوري حميد</t>
  </si>
  <si>
    <t xml:space="preserve">چاجائي وحيد </t>
  </si>
  <si>
    <t xml:space="preserve">سامان صنعت بايا </t>
  </si>
  <si>
    <t>شركت توان كار</t>
  </si>
  <si>
    <t xml:space="preserve">راصد فن </t>
  </si>
  <si>
    <t>دقيق تراش اصفهان</t>
  </si>
  <si>
    <t>بهران آسانبر</t>
  </si>
  <si>
    <t>سري تراشي طاهري</t>
  </si>
  <si>
    <t>شيرآلات گلپايگان</t>
  </si>
  <si>
    <t>آريا يراق صنعت</t>
  </si>
  <si>
    <t>پيشتاز صنعت</t>
  </si>
  <si>
    <t>بهزادي فر اصغر</t>
  </si>
  <si>
    <t>خديو زاد نادر</t>
  </si>
  <si>
    <t>شركت قطعه سازان اميدوار</t>
  </si>
  <si>
    <t>كيان صنعت</t>
  </si>
  <si>
    <t xml:space="preserve">گروه توليدي صنعتي فدرال </t>
  </si>
  <si>
    <t>ملاعلي هادي</t>
  </si>
  <si>
    <t xml:space="preserve">آلياژ سازان زنجان </t>
  </si>
  <si>
    <t>قليخاني علي</t>
  </si>
  <si>
    <t>شركت الماس آريا</t>
  </si>
  <si>
    <t>مس آلياژ (مهندس علي بيگي)</t>
  </si>
  <si>
    <t>فردي مجتبي</t>
  </si>
  <si>
    <t xml:space="preserve">پارت الكتريك </t>
  </si>
  <si>
    <t xml:space="preserve">عباس بابايي </t>
  </si>
  <si>
    <t>محمدي مسعود</t>
  </si>
  <si>
    <t>رزمي دلاور</t>
  </si>
  <si>
    <t>ناصر شيخي</t>
  </si>
  <si>
    <t>شركت آذرپاد</t>
  </si>
  <si>
    <t>تراشكاران صنعت ايل خاني</t>
  </si>
  <si>
    <t>شركت اليكا صنعت</t>
  </si>
  <si>
    <t>صنايع شيرسازي ايران گرمافر</t>
  </si>
  <si>
    <t>صنايع قفل گيرا</t>
  </si>
  <si>
    <t xml:space="preserve">بختياري محمدرضا </t>
  </si>
  <si>
    <t xml:space="preserve">بخشي رسول </t>
  </si>
  <si>
    <t>آرمان دانا فرشاد</t>
  </si>
  <si>
    <t>ميرصابري احمد</t>
  </si>
  <si>
    <t>شركت هادرون توان</t>
  </si>
  <si>
    <t>شركت صنعتي خوش فكر</t>
  </si>
  <si>
    <t xml:space="preserve">عابدين قهرماني  </t>
  </si>
  <si>
    <t>آقاي ايماني</t>
  </si>
  <si>
    <t>شركت مگا پاور</t>
  </si>
  <si>
    <t>صنايع جوش و برش آسيا جوشا</t>
  </si>
  <si>
    <t>آستاركي عارف</t>
  </si>
  <si>
    <t>شيرآلات آويسا</t>
  </si>
  <si>
    <t xml:space="preserve">مجيد مرادي </t>
  </si>
  <si>
    <t>شيرآلات مهرآرا</t>
  </si>
  <si>
    <t>اول دوره</t>
  </si>
  <si>
    <t>اول دوره-واحد فرعي</t>
  </si>
  <si>
    <t>شركت الماس آيلين البرز</t>
  </si>
  <si>
    <t>شركت پايدارسازه سپهر</t>
  </si>
  <si>
    <t>شركت طوس وم تك</t>
  </si>
  <si>
    <t>سيف الله اكبري</t>
  </si>
  <si>
    <t xml:space="preserve">علي رحيم آبادي </t>
  </si>
  <si>
    <t>شيرآلات آتريسا</t>
  </si>
  <si>
    <t>شيرگاز پاسارگاد</t>
  </si>
  <si>
    <t>توكلي رضا</t>
  </si>
  <si>
    <t xml:space="preserve">غلامرضا كارگزار </t>
  </si>
  <si>
    <t xml:space="preserve">محمد كاوك پور </t>
  </si>
  <si>
    <t xml:space="preserve">فرزين اسماعيل زاده </t>
  </si>
  <si>
    <t>شركت پرتو الماس البرز</t>
  </si>
  <si>
    <t>شركت شريف تهران</t>
  </si>
  <si>
    <t>شركت قفل مهدي</t>
  </si>
  <si>
    <t>سعيد خراطي</t>
  </si>
  <si>
    <t>علي بهمن آبادي (سري تراشي دقيق)</t>
  </si>
  <si>
    <t>هادی ملا علی</t>
  </si>
  <si>
    <t>مجتبی فردی</t>
  </si>
  <si>
    <t>مسعود محمدی</t>
  </si>
  <si>
    <t>ایمانی</t>
  </si>
  <si>
    <t>علی رحیم آبادی</t>
  </si>
  <si>
    <t>سیف اله اکبری</t>
  </si>
  <si>
    <t>فرزین اسماعیل زاده</t>
  </si>
  <si>
    <t>بهمن آبادی</t>
  </si>
  <si>
    <t>آلیاژسازان زنجان</t>
  </si>
  <si>
    <t>الماس آریا</t>
  </si>
  <si>
    <t>مس آلیاژ</t>
  </si>
  <si>
    <t>پارت الکتریک</t>
  </si>
  <si>
    <t>الیکا صنعت</t>
  </si>
  <si>
    <t>هادرن توان</t>
  </si>
  <si>
    <t>مگاپاور</t>
  </si>
  <si>
    <t>مهرآرا</t>
  </si>
  <si>
    <t>طوس وم تک</t>
  </si>
  <si>
    <t>آتریسا</t>
  </si>
  <si>
    <t>قفل مهدی</t>
  </si>
  <si>
    <t xml:space="preserve">هوم کو </t>
  </si>
  <si>
    <t>صنعت ایل خانی</t>
  </si>
  <si>
    <t>سارا گاز</t>
  </si>
  <si>
    <t>شركت هوم كو (هوشمند مبين كوشا)</t>
  </si>
  <si>
    <t>شركت جام جم</t>
  </si>
  <si>
    <t xml:space="preserve">كريم اسمعيلي </t>
  </si>
  <si>
    <t xml:space="preserve">عماد هاشمي </t>
  </si>
  <si>
    <t xml:space="preserve">رويا اصلاني </t>
  </si>
  <si>
    <t xml:space="preserve">جواد رستمي </t>
  </si>
  <si>
    <t>فروشگاه اتومات موسوي</t>
  </si>
  <si>
    <t>هادی ملاعلی</t>
  </si>
  <si>
    <t xml:space="preserve">فرزین اسماعیل زاده </t>
  </si>
  <si>
    <t>علی بهمن آبادی</t>
  </si>
  <si>
    <t>کریم اسماعیلی</t>
  </si>
  <si>
    <t>رویا اصلانی</t>
  </si>
  <si>
    <t xml:space="preserve">شرکت کیان صنعت </t>
  </si>
  <si>
    <t xml:space="preserve">آلیاژسازان زنجان </t>
  </si>
  <si>
    <t>شرکت  پارت الکتریک</t>
  </si>
  <si>
    <t xml:space="preserve">الیکا صنعت </t>
  </si>
  <si>
    <t xml:space="preserve">هادرون توان </t>
  </si>
  <si>
    <t>شیرآلات مهرآرا</t>
  </si>
  <si>
    <t>شیرآلات آتریسا</t>
  </si>
  <si>
    <t>شرکت شریف تهران</t>
  </si>
  <si>
    <t>شرکت هوم کو</t>
  </si>
  <si>
    <t>ساراگاز</t>
  </si>
  <si>
    <t>جام جم</t>
  </si>
  <si>
    <t>بدهکاران 1400/02/12</t>
  </si>
  <si>
    <t>بدهکاران 1400/02/25</t>
  </si>
  <si>
    <t>بدهکاران 1400/03/01</t>
  </si>
  <si>
    <t xml:space="preserve">هادبی ملاعلی </t>
  </si>
  <si>
    <t>فرزین اسماعیل پور</t>
  </si>
  <si>
    <t xml:space="preserve">کریم اسمعیلی </t>
  </si>
  <si>
    <t xml:space="preserve">رویا اصلانی </t>
  </si>
  <si>
    <t>الیکاصنعت</t>
  </si>
  <si>
    <t>هادرون توان</t>
  </si>
  <si>
    <t xml:space="preserve">جام جم </t>
  </si>
  <si>
    <t>گروه تامين كننده</t>
  </si>
  <si>
    <t>بي جفا بختيار</t>
  </si>
  <si>
    <t>آذر پاد (كريمي)</t>
  </si>
  <si>
    <t>شركت آوند اميرآب</t>
  </si>
  <si>
    <t>ايران خودرو ديزل</t>
  </si>
  <si>
    <t>شركت صنعت رايان پارس</t>
  </si>
  <si>
    <t>شركت ميرآب</t>
  </si>
  <si>
    <t xml:space="preserve">حسين اسمي </t>
  </si>
  <si>
    <t xml:space="preserve">حبيب اله صمدي </t>
  </si>
  <si>
    <t xml:space="preserve">الله وردي نهادي فلاح  </t>
  </si>
  <si>
    <t xml:space="preserve">حسن شجاعي </t>
  </si>
  <si>
    <t xml:space="preserve">رضا اشتياقي </t>
  </si>
  <si>
    <t xml:space="preserve">داود ملكي </t>
  </si>
  <si>
    <t xml:space="preserve">داوود عزيزي سليمان  </t>
  </si>
  <si>
    <t xml:space="preserve">كاظم لشني </t>
  </si>
  <si>
    <t>رضا ميرزايي</t>
  </si>
  <si>
    <t xml:space="preserve">علي توكلي  </t>
  </si>
  <si>
    <t xml:space="preserve">محمد مرزبان  </t>
  </si>
  <si>
    <t xml:space="preserve">طالب قهرماني  </t>
  </si>
  <si>
    <t xml:space="preserve">بابا خان صالحي </t>
  </si>
  <si>
    <t>خسرو باقري</t>
  </si>
  <si>
    <t xml:space="preserve">حسين احمدي </t>
  </si>
  <si>
    <t>رضا اكبري</t>
  </si>
  <si>
    <t>ميثم مرسلي</t>
  </si>
  <si>
    <t xml:space="preserve">علي زارعي  </t>
  </si>
  <si>
    <t xml:space="preserve">جواد شريعتي </t>
  </si>
  <si>
    <t xml:space="preserve">حميد رضا شريعتي </t>
  </si>
  <si>
    <t xml:space="preserve">رسول ستاري </t>
  </si>
  <si>
    <t xml:space="preserve">آرمان فاطمي </t>
  </si>
  <si>
    <t xml:space="preserve">داود فلاح </t>
  </si>
  <si>
    <t xml:space="preserve">حميد دادگسترمقدم </t>
  </si>
  <si>
    <t>آقامرادي احمد</t>
  </si>
  <si>
    <t>روحي اسرافيل</t>
  </si>
  <si>
    <t xml:space="preserve">تيموري مهدي </t>
  </si>
  <si>
    <t xml:space="preserve">احمدي حسن </t>
  </si>
  <si>
    <t>لشني عليرضا</t>
  </si>
  <si>
    <t>محمدي اكبر</t>
  </si>
  <si>
    <t xml:space="preserve">نوروزي اميرحسين </t>
  </si>
  <si>
    <t xml:space="preserve">خزر جليل </t>
  </si>
  <si>
    <t xml:space="preserve">كاظمي سعيد </t>
  </si>
  <si>
    <t xml:space="preserve">عتيقه زاده  احسان </t>
  </si>
  <si>
    <t xml:space="preserve">احمدي مجيد </t>
  </si>
  <si>
    <t>موسوي مهدي</t>
  </si>
  <si>
    <t xml:space="preserve">علي تيموري </t>
  </si>
  <si>
    <t xml:space="preserve">وحيد موسوي </t>
  </si>
  <si>
    <t>شركت سارا (رودكي)</t>
  </si>
  <si>
    <t>مجید مرادی</t>
  </si>
  <si>
    <t>بدهکاران 1400/03/05</t>
  </si>
  <si>
    <t>بدهکاران 1400/03/09</t>
  </si>
  <si>
    <t xml:space="preserve">مجیدمرادی </t>
  </si>
  <si>
    <t>ايران طلق</t>
  </si>
  <si>
    <t>ايران گرما</t>
  </si>
  <si>
    <t>بهين صنعت دانا آزما</t>
  </si>
  <si>
    <t xml:space="preserve">محمد جواد سيفان </t>
  </si>
  <si>
    <t xml:space="preserve">بهرام چرخيان </t>
  </si>
  <si>
    <t>بدهکاران 1400/03/22</t>
  </si>
  <si>
    <t>بهرام چرخیان</t>
  </si>
  <si>
    <t>بهین صنعت دانا</t>
  </si>
  <si>
    <t>ایران طلق</t>
  </si>
  <si>
    <t>ایران گرما</t>
  </si>
  <si>
    <t xml:space="preserve">حسن پورجهاني </t>
  </si>
  <si>
    <t xml:space="preserve">مسعود محمدي </t>
  </si>
  <si>
    <t>آرتمن گستر راشا</t>
  </si>
  <si>
    <t>بدهکاران 1400/03/29</t>
  </si>
  <si>
    <t>حسن پورجهانی</t>
  </si>
  <si>
    <t>شرکت بهین صنعت دانا</t>
  </si>
  <si>
    <t>علی اکبری</t>
  </si>
  <si>
    <t>سيد عمادالدين هاشمي</t>
  </si>
  <si>
    <t>بدهکاران 1400/04/05</t>
  </si>
  <si>
    <t>صنايع قفل نيك</t>
  </si>
  <si>
    <t xml:space="preserve">آقاي پاشازاده </t>
  </si>
  <si>
    <t>بدهکاران 1400/04/12</t>
  </si>
  <si>
    <t xml:space="preserve">بهرام چرخیان </t>
  </si>
  <si>
    <t>پورجهانی</t>
  </si>
  <si>
    <t xml:space="preserve">قطعه سازي محراب </t>
  </si>
  <si>
    <t>بدهکاران 1400/04/15</t>
  </si>
  <si>
    <t>قطعه سازی محراب</t>
  </si>
  <si>
    <t>مانده</t>
  </si>
  <si>
    <t>شركت فردوس</t>
  </si>
  <si>
    <t>بدهکاران 1400/04/20</t>
  </si>
  <si>
    <t>شرکت فردوس</t>
  </si>
  <si>
    <t xml:space="preserve">حسين هوشمند </t>
  </si>
  <si>
    <t>بدهکاران 1400/04/26</t>
  </si>
  <si>
    <t>شركت پتروگاز پارسا</t>
  </si>
  <si>
    <t>شركت خدماتي شهرك صنعتي عباس آباد</t>
  </si>
  <si>
    <t xml:space="preserve">شرکت فردوس </t>
  </si>
  <si>
    <t>بدهکاران 1400/05/02</t>
  </si>
  <si>
    <t>بهرام اورنگي</t>
  </si>
  <si>
    <t>بدهکاران 1400/05/09</t>
  </si>
  <si>
    <t>صنایع قفل نیک</t>
  </si>
  <si>
    <t>مجید منصوری</t>
  </si>
  <si>
    <t>بدهکاران 1400/05/16</t>
  </si>
  <si>
    <t>مجیدمنصوری</t>
  </si>
  <si>
    <t>شركت توليدي ابزار يراق صنعت ميلاد</t>
  </si>
  <si>
    <t>بدهکاران 1400/06/02</t>
  </si>
  <si>
    <t>حمیدمنصوری</t>
  </si>
  <si>
    <t>ابزارصنعت میلاد</t>
  </si>
  <si>
    <t>بدهکاران 1400/06/13</t>
  </si>
  <si>
    <t>عباس بابائی</t>
  </si>
  <si>
    <t>پارت سازان شرق</t>
  </si>
  <si>
    <t xml:space="preserve"> </t>
  </si>
  <si>
    <t>بدهکاران 1400/06/20</t>
  </si>
  <si>
    <t>ابزاریراق صنعت میلاد</t>
  </si>
  <si>
    <t>بدهکاران 1400/06/27</t>
  </si>
  <si>
    <t xml:space="preserve">حسن پورجهانی </t>
  </si>
  <si>
    <t xml:space="preserve">بهین صنعت دانا </t>
  </si>
  <si>
    <t>ابزاریراق میلاد</t>
  </si>
  <si>
    <t>بدهکاران 1400/07/03</t>
  </si>
  <si>
    <t>حسن پور جهانی</t>
  </si>
  <si>
    <t>مهدي آهاري</t>
  </si>
  <si>
    <t>توليدي پيام</t>
  </si>
  <si>
    <t>بدهکاران 1400/07/10</t>
  </si>
  <si>
    <t>تولیدی پیام</t>
  </si>
  <si>
    <t>بدهکاران 1400/07/17</t>
  </si>
  <si>
    <t>بدهکاران 1400/07/24</t>
  </si>
  <si>
    <t>آرنا سي ان سي</t>
  </si>
  <si>
    <t>صابر عزيزي</t>
  </si>
  <si>
    <t>صابرعزیزی</t>
  </si>
  <si>
    <t>بدهکاران 1400/08/08</t>
  </si>
  <si>
    <t>بدهکاران 1400/08/15</t>
  </si>
  <si>
    <t>شركت بهين توليد</t>
  </si>
  <si>
    <t>وحيد منافي</t>
  </si>
  <si>
    <t>بدهکاران 1400/08/22</t>
  </si>
  <si>
    <t>وحیدمنافی</t>
  </si>
  <si>
    <t>شرکت بهین تولید</t>
  </si>
  <si>
    <t>شركت ايران پالاد</t>
  </si>
  <si>
    <t>شركت  G.P.G</t>
  </si>
  <si>
    <t>شركت اروند ميزان سنج</t>
  </si>
  <si>
    <t>بهین تولید</t>
  </si>
  <si>
    <t>شرکت G P G</t>
  </si>
  <si>
    <t>ایران پالاد</t>
  </si>
  <si>
    <t>حسین ریاحی</t>
  </si>
  <si>
    <t>بدهکاران 1400/08/29</t>
  </si>
  <si>
    <t xml:space="preserve">حسين رياحي </t>
  </si>
  <si>
    <t xml:space="preserve">اسرافيل روحي </t>
  </si>
  <si>
    <t>محمد كريمي</t>
  </si>
  <si>
    <t>محمد مرادي</t>
  </si>
  <si>
    <t>محمدکریمی</t>
  </si>
  <si>
    <t>آوندآب</t>
  </si>
  <si>
    <t>بدهکاران 1400/09/20</t>
  </si>
  <si>
    <t>حسن ریاحی</t>
  </si>
  <si>
    <t>بدهکاران 1400/09/27</t>
  </si>
  <si>
    <t>شرکت G.P.G</t>
  </si>
  <si>
    <t>شرکت ایران پالاد</t>
  </si>
  <si>
    <t>مجيد منصوري (يوتاب)</t>
  </si>
  <si>
    <t>کلون</t>
  </si>
  <si>
    <t>شرکت جام جم</t>
  </si>
  <si>
    <t>شرکت قاره سبز</t>
  </si>
  <si>
    <t xml:space="preserve">تکادو صنعت </t>
  </si>
  <si>
    <t>شرکت سنادرب البرز</t>
  </si>
  <si>
    <t>آبکامه</t>
  </si>
  <si>
    <t xml:space="preserve">محمد کاوک پور </t>
  </si>
  <si>
    <t xml:space="preserve">شرکت بتا </t>
  </si>
  <si>
    <t>شرکت به تراش</t>
  </si>
  <si>
    <t xml:space="preserve">راک جاه  </t>
  </si>
  <si>
    <t xml:space="preserve">تکنو کار </t>
  </si>
  <si>
    <t>شرکت درسا هود</t>
  </si>
  <si>
    <t>شرکت مگا پاور</t>
  </si>
  <si>
    <t>رابط صنعت کوشا</t>
  </si>
  <si>
    <t>شرکت سبزکوش</t>
  </si>
  <si>
    <t>شرکت طوس وم تک</t>
  </si>
  <si>
    <t xml:space="preserve">شرکت گسترش تک </t>
  </si>
  <si>
    <t>شرکت هادرون توان</t>
  </si>
  <si>
    <t>کد تفصیلی</t>
  </si>
  <si>
    <t>شیر گاز آذران</t>
  </si>
  <si>
    <t xml:space="preserve">شیرگاز ایران </t>
  </si>
  <si>
    <t>اصغر نورعلی</t>
  </si>
  <si>
    <t xml:space="preserve">مریم فیض آبادی  </t>
  </si>
  <si>
    <t>شرکت ایمن تک پیشرو</t>
  </si>
  <si>
    <t>تولیدی صنعتی صفاشیر پارس</t>
  </si>
  <si>
    <t xml:space="preserve">شیر آلات بهداشتی قهرمان </t>
  </si>
  <si>
    <t xml:space="preserve">مهدی یوسفی  </t>
  </si>
  <si>
    <t xml:space="preserve">محسن فیاض بخش </t>
  </si>
  <si>
    <t xml:space="preserve">کلار پویا </t>
  </si>
  <si>
    <t xml:space="preserve">تکنو تراش یادگار </t>
  </si>
  <si>
    <t xml:space="preserve">تولیدی شیر سازی غریب پویا </t>
  </si>
  <si>
    <t xml:space="preserve">پارس شیر </t>
  </si>
  <si>
    <t>ایران شرق نیشابور</t>
  </si>
  <si>
    <t xml:space="preserve">عبدالله یادگار </t>
  </si>
  <si>
    <t xml:space="preserve">شیرآلات بهداشتی راسان </t>
  </si>
  <si>
    <t xml:space="preserve">البرز یدک </t>
  </si>
  <si>
    <t>شرکت هوم کو (هوشمند مبین کوشا)</t>
  </si>
  <si>
    <t xml:space="preserve">عماد هاشمی </t>
  </si>
  <si>
    <t xml:space="preserve">بهزاد چرخیان </t>
  </si>
  <si>
    <t>شرکت سیتکو</t>
  </si>
  <si>
    <t xml:space="preserve">حمیدرضا شفیعی </t>
  </si>
  <si>
    <t xml:space="preserve">پیک افروز </t>
  </si>
  <si>
    <t xml:space="preserve"> تراشکاری ایلخانی </t>
  </si>
  <si>
    <t xml:space="preserve">سیدحمید کاظمی </t>
  </si>
  <si>
    <t>قورچیان مینا</t>
  </si>
  <si>
    <t>شرکت الماس آریا</t>
  </si>
  <si>
    <t>سدید سازه پرشیا</t>
  </si>
  <si>
    <t xml:space="preserve">پارت الکتریک </t>
  </si>
  <si>
    <t xml:space="preserve">شرکت صنایع گاز ایران </t>
  </si>
  <si>
    <t xml:space="preserve">کوهی </t>
  </si>
  <si>
    <t xml:space="preserve">کارخانه علی </t>
  </si>
  <si>
    <t>فرزاد اسماعیل زاده</t>
  </si>
  <si>
    <t>خسروآبادی محمد</t>
  </si>
  <si>
    <t xml:space="preserve">مصطفی نورعلی </t>
  </si>
  <si>
    <t xml:space="preserve">یراق گستر شبکه </t>
  </si>
  <si>
    <t>آرین کالا تک قومس</t>
  </si>
  <si>
    <t xml:space="preserve">محمدرضا شمسایی </t>
  </si>
  <si>
    <t>خدیو زاد نادر</t>
  </si>
  <si>
    <t xml:space="preserve">نیران شیر </t>
  </si>
  <si>
    <t xml:space="preserve">پارسیان تراش صنعت </t>
  </si>
  <si>
    <t>افشین سرخابی</t>
  </si>
  <si>
    <t>قفل میلاک</t>
  </si>
  <si>
    <t>قوی ساز نیرو</t>
  </si>
  <si>
    <t>آقای ایمانی</t>
  </si>
  <si>
    <t>حسن منصفی راد</t>
  </si>
  <si>
    <t>شیرگاز لاله</t>
  </si>
  <si>
    <t xml:space="preserve">گروه تولیدی صنعتی فدرال </t>
  </si>
  <si>
    <t xml:space="preserve">محمد عباسی </t>
  </si>
  <si>
    <t>بایا سیلندر</t>
  </si>
  <si>
    <t xml:space="preserve">سری تراشی شهران </t>
  </si>
  <si>
    <t>شیرآلات ایرانیان</t>
  </si>
  <si>
    <t xml:space="preserve">صنایع یکتا تهویه اروند </t>
  </si>
  <si>
    <t>تولیدی و صنعتی تهرانچیان</t>
  </si>
  <si>
    <t xml:space="preserve">سینا سازه </t>
  </si>
  <si>
    <t xml:space="preserve">شیرآلات اترس </t>
  </si>
  <si>
    <t xml:space="preserve">حسام کریمان  </t>
  </si>
  <si>
    <t>کیان صنعت</t>
  </si>
  <si>
    <t>آریا صنعت</t>
  </si>
  <si>
    <t>شرکت صنعتی پیش آهنگ</t>
  </si>
  <si>
    <t xml:space="preserve">چپر ایلخانی </t>
  </si>
  <si>
    <t xml:space="preserve">شیر آلات نوین </t>
  </si>
  <si>
    <t>محمدی علی</t>
  </si>
  <si>
    <t>علی شهریاری</t>
  </si>
  <si>
    <t xml:space="preserve">فرید لواسانی  </t>
  </si>
  <si>
    <t>شرکت آوندامیرآب</t>
  </si>
  <si>
    <t xml:space="preserve">امامی </t>
  </si>
  <si>
    <t>سلیمان قاسمی</t>
  </si>
  <si>
    <t xml:space="preserve">رضا احمدآبادی </t>
  </si>
  <si>
    <t>قدرت اله اورنگی</t>
  </si>
  <si>
    <t>شرکت لنگرمرواریدسبز</t>
  </si>
  <si>
    <t>بهزادی فر اصغر</t>
  </si>
  <si>
    <t xml:space="preserve">حمید قشقائی </t>
  </si>
  <si>
    <t>شرکت الیکا صنعت</t>
  </si>
  <si>
    <t xml:space="preserve">علی شریعتی </t>
  </si>
  <si>
    <t>فدوی</t>
  </si>
  <si>
    <t xml:space="preserve">علی خدمتکار </t>
  </si>
  <si>
    <t>شیرآلات ماعون</t>
  </si>
  <si>
    <t xml:space="preserve">شریف موسوی سید مرتضی </t>
  </si>
  <si>
    <t xml:space="preserve">کارگاه برادران حسینی  </t>
  </si>
  <si>
    <t xml:space="preserve">محمدرضا آفاقی </t>
  </si>
  <si>
    <t xml:space="preserve">علی رحیم آبادی </t>
  </si>
  <si>
    <t>شیرگاز پاسارگاد</t>
  </si>
  <si>
    <t>منیرصنعت</t>
  </si>
  <si>
    <t xml:space="preserve">فرهاد سبحانی </t>
  </si>
  <si>
    <t xml:space="preserve">حسین محمودی  </t>
  </si>
  <si>
    <t xml:space="preserve">چاجائی وحید </t>
  </si>
  <si>
    <t>علی بهمن آبادی (سری تراشی دقیق)</t>
  </si>
  <si>
    <t>محمدی مسعود</t>
  </si>
  <si>
    <t>مهدوی علیرضا</t>
  </si>
  <si>
    <t xml:space="preserve">شرکت تهویه دماوندپارس </t>
  </si>
  <si>
    <t>سیف الله اکبری</t>
  </si>
  <si>
    <t xml:space="preserve">شیرآلات بهداشتی شایان </t>
  </si>
  <si>
    <t xml:space="preserve">مصدقی </t>
  </si>
  <si>
    <t xml:space="preserve">بهجوش آریا </t>
  </si>
  <si>
    <t>ملاعلی هادی</t>
  </si>
  <si>
    <t>رنجوری حمید</t>
  </si>
  <si>
    <t xml:space="preserve">علیرضا نیکپور </t>
  </si>
  <si>
    <t>تولیدی صنعتی صالح</t>
  </si>
  <si>
    <t>سینا نوربخش</t>
  </si>
  <si>
    <t>ایران گرمافر</t>
  </si>
  <si>
    <t>پایپکس</t>
  </si>
  <si>
    <t>شرکت آتا بای تبریز</t>
  </si>
  <si>
    <t>صنایع قفل گیرا</t>
  </si>
  <si>
    <t>خسروآبادی مهدی</t>
  </si>
  <si>
    <t>شیرآلات گلپایگان</t>
  </si>
  <si>
    <t>حسینی حسن</t>
  </si>
  <si>
    <t xml:space="preserve">علی اکبری </t>
  </si>
  <si>
    <t>سری تراشی طاهری</t>
  </si>
  <si>
    <t>رضا شریعتی</t>
  </si>
  <si>
    <t>فردی مجتبی</t>
  </si>
  <si>
    <t>تراشکاران صنعت ایل خانی</t>
  </si>
  <si>
    <t xml:space="preserve">احمدی مهدی </t>
  </si>
  <si>
    <t xml:space="preserve">موسوی اصفهان </t>
  </si>
  <si>
    <t>شرکت آذرپاد(جعفری)</t>
  </si>
  <si>
    <t>محمد نمازی</t>
  </si>
  <si>
    <t>ادهم مس تبریز</t>
  </si>
  <si>
    <t xml:space="preserve">علیرضا باقری </t>
  </si>
  <si>
    <t xml:space="preserve">شیخی (دوده)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</si>
</sst>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Tahoma"/>
      <family val="2"/>
    </font>
    <font>
      <sz val="8.25"/>
      <color indexed="8"/>
      <name val="Tahoma"/>
      <family val="2"/>
    </font>
    <font>
      <sz val="11"/>
      <color theme="1"/>
      <name val="Tahoma"/>
      <family val="2"/>
    </font>
    <font>
      <sz val="12"/>
      <color indexed="8"/>
      <name val="Tahoma"/>
      <family val="2"/>
    </font>
    <font>
      <sz val="12"/>
      <color theme="1"/>
      <name val="Calibri"/>
      <family val="2"/>
      <charset val="178"/>
      <scheme val="minor"/>
    </font>
    <font>
      <b/>
      <sz val="48"/>
      <color theme="1"/>
      <name val="Calibri"/>
      <family val="2"/>
      <scheme val="minor"/>
    </font>
    <font>
      <sz val="8.25"/>
      <color indexed="8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8.25"/>
      <color indexed="62"/>
      <name val="Tahoma"/>
      <family val="2"/>
    </font>
    <font>
      <sz val="8.25"/>
      <color indexed="8"/>
      <name val="Tahoma"/>
      <family val="2"/>
    </font>
    <font>
      <sz val="11"/>
      <color theme="1"/>
      <name val="Tahoma"/>
      <family val="2"/>
    </font>
    <font>
      <sz val="12"/>
      <color indexed="8"/>
      <name val="Tahoma"/>
      <family val="2"/>
    </font>
    <font>
      <sz val="11"/>
      <color indexed="8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F4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0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center" vertical="center" wrapText="1" readingOrder="2"/>
    </xf>
    <xf numFmtId="3" fontId="18" fillId="0" borderId="0" xfId="0" applyNumberFormat="1" applyFont="1" applyAlignment="1">
      <alignment horizontal="center" vertical="center" readingOrder="2"/>
    </xf>
    <xf numFmtId="0" fontId="18" fillId="0" borderId="0" xfId="0" applyFont="1" applyAlignment="1">
      <alignment horizontal="center" vertical="center" readingOrder="2"/>
    </xf>
    <xf numFmtId="0" fontId="22" fillId="0" borderId="0" xfId="0" applyFont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3" fontId="18" fillId="0" borderId="15" xfId="0" applyNumberFormat="1" applyFont="1" applyBorder="1" applyAlignment="1">
      <alignment horizontal="center" vertical="center" wrapText="1" readingOrder="2"/>
    </xf>
    <xf numFmtId="3" fontId="18" fillId="0" borderId="16" xfId="0" applyNumberFormat="1" applyFont="1" applyBorder="1" applyAlignment="1">
      <alignment horizontal="center" vertical="center" wrapText="1" readingOrder="2"/>
    </xf>
    <xf numFmtId="3" fontId="20" fillId="0" borderId="13" xfId="0" applyNumberFormat="1" applyFont="1" applyBorder="1" applyAlignment="1">
      <alignment horizontal="center" vertical="center" readingOrder="2"/>
    </xf>
    <xf numFmtId="3" fontId="18" fillId="0" borderId="13" xfId="0" applyNumberFormat="1" applyFont="1" applyBorder="1" applyAlignment="1">
      <alignment horizontal="center" vertical="center" readingOrder="2"/>
    </xf>
    <xf numFmtId="3" fontId="18" fillId="0" borderId="18" xfId="0" applyNumberFormat="1" applyFont="1" applyBorder="1" applyAlignment="1">
      <alignment horizontal="center" vertical="center" readingOrder="2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3" fontId="18" fillId="0" borderId="20" xfId="0" applyNumberFormat="1" applyFont="1" applyBorder="1" applyAlignment="1">
      <alignment horizontal="center" vertical="center" readingOrder="2"/>
    </xf>
    <xf numFmtId="3" fontId="18" fillId="0" borderId="21" xfId="0" applyNumberFormat="1" applyFont="1" applyBorder="1" applyAlignment="1">
      <alignment horizontal="center" vertical="center" readingOrder="2"/>
    </xf>
    <xf numFmtId="3" fontId="25" fillId="0" borderId="13" xfId="0" applyNumberFormat="1" applyFont="1" applyBorder="1" applyAlignment="1">
      <alignment horizontal="center" vertical="center" readingOrder="2"/>
    </xf>
    <xf numFmtId="0" fontId="24" fillId="33" borderId="17" xfId="0" applyFont="1" applyFill="1" applyBorder="1"/>
    <xf numFmtId="0" fontId="24" fillId="33" borderId="13" xfId="0" applyFont="1" applyFill="1" applyBorder="1"/>
    <xf numFmtId="0" fontId="24" fillId="0" borderId="17" xfId="0" applyFont="1" applyBorder="1"/>
    <xf numFmtId="0" fontId="24" fillId="0" borderId="13" xfId="0" applyFont="1" applyBorder="1"/>
    <xf numFmtId="0" fontId="19" fillId="33" borderId="17" xfId="0" applyFont="1" applyFill="1" applyBorder="1"/>
    <xf numFmtId="0" fontId="19" fillId="33" borderId="13" xfId="0" applyFont="1" applyFill="1" applyBorder="1"/>
    <xf numFmtId="0" fontId="26" fillId="33" borderId="13" xfId="0" applyFont="1" applyFill="1" applyBorder="1"/>
    <xf numFmtId="0" fontId="26" fillId="0" borderId="13" xfId="0" applyFont="1" applyBorder="1"/>
    <xf numFmtId="0" fontId="26" fillId="33" borderId="17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33" borderId="17" xfId="0" applyFont="1" applyFill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33" borderId="13" xfId="0" applyFont="1" applyFill="1" applyBorder="1" applyAlignment="1">
      <alignment horizontal="right"/>
    </xf>
    <xf numFmtId="0" fontId="26" fillId="0" borderId="13" xfId="0" applyFont="1" applyBorder="1" applyAlignment="1">
      <alignment horizontal="right"/>
    </xf>
    <xf numFmtId="0" fontId="27" fillId="0" borderId="0" xfId="0" applyFont="1"/>
    <xf numFmtId="0" fontId="28" fillId="0" borderId="0" xfId="0" applyFont="1"/>
    <xf numFmtId="0" fontId="28" fillId="33" borderId="0" xfId="0" applyFont="1" applyFill="1"/>
    <xf numFmtId="0" fontId="28" fillId="0" borderId="13" xfId="0" applyFont="1" applyBorder="1"/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3" fontId="29" fillId="0" borderId="20" xfId="0" applyNumberFormat="1" applyFont="1" applyBorder="1" applyAlignment="1">
      <alignment horizontal="center" vertical="center" readingOrder="2"/>
    </xf>
    <xf numFmtId="3" fontId="29" fillId="0" borderId="21" xfId="0" applyNumberFormat="1" applyFont="1" applyBorder="1" applyAlignment="1">
      <alignment horizontal="center" vertical="center" readingOrder="2"/>
    </xf>
    <xf numFmtId="0" fontId="28" fillId="33" borderId="13" xfId="0" applyFont="1" applyFill="1" applyBorder="1"/>
    <xf numFmtId="3" fontId="29" fillId="0" borderId="13" xfId="0" applyNumberFormat="1" applyFont="1" applyBorder="1" applyAlignment="1">
      <alignment horizontal="center" vertical="center" readingOrder="2"/>
    </xf>
    <xf numFmtId="3" fontId="29" fillId="0" borderId="18" xfId="0" applyNumberFormat="1" applyFont="1" applyBorder="1" applyAlignment="1">
      <alignment horizontal="center" vertical="center" readingOrder="2"/>
    </xf>
    <xf numFmtId="0" fontId="24" fillId="0" borderId="17" xfId="0" applyFont="1" applyBorder="1" applyAlignment="1">
      <alignment horizontal="center" vertical="center"/>
    </xf>
    <xf numFmtId="0" fontId="24" fillId="33" borderId="17" xfId="0" applyFont="1" applyFill="1" applyBorder="1" applyAlignment="1">
      <alignment horizontal="center" vertical="center"/>
    </xf>
    <xf numFmtId="0" fontId="28" fillId="33" borderId="17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33" borderId="13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/>
    </xf>
    <xf numFmtId="0" fontId="26" fillId="33" borderId="13" xfId="0" applyFont="1" applyFill="1" applyBorder="1" applyAlignment="1">
      <alignment horizontal="center"/>
    </xf>
    <xf numFmtId="0" fontId="26" fillId="33" borderId="13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vertical="center"/>
    </xf>
    <xf numFmtId="0" fontId="26" fillId="33" borderId="13" xfId="0" applyFont="1" applyFill="1" applyBorder="1" applyAlignment="1">
      <alignment vertical="center"/>
    </xf>
    <xf numFmtId="0" fontId="31" fillId="0" borderId="17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3" fontId="32" fillId="0" borderId="13" xfId="0" applyNumberFormat="1" applyFont="1" applyBorder="1" applyAlignment="1">
      <alignment horizontal="center" vertical="center" readingOrder="2"/>
    </xf>
    <xf numFmtId="3" fontId="32" fillId="0" borderId="18" xfId="0" applyNumberFormat="1" applyFont="1" applyBorder="1" applyAlignment="1">
      <alignment horizontal="center" vertical="center" readingOrder="2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2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6" fillId="33" borderId="13" xfId="0" applyFont="1" applyFill="1" applyBorder="1" applyAlignment="1">
      <alignment horizontal="right" vertical="center"/>
    </xf>
    <xf numFmtId="0" fontId="26" fillId="0" borderId="13" xfId="0" applyFont="1" applyBorder="1" applyAlignment="1">
      <alignment horizontal="right" vertical="center"/>
    </xf>
    <xf numFmtId="0" fontId="26" fillId="0" borderId="18" xfId="0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center" vertical="center" readingOrder="2"/>
    </xf>
    <xf numFmtId="0" fontId="21" fillId="33" borderId="13" xfId="0" applyFont="1" applyFill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8" fillId="0" borderId="17" xfId="0" applyFont="1" applyBorder="1"/>
    <xf numFmtId="0" fontId="28" fillId="33" borderId="17" xfId="0" applyFont="1" applyFill="1" applyBorder="1"/>
    <xf numFmtId="3" fontId="27" fillId="0" borderId="0" xfId="0" applyNumberFormat="1" applyFont="1"/>
    <xf numFmtId="0" fontId="19" fillId="0" borderId="0" xfId="0" applyFont="1"/>
    <xf numFmtId="3" fontId="19" fillId="0" borderId="0" xfId="0" applyNumberFormat="1" applyFont="1"/>
    <xf numFmtId="0" fontId="19" fillId="33" borderId="0" xfId="0" applyFont="1" applyFill="1"/>
    <xf numFmtId="3" fontId="19" fillId="33" borderId="0" xfId="0" applyNumberFormat="1" applyFont="1" applyFill="1"/>
    <xf numFmtId="3" fontId="33" fillId="0" borderId="13" xfId="0" applyNumberFormat="1" applyFont="1" applyBorder="1" applyAlignment="1">
      <alignment horizontal="center" vertical="center" readingOrder="2"/>
    </xf>
    <xf numFmtId="3" fontId="33" fillId="0" borderId="18" xfId="0" applyNumberFormat="1" applyFont="1" applyBorder="1" applyAlignment="1">
      <alignment horizontal="center" vertical="center" readingOrder="2"/>
    </xf>
    <xf numFmtId="0" fontId="18" fillId="0" borderId="0" xfId="0" applyFont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 wrapText="1"/>
    </xf>
    <xf numFmtId="3" fontId="18" fillId="0" borderId="16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3" fontId="20" fillId="0" borderId="13" xfId="0" applyNumberFormat="1" applyFont="1" applyBorder="1" applyAlignment="1">
      <alignment horizontal="center" vertical="center"/>
    </xf>
    <xf numFmtId="3" fontId="18" fillId="0" borderId="13" xfId="0" applyNumberFormat="1" applyFont="1" applyBorder="1" applyAlignment="1">
      <alignment horizontal="center" vertical="center"/>
    </xf>
    <xf numFmtId="3" fontId="18" fillId="0" borderId="18" xfId="0" applyNumberFormat="1" applyFont="1" applyBorder="1" applyAlignment="1">
      <alignment horizontal="center" vertical="center"/>
    </xf>
    <xf numFmtId="3" fontId="29" fillId="0" borderId="20" xfId="0" applyNumberFormat="1" applyFont="1" applyBorder="1" applyAlignment="1">
      <alignment horizontal="center" vertical="center"/>
    </xf>
    <xf numFmtId="3" fontId="29" fillId="0" borderId="21" xfId="0" applyNumberFormat="1" applyFont="1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alignment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G333" totalsRowCount="1" headerRowDxfId="634" dataDxfId="632" totalsRowDxfId="630" headerRowBorderDxfId="633" tableBorderDxfId="631" totalsRowBorderDxfId="629">
  <autoFilter ref="A2:G332" xr:uid="{00000000-0009-0000-0100-000002000000}"/>
  <sortState xmlns:xlrd2="http://schemas.microsoft.com/office/spreadsheetml/2017/richdata2" ref="A3:G332">
    <sortCondition descending="1" ref="C2:C332"/>
  </sortState>
  <tableColumns count="7">
    <tableColumn id="1" xr3:uid="{00000000-0010-0000-0000-000001000000}" name="كد تفصيلي" dataDxfId="628" totalsRowDxfId="627"/>
    <tableColumn id="2" xr3:uid="{00000000-0010-0000-0000-000002000000}" name="عنوان" dataDxfId="626" totalsRowDxfId="625"/>
    <tableColumn id="3" xr3:uid="{00000000-0010-0000-0000-000003000000}" name="حسابهای دریافتنی" totalsRowFunction="sum" dataDxfId="624" totalsRowDxfId="623">
      <calculatedColumnFormula>IFERROR(INDEX('حسابهای دریافتنی'!H:H,MATCH(Table2[[#This Row],[كد تفصيلي]],'حسابهای دریافتنی'!A:A,0)),0)</calculatedColumnFormula>
    </tableColumn>
    <tableColumn id="4" xr3:uid="{00000000-0010-0000-0000-000004000000}" name="چکهای در جریان وصول" totalsRowFunction="sum" dataDxfId="622" totalsRowDxfId="621">
      <calculatedColumnFormula>IFERROR(INDEX('درجریان وصول'!F:F,MATCH(Table2[[#This Row],[كد تفصيلي]],'درجریان وصول'!A:A,0)),0)</calculatedColumnFormula>
    </tableColumn>
    <tableColumn id="5" xr3:uid="{00000000-0010-0000-0000-000005000000}" name="چکهای نزد صندوق" totalsRowFunction="sum" dataDxfId="620" totalsRowDxfId="619">
      <calculatedColumnFormula>IFERROR(INDEX('چکهای دریافتنی'!F:F,MATCH(Table2[[#This Row],[كد تفصيلي]],'چکهای دریافتنی'!A:A,0)),0)</calculatedColumnFormula>
    </tableColumn>
    <tableColumn id="6" xr3:uid="{00000000-0010-0000-0000-000006000000}" name="مانده ریالی " dataDxfId="618" totalsRowDxfId="617">
      <calculatedColumnFormula>Table2[[#This Row],[حسابهای دریافتنی]]+Table2[[#This Row],[چکهای در جریان وصول]]+Table2[[#This Row],[چکهای نزد صندوق]]</calculatedColumnFormula>
    </tableColumn>
    <tableColumn id="7" xr3:uid="{00000000-0010-0000-0000-000007000000}" name="مانده سوفاله" totalsRowFunction="sum" dataDxfId="616" totalsRowDxfId="615">
      <calculatedColumnFormula>IFERROR(INDEX('مانده سوفاله'!F:F,MATCH(Table2[[#This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211" displayName="Table211" ref="A2:G167" totalsRowCount="1" headerRowDxfId="454" dataDxfId="452" totalsRowDxfId="450" headerRowBorderDxfId="453" tableBorderDxfId="451" totalsRowBorderDxfId="449">
  <autoFilter ref="A2:G166" xr:uid="{00000000-0009-0000-0100-00000A000000}"/>
  <sortState xmlns:xlrd2="http://schemas.microsoft.com/office/spreadsheetml/2017/richdata2" ref="A3:G332">
    <sortCondition descending="1" ref="C2:C332"/>
  </sortState>
  <tableColumns count="7">
    <tableColumn id="1" xr3:uid="{00000000-0010-0000-0900-000001000000}" name="كد تفصيلي" dataDxfId="448" totalsRowDxfId="447"/>
    <tableColumn id="2" xr3:uid="{00000000-0010-0000-0900-000002000000}" name="عنوان" dataDxfId="446" totalsRowDxfId="445"/>
    <tableColumn id="3" xr3:uid="{00000000-0010-0000-0900-000003000000}" name="حسابهای دریافتنی" totalsRowFunction="sum" dataDxfId="444" totalsRowDxfId="443">
      <calculatedColumnFormula>IFERROR(INDEX('حسابهای دریافتنی'!H:H,MATCH(Table211[[#This Row],[كد تفصيلي]],'حسابهای دریافتنی'!A:A,0)),0)</calculatedColumnFormula>
    </tableColumn>
    <tableColumn id="4" xr3:uid="{00000000-0010-0000-0900-000004000000}" name="چکهای در جریان وصول" totalsRowFunction="sum" dataDxfId="442" totalsRowDxfId="441">
      <calculatedColumnFormula>IFERROR(INDEX('درجریان وصول'!F:F,MATCH(Table211[[#This Row],[كد تفصيلي]],'درجریان وصول'!A:A,0)),0)</calculatedColumnFormula>
    </tableColumn>
    <tableColumn id="5" xr3:uid="{00000000-0010-0000-0900-000005000000}" name="چکهای نزد صندوق" totalsRowFunction="sum" dataDxfId="440" totalsRowDxfId="439">
      <calculatedColumnFormula>IFERROR(INDEX('چکهای دریافتنی'!F:F,MATCH(Table211[[#This Row],[كد تفصيلي]],'چکهای دریافتنی'!A:A,0)),0)</calculatedColumnFormula>
    </tableColumn>
    <tableColumn id="6" xr3:uid="{00000000-0010-0000-0900-000006000000}" name="مانده ریالی " dataDxfId="438" totalsRowDxfId="437">
      <calculatedColumnFormula>Table211[[#This Row],[حسابهای دریافتنی]]+Table211[[#This Row],[چکهای در جریان وصول]]+Table211[[#This Row],[چکهای نزد صندوق]]</calculatedColumnFormula>
    </tableColumn>
    <tableColumn id="7" xr3:uid="{00000000-0010-0000-0900-000007000000}" name="مانده سوفاله" totalsRowFunction="sum" dataDxfId="436" totalsRowDxfId="435">
      <calculatedColumnFormula>IFERROR(INDEX('مانده سوفاله'!F:F,MATCH(Table211[[#This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212" displayName="Table212" ref="A2:G166" totalsRowCount="1" headerRowDxfId="434" dataDxfId="432" totalsRowDxfId="430" headerRowBorderDxfId="433" tableBorderDxfId="431" totalsRowBorderDxfId="429">
  <autoFilter ref="A2:G165" xr:uid="{00000000-0009-0000-0100-00000B000000}"/>
  <sortState xmlns:xlrd2="http://schemas.microsoft.com/office/spreadsheetml/2017/richdata2" ref="A3:G332">
    <sortCondition descending="1" ref="C2:C332"/>
  </sortState>
  <tableColumns count="7">
    <tableColumn id="1" xr3:uid="{00000000-0010-0000-0A00-000001000000}" name="كد تفصيلي" dataDxfId="428" totalsRowDxfId="427"/>
    <tableColumn id="2" xr3:uid="{00000000-0010-0000-0A00-000002000000}" name="عنوان" dataDxfId="426" totalsRowDxfId="425"/>
    <tableColumn id="3" xr3:uid="{00000000-0010-0000-0A00-000003000000}" name="حسابهای دریافتنی" totalsRowFunction="sum" dataDxfId="424" totalsRowDxfId="423">
      <calculatedColumnFormula>IFERROR(INDEX('حسابهای دریافتنی'!H:H,MATCH(Table212[[#This Row],[كد تفصيلي]],'حسابهای دریافتنی'!A:A,0)),0)</calculatedColumnFormula>
    </tableColumn>
    <tableColumn id="4" xr3:uid="{00000000-0010-0000-0A00-000004000000}" name="چکهای در جریان وصول" totalsRowFunction="sum" dataDxfId="422" totalsRowDxfId="421">
      <calculatedColumnFormula>IFERROR(INDEX('درجریان وصول'!F:F,MATCH(Table212[[#This Row],[كد تفصيلي]],'درجریان وصول'!A:A,0)),0)</calculatedColumnFormula>
    </tableColumn>
    <tableColumn id="5" xr3:uid="{00000000-0010-0000-0A00-000005000000}" name="چکهای نزد صندوق" totalsRowFunction="sum" dataDxfId="420" totalsRowDxfId="419">
      <calculatedColumnFormula>IFERROR(INDEX('چکهای دریافتنی'!F:F,MATCH(Table212[[#This Row],[كد تفصيلي]],'چکهای دریافتنی'!A:A,0)),0)</calculatedColumnFormula>
    </tableColumn>
    <tableColumn id="6" xr3:uid="{00000000-0010-0000-0A00-000006000000}" name="مانده ریالی " dataDxfId="418" totalsRowDxfId="417">
      <calculatedColumnFormula>Table212[[#This Row],[حسابهای دریافتنی]]+Table212[[#This Row],[چکهای در جریان وصول]]+Table212[[#This Row],[چکهای نزد صندوق]]</calculatedColumnFormula>
    </tableColumn>
    <tableColumn id="7" xr3:uid="{00000000-0010-0000-0A00-000007000000}" name="مانده سوفاله" totalsRowFunction="sum" dataDxfId="416" totalsRowDxfId="415">
      <calculatedColumnFormula>IFERROR(INDEX('مانده سوفاله'!F:F,MATCH(Table212[[#This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213" displayName="Table213" ref="A2:G167" totalsRowCount="1" headerRowDxfId="414" dataDxfId="412" totalsRowDxfId="410" headerRowBorderDxfId="413" tableBorderDxfId="411" totalsRowBorderDxfId="409">
  <autoFilter ref="A2:G166" xr:uid="{00000000-0009-0000-0100-00000C000000}"/>
  <sortState xmlns:xlrd2="http://schemas.microsoft.com/office/spreadsheetml/2017/richdata2" ref="A3:G332">
    <sortCondition descending="1" ref="C2:C332"/>
  </sortState>
  <tableColumns count="7">
    <tableColumn id="1" xr3:uid="{00000000-0010-0000-0B00-000001000000}" name="كد تفصيلي" dataDxfId="408" totalsRowDxfId="407"/>
    <tableColumn id="2" xr3:uid="{00000000-0010-0000-0B00-000002000000}" name="عنوان" dataDxfId="406" totalsRowDxfId="405"/>
    <tableColumn id="3" xr3:uid="{00000000-0010-0000-0B00-000003000000}" name="حسابهای دریافتنی" totalsRowFunction="sum" dataDxfId="404" totalsRowDxfId="403">
      <calculatedColumnFormula>IFERROR(INDEX('حسابهای دریافتنی'!H:H,MATCH(Table213[[#This Row],[كد تفصيلي]],'حسابهای دریافتنی'!A:A,0)),0)</calculatedColumnFormula>
    </tableColumn>
    <tableColumn id="4" xr3:uid="{00000000-0010-0000-0B00-000004000000}" name="چکهای در جریان وصول" totalsRowFunction="sum" dataDxfId="402" totalsRowDxfId="401">
      <calculatedColumnFormula>IFERROR(INDEX('درجریان وصول'!F:F,MATCH(Table213[[#This Row],[كد تفصيلي]],'درجریان وصول'!A:A,0)),0)</calculatedColumnFormula>
    </tableColumn>
    <tableColumn id="5" xr3:uid="{00000000-0010-0000-0B00-000005000000}" name="چکهای نزد صندوق" totalsRowFunction="sum" dataDxfId="400" totalsRowDxfId="399">
      <calculatedColumnFormula>IFERROR(INDEX('چکهای دریافتنی'!F:F,MATCH(Table213[[#This Row],[كد تفصيلي]],'چکهای دریافتنی'!A:A,0)),0)</calculatedColumnFormula>
    </tableColumn>
    <tableColumn id="6" xr3:uid="{00000000-0010-0000-0B00-000006000000}" name="مانده ریالی " dataDxfId="398" totalsRowDxfId="397">
      <calculatedColumnFormula>Table213[[#This Row],[حسابهای دریافتنی]]+Table213[[#This Row],[چکهای در جریان وصول]]+Table213[[#This Row],[چکهای نزد صندوق]]</calculatedColumnFormula>
    </tableColumn>
    <tableColumn id="7" xr3:uid="{00000000-0010-0000-0B00-000007000000}" name="مانده سوفاله" totalsRowFunction="sum" dataDxfId="396" totalsRowDxfId="395">
      <calculatedColumnFormula>IFERROR(INDEX('مانده سوفاله'!F:F,MATCH(Table213[[#This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214" displayName="Table214" ref="A2:G167" totalsRowCount="1" headerRowDxfId="394" dataDxfId="392" totalsRowDxfId="390" headerRowBorderDxfId="393" tableBorderDxfId="391" totalsRowBorderDxfId="389">
  <autoFilter ref="A2:G166" xr:uid="{00000000-0009-0000-0100-00000D000000}"/>
  <sortState xmlns:xlrd2="http://schemas.microsoft.com/office/spreadsheetml/2017/richdata2" ref="A3:G166">
    <sortCondition descending="1" ref="C2:C166"/>
  </sortState>
  <tableColumns count="7">
    <tableColumn id="1" xr3:uid="{00000000-0010-0000-0C00-000001000000}" name="كد تفصيلي" dataDxfId="388" totalsRowDxfId="387"/>
    <tableColumn id="2" xr3:uid="{00000000-0010-0000-0C00-000002000000}" name="عنوان" dataDxfId="386" totalsRowDxfId="385"/>
    <tableColumn id="3" xr3:uid="{00000000-0010-0000-0C00-000003000000}" name="حسابهای دریافتنی" totalsRowFunction="sum" dataDxfId="384" totalsRowDxfId="383">
      <calculatedColumnFormula>IFERROR(INDEX('حسابهای دریافتنی'!H:H,MATCH(Table214[[#This Row],[كد تفصيلي]],'حسابهای دریافتنی'!A:A,0)),0)</calculatedColumnFormula>
    </tableColumn>
    <tableColumn id="4" xr3:uid="{00000000-0010-0000-0C00-000004000000}" name="چکهای در جریان وصول" totalsRowFunction="sum" dataDxfId="382" totalsRowDxfId="381">
      <calculatedColumnFormula>IFERROR(INDEX('درجریان وصول'!F:F,MATCH(Table214[[#This Row],[كد تفصيلي]],'درجریان وصول'!A:A,0)),0)</calculatedColumnFormula>
    </tableColumn>
    <tableColumn id="5" xr3:uid="{00000000-0010-0000-0C00-000005000000}" name="چکهای نزد صندوق" totalsRowFunction="sum" dataDxfId="380" totalsRowDxfId="379">
      <calculatedColumnFormula>IFERROR(INDEX('چکهای دریافتنی'!F:F,MATCH(Table214[[#This Row],[كد تفصيلي]],'چکهای دریافتنی'!A:A,0)),0)</calculatedColumnFormula>
    </tableColumn>
    <tableColumn id="6" xr3:uid="{00000000-0010-0000-0C00-000006000000}" name="مانده ریالی " dataDxfId="378" totalsRowDxfId="377">
      <calculatedColumnFormula>Table214[[#This Row],[حسابهای دریافتنی]]+Table214[[#This Row],[چکهای در جریان وصول]]+Table214[[#This Row],[چکهای نزد صندوق]]</calculatedColumnFormula>
    </tableColumn>
    <tableColumn id="7" xr3:uid="{00000000-0010-0000-0C00-000007000000}" name="مانده سوفاله" totalsRowFunction="sum" dataDxfId="376" totalsRowDxfId="375">
      <calculatedColumnFormula>IFERROR(INDEX('مانده سوفاله'!F:F,MATCH(Table214[[#This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215" displayName="Table215" ref="A2:G167" totalsRowCount="1" headerRowDxfId="374" dataDxfId="372" totalsRowDxfId="370" headerRowBorderDxfId="373" tableBorderDxfId="371" totalsRowBorderDxfId="369">
  <autoFilter ref="A2:G166" xr:uid="{00000000-0009-0000-0100-00000E000000}"/>
  <sortState xmlns:xlrd2="http://schemas.microsoft.com/office/spreadsheetml/2017/richdata2" ref="A3:G332">
    <sortCondition descending="1" ref="C2:C332"/>
  </sortState>
  <tableColumns count="7">
    <tableColumn id="1" xr3:uid="{00000000-0010-0000-0D00-000001000000}" name="كد تفصيلي" dataDxfId="368" totalsRowDxfId="367"/>
    <tableColumn id="2" xr3:uid="{00000000-0010-0000-0D00-000002000000}" name="عنوان" dataDxfId="366" totalsRowDxfId="365"/>
    <tableColumn id="3" xr3:uid="{00000000-0010-0000-0D00-000003000000}" name="حسابهای دریافتنی" totalsRowFunction="sum" dataDxfId="364" totalsRowDxfId="363">
      <calculatedColumnFormula>IFERROR(INDEX('حسابهای دریافتنی'!H:H,MATCH(Table215[[#This Row],[كد تفصيلي]],'حسابهای دریافتنی'!A:A,0)),0)</calculatedColumnFormula>
    </tableColumn>
    <tableColumn id="4" xr3:uid="{00000000-0010-0000-0D00-000004000000}" name="چکهای در جریان وصول" totalsRowFunction="sum" dataDxfId="362" totalsRowDxfId="361">
      <calculatedColumnFormula>IFERROR(INDEX('درجریان وصول'!F:F,MATCH(Table215[[#This Row],[كد تفصيلي]],'درجریان وصول'!A:A,0)),0)</calculatedColumnFormula>
    </tableColumn>
    <tableColumn id="5" xr3:uid="{00000000-0010-0000-0D00-000005000000}" name="چکهای نزد صندوق" totalsRowFunction="sum" dataDxfId="360" totalsRowDxfId="359">
      <calculatedColumnFormula>IFERROR(INDEX('چکهای دریافتنی'!F:F,MATCH(Table215[[#This Row],[كد تفصيلي]],'چکهای دریافتنی'!A:A,0)),0)</calculatedColumnFormula>
    </tableColumn>
    <tableColumn id="6" xr3:uid="{00000000-0010-0000-0D00-000006000000}" name="مانده ریالی " dataDxfId="358" totalsRowDxfId="357">
      <calculatedColumnFormula>Table215[[#This Row],[حسابهای دریافتنی]]+Table215[[#This Row],[چکهای در جریان وصول]]+Table215[[#This Row],[چکهای نزد صندوق]]</calculatedColumnFormula>
    </tableColumn>
    <tableColumn id="7" xr3:uid="{00000000-0010-0000-0D00-000007000000}" name="مانده سوفاله" totalsRowFunction="sum" dataDxfId="356" totalsRowDxfId="355">
      <calculatedColumnFormula>IFERROR(INDEX('مانده سوفاله'!F:F,MATCH(Table215[[#This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16" displayName="Table216" ref="A2:G171" totalsRowCount="1" headerRowDxfId="354" dataDxfId="352" totalsRowDxfId="350" headerRowBorderDxfId="353" tableBorderDxfId="351" totalsRowBorderDxfId="349">
  <autoFilter ref="A2:G170" xr:uid="{00000000-0009-0000-0100-00000F000000}"/>
  <sortState xmlns:xlrd2="http://schemas.microsoft.com/office/spreadsheetml/2017/richdata2" ref="A3:G332">
    <sortCondition descending="1" ref="C2:C332"/>
  </sortState>
  <tableColumns count="7">
    <tableColumn id="1" xr3:uid="{00000000-0010-0000-0E00-000001000000}" name="كد تفصيلي" dataDxfId="348" totalsRowDxfId="347"/>
    <tableColumn id="2" xr3:uid="{00000000-0010-0000-0E00-000002000000}" name="عنوان" dataDxfId="346" totalsRowDxfId="345"/>
    <tableColumn id="3" xr3:uid="{00000000-0010-0000-0E00-000003000000}" name="حسابهای دریافتنی" totalsRowFunction="sum" dataDxfId="344" totalsRowDxfId="343">
      <calculatedColumnFormula>IFERROR(INDEX('حسابهای دریافتنی'!H:H,MATCH(Table216[[#This Row],[كد تفصيلي]],'حسابهای دریافتنی'!A:A,0)),0)</calculatedColumnFormula>
    </tableColumn>
    <tableColumn id="4" xr3:uid="{00000000-0010-0000-0E00-000004000000}" name="چکهای در جریان وصول" totalsRowFunction="sum" dataDxfId="342" totalsRowDxfId="341">
      <calculatedColumnFormula>IFERROR(INDEX('درجریان وصول'!F:F,MATCH(Table216[[#This Row],[كد تفصيلي]],'درجریان وصول'!A:A,0)),0)</calculatedColumnFormula>
    </tableColumn>
    <tableColumn id="5" xr3:uid="{00000000-0010-0000-0E00-000005000000}" name="چکهای نزد صندوق" totalsRowFunction="sum" dataDxfId="340" totalsRowDxfId="339">
      <calculatedColumnFormula>IFERROR(INDEX('چکهای دریافتنی'!F:F,MATCH(Table216[[#This Row],[كد تفصيلي]],'چکهای دریافتنی'!A:A,0)),0)</calculatedColumnFormula>
    </tableColumn>
    <tableColumn id="6" xr3:uid="{00000000-0010-0000-0E00-000006000000}" name="مانده ریالی " dataDxfId="338" totalsRowDxfId="337">
      <calculatedColumnFormula>Table216[[#This Row],[حسابهای دریافتنی]]+Table216[[#This Row],[چکهای در جریان وصول]]+Table216[[#This Row],[چکهای نزد صندوق]]</calculatedColumnFormula>
    </tableColumn>
    <tableColumn id="7" xr3:uid="{00000000-0010-0000-0E00-000007000000}" name="مانده سوفاله" totalsRowFunction="sum" dataDxfId="336" totalsRowDxfId="335">
      <calculatedColumnFormula>IFERROR(INDEX('مانده سوفاله'!F:F,MATCH(Table216[[#This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217" displayName="Table217" ref="A2:G171" totalsRowCount="1" headerRowDxfId="334" dataDxfId="332" totalsRowDxfId="330" headerRowBorderDxfId="333" tableBorderDxfId="331" totalsRowBorderDxfId="329">
  <autoFilter ref="A2:G170" xr:uid="{00000000-0009-0000-0100-000010000000}"/>
  <sortState xmlns:xlrd2="http://schemas.microsoft.com/office/spreadsheetml/2017/richdata2" ref="A3:G182">
    <sortCondition descending="1" ref="C2:C182"/>
  </sortState>
  <tableColumns count="7">
    <tableColumn id="1" xr3:uid="{00000000-0010-0000-0F00-000001000000}" name="كد تفصيلي" dataDxfId="328" totalsRowDxfId="327"/>
    <tableColumn id="2" xr3:uid="{00000000-0010-0000-0F00-000002000000}" name="عنوان" dataDxfId="326" totalsRowDxfId="325"/>
    <tableColumn id="3" xr3:uid="{00000000-0010-0000-0F00-000003000000}" name="حسابهای دریافتنی" totalsRowFunction="sum" dataDxfId="324" totalsRowDxfId="323">
      <calculatedColumnFormula>IFERROR(INDEX('حسابهای دریافتنی'!H:H,MATCH(Table217[[#This Row],[كد تفصيلي]],'حسابهای دریافتنی'!A:A,0)),0)</calculatedColumnFormula>
    </tableColumn>
    <tableColumn id="4" xr3:uid="{00000000-0010-0000-0F00-000004000000}" name="چکهای در جریان وصول" totalsRowFunction="sum" dataDxfId="322" totalsRowDxfId="321">
      <calculatedColumnFormula>IFERROR(INDEX('درجریان وصول'!F:F,MATCH(Table217[[#This Row],[كد تفصيلي]],'درجریان وصول'!A:A,0)),0)</calculatedColumnFormula>
    </tableColumn>
    <tableColumn id="5" xr3:uid="{00000000-0010-0000-0F00-000005000000}" name="چکهای نزد صندوق" totalsRowFunction="sum" dataDxfId="320" totalsRowDxfId="319">
      <calculatedColumnFormula>IFERROR(INDEX('چکهای دریافتنی'!F:F,MATCH(Table217[[#This Row],[كد تفصيلي]],'چکهای دریافتنی'!A:A,0)),0)</calculatedColumnFormula>
    </tableColumn>
    <tableColumn id="6" xr3:uid="{00000000-0010-0000-0F00-000006000000}" name="مانده ریالی " dataDxfId="318" totalsRowDxfId="317">
      <calculatedColumnFormula>Table217[[#This Row],[حسابهای دریافتنی]]+Table217[[#This Row],[چکهای در جریان وصول]]+Table217[[#This Row],[چکهای نزد صندوق]]</calculatedColumnFormula>
    </tableColumn>
    <tableColumn id="7" xr3:uid="{00000000-0010-0000-0F00-000007000000}" name="مانده سوفاله" totalsRowFunction="sum" dataDxfId="316" totalsRowDxfId="315">
      <calculatedColumnFormula>IFERROR(INDEX('مانده سوفاله'!F:F,MATCH(Table217[[#This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18" displayName="Table218" ref="A2:G173" totalsRowCount="1" headerRowDxfId="314" dataDxfId="312" totalsRowDxfId="310" headerRowBorderDxfId="313" tableBorderDxfId="311" totalsRowBorderDxfId="309">
  <autoFilter ref="A2:G172" xr:uid="{00000000-0009-0000-0100-000011000000}"/>
  <sortState xmlns:xlrd2="http://schemas.microsoft.com/office/spreadsheetml/2017/richdata2" ref="A3:G332">
    <sortCondition descending="1" ref="C2:C332"/>
  </sortState>
  <tableColumns count="7">
    <tableColumn id="1" xr3:uid="{00000000-0010-0000-1000-000001000000}" name="كد تفصيلي" dataDxfId="308" totalsRowDxfId="307"/>
    <tableColumn id="2" xr3:uid="{00000000-0010-0000-1000-000002000000}" name="عنوان" dataDxfId="306" totalsRowDxfId="305"/>
    <tableColumn id="3" xr3:uid="{00000000-0010-0000-1000-000003000000}" name="حسابهای دریافتنی" totalsRowFunction="sum" dataDxfId="304" totalsRowDxfId="303">
      <calculatedColumnFormula>IFERROR(INDEX('حسابهای دریافتنی'!H:H,MATCH(Table218[[#This Row],[كد تفصيلي]],'حسابهای دریافتنی'!A:A,0)),0)</calculatedColumnFormula>
    </tableColumn>
    <tableColumn id="4" xr3:uid="{00000000-0010-0000-1000-000004000000}" name="چکهای در جریان وصول" totalsRowFunction="sum" dataDxfId="302" totalsRowDxfId="301">
      <calculatedColumnFormula>IFERROR(INDEX('درجریان وصول'!F:F,MATCH(Table218[[#This Row],[كد تفصيلي]],'درجریان وصول'!A:A,0)),0)</calculatedColumnFormula>
    </tableColumn>
    <tableColumn id="5" xr3:uid="{00000000-0010-0000-1000-000005000000}" name="چکهای نزد صندوق" totalsRowFunction="sum" dataDxfId="300" totalsRowDxfId="299">
      <calculatedColumnFormula>IFERROR(INDEX('چکهای دریافتنی'!F:F,MATCH(Table218[[#This Row],[كد تفصيلي]],'چکهای دریافتنی'!A:A,0)),0)</calculatedColumnFormula>
    </tableColumn>
    <tableColumn id="6" xr3:uid="{00000000-0010-0000-1000-000006000000}" name="مانده ریالی " dataDxfId="298" totalsRowDxfId="297">
      <calculatedColumnFormula>Table218[[#This Row],[حسابهای دریافتنی]]+Table218[[#This Row],[چکهای در جریان وصول]]+Table218[[#This Row],[چکهای نزد صندوق]]</calculatedColumnFormula>
    </tableColumn>
    <tableColumn id="7" xr3:uid="{00000000-0010-0000-1000-000007000000}" name="مانده سوفاله" totalsRowFunction="sum" dataDxfId="296" totalsRowDxfId="295">
      <calculatedColumnFormula>IFERROR(INDEX('مانده سوفاله'!F:F,MATCH(Table218[[#This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219" displayName="Table219" ref="A2:G178" totalsRowCount="1" headerRowDxfId="294" dataDxfId="292" totalsRowDxfId="290" headerRowBorderDxfId="293" tableBorderDxfId="291" totalsRowBorderDxfId="289">
  <autoFilter ref="A2:G177" xr:uid="{00000000-0009-0000-0100-000012000000}"/>
  <sortState xmlns:xlrd2="http://schemas.microsoft.com/office/spreadsheetml/2017/richdata2" ref="A3:G185">
    <sortCondition descending="1" ref="C2:C185"/>
  </sortState>
  <tableColumns count="7">
    <tableColumn id="1" xr3:uid="{00000000-0010-0000-1100-000001000000}" name="كد تفصيلي" dataDxfId="288" totalsRowDxfId="287"/>
    <tableColumn id="2" xr3:uid="{00000000-0010-0000-1100-000002000000}" name="عنوان" dataDxfId="286" totalsRowDxfId="285"/>
    <tableColumn id="3" xr3:uid="{00000000-0010-0000-1100-000003000000}" name="حسابهای دریافتنی" totalsRowFunction="sum" dataDxfId="284" totalsRowDxfId="283">
      <calculatedColumnFormula>IFERROR(INDEX('حسابهای دریافتنی'!H:H,MATCH(Table219[[#This Row],[كد تفصيلي]],'حسابهای دریافتنی'!A:A,0)),0)</calculatedColumnFormula>
    </tableColumn>
    <tableColumn id="4" xr3:uid="{00000000-0010-0000-1100-000004000000}" name="چکهای در جریان وصول" totalsRowFunction="sum" dataDxfId="282" totalsRowDxfId="281">
      <calculatedColumnFormula>IFERROR(INDEX('درجریان وصول'!F:F,MATCH(Table219[[#This Row],[كد تفصيلي]],'درجریان وصول'!A:A,0)),0)</calculatedColumnFormula>
    </tableColumn>
    <tableColumn id="5" xr3:uid="{00000000-0010-0000-1100-000005000000}" name="چکهای نزد صندوق" totalsRowFunction="sum" dataDxfId="280" totalsRowDxfId="279">
      <calculatedColumnFormula>IFERROR(INDEX('چکهای دریافتنی'!F:F,MATCH(Table219[[#This Row],[كد تفصيلي]],'چکهای دریافتنی'!A:A,0)),0)</calculatedColumnFormula>
    </tableColumn>
    <tableColumn id="6" xr3:uid="{00000000-0010-0000-1100-000006000000}" name="مانده ریالی " dataDxfId="278" totalsRowDxfId="277">
      <calculatedColumnFormula>Table219[[#This Row],[حسابهای دریافتنی]]+Table219[[#This Row],[چکهای در جریان وصول]]+Table219[[#This Row],[چکهای نزد صندوق]]</calculatedColumnFormula>
    </tableColumn>
    <tableColumn id="7" xr3:uid="{00000000-0010-0000-1100-000007000000}" name="مانده سوفاله" totalsRowFunction="sum" dataDxfId="276" totalsRowDxfId="275">
      <calculatedColumnFormula>IFERROR(INDEX('مانده سوفاله'!F:F,MATCH(Table219[[#This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20" displayName="Table220" ref="A2:G173" totalsRowCount="1" headerRowDxfId="274" dataDxfId="272" totalsRowDxfId="270" headerRowBorderDxfId="273" tableBorderDxfId="271" totalsRowBorderDxfId="269">
  <autoFilter ref="A2:G172" xr:uid="{00000000-0009-0000-0100-000013000000}"/>
  <sortState xmlns:xlrd2="http://schemas.microsoft.com/office/spreadsheetml/2017/richdata2" ref="A3:G332">
    <sortCondition descending="1" ref="C2:C332"/>
  </sortState>
  <tableColumns count="7">
    <tableColumn id="1" xr3:uid="{00000000-0010-0000-1200-000001000000}" name="كد تفصيلي" dataDxfId="268" totalsRowDxfId="267"/>
    <tableColumn id="2" xr3:uid="{00000000-0010-0000-1200-000002000000}" name="عنوان" dataDxfId="266" totalsRowDxfId="265"/>
    <tableColumn id="3" xr3:uid="{00000000-0010-0000-1200-000003000000}" name="حسابهای دریافتنی" totalsRowFunction="sum" dataDxfId="264" totalsRowDxfId="263">
      <calculatedColumnFormula>IFERROR(INDEX('حسابهای دریافتنی'!H:H,MATCH(Table220[[#This Row],[كد تفصيلي]],'حسابهای دریافتنی'!A:A,0)),0)</calculatedColumnFormula>
    </tableColumn>
    <tableColumn id="4" xr3:uid="{00000000-0010-0000-1200-000004000000}" name="چکهای در جریان وصول" totalsRowFunction="sum" dataDxfId="262" totalsRowDxfId="261">
      <calculatedColumnFormula>IFERROR(INDEX('درجریان وصول'!F:F,MATCH(Table220[[#This Row],[كد تفصيلي]],'درجریان وصول'!A:A,0)),0)</calculatedColumnFormula>
    </tableColumn>
    <tableColumn id="5" xr3:uid="{00000000-0010-0000-1200-000005000000}" name="چکهای نزد صندوق" totalsRowFunction="sum" dataDxfId="260" totalsRowDxfId="259">
      <calculatedColumnFormula>IFERROR(INDEX('چکهای دریافتنی'!F:F,MATCH(Table220[[#This Row],[كد تفصيلي]],'چکهای دریافتنی'!A:A,0)),0)</calculatedColumnFormula>
    </tableColumn>
    <tableColumn id="6" xr3:uid="{00000000-0010-0000-1200-000006000000}" name="مانده ریالی " dataDxfId="258" totalsRowDxfId="257">
      <calculatedColumnFormula>Table220[[#This Row],[حسابهای دریافتنی]]+Table220[[#This Row],[چکهای در جریان وصول]]+Table220[[#This Row],[چکهای نزد صندوق]]</calculatedColumnFormula>
    </tableColumn>
    <tableColumn id="7" xr3:uid="{00000000-0010-0000-1200-000007000000}" name="مانده سوفاله" totalsRowFunction="sum" dataDxfId="256" totalsRowDxfId="255">
      <calculatedColumnFormula>IFERROR(INDEX('مانده سوفاله'!F:F,MATCH(Table220[[#This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2:G168" totalsRowCount="1" headerRowDxfId="614" dataDxfId="612" totalsRowDxfId="610" headerRowBorderDxfId="613" tableBorderDxfId="611" totalsRowBorderDxfId="609">
  <autoFilter ref="A2:G167" xr:uid="{00000000-0009-0000-0100-000001000000}"/>
  <sortState xmlns:xlrd2="http://schemas.microsoft.com/office/spreadsheetml/2017/richdata2" ref="A3:G281">
    <sortCondition descending="1" ref="C2:C281"/>
  </sortState>
  <tableColumns count="7">
    <tableColumn id="1" xr3:uid="{00000000-0010-0000-0100-000001000000}" name="كد تفصيلي" dataDxfId="608" totalsRowDxfId="607"/>
    <tableColumn id="2" xr3:uid="{00000000-0010-0000-0100-000002000000}" name="عنوان" dataDxfId="606" totalsRowDxfId="605"/>
    <tableColumn id="3" xr3:uid="{00000000-0010-0000-0100-000003000000}" name="حسابهای دریافتنی" totalsRowFunction="sum" dataDxfId="604" totalsRowDxfId="603">
      <calculatedColumnFormula>IFERROR(INDEX('حسابهای دریافتنی'!H:H,MATCH(Table22[[#This Row],[كد تفصيلي]],'حسابهای دریافتنی'!A:A,0)),0)</calculatedColumnFormula>
    </tableColumn>
    <tableColumn id="4" xr3:uid="{00000000-0010-0000-0100-000004000000}" name="چکهای در جریان وصول" totalsRowFunction="sum" dataDxfId="602" totalsRowDxfId="601">
      <calculatedColumnFormula>IFERROR(INDEX('درجریان وصول'!F:F,MATCH(Table22[[#This Row],[كد تفصيلي]],'درجریان وصول'!A:A,0)),0)</calculatedColumnFormula>
    </tableColumn>
    <tableColumn id="5" xr3:uid="{00000000-0010-0000-0100-000005000000}" name="چکهای نزد صندوق" totalsRowFunction="sum" dataDxfId="600" totalsRowDxfId="599">
      <calculatedColumnFormula>IFERROR(INDEX('چکهای دریافتنی'!F:F,MATCH(Table22[[#This Row],[كد تفصيلي]],'چکهای دریافتنی'!A:A,0)),0)</calculatedColumnFormula>
    </tableColumn>
    <tableColumn id="6" xr3:uid="{00000000-0010-0000-0100-000006000000}" name="مانده ریالی " dataDxfId="598" totalsRowDxfId="597">
      <calculatedColumnFormula>Table22[[#This Row],[حسابهای دریافتنی]]+Table22[[#This Row],[چکهای در جریان وصول]]+Table22[[#This Row],[چکهای نزد صندوق]]</calculatedColumnFormula>
    </tableColumn>
    <tableColumn id="7" xr3:uid="{00000000-0010-0000-0100-000007000000}" name="مانده سوفاله" totalsRowFunction="sum" dataDxfId="596" totalsRowDxfId="595">
      <calculatedColumnFormula>IFERROR(INDEX('مانده سوفاله'!F:F,MATCH(Table22[[#This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21" displayName="Table221" ref="A2:G176" totalsRowCount="1" headerRowDxfId="254" dataDxfId="252" totalsRowDxfId="250" headerRowBorderDxfId="253" tableBorderDxfId="251" totalsRowBorderDxfId="249">
  <autoFilter ref="A2:G175" xr:uid="{00000000-0009-0000-0100-000014000000}"/>
  <sortState xmlns:xlrd2="http://schemas.microsoft.com/office/spreadsheetml/2017/richdata2" ref="A3:G332">
    <sortCondition descending="1" ref="C2:C332"/>
  </sortState>
  <tableColumns count="7">
    <tableColumn id="1" xr3:uid="{00000000-0010-0000-1300-000001000000}" name="كد تفصيلي" dataDxfId="248" totalsRowDxfId="247"/>
    <tableColumn id="2" xr3:uid="{00000000-0010-0000-1300-000002000000}" name="عنوان" dataDxfId="246" totalsRowDxfId="245"/>
    <tableColumn id="3" xr3:uid="{00000000-0010-0000-1300-000003000000}" name="حسابهای دریافتنی" totalsRowFunction="sum" dataDxfId="244" totalsRowDxfId="243">
      <calculatedColumnFormula>IFERROR(INDEX('حسابهای دریافتنی'!H:H,MATCH(Table221[[#This Row],[كد تفصيلي]],'حسابهای دریافتنی'!A:A,0)),0)</calculatedColumnFormula>
    </tableColumn>
    <tableColumn id="4" xr3:uid="{00000000-0010-0000-1300-000004000000}" name="چکهای در جریان وصول" totalsRowFunction="sum" dataDxfId="242" totalsRowDxfId="241">
      <calculatedColumnFormula>IFERROR(INDEX('درجریان وصول'!F:F,MATCH(Table221[[#This Row],[كد تفصيلي]],'درجریان وصول'!A:A,0)),0)</calculatedColumnFormula>
    </tableColumn>
    <tableColumn id="5" xr3:uid="{00000000-0010-0000-1300-000005000000}" name="چکهای نزد صندوق" totalsRowFunction="sum" dataDxfId="240" totalsRowDxfId="239">
      <calculatedColumnFormula>IFERROR(INDEX('چکهای دریافتنی'!F:F,MATCH(Table221[[#This Row],[كد تفصيلي]],'چکهای دریافتنی'!A:A,0)),0)</calculatedColumnFormula>
    </tableColumn>
    <tableColumn id="6" xr3:uid="{00000000-0010-0000-1300-000006000000}" name="مانده ریالی " dataDxfId="238" totalsRowDxfId="237">
      <calculatedColumnFormula>Table221[[#This Row],[حسابهای دریافتنی]]+Table221[[#This Row],[چکهای در جریان وصول]]+Table221[[#This Row],[چکهای نزد صندوق]]</calculatedColumnFormula>
    </tableColumn>
    <tableColumn id="7" xr3:uid="{00000000-0010-0000-1300-000007000000}" name="مانده سوفاله" totalsRowFunction="sum" dataDxfId="236" totalsRowDxfId="235">
      <calculatedColumnFormula>IFERROR(INDEX('مانده سوفاله'!F:F,MATCH(Table221[[#This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22" displayName="Table222" ref="A2:G174" totalsRowCount="1" headerRowDxfId="234" dataDxfId="232" totalsRowDxfId="230" headerRowBorderDxfId="233" tableBorderDxfId="231" totalsRowBorderDxfId="229">
  <autoFilter ref="A2:G173" xr:uid="{00000000-0009-0000-0100-000015000000}"/>
  <sortState xmlns:xlrd2="http://schemas.microsoft.com/office/spreadsheetml/2017/richdata2" ref="A3:G332">
    <sortCondition descending="1" ref="C2:C332"/>
  </sortState>
  <tableColumns count="7">
    <tableColumn id="1" xr3:uid="{00000000-0010-0000-1400-000001000000}" name="كد تفصيلي" dataDxfId="228" totalsRowDxfId="227"/>
    <tableColumn id="2" xr3:uid="{00000000-0010-0000-1400-000002000000}" name="عنوان" dataDxfId="226" totalsRowDxfId="225"/>
    <tableColumn id="3" xr3:uid="{00000000-0010-0000-1400-000003000000}" name="حسابهای دریافتنی" totalsRowFunction="sum" dataDxfId="224" totalsRowDxfId="223">
      <calculatedColumnFormula>IFERROR(INDEX('حسابهای دریافتنی'!H:H,MATCH(Table222[[#This Row],[كد تفصيلي]],'حسابهای دریافتنی'!A:A,0)),0)</calculatedColumnFormula>
    </tableColumn>
    <tableColumn id="4" xr3:uid="{00000000-0010-0000-1400-000004000000}" name="چکهای در جریان وصول" totalsRowFunction="sum" dataDxfId="222" totalsRowDxfId="221">
      <calculatedColumnFormula>IFERROR(INDEX('درجریان وصول'!F:F,MATCH(Table222[[#This Row],[كد تفصيلي]],'درجریان وصول'!A:A,0)),0)</calculatedColumnFormula>
    </tableColumn>
    <tableColumn id="5" xr3:uid="{00000000-0010-0000-1400-000005000000}" name="چکهای نزد صندوق" totalsRowFunction="sum" dataDxfId="220" totalsRowDxfId="219">
      <calculatedColumnFormula>IFERROR(INDEX('چکهای دریافتنی'!F:F,MATCH(Table222[[#This Row],[كد تفصيلي]],'چکهای دریافتنی'!A:A,0)),0)</calculatedColumnFormula>
    </tableColumn>
    <tableColumn id="6" xr3:uid="{00000000-0010-0000-1400-000006000000}" name="مانده ریالی " dataDxfId="218" totalsRowDxfId="217">
      <calculatedColumnFormula>Table222[[#This Row],[حسابهای دریافتنی]]+Table222[[#This Row],[چکهای در جریان وصول]]+Table222[[#This Row],[چکهای نزد صندوق]]</calculatedColumnFormula>
    </tableColumn>
    <tableColumn id="7" xr3:uid="{00000000-0010-0000-1400-000007000000}" name="مانده سوفاله" totalsRowFunction="sum" dataDxfId="216" totalsRowDxfId="215">
      <calculatedColumnFormula>IFERROR(INDEX('مانده سوفاله'!F:F,MATCH(Table222[[#This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3" displayName="Table223" ref="A2:G175" totalsRowCount="1" headerRowDxfId="214" dataDxfId="212" totalsRowDxfId="210" headerRowBorderDxfId="213" tableBorderDxfId="211" totalsRowBorderDxfId="209">
  <autoFilter ref="A2:G174" xr:uid="{00000000-0009-0000-0100-000016000000}"/>
  <sortState xmlns:xlrd2="http://schemas.microsoft.com/office/spreadsheetml/2017/richdata2" ref="A3:G332">
    <sortCondition descending="1" ref="C2:C332"/>
  </sortState>
  <tableColumns count="7">
    <tableColumn id="1" xr3:uid="{00000000-0010-0000-1500-000001000000}" name="كد تفصيلي" dataDxfId="208" totalsRowDxfId="207"/>
    <tableColumn id="2" xr3:uid="{00000000-0010-0000-1500-000002000000}" name="عنوان" dataDxfId="206" totalsRowDxfId="205"/>
    <tableColumn id="3" xr3:uid="{00000000-0010-0000-1500-000003000000}" name="حسابهای دریافتنی" totalsRowFunction="sum" dataDxfId="204" totalsRowDxfId="203">
      <calculatedColumnFormula>IFERROR(INDEX('حسابهای دریافتنی'!H:H,MATCH(Table223[[#This Row],[كد تفصيلي]],'حسابهای دریافتنی'!A:A,0)),0)</calculatedColumnFormula>
    </tableColumn>
    <tableColumn id="4" xr3:uid="{00000000-0010-0000-1500-000004000000}" name="چکهای در جریان وصول" totalsRowFunction="sum" dataDxfId="202" totalsRowDxfId="201">
      <calculatedColumnFormula>IFERROR(INDEX('درجریان وصول'!F:F,MATCH(Table223[[#This Row],[كد تفصيلي]],'درجریان وصول'!A:A,0)),0)</calculatedColumnFormula>
    </tableColumn>
    <tableColumn id="5" xr3:uid="{00000000-0010-0000-1500-000005000000}" name="چکهای نزد صندوق" totalsRowFunction="sum" dataDxfId="200" totalsRowDxfId="199">
      <calculatedColumnFormula>IFERROR(INDEX('چکهای دریافتنی'!F:F,MATCH(Table223[[#This Row],[كد تفصيلي]],'چکهای دریافتنی'!A:A,0)),0)</calculatedColumnFormula>
    </tableColumn>
    <tableColumn id="6" xr3:uid="{00000000-0010-0000-1500-000006000000}" name="مانده ریالی " dataDxfId="198" totalsRowDxfId="197">
      <calculatedColumnFormula>Table223[[#This Row],[حسابهای دریافتنی]]+Table223[[#This Row],[چکهای در جریان وصول]]+Table223[[#This Row],[چکهای نزد صندوق]]</calculatedColumnFormula>
    </tableColumn>
    <tableColumn id="7" xr3:uid="{00000000-0010-0000-1500-000007000000}" name="مانده سوفاله" totalsRowFunction="sum" dataDxfId="196" totalsRowDxfId="195">
      <calculatedColumnFormula>IFERROR(INDEX('مانده سوفاله'!F:F,MATCH(Table223[[#This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24" displayName="Table224" ref="A2:G173" totalsRowCount="1" headerRowDxfId="194" dataDxfId="192" totalsRowDxfId="190" headerRowBorderDxfId="193" tableBorderDxfId="191" totalsRowBorderDxfId="189">
  <autoFilter ref="A2:G172" xr:uid="{00000000-0009-0000-0100-000017000000}"/>
  <sortState xmlns:xlrd2="http://schemas.microsoft.com/office/spreadsheetml/2017/richdata2" ref="A3:G184">
    <sortCondition descending="1" ref="C2:C184"/>
  </sortState>
  <tableColumns count="7">
    <tableColumn id="1" xr3:uid="{00000000-0010-0000-1600-000001000000}" name="كد تفصيلي" dataDxfId="188" totalsRowDxfId="187"/>
    <tableColumn id="2" xr3:uid="{00000000-0010-0000-1600-000002000000}" name="عنوان" dataDxfId="186" totalsRowDxfId="185"/>
    <tableColumn id="3" xr3:uid="{00000000-0010-0000-1600-000003000000}" name="حسابهای دریافتنی" totalsRowFunction="sum" dataDxfId="184" totalsRowDxfId="183">
      <calculatedColumnFormula>IFERROR(INDEX('حسابهای دریافتنی'!H:H,MATCH(Table224[[#This Row],[كد تفصيلي]],'حسابهای دریافتنی'!A:A,0)),0)</calculatedColumnFormula>
    </tableColumn>
    <tableColumn id="4" xr3:uid="{00000000-0010-0000-1600-000004000000}" name="چکهای در جریان وصول" totalsRowFunction="sum" dataDxfId="182" totalsRowDxfId="181">
      <calculatedColumnFormula>IFERROR(INDEX('درجریان وصول'!F:F,MATCH(Table224[[#This Row],[كد تفصيلي]],'درجریان وصول'!A:A,0)),0)</calculatedColumnFormula>
    </tableColumn>
    <tableColumn id="5" xr3:uid="{00000000-0010-0000-1600-000005000000}" name="چکهای نزد صندوق" totalsRowFunction="sum" dataDxfId="180" totalsRowDxfId="179">
      <calculatedColumnFormula>IFERROR(INDEX('چکهای دریافتنی'!F:F,MATCH(Table224[[#This Row],[كد تفصيلي]],'چکهای دریافتنی'!A:A,0)),0)</calculatedColumnFormula>
    </tableColumn>
    <tableColumn id="6" xr3:uid="{00000000-0010-0000-1600-000006000000}" name="مانده ریالی " dataDxfId="178" totalsRowDxfId="177">
      <calculatedColumnFormula>Table224[[#This Row],[حسابهای دریافتنی]]+Table224[[#This Row],[چکهای در جریان وصول]]+Table224[[#This Row],[چکهای نزد صندوق]]</calculatedColumnFormula>
    </tableColumn>
    <tableColumn id="7" xr3:uid="{00000000-0010-0000-1600-000007000000}" name="مانده سوفاله" totalsRowFunction="sum" dataDxfId="176" totalsRowDxfId="175">
      <calculatedColumnFormula>IFERROR(INDEX('مانده سوفاله'!F:F,MATCH(Table224[[#This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25" displayName="Table225" ref="A2:G171" totalsRowCount="1" headerRowDxfId="174" dataDxfId="172" totalsRowDxfId="170" headerRowBorderDxfId="173" tableBorderDxfId="171" totalsRowBorderDxfId="169">
  <autoFilter ref="A2:G170" xr:uid="{00000000-0009-0000-0100-000018000000}"/>
  <sortState xmlns:xlrd2="http://schemas.microsoft.com/office/spreadsheetml/2017/richdata2" ref="A3:G182">
    <sortCondition descending="1" ref="C2:C182"/>
  </sortState>
  <tableColumns count="7">
    <tableColumn id="1" xr3:uid="{00000000-0010-0000-1700-000001000000}" name="كد تفصيلي" dataDxfId="168" totalsRowDxfId="167"/>
    <tableColumn id="2" xr3:uid="{00000000-0010-0000-1700-000002000000}" name="عنوان" dataDxfId="166" totalsRowDxfId="165"/>
    <tableColumn id="3" xr3:uid="{00000000-0010-0000-1700-000003000000}" name="حسابهای دریافتنی" totalsRowFunction="sum" dataDxfId="164" totalsRowDxfId="163">
      <calculatedColumnFormula>IFERROR(INDEX('حسابهای دریافتنی'!H:H,MATCH(Table225[[#This Row],[كد تفصيلي]],'حسابهای دریافتنی'!A:A,0)),0)</calculatedColumnFormula>
    </tableColumn>
    <tableColumn id="4" xr3:uid="{00000000-0010-0000-1700-000004000000}" name="چکهای در جریان وصول" totalsRowFunction="sum" dataDxfId="162" totalsRowDxfId="161">
      <calculatedColumnFormula>IFERROR(INDEX('درجریان وصول'!F:F,MATCH(Table225[[#This Row],[كد تفصيلي]],'درجریان وصول'!A:A,0)),0)</calculatedColumnFormula>
    </tableColumn>
    <tableColumn id="5" xr3:uid="{00000000-0010-0000-1700-000005000000}" name="چکهای نزد صندوق" totalsRowFunction="sum" dataDxfId="160" totalsRowDxfId="159">
      <calculatedColumnFormula>IFERROR(INDEX('چکهای دریافتنی'!F:F,MATCH(Table225[[#This Row],[كد تفصيلي]],'چکهای دریافتنی'!A:A,0)),0)</calculatedColumnFormula>
    </tableColumn>
    <tableColumn id="6" xr3:uid="{00000000-0010-0000-1700-000006000000}" name="مانده ریالی " dataDxfId="158" totalsRowDxfId="157">
      <calculatedColumnFormula>Table225[[#This Row],[حسابهای دریافتنی]]+Table225[[#This Row],[چکهای در جریان وصول]]+Table225[[#This Row],[چکهای نزد صندوق]]</calculatedColumnFormula>
    </tableColumn>
    <tableColumn id="7" xr3:uid="{00000000-0010-0000-1700-000007000000}" name="مانده سوفاله" totalsRowFunction="sum" dataDxfId="156" totalsRowDxfId="155">
      <calculatedColumnFormula>IFERROR(INDEX('مانده سوفاله'!F:F,MATCH(Table225[[#This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26" displayName="Table226" ref="A2:G172" totalsRowCount="1" headerRowDxfId="154" dataDxfId="152" totalsRowDxfId="150" headerRowBorderDxfId="153" tableBorderDxfId="151" totalsRowBorderDxfId="149">
  <autoFilter ref="A2:G171" xr:uid="{00000000-0009-0000-0100-000019000000}"/>
  <sortState xmlns:xlrd2="http://schemas.microsoft.com/office/spreadsheetml/2017/richdata2" ref="A3:G184">
    <sortCondition descending="1" ref="C2:C184"/>
  </sortState>
  <tableColumns count="7">
    <tableColumn id="1" xr3:uid="{00000000-0010-0000-1800-000001000000}" name="كد تفصيلي" dataDxfId="148" totalsRowDxfId="147"/>
    <tableColumn id="2" xr3:uid="{00000000-0010-0000-1800-000002000000}" name="عنوان" dataDxfId="146" totalsRowDxfId="145"/>
    <tableColumn id="3" xr3:uid="{00000000-0010-0000-1800-000003000000}" name="حسابهای دریافتنی" totalsRowFunction="sum" dataDxfId="144" totalsRowDxfId="143">
      <calculatedColumnFormula>IFERROR(INDEX('حسابهای دریافتنی'!H:H,MATCH(Table226[[#This Row],[كد تفصيلي]],'حسابهای دریافتنی'!A:A,0)),0)</calculatedColumnFormula>
    </tableColumn>
    <tableColumn id="4" xr3:uid="{00000000-0010-0000-1800-000004000000}" name="چکهای در جریان وصول" totalsRowFunction="sum" dataDxfId="142" totalsRowDxfId="141">
      <calculatedColumnFormula>IFERROR(INDEX('درجریان وصول'!F:F,MATCH(Table226[[#This Row],[كد تفصيلي]],'درجریان وصول'!A:A,0)),0)</calculatedColumnFormula>
    </tableColumn>
    <tableColumn id="5" xr3:uid="{00000000-0010-0000-1800-000005000000}" name="چکهای نزد صندوق" totalsRowFunction="sum" dataDxfId="140" totalsRowDxfId="139">
      <calculatedColumnFormula>IFERROR(INDEX('چکهای دریافتنی'!F:F,MATCH(Table226[[#This Row],[كد تفصيلي]],'چکهای دریافتنی'!A:A,0)),0)</calculatedColumnFormula>
    </tableColumn>
    <tableColumn id="6" xr3:uid="{00000000-0010-0000-1800-000006000000}" name="مانده ریالی " dataDxfId="138" totalsRowDxfId="137">
      <calculatedColumnFormula>Table226[[#This Row],[حسابهای دریافتنی]]+Table226[[#This Row],[چکهای در جریان وصول]]+Table226[[#This Row],[چکهای نزد صندوق]]</calculatedColumnFormula>
    </tableColumn>
    <tableColumn id="7" xr3:uid="{00000000-0010-0000-1800-000007000000}" name="مانده سوفاله" totalsRowFunction="sum" dataDxfId="136" totalsRowDxfId="135">
      <calculatedColumnFormula>IFERROR(INDEX('مانده سوفاله'!F:F,MATCH(Table226[[#This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27" displayName="Table227" ref="A2:G176" totalsRowCount="1" headerRowDxfId="134" dataDxfId="132" totalsRowDxfId="130" headerRowBorderDxfId="133" tableBorderDxfId="131" totalsRowBorderDxfId="129">
  <autoFilter ref="A2:G175" xr:uid="{00000000-0009-0000-0100-00001A000000}"/>
  <sortState xmlns:xlrd2="http://schemas.microsoft.com/office/spreadsheetml/2017/richdata2" ref="A3:G332">
    <sortCondition descending="1" ref="C2:C332"/>
  </sortState>
  <tableColumns count="7">
    <tableColumn id="1" xr3:uid="{00000000-0010-0000-1900-000001000000}" name="كد تفصيلي" dataDxfId="128"/>
    <tableColumn id="2" xr3:uid="{00000000-0010-0000-1900-000002000000}" name="عنوان" dataDxfId="127"/>
    <tableColumn id="3" xr3:uid="{00000000-0010-0000-1900-000003000000}" name="حسابهای دریافتنی" totalsRowFunction="sum" dataDxfId="126" totalsRowDxfId="125">
      <calculatedColumnFormula>IFERROR(INDEX('حسابهای دریافتنی'!H:H,MATCH(Table227[[#This Row],[كد تفصيلي]],'حسابهای دریافتنی'!A:A,0)),0)</calculatedColumnFormula>
    </tableColumn>
    <tableColumn id="4" xr3:uid="{00000000-0010-0000-1900-000004000000}" name="چکهای در جریان وصول" totalsRowFunction="sum" dataDxfId="124" totalsRowDxfId="123">
      <calculatedColumnFormula>IFERROR(INDEX('درجریان وصول'!F:F,MATCH(Table227[[#This Row],[كد تفصيلي]],'درجریان وصول'!A:A,0)),0)</calculatedColumnFormula>
    </tableColumn>
    <tableColumn id="5" xr3:uid="{00000000-0010-0000-1900-000005000000}" name="چکهای نزد صندوق" totalsRowFunction="sum" dataDxfId="122" totalsRowDxfId="121">
      <calculatedColumnFormula>IFERROR(INDEX('چکهای دریافتنی'!F:F,MATCH(Table227[[#This Row],[كد تفصيلي]],'چکهای دریافتنی'!A:A,0)),0)</calculatedColumnFormula>
    </tableColumn>
    <tableColumn id="6" xr3:uid="{00000000-0010-0000-1900-000006000000}" name="مانده ریالی " dataDxfId="120" totalsRowDxfId="119">
      <calculatedColumnFormula>Table227[[#This Row],[حسابهای دریافتنی]]+Table227[[#This Row],[چکهای در جریان وصول]]+Table227[[#This Row],[چکهای نزد صندوق]]</calculatedColumnFormula>
    </tableColumn>
    <tableColumn id="7" xr3:uid="{00000000-0010-0000-1900-000007000000}" name="مانده سوفاله" totalsRowFunction="sum" dataDxfId="118" totalsRowDxfId="117">
      <calculatedColumnFormula>IFERROR(INDEX('مانده سوفاله'!F:F,MATCH(Table227[[#This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28" displayName="Table228" ref="A2:G181" totalsRowCount="1" headerRowDxfId="116" dataDxfId="114" totalsRowDxfId="112" headerRowBorderDxfId="115" tableBorderDxfId="113" totalsRowBorderDxfId="111">
  <autoFilter ref="A2:G180" xr:uid="{00000000-0009-0000-0100-00001B000000}"/>
  <sortState xmlns:xlrd2="http://schemas.microsoft.com/office/spreadsheetml/2017/richdata2" ref="A3:G331">
    <sortCondition descending="1" ref="C2:C331"/>
  </sortState>
  <tableColumns count="7">
    <tableColumn id="1" xr3:uid="{00000000-0010-0000-1A00-000001000000}" name="كد تفصيلي" dataDxfId="110" totalsRowDxfId="109"/>
    <tableColumn id="2" xr3:uid="{00000000-0010-0000-1A00-000002000000}" name="عنوان" dataDxfId="108" totalsRowDxfId="107"/>
    <tableColumn id="3" xr3:uid="{00000000-0010-0000-1A00-000003000000}" name="حسابهای دریافتنی" totalsRowFunction="sum" dataDxfId="106" totalsRowDxfId="105">
      <calculatedColumnFormula>IFERROR(INDEX('حسابهای دریافتنی'!H:H,MATCH(Table228[[#This Row],[كد تفصيلي]],'حسابهای دریافتنی'!A:A,0)),0)</calculatedColumnFormula>
    </tableColumn>
    <tableColumn id="4" xr3:uid="{00000000-0010-0000-1A00-000004000000}" name="چکهای در جریان وصول" totalsRowFunction="sum" dataDxfId="104" totalsRowDxfId="103">
      <calculatedColumnFormula>IFERROR(INDEX('درجریان وصول'!F:F,MATCH(Table228[[#This Row],[كد تفصيلي]],'درجریان وصول'!A:A,0)),0)</calculatedColumnFormula>
    </tableColumn>
    <tableColumn id="5" xr3:uid="{00000000-0010-0000-1A00-000005000000}" name="چکهای نزد صندوق" totalsRowFunction="sum" dataDxfId="102" totalsRowDxfId="101">
      <calculatedColumnFormula>IFERROR(INDEX('چکهای دریافتنی'!F:F,MATCH(Table228[[#This Row],[كد تفصيلي]],'چکهای دریافتنی'!A:A,0)),0)</calculatedColumnFormula>
    </tableColumn>
    <tableColumn id="6" xr3:uid="{00000000-0010-0000-1A00-000006000000}" name="مانده ریالی " dataDxfId="100" totalsRowDxfId="99">
      <calculatedColumnFormula>Table228[[#This Row],[حسابهای دریافتنی]]+Table228[[#This Row],[چکهای در جریان وصول]]+Table228[[#This Row],[چکهای نزد صندوق]]</calculatedColumnFormula>
    </tableColumn>
    <tableColumn id="7" xr3:uid="{00000000-0010-0000-1A00-000007000000}" name="مانده سوفاله" totalsRowFunction="sum" dataDxfId="98" totalsRowDxfId="97">
      <calculatedColumnFormula>IFERROR(INDEX('مانده سوفاله'!F:F,MATCH(Table228[[#This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29" displayName="Table229" ref="A2:G180" totalsRowCount="1" headerRowDxfId="96" dataDxfId="94" totalsRowDxfId="92" headerRowBorderDxfId="95" tableBorderDxfId="93" totalsRowBorderDxfId="91">
  <autoFilter ref="A2:G179" xr:uid="{00000000-0009-0000-0100-00001C000000}"/>
  <sortState xmlns:xlrd2="http://schemas.microsoft.com/office/spreadsheetml/2017/richdata2" ref="A3:G332">
    <sortCondition descending="1" ref="C2:C332"/>
  </sortState>
  <tableColumns count="7">
    <tableColumn id="1" xr3:uid="{00000000-0010-0000-1B00-000001000000}" name="كد تفصيلي" dataDxfId="90" totalsRowDxfId="89"/>
    <tableColumn id="2" xr3:uid="{00000000-0010-0000-1B00-000002000000}" name="عنوان" dataDxfId="88"/>
    <tableColumn id="3" xr3:uid="{00000000-0010-0000-1B00-000003000000}" name="حسابهای دریافتنی" totalsRowFunction="sum" dataDxfId="87" totalsRowDxfId="86">
      <calculatedColumnFormula>IFERROR(INDEX('حسابهای دریافتنی'!H:H,MATCH(Table229[[#This Row],[كد تفصيلي]],'حسابهای دریافتنی'!A:A,0)),0)</calculatedColumnFormula>
    </tableColumn>
    <tableColumn id="4" xr3:uid="{00000000-0010-0000-1B00-000004000000}" name="چکهای در جریان وصول" totalsRowFunction="sum" dataDxfId="85" totalsRowDxfId="84">
      <calculatedColumnFormula>IFERROR(INDEX('درجریان وصول'!F:F,MATCH(Table229[[#This Row],[كد تفصيلي]],'درجریان وصول'!A:A,0)),0)</calculatedColumnFormula>
    </tableColumn>
    <tableColumn id="5" xr3:uid="{00000000-0010-0000-1B00-000005000000}" name="چکهای نزد صندوق" totalsRowFunction="sum" dataDxfId="83" totalsRowDxfId="82">
      <calculatedColumnFormula>IFERROR(INDEX('چکهای دریافتنی'!F:F,MATCH(Table229[[#This Row],[كد تفصيلي]],'چکهای دریافتنی'!A:A,0)),0)</calculatedColumnFormula>
    </tableColumn>
    <tableColumn id="6" xr3:uid="{00000000-0010-0000-1B00-000006000000}" name="مانده ریالی " dataDxfId="81" totalsRowDxfId="80">
      <calculatedColumnFormula>Table229[[#This Row],[حسابهای دریافتنی]]+Table229[[#This Row],[چکهای در جریان وصول]]+Table229[[#This Row],[چکهای نزد صندوق]]</calculatedColumnFormula>
    </tableColumn>
    <tableColumn id="7" xr3:uid="{00000000-0010-0000-1B00-000007000000}" name="مانده سوفاله" totalsRowFunction="sum" dataDxfId="79" totalsRowDxfId="78">
      <calculatedColumnFormula>IFERROR(INDEX('مانده سوفاله'!F:F,MATCH(Table229[[#This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30" displayName="Table230" ref="A2:G184" totalsRowCount="1" headerRowDxfId="77" dataDxfId="75" totalsRowDxfId="73" headerRowBorderDxfId="76" tableBorderDxfId="74" totalsRowBorderDxfId="72">
  <autoFilter ref="A2:G183" xr:uid="{00000000-0009-0000-0100-00001D000000}"/>
  <sortState xmlns:xlrd2="http://schemas.microsoft.com/office/spreadsheetml/2017/richdata2" ref="A3:G196">
    <sortCondition descending="1" ref="C2:C196"/>
  </sortState>
  <tableColumns count="7">
    <tableColumn id="1" xr3:uid="{00000000-0010-0000-1C00-000001000000}" name="كد تفصيلي" dataDxfId="71" totalsRowDxfId="70"/>
    <tableColumn id="2" xr3:uid="{00000000-0010-0000-1C00-000002000000}" name="عنوان" dataDxfId="69" totalsRowDxfId="68"/>
    <tableColumn id="3" xr3:uid="{00000000-0010-0000-1C00-000003000000}" name="حسابهای دریافتنی" totalsRowFunction="sum" dataDxfId="67" totalsRowDxfId="66">
      <calculatedColumnFormula>IFERROR(INDEX('حسابهای دریافتنی'!H:H,MATCH(Table230[[#This Row],[كد تفصيلي]],'حسابهای دریافتنی'!A:A,0)),0)</calculatedColumnFormula>
    </tableColumn>
    <tableColumn id="4" xr3:uid="{00000000-0010-0000-1C00-000004000000}" name="چکهای در جریان وصول" totalsRowFunction="sum" dataDxfId="65" totalsRowDxfId="64">
      <calculatedColumnFormula>IFERROR(INDEX('درجریان وصول'!F:F,MATCH(Table230[[#This Row],[كد تفصيلي]],'درجریان وصول'!A:A,0)),0)</calculatedColumnFormula>
    </tableColumn>
    <tableColumn id="5" xr3:uid="{00000000-0010-0000-1C00-000005000000}" name="چکهای نزد صندوق" totalsRowFunction="sum" dataDxfId="63" totalsRowDxfId="62">
      <calculatedColumnFormula>IFERROR(INDEX('چکهای دریافتنی'!F:F,MATCH(Table230[[#This Row],[كد تفصيلي]],'چکهای دریافتنی'!A:A,0)),0)</calculatedColumnFormula>
    </tableColumn>
    <tableColumn id="6" xr3:uid="{00000000-0010-0000-1C00-000006000000}" name="مانده ریالی " dataDxfId="61" totalsRowDxfId="60">
      <calculatedColumnFormula>Table230[[#This Row],[حسابهای دریافتنی]]+Table230[[#This Row],[چکهای در جریان وصول]]+Table230[[#This Row],[چکهای نزد صندوق]]</calculatedColumnFormula>
    </tableColumn>
    <tableColumn id="7" xr3:uid="{00000000-0010-0000-1C00-000007000000}" name="مانده سوفاله" totalsRowFunction="sum" dataDxfId="59" totalsRowDxfId="58">
      <calculatedColumnFormula>IFERROR(INDEX('مانده سوفاله'!F:F,MATCH(Table230[[#This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2:G172" totalsRowCount="1" headerRowDxfId="594" dataDxfId="592" totalsRowDxfId="590" headerRowBorderDxfId="593" tableBorderDxfId="591" totalsRowBorderDxfId="589">
  <autoFilter ref="A2:G171" xr:uid="{00000000-0009-0000-0100-000003000000}"/>
  <sortState xmlns:xlrd2="http://schemas.microsoft.com/office/spreadsheetml/2017/richdata2" ref="A3:G280">
    <sortCondition descending="1" ref="C2:C280"/>
  </sortState>
  <tableColumns count="7">
    <tableColumn id="1" xr3:uid="{00000000-0010-0000-0200-000001000000}" name="كد تفصيلي" dataDxfId="588" totalsRowDxfId="587"/>
    <tableColumn id="2" xr3:uid="{00000000-0010-0000-0200-000002000000}" name="عنوان" dataDxfId="586" totalsRowDxfId="585"/>
    <tableColumn id="3" xr3:uid="{00000000-0010-0000-0200-000003000000}" name="حسابهای دریافتنی" totalsRowFunction="sum" dataDxfId="584" totalsRowDxfId="583">
      <calculatedColumnFormula>IFERROR(INDEX('حسابهای دریافتنی'!H:H,MATCH(Table24[[#This Row],[كد تفصيلي]],'حسابهای دریافتنی'!A:A,0)),0)</calculatedColumnFormula>
    </tableColumn>
    <tableColumn id="4" xr3:uid="{00000000-0010-0000-0200-000004000000}" name="چکهای در جریان وصول" totalsRowFunction="sum" dataDxfId="582" totalsRowDxfId="581">
      <calculatedColumnFormula>IFERROR(INDEX('درجریان وصول'!F:F,MATCH(Table24[[#This Row],[كد تفصيلي]],'درجریان وصول'!A:A,0)),0)</calculatedColumnFormula>
    </tableColumn>
    <tableColumn id="5" xr3:uid="{00000000-0010-0000-0200-000005000000}" name="چکهای نزد صندوق" totalsRowFunction="sum" dataDxfId="580" totalsRowDxfId="579">
      <calculatedColumnFormula>IFERROR(INDEX('چکهای دریافتنی'!F:F,MATCH(Table24[[#This Row],[كد تفصيلي]],'چکهای دریافتنی'!A:A,0)),0)</calculatedColumnFormula>
    </tableColumn>
    <tableColumn id="6" xr3:uid="{00000000-0010-0000-0200-000006000000}" name="مانده ریالی " dataDxfId="578" totalsRowDxfId="577">
      <calculatedColumnFormula>Table24[[#This Row],[حسابهای دریافتنی]]+Table24[[#This Row],[چکهای در جریان وصول]]+Table24[[#This Row],[چکهای نزد صندوق]]</calculatedColumnFormula>
    </tableColumn>
    <tableColumn id="7" xr3:uid="{00000000-0010-0000-0200-000007000000}" name="مانده سوفاله" totalsRowFunction="sum" dataDxfId="576" totalsRowDxfId="575">
      <calculatedColumnFormula>IFERROR(INDEX('مانده سوفاله'!F:F,MATCH(Table24[[#This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231" displayName="Table231" ref="A2:G178" totalsRowCount="1" headerRowDxfId="57" dataDxfId="55" totalsRowDxfId="53" headerRowBorderDxfId="56" tableBorderDxfId="54" totalsRowBorderDxfId="52">
  <autoFilter ref="A2:G177" xr:uid="{00000000-0009-0000-0100-00001E000000}"/>
  <sortState xmlns:xlrd2="http://schemas.microsoft.com/office/spreadsheetml/2017/richdata2" ref="A3:G332">
    <sortCondition descending="1" ref="C2:C332"/>
  </sortState>
  <tableColumns count="7">
    <tableColumn id="1" xr3:uid="{00000000-0010-0000-1D00-000001000000}" name="كد تفصيلي" dataDxfId="51"/>
    <tableColumn id="2" xr3:uid="{00000000-0010-0000-1D00-000002000000}" name="عنوان" dataDxfId="50"/>
    <tableColumn id="3" xr3:uid="{00000000-0010-0000-1D00-000003000000}" name="حسابهای دریافتنی" totalsRowFunction="sum" dataDxfId="49" totalsRowDxfId="48">
      <calculatedColumnFormula>IFERROR(INDEX('حسابهای دریافتنی'!H:H,MATCH(Table231[[#This Row],[كد تفصيلي]],'حسابهای دریافتنی'!A:A,0)),0)</calculatedColumnFormula>
    </tableColumn>
    <tableColumn id="4" xr3:uid="{00000000-0010-0000-1D00-000004000000}" name="چکهای در جریان وصول" totalsRowFunction="sum" dataDxfId="47" totalsRowDxfId="46">
      <calculatedColumnFormula>IFERROR(INDEX('درجریان وصول'!F:F,MATCH(Table231[[#This Row],[كد تفصيلي]],'درجریان وصول'!A:A,0)),0)</calculatedColumnFormula>
    </tableColumn>
    <tableColumn id="5" xr3:uid="{00000000-0010-0000-1D00-000005000000}" name="چکهای نزد صندوق" totalsRowFunction="sum" dataDxfId="45" totalsRowDxfId="44">
      <calculatedColumnFormula>IFERROR(INDEX('چکهای دریافتنی'!F:F,MATCH(Table231[[#This Row],[كد تفصيلي]],'چکهای دریافتنی'!A:A,0)),0)</calculatedColumnFormula>
    </tableColumn>
    <tableColumn id="6" xr3:uid="{00000000-0010-0000-1D00-000006000000}" name="مانده ریالی " dataDxfId="43" totalsRowDxfId="42">
      <calculatedColumnFormula>Table231[[#This Row],[حسابهای دریافتنی]]+Table231[[#This Row],[چکهای در جریان وصول]]+Table231[[#This Row],[چکهای نزد صندوق]]</calculatedColumnFormula>
    </tableColumn>
    <tableColumn id="7" xr3:uid="{00000000-0010-0000-1D00-000007000000}" name="مانده سوفاله" totalsRowFunction="sum" dataDxfId="41" totalsRowDxfId="40">
      <calculatedColumnFormula>IFERROR(INDEX('مانده سوفاله'!F:F,MATCH(Table231[[#This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232" displayName="Table232" ref="A2:G180" totalsRowCount="1" headerRowDxfId="39" dataDxfId="37" totalsRowDxfId="35" headerRowBorderDxfId="38" tableBorderDxfId="36" totalsRowBorderDxfId="34">
  <autoFilter ref="A2:G179" xr:uid="{00000000-0009-0000-0100-00001F000000}"/>
  <sortState xmlns:xlrd2="http://schemas.microsoft.com/office/spreadsheetml/2017/richdata2" ref="A3:G332">
    <sortCondition descending="1" ref="C2:C332"/>
  </sortState>
  <tableColumns count="7">
    <tableColumn id="1" xr3:uid="{00000000-0010-0000-1E00-000001000000}" name="كد تفصيلي" dataDxfId="33" totalsRowDxfId="32"/>
    <tableColumn id="2" xr3:uid="{00000000-0010-0000-1E00-000002000000}" name="عنوان" dataDxfId="31" totalsRowDxfId="30"/>
    <tableColumn id="3" xr3:uid="{00000000-0010-0000-1E00-000003000000}" name="حسابهای دریافتنی" totalsRowFunction="sum" dataDxfId="29" totalsRowDxfId="28">
      <calculatedColumnFormula>IFERROR(INDEX('حسابهای دریافتنی'!H:H,MATCH(Table232[[#This Row],[كد تفصيلي]],'حسابهای دریافتنی'!A:A,0)),0)</calculatedColumnFormula>
    </tableColumn>
    <tableColumn id="4" xr3:uid="{00000000-0010-0000-1E00-000004000000}" name="چکهای در جریان وصول" totalsRowFunction="sum" dataDxfId="27" totalsRowDxfId="26">
      <calculatedColumnFormula>IFERROR(INDEX('درجریان وصول'!F:F,MATCH(Table232[[#This Row],[كد تفصيلي]],'درجریان وصول'!A:A,0)),0)</calculatedColumnFormula>
    </tableColumn>
    <tableColumn id="5" xr3:uid="{00000000-0010-0000-1E00-000005000000}" name="چکهای نزد صندوق" totalsRowFunction="sum" dataDxfId="25" totalsRowDxfId="24">
      <calculatedColumnFormula>IFERROR(INDEX('چکهای دریافتنی'!F:F,MATCH(Table232[[#This Row],[كد تفصيلي]],'چکهای دریافتنی'!A:A,0)),0)</calculatedColumnFormula>
    </tableColumn>
    <tableColumn id="6" xr3:uid="{00000000-0010-0000-1E00-000006000000}" name="مانده ریالی " dataDxfId="23" totalsRowDxfId="22">
      <calculatedColumnFormula>Table232[[#This Row],[حسابهای دریافتنی]]+Table232[[#This Row],[چکهای در جریان وصول]]+Table232[[#This Row],[چکهای نزد صندوق]]</calculatedColumnFormula>
    </tableColumn>
    <tableColumn id="7" xr3:uid="{00000000-0010-0000-1E00-000007000000}" name="مانده سوفاله" totalsRowFunction="sum" dataDxfId="21" totalsRowDxfId="20">
      <calculatedColumnFormula>IFERROR(INDEX('مانده سوفاله'!F:F,MATCH(Table232[[#This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233" displayName="Table233" ref="A1:G178" totalsRowCount="1" headerRowDxfId="19" dataDxfId="17" totalsRowDxfId="15" headerRowBorderDxfId="18" tableBorderDxfId="16" totalsRowBorderDxfId="14">
  <autoFilter ref="A1:G177" xr:uid="{00000000-0009-0000-0100-000020000000}"/>
  <sortState xmlns:xlrd2="http://schemas.microsoft.com/office/spreadsheetml/2017/richdata2" ref="A2:G331">
    <sortCondition descending="1" ref="C1:C331"/>
  </sortState>
  <tableColumns count="7">
    <tableColumn id="1" xr3:uid="{00000000-0010-0000-1F00-000001000000}" name="کد تفصیلی" dataDxfId="13" totalsRowDxfId="12"/>
    <tableColumn id="2" xr3:uid="{00000000-0010-0000-1F00-000002000000}" name="عنوان" dataDxfId="11" totalsRowDxfId="10"/>
    <tableColumn id="3" xr3:uid="{00000000-0010-0000-1F00-000003000000}" name="حسابهای دریافتنی" totalsRowFunction="sum" dataDxfId="9" totalsRowDxfId="8">
      <calculatedColumnFormula>IFERROR(INDEX('حسابهای دریافتنی'!H:H,MATCH(Table233[[#This Row],[کد تفصیلی]],'حسابهای دریافتنی'!A:A,0)),0)</calculatedColumnFormula>
    </tableColumn>
    <tableColumn id="4" xr3:uid="{00000000-0010-0000-1F00-000004000000}" name="چکهای در جریان وصول" totalsRowFunction="sum" dataDxfId="7" totalsRowDxfId="6">
      <calculatedColumnFormula>IFERROR(INDEX('درجریان وصول'!F:F,MATCH(Table233[[#This Row],[کد تفصیلی]],'درجریان وصول'!A:A,0)),0)</calculatedColumnFormula>
    </tableColumn>
    <tableColumn id="5" xr3:uid="{00000000-0010-0000-1F00-000005000000}" name="چکهای نزد صندوق" totalsRowFunction="sum" dataDxfId="5" totalsRowDxfId="4">
      <calculatedColumnFormula>IFERROR(INDEX('چکهای دریافتنی'!F:F,MATCH(Table233[[#This Row],[کد تفصیلی]],'چکهای دریافتنی'!A:A,0)),0)</calculatedColumnFormula>
    </tableColumn>
    <tableColumn id="6" xr3:uid="{00000000-0010-0000-1F00-000006000000}" name="مانده ریالی " dataDxfId="3" totalsRowDxfId="2">
      <calculatedColumnFormula>Table233[[#This Row],[حسابهای دریافتنی]]+Table233[[#This Row],[چکهای در جریان وصول]]+Table233[[#This Row],[چکهای نزد صندوق]]</calculatedColumnFormula>
    </tableColumn>
    <tableColumn id="7" xr3:uid="{00000000-0010-0000-1F00-000007000000}" name="مانده سوفاله" totalsRowFunction="sum" dataDxfId="1" totalsRowDxfId="0">
      <calculatedColumnFormula>IFERROR(INDEX('مانده سوفاله'!F:F,MATCH(Table233[[#This Row],[کد تفصیلی]],'مانده سوفاله'!A:A,0)),0)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A2:G170" totalsRowCount="1" headerRowDxfId="574" dataDxfId="572" totalsRowDxfId="570" headerRowBorderDxfId="573" tableBorderDxfId="571" totalsRowBorderDxfId="569">
  <autoFilter ref="A2:G169" xr:uid="{00000000-0009-0000-0100-000004000000}"/>
  <sortState xmlns:xlrd2="http://schemas.microsoft.com/office/spreadsheetml/2017/richdata2" ref="A3:G281">
    <sortCondition descending="1" ref="C2:C281"/>
  </sortState>
  <tableColumns count="7">
    <tableColumn id="1" xr3:uid="{00000000-0010-0000-0300-000001000000}" name="كد تفصيلي" dataDxfId="568" totalsRowDxfId="567"/>
    <tableColumn id="2" xr3:uid="{00000000-0010-0000-0300-000002000000}" name="عنوان" dataDxfId="566" totalsRowDxfId="565"/>
    <tableColumn id="3" xr3:uid="{00000000-0010-0000-0300-000003000000}" name="حسابهای دریافتنی" totalsRowFunction="sum" dataDxfId="564" totalsRowDxfId="563">
      <calculatedColumnFormula>IFERROR(INDEX('حسابهای دریافتنی'!H:H,MATCH(Table25[[#This Row],[كد تفصيلي]],'حسابهای دریافتنی'!A:A,0)),0)</calculatedColumnFormula>
    </tableColumn>
    <tableColumn id="4" xr3:uid="{00000000-0010-0000-0300-000004000000}" name="چکهای در جریان وصول" totalsRowFunction="sum" dataDxfId="562" totalsRowDxfId="561">
      <calculatedColumnFormula>IFERROR(INDEX('درجریان وصول'!F:F,MATCH(Table25[[#This Row],[كد تفصيلي]],'درجریان وصول'!A:A,0)),0)</calculatedColumnFormula>
    </tableColumn>
    <tableColumn id="5" xr3:uid="{00000000-0010-0000-0300-000005000000}" name="چکهای نزد صندوق" totalsRowFunction="sum" dataDxfId="560" totalsRowDxfId="559">
      <calculatedColumnFormula>IFERROR(INDEX('چکهای دریافتنی'!F:F,MATCH(Table25[[#This Row],[كد تفصيلي]],'چکهای دریافتنی'!A:A,0)),0)</calculatedColumnFormula>
    </tableColumn>
    <tableColumn id="6" xr3:uid="{00000000-0010-0000-0300-000006000000}" name="مانده ریالی " dataDxfId="558" totalsRowDxfId="557">
      <calculatedColumnFormula>Table25[[#This Row],[حسابهای دریافتنی]]+Table25[[#This Row],[چکهای در جریان وصول]]+Table25[[#This Row],[چکهای نزد صندوق]]</calculatedColumnFormula>
    </tableColumn>
    <tableColumn id="7" xr3:uid="{00000000-0010-0000-0300-000007000000}" name="مانده سوفاله" totalsRowFunction="sum" dataDxfId="556" totalsRowDxfId="555">
      <calculatedColumnFormula>IFERROR(INDEX('مانده سوفاله'!F:F,MATCH(Table25[[#This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A2:G171" totalsRowCount="1" headerRowDxfId="554" dataDxfId="552" totalsRowDxfId="550" headerRowBorderDxfId="553" tableBorderDxfId="551" totalsRowBorderDxfId="549">
  <autoFilter ref="A2:G170" xr:uid="{00000000-0009-0000-0100-000005000000}"/>
  <sortState xmlns:xlrd2="http://schemas.microsoft.com/office/spreadsheetml/2017/richdata2" ref="A3:G182">
    <sortCondition descending="1" ref="C2:C182"/>
  </sortState>
  <tableColumns count="7">
    <tableColumn id="1" xr3:uid="{00000000-0010-0000-0400-000001000000}" name="كد تفصيلي" dataDxfId="548" totalsRowDxfId="547"/>
    <tableColumn id="2" xr3:uid="{00000000-0010-0000-0400-000002000000}" name="عنوان" dataDxfId="546" totalsRowDxfId="545"/>
    <tableColumn id="3" xr3:uid="{00000000-0010-0000-0400-000003000000}" name="حسابهای دریافتنی" totalsRowFunction="sum" dataDxfId="544" totalsRowDxfId="543">
      <calculatedColumnFormula>IFERROR(INDEX('حسابهای دریافتنی'!H:H,MATCH(Table26[[#This Row],[كد تفصيلي]],'حسابهای دریافتنی'!A:A,0)),0)</calculatedColumnFormula>
    </tableColumn>
    <tableColumn id="4" xr3:uid="{00000000-0010-0000-0400-000004000000}" name="چکهای در جریان وصول" totalsRowFunction="sum" dataDxfId="542" totalsRowDxfId="541">
      <calculatedColumnFormula>IFERROR(INDEX('درجریان وصول'!F:F,MATCH(Table26[[#This Row],[كد تفصيلي]],'درجریان وصول'!A:A,0)),0)</calculatedColumnFormula>
    </tableColumn>
    <tableColumn id="5" xr3:uid="{00000000-0010-0000-0400-000005000000}" name="چکهای نزد صندوق" totalsRowFunction="sum" dataDxfId="540" totalsRowDxfId="539">
      <calculatedColumnFormula>IFERROR(INDEX('چکهای دریافتنی'!F:F,MATCH(Table26[[#This Row],[كد تفصيلي]],'چکهای دریافتنی'!A:A,0)),0)</calculatedColumnFormula>
    </tableColumn>
    <tableColumn id="6" xr3:uid="{00000000-0010-0000-0400-000006000000}" name="مانده ریالی " dataDxfId="538" totalsRowDxfId="537">
      <calculatedColumnFormula>Table26[[#This Row],[حسابهای دریافتنی]]+Table26[[#This Row],[چکهای در جریان وصول]]+Table26[[#This Row],[چکهای نزد صندوق]]</calculatedColumnFormula>
    </tableColumn>
    <tableColumn id="7" xr3:uid="{00000000-0010-0000-0400-000007000000}" name="مانده سوفاله" totalsRowFunction="sum" dataDxfId="536" totalsRowDxfId="535">
      <calculatedColumnFormula>IFERROR(INDEX('مانده سوفاله'!F:F,MATCH(Table26[[#This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A2:G170" totalsRowCount="1" headerRowDxfId="534" dataDxfId="532" totalsRowDxfId="530" headerRowBorderDxfId="533" tableBorderDxfId="531" totalsRowBorderDxfId="529">
  <autoFilter ref="A2:G169" xr:uid="{00000000-0009-0000-0100-000006000000}"/>
  <sortState xmlns:xlrd2="http://schemas.microsoft.com/office/spreadsheetml/2017/richdata2" ref="A3:G332">
    <sortCondition descending="1" ref="C2:C332"/>
  </sortState>
  <tableColumns count="7">
    <tableColumn id="1" xr3:uid="{00000000-0010-0000-0500-000001000000}" name="كد تفصيلي" dataDxfId="528" totalsRowDxfId="527"/>
    <tableColumn id="2" xr3:uid="{00000000-0010-0000-0500-000002000000}" name="عنوان" dataDxfId="526" totalsRowDxfId="525"/>
    <tableColumn id="3" xr3:uid="{00000000-0010-0000-0500-000003000000}" name="حسابهای دریافتنی" totalsRowFunction="sum" dataDxfId="524" totalsRowDxfId="523">
      <calculatedColumnFormula>IFERROR(INDEX('حسابهای دریافتنی'!H:H,MATCH(Table27[[#This Row],[كد تفصيلي]],'حسابهای دریافتنی'!A:A,0)),0)</calculatedColumnFormula>
    </tableColumn>
    <tableColumn id="4" xr3:uid="{00000000-0010-0000-0500-000004000000}" name="چکهای در جریان وصول" totalsRowFunction="sum" dataDxfId="522" totalsRowDxfId="521">
      <calculatedColumnFormula>IFERROR(INDEX('درجریان وصول'!F:F,MATCH(Table27[[#This Row],[كد تفصيلي]],'درجریان وصول'!A:A,0)),0)</calculatedColumnFormula>
    </tableColumn>
    <tableColumn id="5" xr3:uid="{00000000-0010-0000-0500-000005000000}" name="چکهای نزد صندوق" totalsRowFunction="sum" dataDxfId="520" totalsRowDxfId="519">
      <calculatedColumnFormula>IFERROR(INDEX('چکهای دریافتنی'!F:F,MATCH(Table27[[#This Row],[كد تفصيلي]],'چکهای دریافتنی'!A:A,0)),0)</calculatedColumnFormula>
    </tableColumn>
    <tableColumn id="6" xr3:uid="{00000000-0010-0000-0500-000006000000}" name="مانده ریالی " dataDxfId="518" totalsRowDxfId="517">
      <calculatedColumnFormula>Table27[[#This Row],[حسابهای دریافتنی]]+Table27[[#This Row],[چکهای در جریان وصول]]+Table27[[#This Row],[چکهای نزد صندوق]]</calculatedColumnFormula>
    </tableColumn>
    <tableColumn id="7" xr3:uid="{00000000-0010-0000-0500-000007000000}" name="مانده سوفاله" totalsRowFunction="sum" dataDxfId="516" totalsRowDxfId="515">
      <calculatedColumnFormula>IFERROR(INDEX('مانده سوفاله'!F:F,MATCH(Table27[[#This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28" displayName="Table28" ref="A2:G176" totalsRowCount="1" headerRowDxfId="514" dataDxfId="512" totalsRowDxfId="510" headerRowBorderDxfId="513" tableBorderDxfId="511" totalsRowBorderDxfId="509">
  <autoFilter ref="A2:G175" xr:uid="{00000000-0009-0000-0100-000007000000}"/>
  <sortState xmlns:xlrd2="http://schemas.microsoft.com/office/spreadsheetml/2017/richdata2" ref="A3:G175">
    <sortCondition descending="1" ref="C2:C175"/>
  </sortState>
  <tableColumns count="7">
    <tableColumn id="1" xr3:uid="{00000000-0010-0000-0600-000001000000}" name="كد تفصيلي" dataDxfId="508" totalsRowDxfId="507"/>
    <tableColumn id="2" xr3:uid="{00000000-0010-0000-0600-000002000000}" name="عنوان" dataDxfId="506" totalsRowDxfId="505"/>
    <tableColumn id="3" xr3:uid="{00000000-0010-0000-0600-000003000000}" name="حسابهای دریافتنی" totalsRowFunction="sum" dataDxfId="504" totalsRowDxfId="503">
      <calculatedColumnFormula>IFERROR(INDEX('حسابهای دریافتنی'!H:H,MATCH(Table28[[#This Row],[كد تفصيلي]],'حسابهای دریافتنی'!A:A,0)),0)</calculatedColumnFormula>
    </tableColumn>
    <tableColumn id="4" xr3:uid="{00000000-0010-0000-0600-000004000000}" name="چکهای در جریان وصول" totalsRowFunction="sum" dataDxfId="502" totalsRowDxfId="501">
      <calculatedColumnFormula>IFERROR(INDEX('درجریان وصول'!F:F,MATCH(Table28[[#This Row],[كد تفصيلي]],'درجریان وصول'!A:A,0)),0)</calculatedColumnFormula>
    </tableColumn>
    <tableColumn id="5" xr3:uid="{00000000-0010-0000-0600-000005000000}" name="چکهای نزد صندوق" totalsRowFunction="sum" dataDxfId="500" totalsRowDxfId="499">
      <calculatedColumnFormula>IFERROR(INDEX('چکهای دریافتنی'!F:F,MATCH(Table28[[#This Row],[كد تفصيلي]],'چکهای دریافتنی'!A:A,0)),0)</calculatedColumnFormula>
    </tableColumn>
    <tableColumn id="6" xr3:uid="{00000000-0010-0000-0600-000006000000}" name="مانده ریالی " dataDxfId="498" totalsRowDxfId="497">
      <calculatedColumnFormula>Table28[[#This Row],[حسابهای دریافتنی]]+Table28[[#This Row],[چکهای در جریان وصول]]+Table28[[#This Row],[چکهای نزد صندوق]]</calculatedColumnFormula>
    </tableColumn>
    <tableColumn id="7" xr3:uid="{00000000-0010-0000-0600-000007000000}" name="مانده سوفاله" totalsRowFunction="sum" dataDxfId="496" totalsRowDxfId="495">
      <calculatedColumnFormula>IFERROR(INDEX('مانده سوفاله'!F:F,MATCH(Table28[[#This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9" displayName="Table29" ref="A2:G176" totalsRowCount="1" headerRowDxfId="494" dataDxfId="492" totalsRowDxfId="490" headerRowBorderDxfId="493" tableBorderDxfId="491" totalsRowBorderDxfId="489">
  <autoFilter ref="A2:G175" xr:uid="{00000000-0009-0000-0100-000008000000}"/>
  <sortState xmlns:xlrd2="http://schemas.microsoft.com/office/spreadsheetml/2017/richdata2" ref="A3:G175">
    <sortCondition descending="1" ref="C2:C175"/>
  </sortState>
  <tableColumns count="7">
    <tableColumn id="1" xr3:uid="{00000000-0010-0000-0700-000001000000}" name="كد تفصيلي" dataDxfId="488" totalsRowDxfId="487"/>
    <tableColumn id="2" xr3:uid="{00000000-0010-0000-0700-000002000000}" name="عنوان" dataDxfId="486" totalsRowDxfId="485"/>
    <tableColumn id="3" xr3:uid="{00000000-0010-0000-0700-000003000000}" name="حسابهای دریافتنی" totalsRowFunction="sum" dataDxfId="484" totalsRowDxfId="483">
      <calculatedColumnFormula>IFERROR(INDEX('حسابهای دریافتنی'!H:H,MATCH(Table29[[#This Row],[كد تفصيلي]],'حسابهای دریافتنی'!A:A,0)),0)</calculatedColumnFormula>
    </tableColumn>
    <tableColumn id="4" xr3:uid="{00000000-0010-0000-0700-000004000000}" name="چکهای در جریان وصول" totalsRowFunction="sum" dataDxfId="482" totalsRowDxfId="481">
      <calculatedColumnFormula>IFERROR(INDEX('درجریان وصول'!F:F,MATCH(Table29[[#This Row],[كد تفصيلي]],'درجریان وصول'!A:A,0)),0)</calculatedColumnFormula>
    </tableColumn>
    <tableColumn id="5" xr3:uid="{00000000-0010-0000-0700-000005000000}" name="چکهای نزد صندوق" totalsRowFunction="sum" dataDxfId="480" totalsRowDxfId="479">
      <calculatedColumnFormula>IFERROR(INDEX('چکهای دریافتنی'!F:F,MATCH(Table29[[#This Row],[كد تفصيلي]],'چکهای دریافتنی'!A:A,0)),0)</calculatedColumnFormula>
    </tableColumn>
    <tableColumn id="6" xr3:uid="{00000000-0010-0000-0700-000006000000}" name="مانده ریالی " dataDxfId="478" totalsRowDxfId="477">
      <calculatedColumnFormula>Table29[[#This Row],[حسابهای دریافتنی]]+Table29[[#This Row],[چکهای در جریان وصول]]+Table29[[#This Row],[چکهای نزد صندوق]]</calculatedColumnFormula>
    </tableColumn>
    <tableColumn id="7" xr3:uid="{00000000-0010-0000-0700-000007000000}" name="مانده سوفاله" totalsRowFunction="sum" dataDxfId="476" totalsRowDxfId="475">
      <calculatedColumnFormula>IFERROR(INDEX('مانده سوفاله'!F:F,MATCH(Table29[[#This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210" displayName="Table210" ref="A2:G168" totalsRowCount="1" headerRowDxfId="474" dataDxfId="472" totalsRowDxfId="470" headerRowBorderDxfId="473" tableBorderDxfId="471" totalsRowBorderDxfId="469">
  <autoFilter ref="A2:G167" xr:uid="{00000000-0009-0000-0100-000009000000}"/>
  <sortState xmlns:xlrd2="http://schemas.microsoft.com/office/spreadsheetml/2017/richdata2" ref="A3:G332">
    <sortCondition descending="1" ref="C2:C332"/>
  </sortState>
  <tableColumns count="7">
    <tableColumn id="1" xr3:uid="{00000000-0010-0000-0800-000001000000}" name="كد تفصيلي" dataDxfId="468" totalsRowDxfId="467"/>
    <tableColumn id="2" xr3:uid="{00000000-0010-0000-0800-000002000000}" name="عنوان" dataDxfId="466" totalsRowDxfId="465"/>
    <tableColumn id="3" xr3:uid="{00000000-0010-0000-0800-000003000000}" name="حسابهای دریافتنی" totalsRowFunction="sum" dataDxfId="464" totalsRowDxfId="463">
      <calculatedColumnFormula>IFERROR(INDEX('حسابهای دریافتنی'!H:H,MATCH(Table210[[#This Row],[كد تفصيلي]],'حسابهای دریافتنی'!A:A,0)),0)</calculatedColumnFormula>
    </tableColumn>
    <tableColumn id="4" xr3:uid="{00000000-0010-0000-0800-000004000000}" name="چکهای در جریان وصول" totalsRowFunction="sum" dataDxfId="462" totalsRowDxfId="461">
      <calculatedColumnFormula>IFERROR(INDEX('درجریان وصول'!F:F,MATCH(Table210[[#This Row],[كد تفصيلي]],'درجریان وصول'!A:A,0)),0)</calculatedColumnFormula>
    </tableColumn>
    <tableColumn id="5" xr3:uid="{00000000-0010-0000-0800-000005000000}" name="چکهای نزد صندوق" totalsRowFunction="sum" dataDxfId="460" totalsRowDxfId="459">
      <calculatedColumnFormula>IFERROR(INDEX('چکهای دریافتنی'!F:F,MATCH(Table210[[#This Row],[كد تفصيلي]],'چکهای دریافتنی'!A:A,0)),0)</calculatedColumnFormula>
    </tableColumn>
    <tableColumn id="6" xr3:uid="{00000000-0010-0000-0800-000006000000}" name="مانده ریالی " dataDxfId="458" totalsRowDxfId="457">
      <calculatedColumnFormula>Table210[[#This Row],[حسابهای دریافتنی]]+Table210[[#This Row],[چکهای در جریان وصول]]+Table210[[#This Row],[چکهای نزد صندوق]]</calculatedColumnFormula>
    </tableColumn>
    <tableColumn id="7" xr3:uid="{00000000-0010-0000-0800-000007000000}" name="مانده سوفاله" totalsRowFunction="sum" dataDxfId="456" totalsRowDxfId="455">
      <calculatedColumnFormula>IFERROR(INDEX('مانده سوفاله'!F:F,MATCH(Table210[[#This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6"/>
  <sheetViews>
    <sheetView rightToLeft="1" workbookViewId="0">
      <selection activeCell="C9" sqref="C9"/>
    </sheetView>
  </sheetViews>
  <sheetFormatPr defaultColWidth="9" defaultRowHeight="14.5" x14ac:dyDescent="0.35"/>
  <cols>
    <col min="1" max="1" width="11.453125" bestFit="1" customWidth="1"/>
    <col min="2" max="2" width="23" customWidth="1"/>
    <col min="3" max="3" width="18.26953125" customWidth="1"/>
  </cols>
  <sheetData>
    <row r="1" spans="1:3" ht="14.25" customHeight="1" x14ac:dyDescent="0.35">
      <c r="A1" s="32" t="s">
        <v>134</v>
      </c>
      <c r="B1" s="32" t="s">
        <v>5</v>
      </c>
      <c r="C1" s="32" t="s">
        <v>401</v>
      </c>
    </row>
    <row r="2" spans="1:3" ht="14.25" customHeight="1" x14ac:dyDescent="0.35">
      <c r="A2" s="33">
        <v>10001</v>
      </c>
      <c r="B2" s="33" t="s">
        <v>8</v>
      </c>
      <c r="C2" s="33" t="s">
        <v>7</v>
      </c>
    </row>
    <row r="3" spans="1:3" ht="14.25" customHeight="1" x14ac:dyDescent="0.35">
      <c r="A3" s="34">
        <v>10002</v>
      </c>
      <c r="B3" s="34" t="s">
        <v>9</v>
      </c>
      <c r="C3" s="33" t="s">
        <v>7</v>
      </c>
    </row>
    <row r="4" spans="1:3" ht="14.25" customHeight="1" x14ac:dyDescent="0.35">
      <c r="A4" s="33">
        <v>10003</v>
      </c>
      <c r="B4" s="33" t="s">
        <v>10</v>
      </c>
      <c r="C4" s="33" t="s">
        <v>7</v>
      </c>
    </row>
    <row r="5" spans="1:3" ht="14.25" customHeight="1" x14ac:dyDescent="0.35">
      <c r="A5" s="34">
        <v>10004</v>
      </c>
      <c r="B5" s="34" t="s">
        <v>11</v>
      </c>
      <c r="C5" s="33" t="s">
        <v>7</v>
      </c>
    </row>
    <row r="6" spans="1:3" ht="14.25" customHeight="1" x14ac:dyDescent="0.35">
      <c r="A6" s="33">
        <v>10005</v>
      </c>
      <c r="B6" s="33" t="s">
        <v>12</v>
      </c>
      <c r="C6" s="33" t="s">
        <v>7</v>
      </c>
    </row>
    <row r="7" spans="1:3" ht="14.25" customHeight="1" x14ac:dyDescent="0.35">
      <c r="A7" s="34">
        <v>10006</v>
      </c>
      <c r="B7" s="34" t="s">
        <v>13</v>
      </c>
      <c r="C7" s="33" t="s">
        <v>7</v>
      </c>
    </row>
    <row r="8" spans="1:3" ht="14.25" customHeight="1" x14ac:dyDescent="0.35">
      <c r="A8" s="33">
        <v>10007</v>
      </c>
      <c r="B8" s="33" t="s">
        <v>14</v>
      </c>
      <c r="C8" s="33" t="s">
        <v>7</v>
      </c>
    </row>
    <row r="9" spans="1:3" ht="14.25" customHeight="1" x14ac:dyDescent="0.35">
      <c r="A9" s="34">
        <v>10008</v>
      </c>
      <c r="B9" s="34" t="s">
        <v>15</v>
      </c>
      <c r="C9" s="33" t="s">
        <v>7</v>
      </c>
    </row>
    <row r="10" spans="1:3" ht="14.25" customHeight="1" x14ac:dyDescent="0.35">
      <c r="A10" s="33">
        <v>10009</v>
      </c>
      <c r="B10" s="33" t="s">
        <v>16</v>
      </c>
      <c r="C10" s="33" t="s">
        <v>7</v>
      </c>
    </row>
    <row r="11" spans="1:3" ht="14.25" customHeight="1" x14ac:dyDescent="0.35">
      <c r="A11" s="34">
        <v>10010</v>
      </c>
      <c r="B11" s="34" t="s">
        <v>17</v>
      </c>
      <c r="C11" s="33" t="s">
        <v>7</v>
      </c>
    </row>
    <row r="12" spans="1:3" ht="14.25" customHeight="1" x14ac:dyDescent="0.35">
      <c r="A12" s="33">
        <v>10011</v>
      </c>
      <c r="B12" s="33" t="s">
        <v>18</v>
      </c>
      <c r="C12" s="33" t="s">
        <v>7</v>
      </c>
    </row>
    <row r="13" spans="1:3" ht="14.25" customHeight="1" x14ac:dyDescent="0.35">
      <c r="A13" s="34">
        <v>10012</v>
      </c>
      <c r="B13" s="34" t="s">
        <v>19</v>
      </c>
      <c r="C13" s="33" t="s">
        <v>7</v>
      </c>
    </row>
    <row r="14" spans="1:3" ht="14.25" customHeight="1" x14ac:dyDescent="0.35">
      <c r="A14" s="33">
        <v>10013</v>
      </c>
      <c r="B14" s="33" t="s">
        <v>20</v>
      </c>
      <c r="C14" s="33" t="s">
        <v>7</v>
      </c>
    </row>
    <row r="15" spans="1:3" ht="14.25" customHeight="1" x14ac:dyDescent="0.35">
      <c r="A15" s="34">
        <v>10014</v>
      </c>
      <c r="B15" s="34" t="s">
        <v>21</v>
      </c>
      <c r="C15" s="33" t="s">
        <v>7</v>
      </c>
    </row>
    <row r="16" spans="1:3" ht="14.25" customHeight="1" x14ac:dyDescent="0.35">
      <c r="A16" s="33">
        <v>10015</v>
      </c>
      <c r="B16" s="33" t="s">
        <v>22</v>
      </c>
      <c r="C16" s="33" t="s">
        <v>7</v>
      </c>
    </row>
    <row r="17" spans="1:3" ht="14.25" customHeight="1" x14ac:dyDescent="0.35">
      <c r="A17" s="34">
        <v>10016</v>
      </c>
      <c r="B17" s="34" t="s">
        <v>23</v>
      </c>
      <c r="C17" s="33" t="s">
        <v>7</v>
      </c>
    </row>
    <row r="18" spans="1:3" ht="14.25" customHeight="1" x14ac:dyDescent="0.35">
      <c r="A18" s="33">
        <v>10017</v>
      </c>
      <c r="B18" s="33" t="s">
        <v>24</v>
      </c>
      <c r="C18" s="33" t="s">
        <v>7</v>
      </c>
    </row>
    <row r="19" spans="1:3" ht="14.25" customHeight="1" x14ac:dyDescent="0.35">
      <c r="A19" s="34">
        <v>10018</v>
      </c>
      <c r="B19" s="34" t="s">
        <v>25</v>
      </c>
      <c r="C19" s="33" t="s">
        <v>7</v>
      </c>
    </row>
    <row r="20" spans="1:3" ht="14.25" customHeight="1" x14ac:dyDescent="0.35">
      <c r="A20" s="33">
        <v>10019</v>
      </c>
      <c r="B20" s="33" t="s">
        <v>26</v>
      </c>
      <c r="C20" s="33" t="s">
        <v>7</v>
      </c>
    </row>
    <row r="21" spans="1:3" ht="14.25" customHeight="1" x14ac:dyDescent="0.35">
      <c r="A21" s="34">
        <v>10020</v>
      </c>
      <c r="B21" s="34" t="s">
        <v>27</v>
      </c>
      <c r="C21" s="33" t="s">
        <v>7</v>
      </c>
    </row>
    <row r="22" spans="1:3" ht="14.25" customHeight="1" x14ac:dyDescent="0.35">
      <c r="A22" s="33">
        <v>10021</v>
      </c>
      <c r="B22" s="33" t="s">
        <v>28</v>
      </c>
      <c r="C22" s="33" t="s">
        <v>7</v>
      </c>
    </row>
    <row r="23" spans="1:3" ht="14.25" customHeight="1" x14ac:dyDescent="0.35">
      <c r="A23" s="34">
        <v>10022</v>
      </c>
      <c r="B23" s="34" t="s">
        <v>29</v>
      </c>
      <c r="C23" s="33" t="s">
        <v>7</v>
      </c>
    </row>
    <row r="24" spans="1:3" ht="14.25" customHeight="1" x14ac:dyDescent="0.35">
      <c r="A24" s="33">
        <v>10023</v>
      </c>
      <c r="B24" s="33" t="s">
        <v>155</v>
      </c>
      <c r="C24" s="33" t="s">
        <v>7</v>
      </c>
    </row>
    <row r="25" spans="1:3" ht="14.25" customHeight="1" x14ac:dyDescent="0.35">
      <c r="A25" s="34">
        <v>10024</v>
      </c>
      <c r="B25" s="34" t="s">
        <v>30</v>
      </c>
      <c r="C25" s="33" t="s">
        <v>7</v>
      </c>
    </row>
    <row r="26" spans="1:3" ht="14.25" customHeight="1" x14ac:dyDescent="0.35">
      <c r="A26" s="33">
        <v>10025</v>
      </c>
      <c r="B26" s="33" t="s">
        <v>31</v>
      </c>
      <c r="C26" s="33" t="s">
        <v>7</v>
      </c>
    </row>
    <row r="27" spans="1:3" ht="14.25" customHeight="1" x14ac:dyDescent="0.35">
      <c r="A27" s="34">
        <v>10026</v>
      </c>
      <c r="B27" s="34" t="s">
        <v>32</v>
      </c>
      <c r="C27" s="33" t="s">
        <v>7</v>
      </c>
    </row>
    <row r="28" spans="1:3" ht="14.25" customHeight="1" x14ac:dyDescent="0.35">
      <c r="A28" s="33">
        <v>10027</v>
      </c>
      <c r="B28" s="33" t="s">
        <v>33</v>
      </c>
      <c r="C28" s="33" t="s">
        <v>7</v>
      </c>
    </row>
    <row r="29" spans="1:3" ht="14.25" customHeight="1" x14ac:dyDescent="0.35">
      <c r="A29" s="34">
        <v>10028</v>
      </c>
      <c r="B29" s="34" t="s">
        <v>34</v>
      </c>
      <c r="C29" s="33" t="s">
        <v>7</v>
      </c>
    </row>
    <row r="30" spans="1:3" ht="14.25" customHeight="1" x14ac:dyDescent="0.35">
      <c r="A30" s="33">
        <v>10029</v>
      </c>
      <c r="B30" s="33" t="s">
        <v>35</v>
      </c>
      <c r="C30" s="33" t="s">
        <v>7</v>
      </c>
    </row>
    <row r="31" spans="1:3" ht="14.25" customHeight="1" x14ac:dyDescent="0.35">
      <c r="A31" s="34">
        <v>10030</v>
      </c>
      <c r="B31" s="34" t="s">
        <v>36</v>
      </c>
      <c r="C31" s="33" t="s">
        <v>7</v>
      </c>
    </row>
    <row r="32" spans="1:3" ht="14.25" customHeight="1" x14ac:dyDescent="0.35">
      <c r="A32" s="33">
        <v>10031</v>
      </c>
      <c r="B32" s="33" t="s">
        <v>37</v>
      </c>
      <c r="C32" s="33" t="s">
        <v>7</v>
      </c>
    </row>
    <row r="33" spans="1:3" ht="14.25" customHeight="1" x14ac:dyDescent="0.35">
      <c r="A33" s="34">
        <v>10032</v>
      </c>
      <c r="B33" s="34" t="s">
        <v>38</v>
      </c>
      <c r="C33" s="33" t="s">
        <v>7</v>
      </c>
    </row>
    <row r="34" spans="1:3" ht="14.25" customHeight="1" x14ac:dyDescent="0.35">
      <c r="A34" s="33">
        <v>10033</v>
      </c>
      <c r="B34" s="33" t="s">
        <v>39</v>
      </c>
      <c r="C34" s="33" t="s">
        <v>7</v>
      </c>
    </row>
    <row r="35" spans="1:3" ht="14.25" customHeight="1" x14ac:dyDescent="0.35">
      <c r="A35" s="34">
        <v>10034</v>
      </c>
      <c r="B35" s="34" t="s">
        <v>40</v>
      </c>
      <c r="C35" s="33" t="s">
        <v>7</v>
      </c>
    </row>
    <row r="36" spans="1:3" ht="14.25" customHeight="1" x14ac:dyDescent="0.35">
      <c r="A36" s="33">
        <v>10035</v>
      </c>
      <c r="B36" s="33" t="s">
        <v>41</v>
      </c>
      <c r="C36" s="33" t="s">
        <v>7</v>
      </c>
    </row>
    <row r="37" spans="1:3" ht="14.25" customHeight="1" x14ac:dyDescent="0.35">
      <c r="A37" s="34">
        <v>10036</v>
      </c>
      <c r="B37" s="34" t="s">
        <v>42</v>
      </c>
      <c r="C37" s="33" t="s">
        <v>7</v>
      </c>
    </row>
    <row r="38" spans="1:3" ht="14.25" customHeight="1" x14ac:dyDescent="0.35">
      <c r="A38" s="33">
        <v>10037</v>
      </c>
      <c r="B38" s="33" t="s">
        <v>43</v>
      </c>
      <c r="C38" s="33" t="s">
        <v>7</v>
      </c>
    </row>
    <row r="39" spans="1:3" ht="14.25" customHeight="1" x14ac:dyDescent="0.35">
      <c r="A39" s="34">
        <v>10038</v>
      </c>
      <c r="B39" s="34" t="s">
        <v>44</v>
      </c>
      <c r="C39" s="33" t="s">
        <v>7</v>
      </c>
    </row>
    <row r="40" spans="1:3" ht="14.25" customHeight="1" x14ac:dyDescent="0.35">
      <c r="A40" s="33">
        <v>10039</v>
      </c>
      <c r="B40" s="33" t="s">
        <v>45</v>
      </c>
      <c r="C40" s="33" t="s">
        <v>7</v>
      </c>
    </row>
    <row r="41" spans="1:3" ht="14.25" customHeight="1" x14ac:dyDescent="0.35">
      <c r="A41" s="34">
        <v>10040</v>
      </c>
      <c r="B41" s="34" t="s">
        <v>221</v>
      </c>
      <c r="C41" s="33" t="s">
        <v>7</v>
      </c>
    </row>
    <row r="42" spans="1:3" ht="14.25" customHeight="1" x14ac:dyDescent="0.35">
      <c r="A42" s="33">
        <v>10041</v>
      </c>
      <c r="B42" s="33" t="s">
        <v>46</v>
      </c>
      <c r="C42" s="33" t="s">
        <v>7</v>
      </c>
    </row>
    <row r="43" spans="1:3" ht="14.25" customHeight="1" x14ac:dyDescent="0.35">
      <c r="A43" s="34">
        <v>10042</v>
      </c>
      <c r="B43" s="34" t="s">
        <v>47</v>
      </c>
      <c r="C43" s="33" t="s">
        <v>7</v>
      </c>
    </row>
    <row r="44" spans="1:3" ht="14.25" customHeight="1" x14ac:dyDescent="0.35">
      <c r="A44" s="33">
        <v>10043</v>
      </c>
      <c r="B44" s="33" t="s">
        <v>48</v>
      </c>
      <c r="C44" s="33" t="s">
        <v>7</v>
      </c>
    </row>
    <row r="45" spans="1:3" ht="14.25" customHeight="1" x14ac:dyDescent="0.35">
      <c r="A45" s="34">
        <v>10044</v>
      </c>
      <c r="B45" s="34" t="s">
        <v>49</v>
      </c>
      <c r="C45" s="33" t="s">
        <v>7</v>
      </c>
    </row>
    <row r="46" spans="1:3" ht="14.25" customHeight="1" x14ac:dyDescent="0.35">
      <c r="A46" s="33">
        <v>10045</v>
      </c>
      <c r="B46" s="33" t="s">
        <v>50</v>
      </c>
      <c r="C46" s="33" t="s">
        <v>7</v>
      </c>
    </row>
    <row r="47" spans="1:3" ht="14.25" customHeight="1" x14ac:dyDescent="0.35">
      <c r="A47" s="34">
        <v>10046</v>
      </c>
      <c r="B47" s="34" t="s">
        <v>51</v>
      </c>
      <c r="C47" s="33" t="s">
        <v>7</v>
      </c>
    </row>
    <row r="48" spans="1:3" ht="14.25" customHeight="1" x14ac:dyDescent="0.35">
      <c r="A48" s="33">
        <v>10047</v>
      </c>
      <c r="B48" s="33" t="s">
        <v>222</v>
      </c>
      <c r="C48" s="33" t="s">
        <v>7</v>
      </c>
    </row>
    <row r="49" spans="1:3" ht="14.25" customHeight="1" x14ac:dyDescent="0.35">
      <c r="A49" s="34">
        <v>10048</v>
      </c>
      <c r="B49" s="34" t="s">
        <v>191</v>
      </c>
      <c r="C49" s="33" t="s">
        <v>7</v>
      </c>
    </row>
    <row r="50" spans="1:3" ht="14.25" customHeight="1" x14ac:dyDescent="0.35">
      <c r="A50" s="33">
        <v>10049</v>
      </c>
      <c r="B50" s="33" t="s">
        <v>157</v>
      </c>
      <c r="C50" s="33" t="s">
        <v>7</v>
      </c>
    </row>
    <row r="51" spans="1:3" ht="14.25" customHeight="1" x14ac:dyDescent="0.35">
      <c r="A51" s="34">
        <v>10050</v>
      </c>
      <c r="B51" s="34" t="s">
        <v>154</v>
      </c>
      <c r="C51" s="33" t="s">
        <v>7</v>
      </c>
    </row>
    <row r="52" spans="1:3" ht="14.25" customHeight="1" x14ac:dyDescent="0.35">
      <c r="A52" s="33">
        <v>10051</v>
      </c>
      <c r="B52" s="33" t="s">
        <v>223</v>
      </c>
      <c r="C52" s="33" t="s">
        <v>7</v>
      </c>
    </row>
    <row r="53" spans="1:3" ht="14.25" customHeight="1" x14ac:dyDescent="0.35">
      <c r="A53" s="34">
        <v>10052</v>
      </c>
      <c r="B53" s="34" t="s">
        <v>192</v>
      </c>
      <c r="C53" s="33" t="s">
        <v>7</v>
      </c>
    </row>
    <row r="54" spans="1:3" ht="14.25" customHeight="1" x14ac:dyDescent="0.35">
      <c r="A54" s="33">
        <v>10053</v>
      </c>
      <c r="B54" s="33" t="s">
        <v>193</v>
      </c>
      <c r="C54" s="33" t="s">
        <v>7</v>
      </c>
    </row>
    <row r="55" spans="1:3" ht="14.25" customHeight="1" x14ac:dyDescent="0.35">
      <c r="A55" s="34">
        <v>10054</v>
      </c>
      <c r="B55" s="34" t="s">
        <v>224</v>
      </c>
      <c r="C55" s="33" t="s">
        <v>7</v>
      </c>
    </row>
    <row r="56" spans="1:3" ht="14.25" customHeight="1" x14ac:dyDescent="0.35">
      <c r="A56" s="33">
        <v>10055</v>
      </c>
      <c r="B56" s="33" t="s">
        <v>162</v>
      </c>
      <c r="C56" s="33" t="s">
        <v>7</v>
      </c>
    </row>
    <row r="57" spans="1:3" ht="14.25" customHeight="1" x14ac:dyDescent="0.35">
      <c r="A57" s="34">
        <v>10056</v>
      </c>
      <c r="B57" s="34" t="s">
        <v>166</v>
      </c>
      <c r="C57" s="33" t="s">
        <v>7</v>
      </c>
    </row>
    <row r="58" spans="1:3" ht="14.25" customHeight="1" x14ac:dyDescent="0.35">
      <c r="A58" s="33">
        <v>10057</v>
      </c>
      <c r="B58" s="33" t="s">
        <v>225</v>
      </c>
      <c r="C58" s="33" t="s">
        <v>7</v>
      </c>
    </row>
    <row r="59" spans="1:3" ht="14.25" customHeight="1" x14ac:dyDescent="0.35">
      <c r="A59" s="34">
        <v>10058</v>
      </c>
      <c r="B59" s="34" t="s">
        <v>173</v>
      </c>
      <c r="C59" s="33" t="s">
        <v>7</v>
      </c>
    </row>
    <row r="60" spans="1:3" ht="14.25" customHeight="1" x14ac:dyDescent="0.35">
      <c r="A60" s="33">
        <v>10059</v>
      </c>
      <c r="B60" s="33" t="s">
        <v>226</v>
      </c>
      <c r="C60" s="33" t="s">
        <v>7</v>
      </c>
    </row>
    <row r="61" spans="1:3" ht="14.25" customHeight="1" x14ac:dyDescent="0.35">
      <c r="A61" s="34">
        <v>10060</v>
      </c>
      <c r="B61" s="34" t="s">
        <v>185</v>
      </c>
      <c r="C61" s="33" t="s">
        <v>7</v>
      </c>
    </row>
    <row r="62" spans="1:3" ht="14.25" customHeight="1" x14ac:dyDescent="0.35">
      <c r="A62" s="33">
        <v>10061</v>
      </c>
      <c r="B62" s="33" t="s">
        <v>194</v>
      </c>
      <c r="C62" s="33" t="s">
        <v>7</v>
      </c>
    </row>
    <row r="63" spans="1:3" ht="14.25" customHeight="1" x14ac:dyDescent="0.35">
      <c r="A63" s="34">
        <v>10062</v>
      </c>
      <c r="B63" s="34" t="s">
        <v>227</v>
      </c>
      <c r="C63" s="33" t="s">
        <v>7</v>
      </c>
    </row>
    <row r="64" spans="1:3" ht="14.25" customHeight="1" x14ac:dyDescent="0.35">
      <c r="A64" s="33">
        <v>10063</v>
      </c>
      <c r="B64" s="33" t="s">
        <v>180</v>
      </c>
      <c r="C64" s="33" t="s">
        <v>7</v>
      </c>
    </row>
    <row r="65" spans="1:3" ht="14.25" customHeight="1" x14ac:dyDescent="0.35">
      <c r="A65" s="34">
        <v>10064</v>
      </c>
      <c r="B65" s="34" t="s">
        <v>181</v>
      </c>
      <c r="C65" s="33" t="s">
        <v>7</v>
      </c>
    </row>
    <row r="66" spans="1:3" ht="14.25" customHeight="1" x14ac:dyDescent="0.35">
      <c r="A66" s="33">
        <v>10065</v>
      </c>
      <c r="B66" s="33" t="s">
        <v>228</v>
      </c>
      <c r="C66" s="33" t="s">
        <v>7</v>
      </c>
    </row>
    <row r="67" spans="1:3" ht="14.25" customHeight="1" x14ac:dyDescent="0.35">
      <c r="A67" s="34">
        <v>10066</v>
      </c>
      <c r="B67" s="34" t="s">
        <v>262</v>
      </c>
      <c r="C67" s="33" t="s">
        <v>7</v>
      </c>
    </row>
    <row r="68" spans="1:3" ht="14.25" customHeight="1" x14ac:dyDescent="0.35">
      <c r="A68" s="33">
        <v>10067</v>
      </c>
      <c r="B68" s="33" t="s">
        <v>229</v>
      </c>
      <c r="C68" s="33" t="s">
        <v>7</v>
      </c>
    </row>
    <row r="69" spans="1:3" ht="14.25" customHeight="1" x14ac:dyDescent="0.35">
      <c r="A69" s="34">
        <v>10068</v>
      </c>
      <c r="B69" s="34" t="s">
        <v>184</v>
      </c>
      <c r="C69" s="33" t="s">
        <v>7</v>
      </c>
    </row>
    <row r="70" spans="1:3" ht="14.25" customHeight="1" x14ac:dyDescent="0.35">
      <c r="A70" s="33">
        <v>10069</v>
      </c>
      <c r="B70" s="33" t="s">
        <v>204</v>
      </c>
      <c r="C70" s="33" t="s">
        <v>7</v>
      </c>
    </row>
    <row r="71" spans="1:3" ht="14.25" customHeight="1" x14ac:dyDescent="0.35">
      <c r="A71" s="34">
        <v>10070</v>
      </c>
      <c r="B71" s="34" t="s">
        <v>230</v>
      </c>
      <c r="C71" s="33" t="s">
        <v>7</v>
      </c>
    </row>
    <row r="72" spans="1:3" ht="14.25" customHeight="1" x14ac:dyDescent="0.35">
      <c r="A72" s="33">
        <v>10071</v>
      </c>
      <c r="B72" s="33" t="s">
        <v>186</v>
      </c>
      <c r="C72" s="33" t="s">
        <v>7</v>
      </c>
    </row>
    <row r="73" spans="1:3" ht="14.25" customHeight="1" x14ac:dyDescent="0.35">
      <c r="A73" s="34">
        <v>10072</v>
      </c>
      <c r="B73" s="34" t="s">
        <v>177</v>
      </c>
      <c r="C73" s="33" t="s">
        <v>7</v>
      </c>
    </row>
    <row r="74" spans="1:3" ht="14.25" customHeight="1" x14ac:dyDescent="0.35">
      <c r="A74" s="33">
        <v>10073</v>
      </c>
      <c r="B74" s="33" t="s">
        <v>171</v>
      </c>
      <c r="C74" s="33" t="s">
        <v>7</v>
      </c>
    </row>
    <row r="75" spans="1:3" ht="14.25" customHeight="1" x14ac:dyDescent="0.35">
      <c r="A75" s="34">
        <v>10074</v>
      </c>
      <c r="B75" s="34" t="s">
        <v>231</v>
      </c>
      <c r="C75" s="33" t="s">
        <v>7</v>
      </c>
    </row>
    <row r="76" spans="1:3" ht="14.25" customHeight="1" x14ac:dyDescent="0.35">
      <c r="A76" s="33">
        <v>10075</v>
      </c>
      <c r="B76" s="33" t="s">
        <v>169</v>
      </c>
      <c r="C76" s="33" t="s">
        <v>7</v>
      </c>
    </row>
    <row r="77" spans="1:3" ht="14.25" customHeight="1" x14ac:dyDescent="0.35">
      <c r="A77" s="34">
        <v>10076</v>
      </c>
      <c r="B77" s="34" t="s">
        <v>182</v>
      </c>
      <c r="C77" s="33" t="s">
        <v>7</v>
      </c>
    </row>
    <row r="78" spans="1:3" ht="14.25" customHeight="1" x14ac:dyDescent="0.35">
      <c r="A78" s="33">
        <v>10077</v>
      </c>
      <c r="B78" s="33" t="s">
        <v>210</v>
      </c>
      <c r="C78" s="33" t="s">
        <v>7</v>
      </c>
    </row>
    <row r="79" spans="1:3" ht="14.25" customHeight="1" x14ac:dyDescent="0.35">
      <c r="A79" s="34">
        <v>10078</v>
      </c>
      <c r="B79" s="34" t="s">
        <v>232</v>
      </c>
      <c r="C79" s="33" t="s">
        <v>7</v>
      </c>
    </row>
    <row r="80" spans="1:3" ht="14.25" customHeight="1" x14ac:dyDescent="0.35">
      <c r="A80" s="33">
        <v>10079</v>
      </c>
      <c r="B80" s="33" t="s">
        <v>174</v>
      </c>
      <c r="C80" s="33" t="s">
        <v>7</v>
      </c>
    </row>
    <row r="81" spans="1:3" ht="14.25" customHeight="1" x14ac:dyDescent="0.35">
      <c r="A81" s="34">
        <v>10080</v>
      </c>
      <c r="B81" s="34" t="s">
        <v>214</v>
      </c>
      <c r="C81" s="33" t="s">
        <v>7</v>
      </c>
    </row>
    <row r="82" spans="1:3" ht="14.25" customHeight="1" x14ac:dyDescent="0.35">
      <c r="A82" s="33">
        <v>10081</v>
      </c>
      <c r="B82" s="33" t="s">
        <v>233</v>
      </c>
      <c r="C82" s="33" t="s">
        <v>7</v>
      </c>
    </row>
    <row r="83" spans="1:3" ht="14.25" customHeight="1" x14ac:dyDescent="0.35">
      <c r="A83" s="34">
        <v>10082</v>
      </c>
      <c r="B83" s="34" t="s">
        <v>215</v>
      </c>
      <c r="C83" s="33" t="s">
        <v>7</v>
      </c>
    </row>
    <row r="84" spans="1:3" ht="14.25" customHeight="1" x14ac:dyDescent="0.35">
      <c r="A84" s="33">
        <v>10083</v>
      </c>
      <c r="B84" s="33" t="s">
        <v>234</v>
      </c>
      <c r="C84" s="33" t="s">
        <v>7</v>
      </c>
    </row>
    <row r="85" spans="1:3" ht="14.25" customHeight="1" x14ac:dyDescent="0.35">
      <c r="A85" s="34">
        <v>10084</v>
      </c>
      <c r="B85" s="34" t="s">
        <v>217</v>
      </c>
      <c r="C85" s="33" t="s">
        <v>7</v>
      </c>
    </row>
    <row r="86" spans="1:3" ht="14.25" customHeight="1" x14ac:dyDescent="0.35">
      <c r="A86" s="33">
        <v>10085</v>
      </c>
      <c r="B86" s="33" t="s">
        <v>235</v>
      </c>
      <c r="C86" s="33" t="s">
        <v>7</v>
      </c>
    </row>
    <row r="87" spans="1:3" ht="14.25" customHeight="1" x14ac:dyDescent="0.35">
      <c r="A87" s="34">
        <v>10086</v>
      </c>
      <c r="B87" s="34" t="s">
        <v>219</v>
      </c>
      <c r="C87" s="33" t="s">
        <v>7</v>
      </c>
    </row>
    <row r="88" spans="1:3" ht="14.25" customHeight="1" x14ac:dyDescent="0.35">
      <c r="A88" s="33">
        <v>10087</v>
      </c>
      <c r="B88" s="33" t="s">
        <v>220</v>
      </c>
      <c r="C88" s="33" t="s">
        <v>7</v>
      </c>
    </row>
    <row r="89" spans="1:3" ht="14.25" customHeight="1" x14ac:dyDescent="0.35">
      <c r="A89" s="34">
        <v>10088</v>
      </c>
      <c r="B89" s="34" t="s">
        <v>254</v>
      </c>
      <c r="C89" s="33" t="s">
        <v>7</v>
      </c>
    </row>
    <row r="90" spans="1:3" ht="14.25" customHeight="1" x14ac:dyDescent="0.35">
      <c r="A90" s="33">
        <v>10089</v>
      </c>
      <c r="B90" s="33" t="s">
        <v>255</v>
      </c>
      <c r="C90" s="33" t="s">
        <v>7</v>
      </c>
    </row>
    <row r="91" spans="1:3" ht="14.25" customHeight="1" x14ac:dyDescent="0.35">
      <c r="A91" s="34">
        <v>10090</v>
      </c>
      <c r="B91" s="34" t="s">
        <v>256</v>
      </c>
      <c r="C91" s="33" t="s">
        <v>7</v>
      </c>
    </row>
    <row r="92" spans="1:3" ht="14.25" customHeight="1" x14ac:dyDescent="0.35">
      <c r="A92" s="33">
        <v>10091</v>
      </c>
      <c r="B92" s="33" t="s">
        <v>258</v>
      </c>
      <c r="C92" s="33" t="s">
        <v>7</v>
      </c>
    </row>
    <row r="93" spans="1:3" ht="14.25" customHeight="1" x14ac:dyDescent="0.35">
      <c r="A93" s="34">
        <v>10092</v>
      </c>
      <c r="B93" s="34" t="s">
        <v>260</v>
      </c>
      <c r="C93" s="33" t="s">
        <v>7</v>
      </c>
    </row>
    <row r="94" spans="1:3" ht="14.25" customHeight="1" x14ac:dyDescent="0.35">
      <c r="A94" s="33">
        <v>10093</v>
      </c>
      <c r="B94" s="33" t="s">
        <v>264</v>
      </c>
      <c r="C94" s="33" t="s">
        <v>7</v>
      </c>
    </row>
    <row r="95" spans="1:3" ht="14.25" customHeight="1" x14ac:dyDescent="0.35">
      <c r="A95" s="34">
        <v>10094</v>
      </c>
      <c r="B95" s="34" t="s">
        <v>267</v>
      </c>
      <c r="C95" s="33" t="s">
        <v>7</v>
      </c>
    </row>
    <row r="96" spans="1:3" ht="14.25" customHeight="1" x14ac:dyDescent="0.35">
      <c r="A96" s="33">
        <v>10095</v>
      </c>
      <c r="B96" s="33" t="s">
        <v>268</v>
      </c>
      <c r="C96" s="33" t="s">
        <v>7</v>
      </c>
    </row>
    <row r="97" spans="1:3" ht="14.25" customHeight="1" x14ac:dyDescent="0.35">
      <c r="A97" s="34">
        <v>10096</v>
      </c>
      <c r="B97" s="34" t="s">
        <v>271</v>
      </c>
      <c r="C97" s="33" t="s">
        <v>7</v>
      </c>
    </row>
    <row r="98" spans="1:3" ht="14.25" customHeight="1" x14ac:dyDescent="0.35">
      <c r="A98" s="33">
        <v>10097</v>
      </c>
      <c r="B98" s="33" t="s">
        <v>270</v>
      </c>
      <c r="C98" s="33" t="s">
        <v>7</v>
      </c>
    </row>
    <row r="99" spans="1:3" ht="14.25" customHeight="1" x14ac:dyDescent="0.35">
      <c r="A99" s="34">
        <v>10098</v>
      </c>
      <c r="B99" s="34" t="s">
        <v>275</v>
      </c>
      <c r="C99" s="33" t="s">
        <v>7</v>
      </c>
    </row>
    <row r="100" spans="1:3" ht="14.25" customHeight="1" x14ac:dyDescent="0.35">
      <c r="A100" s="33">
        <v>10099</v>
      </c>
      <c r="B100" s="33" t="s">
        <v>274</v>
      </c>
      <c r="C100" s="33" t="s">
        <v>7</v>
      </c>
    </row>
    <row r="101" spans="1:3" ht="14.25" customHeight="1" x14ac:dyDescent="0.35">
      <c r="A101" s="34">
        <v>10100</v>
      </c>
      <c r="B101" s="34" t="s">
        <v>277</v>
      </c>
      <c r="C101" s="33" t="s">
        <v>7</v>
      </c>
    </row>
    <row r="102" spans="1:3" ht="14.25" customHeight="1" x14ac:dyDescent="0.35">
      <c r="A102" s="33">
        <v>10101</v>
      </c>
      <c r="B102" s="33" t="s">
        <v>281</v>
      </c>
      <c r="C102" s="33" t="s">
        <v>7</v>
      </c>
    </row>
    <row r="103" spans="1:3" ht="14.25" customHeight="1" x14ac:dyDescent="0.35">
      <c r="A103" s="34">
        <v>10102</v>
      </c>
      <c r="B103" s="34" t="s">
        <v>282</v>
      </c>
      <c r="C103" s="33" t="s">
        <v>7</v>
      </c>
    </row>
    <row r="104" spans="1:3" ht="14.25" customHeight="1" x14ac:dyDescent="0.35">
      <c r="A104" s="33">
        <v>10103</v>
      </c>
      <c r="B104" s="33" t="s">
        <v>283</v>
      </c>
      <c r="C104" s="33" t="s">
        <v>7</v>
      </c>
    </row>
    <row r="105" spans="1:3" ht="14.25" customHeight="1" x14ac:dyDescent="0.35">
      <c r="A105" s="34">
        <v>10104</v>
      </c>
      <c r="B105" s="34" t="s">
        <v>293</v>
      </c>
      <c r="C105" s="33" t="s">
        <v>7</v>
      </c>
    </row>
    <row r="106" spans="1:3" ht="14.25" customHeight="1" x14ac:dyDescent="0.35">
      <c r="A106" s="33">
        <v>10105</v>
      </c>
      <c r="B106" s="33" t="s">
        <v>294</v>
      </c>
      <c r="C106" s="33" t="s">
        <v>7</v>
      </c>
    </row>
    <row r="107" spans="1:3" ht="14.25" customHeight="1" x14ac:dyDescent="0.35">
      <c r="A107" s="34">
        <v>10106</v>
      </c>
      <c r="B107" s="34" t="s">
        <v>298</v>
      </c>
      <c r="C107" s="33" t="s">
        <v>7</v>
      </c>
    </row>
    <row r="108" spans="1:3" ht="14.25" customHeight="1" x14ac:dyDescent="0.35">
      <c r="A108" s="33">
        <v>10107</v>
      </c>
      <c r="B108" s="33" t="s">
        <v>402</v>
      </c>
      <c r="C108" s="33" t="s">
        <v>7</v>
      </c>
    </row>
    <row r="109" spans="1:3" ht="14.25" customHeight="1" x14ac:dyDescent="0.35">
      <c r="A109" s="34">
        <v>10108</v>
      </c>
      <c r="B109" s="34" t="s">
        <v>300</v>
      </c>
      <c r="C109" s="33" t="s">
        <v>7</v>
      </c>
    </row>
    <row r="110" spans="1:3" ht="14.25" customHeight="1" x14ac:dyDescent="0.35">
      <c r="A110" s="33">
        <v>10109</v>
      </c>
      <c r="B110" s="33" t="s">
        <v>303</v>
      </c>
      <c r="C110" s="33" t="s">
        <v>7</v>
      </c>
    </row>
    <row r="111" spans="1:3" ht="14.25" customHeight="1" x14ac:dyDescent="0.35">
      <c r="A111" s="34">
        <v>10110</v>
      </c>
      <c r="B111" s="34" t="s">
        <v>306</v>
      </c>
      <c r="C111" s="33" t="s">
        <v>7</v>
      </c>
    </row>
    <row r="112" spans="1:3" ht="14.25" customHeight="1" x14ac:dyDescent="0.35">
      <c r="A112" s="33">
        <v>10111</v>
      </c>
      <c r="B112" s="33" t="s">
        <v>307</v>
      </c>
      <c r="C112" s="33" t="s">
        <v>7</v>
      </c>
    </row>
    <row r="113" spans="1:3" ht="14.25" customHeight="1" x14ac:dyDescent="0.35">
      <c r="A113" s="34">
        <v>10112</v>
      </c>
      <c r="B113" s="34" t="s">
        <v>314</v>
      </c>
      <c r="C113" s="33" t="s">
        <v>7</v>
      </c>
    </row>
    <row r="114" spans="1:3" ht="14.25" customHeight="1" x14ac:dyDescent="0.35">
      <c r="A114" s="33">
        <v>10113</v>
      </c>
      <c r="B114" s="33" t="s">
        <v>315</v>
      </c>
      <c r="C114" s="33" t="s">
        <v>7</v>
      </c>
    </row>
    <row r="115" spans="1:3" ht="14.25" customHeight="1" x14ac:dyDescent="0.35">
      <c r="A115" s="34">
        <v>10114</v>
      </c>
      <c r="B115" s="34" t="s">
        <v>316</v>
      </c>
      <c r="C115" s="33" t="s">
        <v>7</v>
      </c>
    </row>
    <row r="116" spans="1:3" ht="14.25" customHeight="1" x14ac:dyDescent="0.35">
      <c r="A116" s="33">
        <v>10115</v>
      </c>
      <c r="B116" s="33" t="s">
        <v>317</v>
      </c>
      <c r="C116" s="33" t="s">
        <v>7</v>
      </c>
    </row>
    <row r="117" spans="1:3" ht="14.25" customHeight="1" x14ac:dyDescent="0.35">
      <c r="A117" s="34">
        <v>10116</v>
      </c>
      <c r="B117" s="34" t="s">
        <v>321</v>
      </c>
      <c r="C117" s="33" t="s">
        <v>7</v>
      </c>
    </row>
    <row r="118" spans="1:3" ht="14.25" customHeight="1" x14ac:dyDescent="0.35">
      <c r="A118" s="33">
        <v>10117</v>
      </c>
      <c r="B118" s="33" t="s">
        <v>324</v>
      </c>
      <c r="C118" s="33" t="s">
        <v>7</v>
      </c>
    </row>
    <row r="119" spans="1:3" ht="14.25" customHeight="1" x14ac:dyDescent="0.35">
      <c r="A119" s="34">
        <v>10118</v>
      </c>
      <c r="B119" s="34" t="s">
        <v>334</v>
      </c>
      <c r="C119" s="33" t="s">
        <v>7</v>
      </c>
    </row>
    <row r="120" spans="1:3" ht="14.25" customHeight="1" x14ac:dyDescent="0.35">
      <c r="A120" s="33">
        <v>10119</v>
      </c>
      <c r="B120" s="33" t="s">
        <v>333</v>
      </c>
      <c r="C120" s="33" t="s">
        <v>7</v>
      </c>
    </row>
    <row r="121" spans="1:3" ht="14.25" customHeight="1" x14ac:dyDescent="0.35">
      <c r="A121" s="34">
        <v>10120</v>
      </c>
      <c r="B121" s="34" t="s">
        <v>337</v>
      </c>
      <c r="C121" s="33" t="s">
        <v>7</v>
      </c>
    </row>
    <row r="122" spans="1:3" ht="14.25" customHeight="1" x14ac:dyDescent="0.35">
      <c r="A122" s="33">
        <v>10121</v>
      </c>
      <c r="B122" s="33" t="s">
        <v>338</v>
      </c>
      <c r="C122" s="33" t="s">
        <v>7</v>
      </c>
    </row>
    <row r="123" spans="1:3" ht="14.25" customHeight="1" x14ac:dyDescent="0.35">
      <c r="A123" s="34">
        <v>10122</v>
      </c>
      <c r="B123" s="34" t="s">
        <v>339</v>
      </c>
      <c r="C123" s="33" t="s">
        <v>7</v>
      </c>
    </row>
    <row r="124" spans="1:3" ht="14.25" customHeight="1" x14ac:dyDescent="0.35">
      <c r="A124" s="33">
        <v>10123</v>
      </c>
      <c r="B124" s="33" t="s">
        <v>340</v>
      </c>
      <c r="C124" s="33" t="s">
        <v>7</v>
      </c>
    </row>
    <row r="125" spans="1:3" ht="14.25" customHeight="1" x14ac:dyDescent="0.35">
      <c r="A125" s="34">
        <v>10124</v>
      </c>
      <c r="B125" s="34" t="s">
        <v>344</v>
      </c>
      <c r="C125" s="33" t="s">
        <v>7</v>
      </c>
    </row>
    <row r="126" spans="1:3" ht="14.25" customHeight="1" x14ac:dyDescent="0.35">
      <c r="A126" s="33">
        <v>10125</v>
      </c>
      <c r="B126" s="33" t="s">
        <v>345</v>
      </c>
      <c r="C126" s="33" t="s">
        <v>7</v>
      </c>
    </row>
    <row r="127" spans="1:3" ht="14.25" customHeight="1" x14ac:dyDescent="0.35">
      <c r="A127" s="34">
        <v>10126</v>
      </c>
      <c r="B127" s="34" t="s">
        <v>370</v>
      </c>
      <c r="C127" s="33" t="s">
        <v>7</v>
      </c>
    </row>
    <row r="128" spans="1:3" ht="14.25" customHeight="1" x14ac:dyDescent="0.35">
      <c r="A128" s="33">
        <v>10127</v>
      </c>
      <c r="B128" s="33" t="s">
        <v>371</v>
      </c>
      <c r="C128" s="33" t="s">
        <v>7</v>
      </c>
    </row>
    <row r="129" spans="1:3" ht="14.25" customHeight="1" x14ac:dyDescent="0.35">
      <c r="A129" s="34">
        <v>10128</v>
      </c>
      <c r="B129" s="34" t="s">
        <v>372</v>
      </c>
      <c r="C129" s="33" t="s">
        <v>7</v>
      </c>
    </row>
    <row r="130" spans="1:3" ht="14.25" customHeight="1" x14ac:dyDescent="0.35">
      <c r="A130" s="33">
        <v>10129</v>
      </c>
      <c r="B130" s="33" t="s">
        <v>373</v>
      </c>
      <c r="C130" s="33" t="s">
        <v>7</v>
      </c>
    </row>
    <row r="131" spans="1:3" ht="14.25" customHeight="1" x14ac:dyDescent="0.35">
      <c r="A131" s="34">
        <v>30000</v>
      </c>
      <c r="B131" s="34" t="s">
        <v>189</v>
      </c>
      <c r="C131" s="33" t="s">
        <v>7</v>
      </c>
    </row>
    <row r="132" spans="1:3" ht="14.25" customHeight="1" x14ac:dyDescent="0.35">
      <c r="A132" s="33">
        <v>30001</v>
      </c>
      <c r="B132" s="33" t="s">
        <v>190</v>
      </c>
      <c r="C132" s="33" t="s">
        <v>7</v>
      </c>
    </row>
    <row r="133" spans="1:3" ht="14.25" customHeight="1" x14ac:dyDescent="0.35">
      <c r="A133" s="34">
        <v>30002</v>
      </c>
      <c r="B133" s="34" t="s">
        <v>52</v>
      </c>
      <c r="C133" s="33" t="s">
        <v>7</v>
      </c>
    </row>
    <row r="134" spans="1:3" ht="14.25" customHeight="1" x14ac:dyDescent="0.35">
      <c r="A134" s="33">
        <v>30003</v>
      </c>
      <c r="B134" s="33" t="s">
        <v>53</v>
      </c>
      <c r="C134" s="33" t="s">
        <v>7</v>
      </c>
    </row>
    <row r="135" spans="1:3" ht="14.25" customHeight="1" x14ac:dyDescent="0.35">
      <c r="A135" s="34">
        <v>30004</v>
      </c>
      <c r="B135" s="34" t="s">
        <v>54</v>
      </c>
      <c r="C135" s="33" t="s">
        <v>7</v>
      </c>
    </row>
    <row r="136" spans="1:3" ht="14.25" customHeight="1" x14ac:dyDescent="0.35">
      <c r="A136" s="33">
        <v>30005</v>
      </c>
      <c r="B136" s="33" t="s">
        <v>55</v>
      </c>
      <c r="C136" s="33" t="s">
        <v>7</v>
      </c>
    </row>
    <row r="137" spans="1:3" ht="14.25" customHeight="1" x14ac:dyDescent="0.35">
      <c r="A137" s="34">
        <v>30006</v>
      </c>
      <c r="B137" s="34" t="s">
        <v>56</v>
      </c>
      <c r="C137" s="33" t="s">
        <v>7</v>
      </c>
    </row>
    <row r="138" spans="1:3" ht="14.25" customHeight="1" x14ac:dyDescent="0.35">
      <c r="A138" s="33">
        <v>30007</v>
      </c>
      <c r="B138" s="33" t="s">
        <v>57</v>
      </c>
      <c r="C138" s="33" t="s">
        <v>7</v>
      </c>
    </row>
    <row r="139" spans="1:3" ht="14.25" customHeight="1" x14ac:dyDescent="0.35">
      <c r="A139" s="34">
        <v>30008</v>
      </c>
      <c r="B139" s="34" t="s">
        <v>58</v>
      </c>
      <c r="C139" s="33" t="s">
        <v>7</v>
      </c>
    </row>
    <row r="140" spans="1:3" ht="14.25" customHeight="1" x14ac:dyDescent="0.35">
      <c r="A140" s="33">
        <v>30009</v>
      </c>
      <c r="B140" s="33" t="s">
        <v>164</v>
      </c>
      <c r="C140" s="33" t="s">
        <v>7</v>
      </c>
    </row>
    <row r="141" spans="1:3" ht="14.25" customHeight="1" x14ac:dyDescent="0.35">
      <c r="A141" s="34">
        <v>30010</v>
      </c>
      <c r="B141" s="34" t="s">
        <v>59</v>
      </c>
      <c r="C141" s="33" t="s">
        <v>7</v>
      </c>
    </row>
    <row r="142" spans="1:3" ht="14.25" customHeight="1" x14ac:dyDescent="0.35">
      <c r="A142" s="33">
        <v>30011</v>
      </c>
      <c r="B142" s="33" t="s">
        <v>60</v>
      </c>
      <c r="C142" s="33" t="s">
        <v>7</v>
      </c>
    </row>
    <row r="143" spans="1:3" ht="14.25" customHeight="1" x14ac:dyDescent="0.35">
      <c r="A143" s="34">
        <v>30012</v>
      </c>
      <c r="B143" s="34" t="s">
        <v>61</v>
      </c>
      <c r="C143" s="33" t="s">
        <v>7</v>
      </c>
    </row>
    <row r="144" spans="1:3" ht="14.25" customHeight="1" x14ac:dyDescent="0.35">
      <c r="A144" s="33">
        <v>30013</v>
      </c>
      <c r="B144" s="33" t="s">
        <v>62</v>
      </c>
      <c r="C144" s="33" t="s">
        <v>7</v>
      </c>
    </row>
    <row r="145" spans="1:3" ht="14.25" customHeight="1" x14ac:dyDescent="0.35">
      <c r="A145" s="34">
        <v>30014</v>
      </c>
      <c r="B145" s="34" t="s">
        <v>63</v>
      </c>
      <c r="C145" s="33" t="s">
        <v>7</v>
      </c>
    </row>
    <row r="146" spans="1:3" ht="14.25" customHeight="1" x14ac:dyDescent="0.35">
      <c r="A146" s="33">
        <v>30015</v>
      </c>
      <c r="B146" s="33" t="s">
        <v>64</v>
      </c>
      <c r="C146" s="33" t="s">
        <v>7</v>
      </c>
    </row>
    <row r="147" spans="1:3" ht="14.25" customHeight="1" x14ac:dyDescent="0.35">
      <c r="A147" s="34">
        <v>30016</v>
      </c>
      <c r="B147" s="34" t="s">
        <v>253</v>
      </c>
      <c r="C147" s="33" t="s">
        <v>7</v>
      </c>
    </row>
    <row r="148" spans="1:3" ht="14.25" customHeight="1" x14ac:dyDescent="0.35">
      <c r="A148" s="33">
        <v>30017</v>
      </c>
      <c r="B148" s="33" t="s">
        <v>65</v>
      </c>
      <c r="C148" s="33" t="s">
        <v>7</v>
      </c>
    </row>
    <row r="149" spans="1:3" ht="14.25" customHeight="1" x14ac:dyDescent="0.35">
      <c r="A149" s="34">
        <v>30018</v>
      </c>
      <c r="B149" s="34" t="s">
        <v>66</v>
      </c>
      <c r="C149" s="33" t="s">
        <v>7</v>
      </c>
    </row>
    <row r="150" spans="1:3" ht="14.25" customHeight="1" x14ac:dyDescent="0.35">
      <c r="A150" s="33">
        <v>30019</v>
      </c>
      <c r="B150" s="33" t="s">
        <v>67</v>
      </c>
      <c r="C150" s="33" t="s">
        <v>7</v>
      </c>
    </row>
    <row r="151" spans="1:3" ht="14.25" customHeight="1" x14ac:dyDescent="0.35">
      <c r="A151" s="34">
        <v>30020</v>
      </c>
      <c r="B151" s="34" t="s">
        <v>68</v>
      </c>
      <c r="C151" s="33" t="s">
        <v>7</v>
      </c>
    </row>
    <row r="152" spans="1:3" ht="14.25" customHeight="1" x14ac:dyDescent="0.35">
      <c r="A152" s="33">
        <v>30021</v>
      </c>
      <c r="B152" s="33" t="s">
        <v>69</v>
      </c>
      <c r="C152" s="33" t="s">
        <v>7</v>
      </c>
    </row>
    <row r="153" spans="1:3" ht="14.25" customHeight="1" x14ac:dyDescent="0.35">
      <c r="A153" s="34">
        <v>30022</v>
      </c>
      <c r="B153" s="34" t="s">
        <v>70</v>
      </c>
      <c r="C153" s="33" t="s">
        <v>7</v>
      </c>
    </row>
    <row r="154" spans="1:3" ht="14.25" customHeight="1" x14ac:dyDescent="0.35">
      <c r="A154" s="33">
        <v>30023</v>
      </c>
      <c r="B154" s="33" t="s">
        <v>71</v>
      </c>
      <c r="C154" s="33" t="s">
        <v>7</v>
      </c>
    </row>
    <row r="155" spans="1:3" ht="14.25" customHeight="1" x14ac:dyDescent="0.35">
      <c r="A155" s="34">
        <v>30024</v>
      </c>
      <c r="B155" s="34" t="s">
        <v>72</v>
      </c>
      <c r="C155" s="33" t="s">
        <v>7</v>
      </c>
    </row>
    <row r="156" spans="1:3" ht="14.25" customHeight="1" x14ac:dyDescent="0.35">
      <c r="A156" s="33">
        <v>30025</v>
      </c>
      <c r="B156" s="33" t="s">
        <v>73</v>
      </c>
      <c r="C156" s="33" t="s">
        <v>7</v>
      </c>
    </row>
    <row r="157" spans="1:3" ht="14.25" customHeight="1" x14ac:dyDescent="0.35">
      <c r="A157" s="34">
        <v>30026</v>
      </c>
      <c r="B157" s="34" t="s">
        <v>74</v>
      </c>
      <c r="C157" s="33" t="s">
        <v>7</v>
      </c>
    </row>
    <row r="158" spans="1:3" ht="14.25" customHeight="1" x14ac:dyDescent="0.35">
      <c r="A158" s="33">
        <v>30027</v>
      </c>
      <c r="B158" s="33" t="s">
        <v>75</v>
      </c>
      <c r="C158" s="33" t="s">
        <v>7</v>
      </c>
    </row>
    <row r="159" spans="1:3" ht="14.25" customHeight="1" x14ac:dyDescent="0.35">
      <c r="A159" s="34">
        <v>30028</v>
      </c>
      <c r="B159" s="34" t="s">
        <v>76</v>
      </c>
      <c r="C159" s="33" t="s">
        <v>7</v>
      </c>
    </row>
    <row r="160" spans="1:3" ht="14.25" customHeight="1" x14ac:dyDescent="0.35">
      <c r="A160" s="33">
        <v>30029</v>
      </c>
      <c r="B160" s="33" t="s">
        <v>284</v>
      </c>
      <c r="C160" s="33" t="s">
        <v>7</v>
      </c>
    </row>
    <row r="161" spans="1:3" ht="14.25" customHeight="1" x14ac:dyDescent="0.35">
      <c r="A161" s="34">
        <v>30030</v>
      </c>
      <c r="B161" s="34" t="s">
        <v>77</v>
      </c>
      <c r="C161" s="33" t="s">
        <v>7</v>
      </c>
    </row>
    <row r="162" spans="1:3" ht="14.25" customHeight="1" x14ac:dyDescent="0.35">
      <c r="A162" s="33">
        <v>30031</v>
      </c>
      <c r="B162" s="33" t="s">
        <v>78</v>
      </c>
      <c r="C162" s="33" t="s">
        <v>7</v>
      </c>
    </row>
    <row r="163" spans="1:3" ht="14.25" customHeight="1" x14ac:dyDescent="0.35">
      <c r="A163" s="34">
        <v>30032</v>
      </c>
      <c r="B163" s="34" t="s">
        <v>79</v>
      </c>
      <c r="C163" s="33" t="s">
        <v>7</v>
      </c>
    </row>
    <row r="164" spans="1:3" ht="14.25" customHeight="1" x14ac:dyDescent="0.35">
      <c r="A164" s="33">
        <v>30033</v>
      </c>
      <c r="B164" s="33" t="s">
        <v>80</v>
      </c>
      <c r="C164" s="33" t="s">
        <v>7</v>
      </c>
    </row>
    <row r="165" spans="1:3" ht="14.25" customHeight="1" x14ac:dyDescent="0.35">
      <c r="A165" s="34">
        <v>30034</v>
      </c>
      <c r="B165" s="34" t="s">
        <v>81</v>
      </c>
      <c r="C165" s="33" t="s">
        <v>7</v>
      </c>
    </row>
    <row r="166" spans="1:3" ht="14.25" customHeight="1" x14ac:dyDescent="0.35">
      <c r="A166" s="33">
        <v>30035</v>
      </c>
      <c r="B166" s="33" t="s">
        <v>82</v>
      </c>
      <c r="C166" s="33" t="s">
        <v>7</v>
      </c>
    </row>
    <row r="167" spans="1:3" ht="14.25" customHeight="1" x14ac:dyDescent="0.35">
      <c r="A167" s="34">
        <v>30036</v>
      </c>
      <c r="B167" s="34" t="s">
        <v>83</v>
      </c>
      <c r="C167" s="33" t="s">
        <v>7</v>
      </c>
    </row>
    <row r="168" spans="1:3" ht="14.25" customHeight="1" x14ac:dyDescent="0.35">
      <c r="A168" s="33">
        <v>30037</v>
      </c>
      <c r="B168" s="33" t="s">
        <v>84</v>
      </c>
      <c r="C168" s="33" t="s">
        <v>7</v>
      </c>
    </row>
    <row r="169" spans="1:3" ht="14.25" customHeight="1" x14ac:dyDescent="0.35">
      <c r="A169" s="34">
        <v>30038</v>
      </c>
      <c r="B169" s="34" t="s">
        <v>85</v>
      </c>
      <c r="C169" s="33" t="s">
        <v>7</v>
      </c>
    </row>
    <row r="170" spans="1:3" ht="14.25" customHeight="1" x14ac:dyDescent="0.35">
      <c r="A170" s="33">
        <v>30039</v>
      </c>
      <c r="B170" s="33" t="s">
        <v>86</v>
      </c>
      <c r="C170" s="33" t="s">
        <v>7</v>
      </c>
    </row>
    <row r="171" spans="1:3" ht="14.25" customHeight="1" x14ac:dyDescent="0.35">
      <c r="A171" s="34">
        <v>30040</v>
      </c>
      <c r="B171" s="34" t="s">
        <v>87</v>
      </c>
      <c r="C171" s="33" t="s">
        <v>7</v>
      </c>
    </row>
    <row r="172" spans="1:3" ht="14.25" customHeight="1" x14ac:dyDescent="0.35">
      <c r="A172" s="33">
        <v>30041</v>
      </c>
      <c r="B172" s="33" t="s">
        <v>88</v>
      </c>
      <c r="C172" s="33" t="s">
        <v>7</v>
      </c>
    </row>
    <row r="173" spans="1:3" ht="14.25" customHeight="1" x14ac:dyDescent="0.35">
      <c r="A173" s="34">
        <v>30042</v>
      </c>
      <c r="B173" s="34" t="s">
        <v>89</v>
      </c>
      <c r="C173" s="33" t="s">
        <v>7</v>
      </c>
    </row>
    <row r="174" spans="1:3" ht="14.25" customHeight="1" x14ac:dyDescent="0.35">
      <c r="A174" s="33">
        <v>30043</v>
      </c>
      <c r="B174" s="33" t="s">
        <v>90</v>
      </c>
      <c r="C174" s="33" t="s">
        <v>7</v>
      </c>
    </row>
    <row r="175" spans="1:3" ht="14.25" customHeight="1" x14ac:dyDescent="0.35">
      <c r="A175" s="34">
        <v>30044</v>
      </c>
      <c r="B175" s="34" t="s">
        <v>91</v>
      </c>
      <c r="C175" s="33" t="s">
        <v>7</v>
      </c>
    </row>
    <row r="176" spans="1:3" ht="14.25" customHeight="1" x14ac:dyDescent="0.35">
      <c r="A176" s="33">
        <v>30045</v>
      </c>
      <c r="B176" s="33" t="s">
        <v>92</v>
      </c>
      <c r="C176" s="33" t="s">
        <v>7</v>
      </c>
    </row>
    <row r="177" spans="1:3" ht="14.25" customHeight="1" x14ac:dyDescent="0.35">
      <c r="A177" s="34">
        <v>30046</v>
      </c>
      <c r="B177" s="34" t="s">
        <v>403</v>
      </c>
      <c r="C177" s="33" t="s">
        <v>7</v>
      </c>
    </row>
    <row r="178" spans="1:3" ht="14.25" customHeight="1" x14ac:dyDescent="0.35">
      <c r="A178" s="33">
        <v>30047</v>
      </c>
      <c r="B178" s="33" t="s">
        <v>94</v>
      </c>
      <c r="C178" s="33" t="s">
        <v>7</v>
      </c>
    </row>
    <row r="179" spans="1:3" ht="14.25" customHeight="1" x14ac:dyDescent="0.35">
      <c r="A179" s="34">
        <v>30048</v>
      </c>
      <c r="B179" s="34" t="s">
        <v>95</v>
      </c>
      <c r="C179" s="33" t="s">
        <v>7</v>
      </c>
    </row>
    <row r="180" spans="1:3" ht="14.25" customHeight="1" x14ac:dyDescent="0.35">
      <c r="A180" s="33">
        <v>30049</v>
      </c>
      <c r="B180" s="33" t="s">
        <v>96</v>
      </c>
      <c r="C180" s="33" t="s">
        <v>7</v>
      </c>
    </row>
    <row r="181" spans="1:3" ht="14.25" customHeight="1" x14ac:dyDescent="0.35">
      <c r="A181" s="34">
        <v>30050</v>
      </c>
      <c r="B181" s="34" t="s">
        <v>97</v>
      </c>
      <c r="C181" s="33" t="s">
        <v>7</v>
      </c>
    </row>
    <row r="182" spans="1:3" ht="14.25" customHeight="1" x14ac:dyDescent="0.35">
      <c r="A182" s="33">
        <v>30051</v>
      </c>
      <c r="B182" s="33" t="s">
        <v>98</v>
      </c>
      <c r="C182" s="33" t="s">
        <v>7</v>
      </c>
    </row>
    <row r="183" spans="1:3" ht="14.25" customHeight="1" x14ac:dyDescent="0.35">
      <c r="A183" s="34">
        <v>30052</v>
      </c>
      <c r="B183" s="34" t="s">
        <v>149</v>
      </c>
      <c r="C183" s="33" t="s">
        <v>7</v>
      </c>
    </row>
    <row r="184" spans="1:3" ht="14.25" customHeight="1" x14ac:dyDescent="0.35">
      <c r="A184" s="33">
        <v>30054</v>
      </c>
      <c r="B184" s="33" t="s">
        <v>99</v>
      </c>
      <c r="C184" s="33" t="s">
        <v>7</v>
      </c>
    </row>
    <row r="185" spans="1:3" ht="14.25" customHeight="1" x14ac:dyDescent="0.35">
      <c r="A185" s="34">
        <v>30055</v>
      </c>
      <c r="B185" s="34" t="s">
        <v>100</v>
      </c>
      <c r="C185" s="33" t="s">
        <v>7</v>
      </c>
    </row>
    <row r="186" spans="1:3" ht="14.25" customHeight="1" x14ac:dyDescent="0.35">
      <c r="A186" s="33">
        <v>30056</v>
      </c>
      <c r="B186" s="33" t="s">
        <v>101</v>
      </c>
      <c r="C186" s="33" t="s">
        <v>7</v>
      </c>
    </row>
    <row r="187" spans="1:3" ht="14.25" customHeight="1" x14ac:dyDescent="0.35">
      <c r="A187" s="34">
        <v>30057</v>
      </c>
      <c r="B187" s="34" t="s">
        <v>102</v>
      </c>
      <c r="C187" s="33" t="s">
        <v>7</v>
      </c>
    </row>
    <row r="188" spans="1:3" ht="14.25" customHeight="1" x14ac:dyDescent="0.35">
      <c r="A188" s="33">
        <v>30058</v>
      </c>
      <c r="B188" s="33" t="s">
        <v>103</v>
      </c>
      <c r="C188" s="33" t="s">
        <v>7</v>
      </c>
    </row>
    <row r="189" spans="1:3" ht="14.25" customHeight="1" x14ac:dyDescent="0.35">
      <c r="A189" s="34">
        <v>30059</v>
      </c>
      <c r="B189" s="34" t="s">
        <v>104</v>
      </c>
      <c r="C189" s="33" t="s">
        <v>7</v>
      </c>
    </row>
    <row r="190" spans="1:3" ht="14.25" customHeight="1" x14ac:dyDescent="0.35">
      <c r="A190" s="33">
        <v>30060</v>
      </c>
      <c r="B190" s="33" t="s">
        <v>105</v>
      </c>
      <c r="C190" s="33" t="s">
        <v>7</v>
      </c>
    </row>
    <row r="191" spans="1:3" ht="14.25" customHeight="1" x14ac:dyDescent="0.35">
      <c r="A191" s="34">
        <v>30061</v>
      </c>
      <c r="B191" s="34" t="s">
        <v>106</v>
      </c>
      <c r="C191" s="33" t="s">
        <v>7</v>
      </c>
    </row>
    <row r="192" spans="1:3" ht="14.25" customHeight="1" x14ac:dyDescent="0.35">
      <c r="A192" s="33">
        <v>30062</v>
      </c>
      <c r="B192" s="33" t="s">
        <v>107</v>
      </c>
      <c r="C192" s="33" t="s">
        <v>7</v>
      </c>
    </row>
    <row r="193" spans="1:3" ht="14.25" customHeight="1" x14ac:dyDescent="0.35">
      <c r="A193" s="34">
        <v>30063</v>
      </c>
      <c r="B193" s="34" t="s">
        <v>108</v>
      </c>
      <c r="C193" s="33" t="s">
        <v>7</v>
      </c>
    </row>
    <row r="194" spans="1:3" ht="14.25" customHeight="1" x14ac:dyDescent="0.35">
      <c r="A194" s="33">
        <v>30064</v>
      </c>
      <c r="B194" s="33" t="s">
        <v>109</v>
      </c>
      <c r="C194" s="33" t="s">
        <v>7</v>
      </c>
    </row>
    <row r="195" spans="1:3" ht="14.25" customHeight="1" x14ac:dyDescent="0.35">
      <c r="A195" s="34">
        <v>30065</v>
      </c>
      <c r="B195" s="34" t="s">
        <v>110</v>
      </c>
      <c r="C195" s="33" t="s">
        <v>7</v>
      </c>
    </row>
    <row r="196" spans="1:3" ht="14.25" customHeight="1" x14ac:dyDescent="0.35">
      <c r="A196" s="33">
        <v>30066</v>
      </c>
      <c r="B196" s="33" t="s">
        <v>111</v>
      </c>
      <c r="C196" s="33" t="s">
        <v>7</v>
      </c>
    </row>
    <row r="197" spans="1:3" ht="14.25" customHeight="1" x14ac:dyDescent="0.35">
      <c r="A197" s="34">
        <v>30067</v>
      </c>
      <c r="B197" s="34" t="s">
        <v>112</v>
      </c>
      <c r="C197" s="33" t="s">
        <v>7</v>
      </c>
    </row>
    <row r="198" spans="1:3" ht="14.25" customHeight="1" x14ac:dyDescent="0.35">
      <c r="A198" s="33">
        <v>30068</v>
      </c>
      <c r="B198" s="33" t="s">
        <v>113</v>
      </c>
      <c r="C198" s="33" t="s">
        <v>7</v>
      </c>
    </row>
    <row r="199" spans="1:3" ht="14.25" customHeight="1" x14ac:dyDescent="0.35">
      <c r="A199" s="34">
        <v>30069</v>
      </c>
      <c r="B199" s="34" t="s">
        <v>114</v>
      </c>
      <c r="C199" s="33" t="s">
        <v>7</v>
      </c>
    </row>
    <row r="200" spans="1:3" ht="14.25" customHeight="1" x14ac:dyDescent="0.35">
      <c r="A200" s="33">
        <v>30070</v>
      </c>
      <c r="B200" s="33" t="s">
        <v>115</v>
      </c>
      <c r="C200" s="33" t="s">
        <v>7</v>
      </c>
    </row>
    <row r="201" spans="1:3" ht="14.25" customHeight="1" x14ac:dyDescent="0.35">
      <c r="A201" s="34">
        <v>30071</v>
      </c>
      <c r="B201" s="34" t="s">
        <v>116</v>
      </c>
      <c r="C201" s="33" t="s">
        <v>7</v>
      </c>
    </row>
    <row r="202" spans="1:3" ht="14.25" customHeight="1" x14ac:dyDescent="0.35">
      <c r="A202" s="33">
        <v>30072</v>
      </c>
      <c r="B202" s="33" t="s">
        <v>117</v>
      </c>
      <c r="C202" s="33" t="s">
        <v>7</v>
      </c>
    </row>
    <row r="203" spans="1:3" ht="14.25" customHeight="1" x14ac:dyDescent="0.35">
      <c r="A203" s="34">
        <v>30073</v>
      </c>
      <c r="B203" s="34" t="s">
        <v>118</v>
      </c>
      <c r="C203" s="33" t="s">
        <v>7</v>
      </c>
    </row>
    <row r="204" spans="1:3" ht="14.25" customHeight="1" x14ac:dyDescent="0.35">
      <c r="A204" s="33">
        <v>30074</v>
      </c>
      <c r="B204" s="33" t="s">
        <v>119</v>
      </c>
      <c r="C204" s="33" t="s">
        <v>7</v>
      </c>
    </row>
    <row r="205" spans="1:3" ht="14.25" customHeight="1" x14ac:dyDescent="0.35">
      <c r="A205" s="34">
        <v>30075</v>
      </c>
      <c r="B205" s="34" t="s">
        <v>120</v>
      </c>
      <c r="C205" s="33" t="s">
        <v>7</v>
      </c>
    </row>
    <row r="206" spans="1:3" ht="14.25" customHeight="1" x14ac:dyDescent="0.35">
      <c r="A206" s="33">
        <v>30076</v>
      </c>
      <c r="B206" s="33" t="s">
        <v>121</v>
      </c>
      <c r="C206" s="33" t="s">
        <v>7</v>
      </c>
    </row>
    <row r="207" spans="1:3" ht="14.25" customHeight="1" x14ac:dyDescent="0.35">
      <c r="A207" s="34">
        <v>30077</v>
      </c>
      <c r="B207" s="34" t="s">
        <v>122</v>
      </c>
      <c r="C207" s="33" t="s">
        <v>7</v>
      </c>
    </row>
    <row r="208" spans="1:3" ht="14.25" customHeight="1" x14ac:dyDescent="0.35">
      <c r="A208" s="33">
        <v>30078</v>
      </c>
      <c r="B208" s="33" t="s">
        <v>123</v>
      </c>
      <c r="C208" s="33" t="s">
        <v>7</v>
      </c>
    </row>
    <row r="209" spans="1:3" ht="14.25" customHeight="1" x14ac:dyDescent="0.35">
      <c r="A209" s="34">
        <v>30079</v>
      </c>
      <c r="B209" s="34" t="s">
        <v>124</v>
      </c>
      <c r="C209" s="33" t="s">
        <v>7</v>
      </c>
    </row>
    <row r="210" spans="1:3" ht="14.25" customHeight="1" x14ac:dyDescent="0.35">
      <c r="A210" s="33">
        <v>30080</v>
      </c>
      <c r="B210" s="33" t="s">
        <v>125</v>
      </c>
      <c r="C210" s="33" t="s">
        <v>7</v>
      </c>
    </row>
    <row r="211" spans="1:3" ht="14.25" customHeight="1" x14ac:dyDescent="0.35">
      <c r="A211" s="34">
        <v>30081</v>
      </c>
      <c r="B211" s="34" t="s">
        <v>126</v>
      </c>
      <c r="C211" s="33" t="s">
        <v>7</v>
      </c>
    </row>
    <row r="212" spans="1:3" ht="14.25" customHeight="1" x14ac:dyDescent="0.35">
      <c r="A212" s="33">
        <v>30082</v>
      </c>
      <c r="B212" s="33" t="s">
        <v>127</v>
      </c>
      <c r="C212" s="33" t="s">
        <v>7</v>
      </c>
    </row>
    <row r="213" spans="1:3" ht="14.25" customHeight="1" x14ac:dyDescent="0.35">
      <c r="A213" s="34">
        <v>30084</v>
      </c>
      <c r="B213" s="34" t="s">
        <v>129</v>
      </c>
      <c r="C213" s="33" t="s">
        <v>7</v>
      </c>
    </row>
    <row r="214" spans="1:3" ht="14.25" customHeight="1" x14ac:dyDescent="0.35">
      <c r="A214" s="33">
        <v>30085</v>
      </c>
      <c r="B214" s="33" t="s">
        <v>130</v>
      </c>
      <c r="C214" s="33" t="s">
        <v>7</v>
      </c>
    </row>
    <row r="215" spans="1:3" ht="14.25" customHeight="1" x14ac:dyDescent="0.35">
      <c r="A215" s="34">
        <v>30086</v>
      </c>
      <c r="B215" s="34" t="s">
        <v>131</v>
      </c>
      <c r="C215" s="33" t="s">
        <v>7</v>
      </c>
    </row>
    <row r="216" spans="1:3" ht="14.25" customHeight="1" x14ac:dyDescent="0.35">
      <c r="A216" s="33">
        <v>30087</v>
      </c>
      <c r="B216" s="33" t="s">
        <v>132</v>
      </c>
      <c r="C216" s="33" t="s">
        <v>7</v>
      </c>
    </row>
    <row r="217" spans="1:3" ht="14.25" customHeight="1" x14ac:dyDescent="0.35">
      <c r="A217" s="34">
        <v>30088</v>
      </c>
      <c r="B217" s="34" t="s">
        <v>142</v>
      </c>
      <c r="C217" s="33" t="s">
        <v>7</v>
      </c>
    </row>
    <row r="218" spans="1:3" ht="14.25" customHeight="1" x14ac:dyDescent="0.35">
      <c r="A218" s="33">
        <v>30089</v>
      </c>
      <c r="B218" s="33" t="s">
        <v>143</v>
      </c>
      <c r="C218" s="33" t="s">
        <v>7</v>
      </c>
    </row>
    <row r="219" spans="1:3" ht="14.25" customHeight="1" x14ac:dyDescent="0.35">
      <c r="A219" s="34">
        <v>30090</v>
      </c>
      <c r="B219" s="34" t="s">
        <v>144</v>
      </c>
      <c r="C219" s="33" t="s">
        <v>7</v>
      </c>
    </row>
    <row r="220" spans="1:3" ht="14.25" customHeight="1" x14ac:dyDescent="0.35">
      <c r="A220" s="33">
        <v>30091</v>
      </c>
      <c r="B220" s="33" t="s">
        <v>236</v>
      </c>
      <c r="C220" s="33" t="s">
        <v>7</v>
      </c>
    </row>
    <row r="221" spans="1:3" ht="14.25" customHeight="1" x14ac:dyDescent="0.35">
      <c r="A221" s="34">
        <v>30092</v>
      </c>
      <c r="B221" s="34" t="s">
        <v>150</v>
      </c>
      <c r="C221" s="33" t="s">
        <v>7</v>
      </c>
    </row>
    <row r="222" spans="1:3" ht="14.25" customHeight="1" x14ac:dyDescent="0.35">
      <c r="A222" s="33">
        <v>30093</v>
      </c>
      <c r="B222" s="33" t="s">
        <v>151</v>
      </c>
      <c r="C222" s="33" t="s">
        <v>7</v>
      </c>
    </row>
    <row r="223" spans="1:3" ht="14.25" customHeight="1" x14ac:dyDescent="0.35">
      <c r="A223" s="34">
        <v>30094</v>
      </c>
      <c r="B223" s="34" t="s">
        <v>152</v>
      </c>
      <c r="C223" s="33" t="s">
        <v>7</v>
      </c>
    </row>
    <row r="224" spans="1:3" ht="14.25" customHeight="1" x14ac:dyDescent="0.35">
      <c r="A224" s="33">
        <v>30095</v>
      </c>
      <c r="B224" s="33" t="s">
        <v>153</v>
      </c>
      <c r="C224" s="33" t="s">
        <v>7</v>
      </c>
    </row>
    <row r="225" spans="1:3" ht="14.25" customHeight="1" x14ac:dyDescent="0.35">
      <c r="A225" s="34">
        <v>30096</v>
      </c>
      <c r="B225" s="34" t="s">
        <v>237</v>
      </c>
      <c r="C225" s="33" t="s">
        <v>7</v>
      </c>
    </row>
    <row r="226" spans="1:3" ht="14.25" customHeight="1" x14ac:dyDescent="0.35">
      <c r="A226" s="33">
        <v>30097</v>
      </c>
      <c r="B226" s="33" t="s">
        <v>188</v>
      </c>
      <c r="C226" s="33" t="s">
        <v>7</v>
      </c>
    </row>
    <row r="227" spans="1:3" ht="14.25" customHeight="1" x14ac:dyDescent="0.35">
      <c r="A227" s="34">
        <v>30098</v>
      </c>
      <c r="B227" s="34" t="s">
        <v>312</v>
      </c>
      <c r="C227" s="33" t="s">
        <v>7</v>
      </c>
    </row>
    <row r="228" spans="1:3" ht="14.25" customHeight="1" x14ac:dyDescent="0.35">
      <c r="A228" s="33">
        <v>30099</v>
      </c>
      <c r="B228" s="33" t="s">
        <v>167</v>
      </c>
      <c r="C228" s="33" t="s">
        <v>7</v>
      </c>
    </row>
    <row r="229" spans="1:3" ht="14.25" customHeight="1" x14ac:dyDescent="0.35">
      <c r="A229" s="34">
        <v>30100</v>
      </c>
      <c r="B229" s="34" t="s">
        <v>239</v>
      </c>
      <c r="C229" s="33" t="s">
        <v>7</v>
      </c>
    </row>
    <row r="230" spans="1:3" ht="14.25" customHeight="1" x14ac:dyDescent="0.35">
      <c r="A230" s="33">
        <v>30101</v>
      </c>
      <c r="B230" s="33" t="s">
        <v>196</v>
      </c>
      <c r="C230" s="33" t="s">
        <v>7</v>
      </c>
    </row>
    <row r="231" spans="1:3" ht="14.25" customHeight="1" x14ac:dyDescent="0.35">
      <c r="A231" s="34">
        <v>30102</v>
      </c>
      <c r="B231" s="34" t="s">
        <v>197</v>
      </c>
      <c r="C231" s="33" t="s">
        <v>7</v>
      </c>
    </row>
    <row r="232" spans="1:3" ht="14.25" customHeight="1" x14ac:dyDescent="0.35">
      <c r="A232" s="33">
        <v>30103</v>
      </c>
      <c r="B232" s="33" t="s">
        <v>240</v>
      </c>
      <c r="C232" s="33" t="s">
        <v>7</v>
      </c>
    </row>
    <row r="233" spans="1:3" ht="14.25" customHeight="1" x14ac:dyDescent="0.35">
      <c r="A233" s="34">
        <v>30104</v>
      </c>
      <c r="B233" s="34" t="s">
        <v>198</v>
      </c>
      <c r="C233" s="33" t="s">
        <v>7</v>
      </c>
    </row>
    <row r="234" spans="1:3" ht="14.25" customHeight="1" x14ac:dyDescent="0.35">
      <c r="A234" s="33">
        <v>30105</v>
      </c>
      <c r="B234" s="33" t="s">
        <v>241</v>
      </c>
      <c r="C234" s="33" t="s">
        <v>7</v>
      </c>
    </row>
    <row r="235" spans="1:3" ht="14.25" customHeight="1" x14ac:dyDescent="0.35">
      <c r="A235" s="34">
        <v>30106</v>
      </c>
      <c r="B235" s="34" t="s">
        <v>199</v>
      </c>
      <c r="C235" s="33" t="s">
        <v>7</v>
      </c>
    </row>
    <row r="236" spans="1:3" ht="14.25" customHeight="1" x14ac:dyDescent="0.35">
      <c r="A236" s="33">
        <v>30107</v>
      </c>
      <c r="B236" s="33" t="s">
        <v>187</v>
      </c>
      <c r="C236" s="33" t="s">
        <v>7</v>
      </c>
    </row>
    <row r="237" spans="1:3" ht="14.25" customHeight="1" x14ac:dyDescent="0.35">
      <c r="A237" s="34">
        <v>30108</v>
      </c>
      <c r="B237" s="34" t="s">
        <v>161</v>
      </c>
      <c r="C237" s="33" t="s">
        <v>7</v>
      </c>
    </row>
    <row r="238" spans="1:3" ht="14.25" customHeight="1" x14ac:dyDescent="0.35">
      <c r="A238" s="33">
        <v>30109</v>
      </c>
      <c r="B238" s="33" t="s">
        <v>165</v>
      </c>
      <c r="C238" s="33" t="s">
        <v>7</v>
      </c>
    </row>
    <row r="239" spans="1:3" ht="14.25" customHeight="1" x14ac:dyDescent="0.35">
      <c r="A239" s="34">
        <v>30110</v>
      </c>
      <c r="B239" s="34" t="s">
        <v>200</v>
      </c>
      <c r="C239" s="33" t="s">
        <v>7</v>
      </c>
    </row>
    <row r="240" spans="1:3" ht="14.25" customHeight="1" x14ac:dyDescent="0.35">
      <c r="A240" s="33">
        <v>30111</v>
      </c>
      <c r="B240" s="33" t="s">
        <v>242</v>
      </c>
      <c r="C240" s="33" t="s">
        <v>7</v>
      </c>
    </row>
    <row r="241" spans="1:3" ht="14.25" customHeight="1" x14ac:dyDescent="0.35">
      <c r="A241" s="34">
        <v>30112</v>
      </c>
      <c r="B241" s="34" t="s">
        <v>201</v>
      </c>
      <c r="C241" s="33" t="s">
        <v>7</v>
      </c>
    </row>
    <row r="242" spans="1:3" ht="14.25" customHeight="1" x14ac:dyDescent="0.35">
      <c r="A242" s="33">
        <v>30113</v>
      </c>
      <c r="B242" s="33" t="s">
        <v>202</v>
      </c>
      <c r="C242" s="33" t="s">
        <v>7</v>
      </c>
    </row>
    <row r="243" spans="1:3" ht="14.25" customHeight="1" x14ac:dyDescent="0.35">
      <c r="A243" s="34">
        <v>30114</v>
      </c>
      <c r="B243" s="34" t="s">
        <v>175</v>
      </c>
      <c r="C243" s="33" t="s">
        <v>7</v>
      </c>
    </row>
    <row r="244" spans="1:3" ht="14.25" customHeight="1" x14ac:dyDescent="0.35">
      <c r="A244" s="33">
        <v>30115</v>
      </c>
      <c r="B244" s="33" t="s">
        <v>172</v>
      </c>
      <c r="C244" s="33" t="s">
        <v>7</v>
      </c>
    </row>
    <row r="245" spans="1:3" ht="14.25" customHeight="1" x14ac:dyDescent="0.35">
      <c r="A245" s="34">
        <v>30116</v>
      </c>
      <c r="B245" s="34" t="s">
        <v>203</v>
      </c>
      <c r="C245" s="33" t="s">
        <v>7</v>
      </c>
    </row>
    <row r="246" spans="1:3" ht="14.25" customHeight="1" x14ac:dyDescent="0.35">
      <c r="A246" s="33">
        <v>30117</v>
      </c>
      <c r="B246" s="33" t="s">
        <v>243</v>
      </c>
      <c r="C246" s="33" t="s">
        <v>7</v>
      </c>
    </row>
    <row r="247" spans="1:3" ht="14.25" customHeight="1" x14ac:dyDescent="0.35">
      <c r="A247" s="34">
        <v>30118</v>
      </c>
      <c r="B247" s="34" t="s">
        <v>205</v>
      </c>
      <c r="C247" s="33" t="s">
        <v>7</v>
      </c>
    </row>
    <row r="248" spans="1:3" ht="14.25" customHeight="1" x14ac:dyDescent="0.35">
      <c r="A248" s="33">
        <v>30119</v>
      </c>
      <c r="B248" s="33" t="s">
        <v>206</v>
      </c>
      <c r="C248" s="33" t="s">
        <v>7</v>
      </c>
    </row>
    <row r="249" spans="1:3" ht="14.25" customHeight="1" x14ac:dyDescent="0.35">
      <c r="A249" s="34">
        <v>30120</v>
      </c>
      <c r="B249" s="34" t="s">
        <v>207</v>
      </c>
      <c r="C249" s="33" t="s">
        <v>7</v>
      </c>
    </row>
    <row r="250" spans="1:3" ht="14.25" customHeight="1" x14ac:dyDescent="0.35">
      <c r="A250" s="33">
        <v>30121</v>
      </c>
      <c r="B250" s="33" t="s">
        <v>244</v>
      </c>
      <c r="C250" s="33" t="s">
        <v>7</v>
      </c>
    </row>
    <row r="251" spans="1:3" ht="14.25" customHeight="1" x14ac:dyDescent="0.35">
      <c r="A251" s="34">
        <v>30122</v>
      </c>
      <c r="B251" s="34" t="s">
        <v>245</v>
      </c>
      <c r="C251" s="33" t="s">
        <v>7</v>
      </c>
    </row>
    <row r="252" spans="1:3" ht="14.25" customHeight="1" x14ac:dyDescent="0.35">
      <c r="A252" s="33">
        <v>30123</v>
      </c>
      <c r="B252" s="33" t="s">
        <v>208</v>
      </c>
      <c r="C252" s="33" t="s">
        <v>7</v>
      </c>
    </row>
    <row r="253" spans="1:3" ht="14.25" customHeight="1" x14ac:dyDescent="0.35">
      <c r="A253" s="34">
        <v>30124</v>
      </c>
      <c r="B253" s="34" t="s">
        <v>246</v>
      </c>
      <c r="C253" s="33" t="s">
        <v>7</v>
      </c>
    </row>
    <row r="254" spans="1:3" ht="14.25" customHeight="1" x14ac:dyDescent="0.35">
      <c r="A254" s="33">
        <v>30125</v>
      </c>
      <c r="B254" s="33" t="s">
        <v>209</v>
      </c>
      <c r="C254" s="33" t="s">
        <v>7</v>
      </c>
    </row>
    <row r="255" spans="1:3" ht="14.25" customHeight="1" x14ac:dyDescent="0.35">
      <c r="A255" s="34">
        <v>30126</v>
      </c>
      <c r="B255" s="34" t="s">
        <v>211</v>
      </c>
      <c r="C255" s="33" t="s">
        <v>7</v>
      </c>
    </row>
    <row r="256" spans="1:3" ht="14.25" customHeight="1" x14ac:dyDescent="0.35">
      <c r="A256" s="33">
        <v>30127</v>
      </c>
      <c r="B256" s="33" t="s">
        <v>163</v>
      </c>
      <c r="C256" s="33" t="s">
        <v>7</v>
      </c>
    </row>
    <row r="257" spans="1:3" ht="14.25" customHeight="1" x14ac:dyDescent="0.35">
      <c r="A257" s="34">
        <v>30128</v>
      </c>
      <c r="B257" s="34" t="s">
        <v>212</v>
      </c>
      <c r="C257" s="33" t="s">
        <v>7</v>
      </c>
    </row>
    <row r="258" spans="1:3" ht="14.25" customHeight="1" x14ac:dyDescent="0.35">
      <c r="A258" s="33">
        <v>30129</v>
      </c>
      <c r="B258" s="33" t="s">
        <v>178</v>
      </c>
      <c r="C258" s="33" t="s">
        <v>7</v>
      </c>
    </row>
    <row r="259" spans="1:3" ht="14.25" customHeight="1" x14ac:dyDescent="0.35">
      <c r="A259" s="34">
        <v>30130</v>
      </c>
      <c r="B259" s="34" t="s">
        <v>183</v>
      </c>
      <c r="C259" s="33" t="s">
        <v>7</v>
      </c>
    </row>
    <row r="260" spans="1:3" ht="14.25" customHeight="1" x14ac:dyDescent="0.35">
      <c r="A260" s="33">
        <v>30131</v>
      </c>
      <c r="B260" s="33" t="s">
        <v>213</v>
      </c>
      <c r="C260" s="33" t="s">
        <v>7</v>
      </c>
    </row>
    <row r="261" spans="1:3" ht="14.25" customHeight="1" x14ac:dyDescent="0.35">
      <c r="A261" s="34">
        <v>30132</v>
      </c>
      <c r="B261" s="34" t="s">
        <v>247</v>
      </c>
      <c r="C261" s="33" t="s">
        <v>7</v>
      </c>
    </row>
    <row r="262" spans="1:3" ht="14.25" customHeight="1" x14ac:dyDescent="0.35">
      <c r="A262" s="33">
        <v>30133</v>
      </c>
      <c r="B262" s="33" t="s">
        <v>251</v>
      </c>
      <c r="C262" s="33" t="s">
        <v>7</v>
      </c>
    </row>
    <row r="263" spans="1:3" ht="14.25" customHeight="1" x14ac:dyDescent="0.35">
      <c r="A263" s="34">
        <v>30134</v>
      </c>
      <c r="B263" s="34" t="s">
        <v>216</v>
      </c>
      <c r="C263" s="33" t="s">
        <v>7</v>
      </c>
    </row>
    <row r="264" spans="1:3" ht="14.25" customHeight="1" x14ac:dyDescent="0.35">
      <c r="A264" s="33">
        <v>30135</v>
      </c>
      <c r="B264" s="33" t="s">
        <v>179</v>
      </c>
      <c r="C264" s="33" t="s">
        <v>7</v>
      </c>
    </row>
    <row r="265" spans="1:3" ht="14.25" customHeight="1" x14ac:dyDescent="0.35">
      <c r="A265" s="34">
        <v>30136</v>
      </c>
      <c r="B265" s="34" t="s">
        <v>248</v>
      </c>
      <c r="C265" s="33" t="s">
        <v>7</v>
      </c>
    </row>
    <row r="266" spans="1:3" ht="14.25" customHeight="1" x14ac:dyDescent="0.35">
      <c r="A266" s="33">
        <v>30137</v>
      </c>
      <c r="B266" s="33" t="s">
        <v>218</v>
      </c>
      <c r="C266" s="33" t="s">
        <v>7</v>
      </c>
    </row>
    <row r="267" spans="1:3" ht="14.25" customHeight="1" x14ac:dyDescent="0.35">
      <c r="A267" s="34">
        <v>30138</v>
      </c>
      <c r="B267" s="34" t="s">
        <v>252</v>
      </c>
      <c r="C267" s="33" t="s">
        <v>7</v>
      </c>
    </row>
    <row r="268" spans="1:3" ht="14.25" customHeight="1" x14ac:dyDescent="0.35">
      <c r="A268" s="33">
        <v>30139</v>
      </c>
      <c r="B268" s="33" t="s">
        <v>257</v>
      </c>
      <c r="C268" s="33" t="s">
        <v>7</v>
      </c>
    </row>
    <row r="269" spans="1:3" ht="14.25" customHeight="1" x14ac:dyDescent="0.35">
      <c r="A269" s="34">
        <v>30140</v>
      </c>
      <c r="B269" s="34" t="s">
        <v>259</v>
      </c>
      <c r="C269" s="33" t="s">
        <v>7</v>
      </c>
    </row>
    <row r="270" spans="1:3" ht="14.25" customHeight="1" x14ac:dyDescent="0.35">
      <c r="A270" s="33">
        <v>30141</v>
      </c>
      <c r="B270" s="33" t="s">
        <v>261</v>
      </c>
      <c r="C270" s="33" t="s">
        <v>7</v>
      </c>
    </row>
    <row r="271" spans="1:3" ht="14.25" customHeight="1" x14ac:dyDescent="0.35">
      <c r="A271" s="34">
        <v>30142</v>
      </c>
      <c r="B271" s="34" t="s">
        <v>404</v>
      </c>
      <c r="C271" s="33" t="s">
        <v>7</v>
      </c>
    </row>
    <row r="272" spans="1:3" ht="14.25" customHeight="1" x14ac:dyDescent="0.35">
      <c r="A272" s="33">
        <v>30143</v>
      </c>
      <c r="B272" s="33" t="s">
        <v>278</v>
      </c>
      <c r="C272" s="33" t="s">
        <v>7</v>
      </c>
    </row>
    <row r="273" spans="1:3" ht="14.25" customHeight="1" x14ac:dyDescent="0.35">
      <c r="A273" s="34">
        <v>30144</v>
      </c>
      <c r="B273" s="34" t="s">
        <v>285</v>
      </c>
      <c r="C273" s="33" t="s">
        <v>7</v>
      </c>
    </row>
    <row r="274" spans="1:3" ht="14.25" customHeight="1" x14ac:dyDescent="0.35">
      <c r="A274" s="33">
        <v>30145</v>
      </c>
      <c r="B274" s="33" t="s">
        <v>265</v>
      </c>
      <c r="C274" s="33" t="s">
        <v>7</v>
      </c>
    </row>
    <row r="275" spans="1:3" ht="14.25" customHeight="1" x14ac:dyDescent="0.35">
      <c r="A275" s="34">
        <v>30146</v>
      </c>
      <c r="B275" s="34" t="s">
        <v>309</v>
      </c>
      <c r="C275" s="33" t="s">
        <v>7</v>
      </c>
    </row>
    <row r="276" spans="1:3" ht="14.25" customHeight="1" x14ac:dyDescent="0.35">
      <c r="A276" s="33">
        <v>30147</v>
      </c>
      <c r="B276" s="33" t="s">
        <v>269</v>
      </c>
      <c r="C276" s="33" t="s">
        <v>7</v>
      </c>
    </row>
    <row r="277" spans="1:3" ht="14.25" customHeight="1" x14ac:dyDescent="0.35">
      <c r="A277" s="34">
        <v>30148</v>
      </c>
      <c r="B277" s="34" t="s">
        <v>273</v>
      </c>
      <c r="C277" s="33" t="s">
        <v>7</v>
      </c>
    </row>
    <row r="278" spans="1:3" ht="14.25" customHeight="1" x14ac:dyDescent="0.35">
      <c r="A278" s="33">
        <v>30149</v>
      </c>
      <c r="B278" s="33" t="s">
        <v>276</v>
      </c>
      <c r="C278" s="33" t="s">
        <v>7</v>
      </c>
    </row>
    <row r="279" spans="1:3" ht="14.25" customHeight="1" x14ac:dyDescent="0.35">
      <c r="A279" s="34">
        <v>30150</v>
      </c>
      <c r="B279" s="34" t="s">
        <v>286</v>
      </c>
      <c r="C279" s="33" t="s">
        <v>7</v>
      </c>
    </row>
    <row r="280" spans="1:3" ht="14.25" customHeight="1" x14ac:dyDescent="0.35">
      <c r="A280" s="33">
        <v>30151</v>
      </c>
      <c r="B280" s="33" t="s">
        <v>287</v>
      </c>
      <c r="C280" s="33" t="s">
        <v>7</v>
      </c>
    </row>
    <row r="281" spans="1:3" ht="14.25" customHeight="1" x14ac:dyDescent="0.35">
      <c r="A281" s="34">
        <v>30152</v>
      </c>
      <c r="B281" s="34" t="s">
        <v>288</v>
      </c>
      <c r="C281" s="33" t="s">
        <v>7</v>
      </c>
    </row>
    <row r="282" spans="1:3" ht="14.25" customHeight="1" x14ac:dyDescent="0.35">
      <c r="A282" s="33">
        <v>30153</v>
      </c>
      <c r="B282" s="33" t="s">
        <v>279</v>
      </c>
      <c r="C282" s="33" t="s">
        <v>7</v>
      </c>
    </row>
    <row r="283" spans="1:3" ht="14.25" customHeight="1" x14ac:dyDescent="0.35">
      <c r="A283" s="34">
        <v>30154</v>
      </c>
      <c r="B283" s="34" t="s">
        <v>280</v>
      </c>
      <c r="C283" s="33" t="s">
        <v>7</v>
      </c>
    </row>
    <row r="284" spans="1:3" ht="14.25" customHeight="1" x14ac:dyDescent="0.35">
      <c r="A284" s="33">
        <v>30155</v>
      </c>
      <c r="B284" s="33" t="s">
        <v>289</v>
      </c>
      <c r="C284" s="33" t="s">
        <v>7</v>
      </c>
    </row>
    <row r="285" spans="1:3" ht="14.25" customHeight="1" x14ac:dyDescent="0.35">
      <c r="A285" s="34">
        <v>30156</v>
      </c>
      <c r="B285" s="34" t="s">
        <v>290</v>
      </c>
      <c r="C285" s="33" t="s">
        <v>7</v>
      </c>
    </row>
    <row r="286" spans="1:3" ht="14.25" customHeight="1" x14ac:dyDescent="0.35">
      <c r="A286" s="33">
        <v>30157</v>
      </c>
      <c r="B286" s="33" t="s">
        <v>291</v>
      </c>
      <c r="C286" s="33" t="s">
        <v>7</v>
      </c>
    </row>
    <row r="287" spans="1:3" ht="14.25" customHeight="1" x14ac:dyDescent="0.35">
      <c r="A287" s="34">
        <v>30158</v>
      </c>
      <c r="B287" s="34" t="s">
        <v>292</v>
      </c>
      <c r="C287" s="33" t="s">
        <v>7</v>
      </c>
    </row>
    <row r="288" spans="1:3" ht="14.25" customHeight="1" x14ac:dyDescent="0.35">
      <c r="A288" s="33">
        <v>30159</v>
      </c>
      <c r="B288" s="33" t="s">
        <v>295</v>
      </c>
      <c r="C288" s="33" t="s">
        <v>7</v>
      </c>
    </row>
    <row r="289" spans="1:3" ht="14.25" customHeight="1" x14ac:dyDescent="0.35">
      <c r="A289" s="34">
        <v>30160</v>
      </c>
      <c r="B289" s="34" t="s">
        <v>296</v>
      </c>
      <c r="C289" s="33" t="s">
        <v>7</v>
      </c>
    </row>
    <row r="290" spans="1:3" ht="14.25" customHeight="1" x14ac:dyDescent="0.35">
      <c r="A290" s="33">
        <v>30161</v>
      </c>
      <c r="B290" s="33" t="s">
        <v>299</v>
      </c>
      <c r="C290" s="33" t="s">
        <v>7</v>
      </c>
    </row>
    <row r="291" spans="1:3" ht="14.25" customHeight="1" x14ac:dyDescent="0.35">
      <c r="A291" s="34">
        <v>30162</v>
      </c>
      <c r="B291" s="34" t="s">
        <v>301</v>
      </c>
      <c r="C291" s="33" t="s">
        <v>7</v>
      </c>
    </row>
    <row r="292" spans="1:3" ht="14.25" customHeight="1" x14ac:dyDescent="0.35">
      <c r="A292" s="33">
        <v>30163</v>
      </c>
      <c r="B292" s="33" t="s">
        <v>302</v>
      </c>
      <c r="C292" s="33" t="s">
        <v>7</v>
      </c>
    </row>
    <row r="293" spans="1:3" ht="14.25" customHeight="1" x14ac:dyDescent="0.35">
      <c r="A293" s="34">
        <v>30164</v>
      </c>
      <c r="B293" s="34" t="s">
        <v>304</v>
      </c>
      <c r="C293" s="33" t="s">
        <v>7</v>
      </c>
    </row>
    <row r="294" spans="1:3" ht="14.25" customHeight="1" x14ac:dyDescent="0.35">
      <c r="A294" s="33">
        <v>30165</v>
      </c>
      <c r="B294" s="33" t="s">
        <v>310</v>
      </c>
      <c r="C294" s="33" t="s">
        <v>7</v>
      </c>
    </row>
    <row r="295" spans="1:3" ht="14.25" customHeight="1" x14ac:dyDescent="0.35">
      <c r="A295" s="34">
        <v>30166</v>
      </c>
      <c r="B295" s="34" t="s">
        <v>405</v>
      </c>
      <c r="C295" s="33" t="s">
        <v>7</v>
      </c>
    </row>
    <row r="296" spans="1:3" ht="14.25" customHeight="1" x14ac:dyDescent="0.35">
      <c r="A296" s="33">
        <v>30167</v>
      </c>
      <c r="B296" s="33" t="s">
        <v>311</v>
      </c>
      <c r="C296" s="33" t="s">
        <v>7</v>
      </c>
    </row>
    <row r="297" spans="1:3" ht="14.25" customHeight="1" x14ac:dyDescent="0.35">
      <c r="A297" s="34">
        <v>30168</v>
      </c>
      <c r="B297" s="34" t="s">
        <v>313</v>
      </c>
      <c r="C297" s="33" t="s">
        <v>7</v>
      </c>
    </row>
    <row r="298" spans="1:3" ht="14.25" customHeight="1" x14ac:dyDescent="0.35">
      <c r="A298" s="33">
        <v>30169</v>
      </c>
      <c r="B298" s="33" t="s">
        <v>318</v>
      </c>
      <c r="C298" s="33" t="s">
        <v>7</v>
      </c>
    </row>
    <row r="299" spans="1:3" ht="14.25" customHeight="1" x14ac:dyDescent="0.35">
      <c r="A299" s="34">
        <v>30170</v>
      </c>
      <c r="B299" s="34" t="s">
        <v>319</v>
      </c>
      <c r="C299" s="33" t="s">
        <v>7</v>
      </c>
    </row>
    <row r="300" spans="1:3" ht="14.25" customHeight="1" x14ac:dyDescent="0.35">
      <c r="A300" s="33">
        <v>30171</v>
      </c>
      <c r="B300" s="33" t="s">
        <v>322</v>
      </c>
      <c r="C300" s="33" t="s">
        <v>7</v>
      </c>
    </row>
    <row r="301" spans="1:3" ht="14.25" customHeight="1" x14ac:dyDescent="0.35">
      <c r="A301" s="34">
        <v>30172</v>
      </c>
      <c r="B301" s="34" t="s">
        <v>323</v>
      </c>
      <c r="C301" s="33" t="s">
        <v>7</v>
      </c>
    </row>
    <row r="302" spans="1:3" ht="14.25" customHeight="1" x14ac:dyDescent="0.35">
      <c r="A302" s="33">
        <v>30173</v>
      </c>
      <c r="B302" s="33" t="s">
        <v>325</v>
      </c>
      <c r="C302" s="33" t="s">
        <v>7</v>
      </c>
    </row>
    <row r="303" spans="1:3" ht="14.25" customHeight="1" x14ac:dyDescent="0.35">
      <c r="A303" s="34">
        <v>30174</v>
      </c>
      <c r="B303" s="34" t="s">
        <v>327</v>
      </c>
      <c r="C303" s="33" t="s">
        <v>7</v>
      </c>
    </row>
    <row r="304" spans="1:3" ht="14.25" customHeight="1" x14ac:dyDescent="0.35">
      <c r="A304" s="33">
        <v>30175</v>
      </c>
      <c r="B304" s="33" t="s">
        <v>330</v>
      </c>
      <c r="C304" s="33" t="s">
        <v>7</v>
      </c>
    </row>
    <row r="305" spans="1:3" ht="14.25" customHeight="1" x14ac:dyDescent="0.35">
      <c r="A305" s="34">
        <v>30176</v>
      </c>
      <c r="B305" s="34" t="s">
        <v>332</v>
      </c>
      <c r="C305" s="33" t="s">
        <v>7</v>
      </c>
    </row>
    <row r="306" spans="1:3" ht="14.25" customHeight="1" x14ac:dyDescent="0.35">
      <c r="A306" s="33">
        <v>30177</v>
      </c>
      <c r="B306" s="33" t="s">
        <v>331</v>
      </c>
      <c r="C306" s="33" t="s">
        <v>7</v>
      </c>
    </row>
    <row r="307" spans="1:3" ht="14.25" customHeight="1" x14ac:dyDescent="0.35">
      <c r="A307" s="34">
        <v>30178</v>
      </c>
      <c r="B307" s="34" t="s">
        <v>335</v>
      </c>
      <c r="C307" s="33" t="s">
        <v>7</v>
      </c>
    </row>
    <row r="308" spans="1:3" ht="14.25" customHeight="1" x14ac:dyDescent="0.35">
      <c r="A308" s="33">
        <v>30179</v>
      </c>
      <c r="B308" s="33" t="s">
        <v>336</v>
      </c>
      <c r="C308" s="33" t="s">
        <v>7</v>
      </c>
    </row>
    <row r="309" spans="1:3" ht="14.25" customHeight="1" x14ac:dyDescent="0.35">
      <c r="A309" s="34">
        <v>30180</v>
      </c>
      <c r="B309" s="34" t="s">
        <v>406</v>
      </c>
      <c r="C309" s="33" t="s">
        <v>7</v>
      </c>
    </row>
    <row r="310" spans="1:3" ht="14.25" customHeight="1" x14ac:dyDescent="0.35">
      <c r="A310" s="33">
        <v>30181</v>
      </c>
      <c r="B310" s="33" t="s">
        <v>341</v>
      </c>
      <c r="C310" s="33" t="s">
        <v>7</v>
      </c>
    </row>
    <row r="311" spans="1:3" ht="14.25" customHeight="1" x14ac:dyDescent="0.35">
      <c r="A311" s="34">
        <v>30182</v>
      </c>
      <c r="B311" s="34" t="s">
        <v>342</v>
      </c>
      <c r="C311" s="33" t="s">
        <v>7</v>
      </c>
    </row>
    <row r="312" spans="1:3" ht="14.25" customHeight="1" x14ac:dyDescent="0.35">
      <c r="A312" s="33">
        <v>30183</v>
      </c>
      <c r="B312" s="33" t="s">
        <v>343</v>
      </c>
      <c r="C312" s="33" t="s">
        <v>7</v>
      </c>
    </row>
    <row r="313" spans="1:3" ht="14.25" customHeight="1" x14ac:dyDescent="0.35">
      <c r="A313" s="34">
        <v>30184</v>
      </c>
      <c r="B313" s="34" t="s">
        <v>368</v>
      </c>
      <c r="C313" s="33" t="s">
        <v>7</v>
      </c>
    </row>
    <row r="314" spans="1:3" ht="14.25" customHeight="1" x14ac:dyDescent="0.35">
      <c r="A314" s="33">
        <v>30185</v>
      </c>
      <c r="B314" s="33" t="s">
        <v>407</v>
      </c>
      <c r="C314" s="33" t="s">
        <v>7</v>
      </c>
    </row>
    <row r="315" spans="1:3" ht="14.25" customHeight="1" x14ac:dyDescent="0.35">
      <c r="A315" s="34">
        <v>30186</v>
      </c>
      <c r="B315" s="34" t="s">
        <v>367</v>
      </c>
      <c r="C315" s="33" t="s">
        <v>7</v>
      </c>
    </row>
    <row r="316" spans="1:3" ht="14.25" customHeight="1" x14ac:dyDescent="0.35">
      <c r="A316" s="33">
        <v>30187</v>
      </c>
      <c r="B316" s="33" t="s">
        <v>369</v>
      </c>
      <c r="C316" s="33" t="s">
        <v>7</v>
      </c>
    </row>
    <row r="317" spans="1:3" ht="14.25" customHeight="1" x14ac:dyDescent="0.35">
      <c r="A317" s="34">
        <v>30188</v>
      </c>
      <c r="B317" s="34" t="s">
        <v>374</v>
      </c>
      <c r="C317" s="33" t="s">
        <v>7</v>
      </c>
    </row>
    <row r="318" spans="1:3" ht="14.25" customHeight="1" x14ac:dyDescent="0.35">
      <c r="A318" s="33">
        <v>50000</v>
      </c>
      <c r="B318" s="33" t="s">
        <v>326</v>
      </c>
      <c r="C318" s="33" t="s">
        <v>7</v>
      </c>
    </row>
    <row r="319" spans="1:3" ht="14.25" customHeight="1" x14ac:dyDescent="0.35">
      <c r="A319" s="34">
        <v>50001</v>
      </c>
      <c r="B319" s="34" t="s">
        <v>408</v>
      </c>
      <c r="C319" s="33" t="s">
        <v>7</v>
      </c>
    </row>
    <row r="320" spans="1:3" ht="14.25" customHeight="1" x14ac:dyDescent="0.35">
      <c r="A320" s="33">
        <v>50002</v>
      </c>
      <c r="B320" s="33" t="s">
        <v>409</v>
      </c>
      <c r="C320" s="33" t="s">
        <v>7</v>
      </c>
    </row>
    <row r="321" spans="1:3" ht="14.25" customHeight="1" x14ac:dyDescent="0.35">
      <c r="A321" s="34">
        <v>50003</v>
      </c>
      <c r="B321" s="34" t="s">
        <v>410</v>
      </c>
      <c r="C321" s="33" t="s">
        <v>7</v>
      </c>
    </row>
    <row r="322" spans="1:3" ht="14.25" customHeight="1" x14ac:dyDescent="0.35">
      <c r="A322" s="33">
        <v>50004</v>
      </c>
      <c r="B322" s="33" t="s">
        <v>411</v>
      </c>
      <c r="C322" s="33" t="s">
        <v>7</v>
      </c>
    </row>
    <row r="323" spans="1:3" ht="14.25" customHeight="1" x14ac:dyDescent="0.35">
      <c r="A323" s="34">
        <v>50005</v>
      </c>
      <c r="B323" s="34" t="s">
        <v>148</v>
      </c>
      <c r="C323" s="33" t="s">
        <v>7</v>
      </c>
    </row>
    <row r="324" spans="1:3" ht="14.25" customHeight="1" x14ac:dyDescent="0.35">
      <c r="A324" s="33">
        <v>50006</v>
      </c>
      <c r="B324" s="33" t="s">
        <v>168</v>
      </c>
      <c r="C324" s="33" t="s">
        <v>7</v>
      </c>
    </row>
    <row r="325" spans="1:3" ht="14.25" customHeight="1" x14ac:dyDescent="0.35">
      <c r="A325" s="34">
        <v>50007</v>
      </c>
      <c r="B325" s="34" t="s">
        <v>412</v>
      </c>
      <c r="C325" s="33" t="s">
        <v>7</v>
      </c>
    </row>
    <row r="326" spans="1:3" ht="14.25" customHeight="1" x14ac:dyDescent="0.35">
      <c r="A326" s="33">
        <v>50008</v>
      </c>
      <c r="B326" s="33" t="s">
        <v>146</v>
      </c>
      <c r="C326" s="33" t="s">
        <v>7</v>
      </c>
    </row>
    <row r="327" spans="1:3" ht="14.25" customHeight="1" x14ac:dyDescent="0.35">
      <c r="A327" s="34">
        <v>50009</v>
      </c>
      <c r="B327" s="34" t="s">
        <v>413</v>
      </c>
      <c r="C327" s="33" t="s">
        <v>7</v>
      </c>
    </row>
    <row r="328" spans="1:3" ht="14.25" customHeight="1" x14ac:dyDescent="0.35">
      <c r="A328" s="33">
        <v>50010</v>
      </c>
      <c r="B328" s="33" t="s">
        <v>414</v>
      </c>
      <c r="C328" s="33" t="s">
        <v>7</v>
      </c>
    </row>
    <row r="329" spans="1:3" ht="14.25" customHeight="1" x14ac:dyDescent="0.35">
      <c r="A329" s="34">
        <v>50011</v>
      </c>
      <c r="B329" s="34" t="s">
        <v>147</v>
      </c>
      <c r="C329" s="33" t="s">
        <v>7</v>
      </c>
    </row>
    <row r="330" spans="1:3" ht="14.25" customHeight="1" x14ac:dyDescent="0.35">
      <c r="A330" s="33">
        <v>50012</v>
      </c>
      <c r="B330" s="33" t="s">
        <v>415</v>
      </c>
      <c r="C330" s="33" t="s">
        <v>7</v>
      </c>
    </row>
    <row r="331" spans="1:3" ht="14.25" customHeight="1" x14ac:dyDescent="0.35">
      <c r="A331" s="34">
        <v>50013</v>
      </c>
      <c r="B331" s="34" t="s">
        <v>416</v>
      </c>
      <c r="C331" s="33" t="s">
        <v>7</v>
      </c>
    </row>
    <row r="332" spans="1:3" ht="14.25" customHeight="1" x14ac:dyDescent="0.35">
      <c r="A332" s="33">
        <v>50014</v>
      </c>
      <c r="B332" s="33" t="s">
        <v>249</v>
      </c>
      <c r="C332" s="33" t="s">
        <v>7</v>
      </c>
    </row>
    <row r="333" spans="1:3" ht="14.25" customHeight="1" x14ac:dyDescent="0.35">
      <c r="A333" s="34">
        <v>50015</v>
      </c>
      <c r="B333" s="34" t="s">
        <v>417</v>
      </c>
      <c r="C333" s="33" t="s">
        <v>7</v>
      </c>
    </row>
    <row r="334" spans="1:3" ht="14.25" customHeight="1" x14ac:dyDescent="0.35">
      <c r="A334" s="33">
        <v>50016</v>
      </c>
      <c r="B334" s="33" t="s">
        <v>160</v>
      </c>
      <c r="C334" s="33" t="s">
        <v>7</v>
      </c>
    </row>
    <row r="335" spans="1:3" ht="14.25" customHeight="1" x14ac:dyDescent="0.35">
      <c r="A335" s="34">
        <v>50017</v>
      </c>
      <c r="B335" s="34" t="s">
        <v>418</v>
      </c>
      <c r="C335" s="33" t="s">
        <v>7</v>
      </c>
    </row>
    <row r="336" spans="1:3" ht="14.25" customHeight="1" x14ac:dyDescent="0.35">
      <c r="A336" s="33">
        <v>50018</v>
      </c>
      <c r="B336" s="33" t="s">
        <v>419</v>
      </c>
      <c r="C336" s="33" t="s">
        <v>7</v>
      </c>
    </row>
    <row r="337" spans="1:3" ht="14.25" customHeight="1" x14ac:dyDescent="0.35">
      <c r="A337" s="34">
        <v>50019</v>
      </c>
      <c r="B337" s="34" t="s">
        <v>420</v>
      </c>
      <c r="C337" s="33" t="s">
        <v>7</v>
      </c>
    </row>
    <row r="338" spans="1:3" ht="14.25" customHeight="1" x14ac:dyDescent="0.35">
      <c r="A338" s="33">
        <v>50020</v>
      </c>
      <c r="B338" s="33" t="s">
        <v>421</v>
      </c>
      <c r="C338" s="33" t="s">
        <v>7</v>
      </c>
    </row>
    <row r="339" spans="1:3" ht="14.25" customHeight="1" x14ac:dyDescent="0.35">
      <c r="A339" s="34">
        <v>50021</v>
      </c>
      <c r="B339" s="34" t="s">
        <v>422</v>
      </c>
      <c r="C339" s="33" t="s">
        <v>7</v>
      </c>
    </row>
    <row r="340" spans="1:3" ht="14.25" customHeight="1" x14ac:dyDescent="0.35">
      <c r="A340" s="33">
        <v>50022</v>
      </c>
      <c r="B340" s="33" t="s">
        <v>423</v>
      </c>
      <c r="C340" s="33" t="s">
        <v>7</v>
      </c>
    </row>
    <row r="341" spans="1:3" ht="14.25" customHeight="1" x14ac:dyDescent="0.35">
      <c r="A341" s="34">
        <v>50023</v>
      </c>
      <c r="B341" s="34" t="s">
        <v>424</v>
      </c>
      <c r="C341" s="33" t="s">
        <v>7</v>
      </c>
    </row>
    <row r="342" spans="1:3" ht="14.25" customHeight="1" x14ac:dyDescent="0.35">
      <c r="A342" s="33">
        <v>50024</v>
      </c>
      <c r="B342" s="33" t="s">
        <v>320</v>
      </c>
      <c r="C342" s="33" t="s">
        <v>7</v>
      </c>
    </row>
    <row r="343" spans="1:3" ht="14.25" customHeight="1" x14ac:dyDescent="0.35">
      <c r="A343" s="34">
        <v>50025</v>
      </c>
      <c r="B343" s="34" t="s">
        <v>425</v>
      </c>
      <c r="C343" s="33" t="s">
        <v>7</v>
      </c>
    </row>
    <row r="344" spans="1:3" ht="14.25" customHeight="1" x14ac:dyDescent="0.35">
      <c r="A344" s="33">
        <v>50026</v>
      </c>
      <c r="B344" s="33" t="s">
        <v>426</v>
      </c>
      <c r="C344" s="33" t="s">
        <v>7</v>
      </c>
    </row>
    <row r="345" spans="1:3" ht="14.25" customHeight="1" x14ac:dyDescent="0.35">
      <c r="A345" s="34">
        <v>50027</v>
      </c>
      <c r="B345" s="34" t="s">
        <v>427</v>
      </c>
      <c r="C345" s="33" t="s">
        <v>7</v>
      </c>
    </row>
    <row r="346" spans="1:3" ht="14.25" customHeight="1" x14ac:dyDescent="0.35">
      <c r="A346" s="33">
        <v>50028</v>
      </c>
      <c r="B346" s="33" t="s">
        <v>428</v>
      </c>
      <c r="C346" s="33" t="s">
        <v>7</v>
      </c>
    </row>
    <row r="347" spans="1:3" ht="14.25" customHeight="1" x14ac:dyDescent="0.35">
      <c r="A347" s="34">
        <v>50029</v>
      </c>
      <c r="B347" s="34" t="s">
        <v>429</v>
      </c>
      <c r="C347" s="33" t="s">
        <v>7</v>
      </c>
    </row>
    <row r="348" spans="1:3" ht="14.25" customHeight="1" x14ac:dyDescent="0.35">
      <c r="A348" s="33">
        <v>50030</v>
      </c>
      <c r="B348" s="33" t="s">
        <v>430</v>
      </c>
      <c r="C348" s="33" t="s">
        <v>7</v>
      </c>
    </row>
    <row r="349" spans="1:3" ht="14.25" customHeight="1" x14ac:dyDescent="0.35">
      <c r="A349" s="34">
        <v>50031</v>
      </c>
      <c r="B349" s="34" t="s">
        <v>431</v>
      </c>
      <c r="C349" s="33" t="s">
        <v>7</v>
      </c>
    </row>
    <row r="350" spans="1:3" ht="14.25" customHeight="1" x14ac:dyDescent="0.35">
      <c r="A350" s="33">
        <v>50032</v>
      </c>
      <c r="B350" s="33" t="s">
        <v>305</v>
      </c>
      <c r="C350" s="33" t="s">
        <v>7</v>
      </c>
    </row>
    <row r="351" spans="1:3" ht="14.25" customHeight="1" x14ac:dyDescent="0.35">
      <c r="A351" s="34">
        <v>50033</v>
      </c>
      <c r="B351" s="34" t="s">
        <v>432</v>
      </c>
      <c r="C351" s="33" t="s">
        <v>7</v>
      </c>
    </row>
    <row r="352" spans="1:3" ht="14.25" customHeight="1" x14ac:dyDescent="0.35">
      <c r="A352" s="33">
        <v>50034</v>
      </c>
      <c r="B352" s="33" t="s">
        <v>433</v>
      </c>
      <c r="C352" s="33" t="s">
        <v>7</v>
      </c>
    </row>
    <row r="353" spans="1:3" ht="14.25" customHeight="1" x14ac:dyDescent="0.35">
      <c r="A353" s="34">
        <v>50035</v>
      </c>
      <c r="B353" s="34" t="s">
        <v>434</v>
      </c>
      <c r="C353" s="33" t="s">
        <v>7</v>
      </c>
    </row>
    <row r="354" spans="1:3" ht="14.25" customHeight="1" x14ac:dyDescent="0.35">
      <c r="A354" s="33">
        <v>50036</v>
      </c>
      <c r="B354" s="33" t="s">
        <v>435</v>
      </c>
      <c r="C354" s="33" t="s">
        <v>7</v>
      </c>
    </row>
    <row r="355" spans="1:3" ht="14.25" customHeight="1" x14ac:dyDescent="0.35">
      <c r="A355" s="34">
        <v>50037</v>
      </c>
      <c r="B355" s="34" t="s">
        <v>436</v>
      </c>
      <c r="C355" s="33" t="s">
        <v>7</v>
      </c>
    </row>
    <row r="356" spans="1:3" ht="14.25" customHeight="1" x14ac:dyDescent="0.35">
      <c r="A356" s="33">
        <v>50038</v>
      </c>
      <c r="B356" s="33" t="s">
        <v>437</v>
      </c>
      <c r="C356" s="33" t="s">
        <v>7</v>
      </c>
    </row>
    <row r="357" spans="1:3" ht="14.25" customHeight="1" x14ac:dyDescent="0.35">
      <c r="A357" s="34">
        <v>50039</v>
      </c>
      <c r="B357" s="34" t="s">
        <v>438</v>
      </c>
      <c r="C357" s="33" t="s">
        <v>7</v>
      </c>
    </row>
    <row r="358" spans="1:3" ht="14.25" customHeight="1" x14ac:dyDescent="0.35">
      <c r="A358" s="33">
        <v>50040</v>
      </c>
      <c r="B358" s="33" t="s">
        <v>439</v>
      </c>
      <c r="C358" s="33" t="s">
        <v>7</v>
      </c>
    </row>
    <row r="359" spans="1:3" ht="14.25" customHeight="1" x14ac:dyDescent="0.35">
      <c r="A359" s="34">
        <v>50041</v>
      </c>
      <c r="B359" s="34" t="s">
        <v>440</v>
      </c>
      <c r="C359" s="33" t="s">
        <v>7</v>
      </c>
    </row>
    <row r="360" spans="1:3" ht="14.25" customHeight="1" x14ac:dyDescent="0.35">
      <c r="A360" s="33">
        <v>50042</v>
      </c>
      <c r="B360" s="33" t="s">
        <v>441</v>
      </c>
      <c r="C360" s="33" t="s">
        <v>7</v>
      </c>
    </row>
    <row r="361" spans="1:3" ht="14.25" customHeight="1" x14ac:dyDescent="0.35">
      <c r="A361" s="34">
        <v>50043</v>
      </c>
      <c r="B361" s="34" t="s">
        <v>442</v>
      </c>
      <c r="C361" s="33" t="s">
        <v>7</v>
      </c>
    </row>
    <row r="362" spans="1:3" ht="14.25" customHeight="1" x14ac:dyDescent="0.35">
      <c r="A362" s="33">
        <v>50044</v>
      </c>
      <c r="B362" s="33" t="s">
        <v>443</v>
      </c>
      <c r="C362" s="33" t="s">
        <v>7</v>
      </c>
    </row>
    <row r="363" spans="1:3" ht="14.25" customHeight="1" x14ac:dyDescent="0.35">
      <c r="A363" s="34">
        <v>50045</v>
      </c>
      <c r="B363" s="34" t="s">
        <v>444</v>
      </c>
      <c r="C363" s="33" t="s">
        <v>7</v>
      </c>
    </row>
    <row r="364" spans="1:3" ht="14.25" customHeight="1" x14ac:dyDescent="0.35">
      <c r="A364" s="33">
        <v>50046</v>
      </c>
      <c r="B364" s="33" t="s">
        <v>445</v>
      </c>
      <c r="C364" s="33" t="s">
        <v>7</v>
      </c>
    </row>
    <row r="365" spans="1:3" ht="14.25" customHeight="1" x14ac:dyDescent="0.35">
      <c r="A365" s="33">
        <v>79008</v>
      </c>
      <c r="B365" s="33" t="s">
        <v>170</v>
      </c>
      <c r="C365" s="33" t="s">
        <v>7</v>
      </c>
    </row>
    <row r="366" spans="1:3" ht="14.25" customHeight="1" x14ac:dyDescent="0.35">
      <c r="A366" s="33">
        <v>79010</v>
      </c>
      <c r="B366" s="33" t="s">
        <v>176</v>
      </c>
      <c r="C366" s="33" t="s">
        <v>7</v>
      </c>
    </row>
    <row r="367" spans="1:3" ht="14.25" customHeight="1" x14ac:dyDescent="0.35">
      <c r="A367" s="33">
        <v>79043</v>
      </c>
      <c r="B367" s="33" t="s">
        <v>308</v>
      </c>
      <c r="C367" s="33" t="s">
        <v>7</v>
      </c>
    </row>
    <row r="368" spans="1:3" ht="14.25" customHeight="1" x14ac:dyDescent="0.35">
      <c r="A368" s="33">
        <v>79055</v>
      </c>
      <c r="B368" s="33" t="s">
        <v>297</v>
      </c>
      <c r="C368" s="33" t="s">
        <v>7</v>
      </c>
    </row>
    <row r="369" spans="1:3" ht="14.25" customHeight="1" x14ac:dyDescent="0.35">
      <c r="A369" s="33">
        <v>79107</v>
      </c>
      <c r="B369" s="33" t="s">
        <v>446</v>
      </c>
      <c r="C369" s="33" t="s">
        <v>7</v>
      </c>
    </row>
    <row r="370" spans="1:3" ht="14.25" customHeight="1" x14ac:dyDescent="0.35">
      <c r="A370" s="34">
        <v>79120</v>
      </c>
      <c r="B370" s="34" t="s">
        <v>195</v>
      </c>
      <c r="C370" s="33" t="s">
        <v>7</v>
      </c>
    </row>
    <row r="371" spans="1:3" ht="14.25" customHeight="1" x14ac:dyDescent="0.35">
      <c r="A371" s="33" t="s">
        <v>3</v>
      </c>
      <c r="B371" s="33" t="s">
        <v>3</v>
      </c>
      <c r="C371" s="33" t="s">
        <v>3</v>
      </c>
    </row>
    <row r="372" spans="1:3" ht="14.25" customHeight="1" x14ac:dyDescent="0.35"/>
    <row r="373" spans="1:3" ht="14.25" customHeight="1" x14ac:dyDescent="0.35"/>
    <row r="374" spans="1:3" ht="14.25" customHeight="1" x14ac:dyDescent="0.35"/>
    <row r="375" spans="1:3" ht="14.25" customHeight="1" x14ac:dyDescent="0.35"/>
    <row r="376" spans="1:3" ht="14.25" customHeight="1" x14ac:dyDescent="0.35"/>
    <row r="377" spans="1:3" ht="14.25" customHeight="1" x14ac:dyDescent="0.35"/>
    <row r="378" spans="1:3" ht="14.25" customHeight="1" x14ac:dyDescent="0.35"/>
    <row r="379" spans="1:3" ht="14.25" customHeight="1" x14ac:dyDescent="0.35"/>
    <row r="380" spans="1:3" ht="14.25" customHeight="1" x14ac:dyDescent="0.35"/>
    <row r="381" spans="1:3" ht="14.25" customHeight="1" x14ac:dyDescent="0.35"/>
    <row r="382" spans="1:3" ht="14.25" customHeight="1" x14ac:dyDescent="0.35"/>
    <row r="383" spans="1:3" ht="14.25" customHeight="1" x14ac:dyDescent="0.35"/>
    <row r="384" spans="1:3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1"/>
  <sheetViews>
    <sheetView rightToLeft="1" topLeftCell="B157" workbookViewId="0">
      <selection activeCell="D174" sqref="D174"/>
    </sheetView>
  </sheetViews>
  <sheetFormatPr defaultColWidth="9.08984375" defaultRowHeight="18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8.5" customHeight="1" thickBot="1" x14ac:dyDescent="0.4">
      <c r="A1" s="97" t="s">
        <v>448</v>
      </c>
      <c r="B1" s="98"/>
      <c r="C1" s="98"/>
      <c r="D1" s="98"/>
      <c r="E1" s="98"/>
      <c r="F1" s="98"/>
      <c r="G1" s="99"/>
    </row>
    <row r="2" spans="1:7" s="2" customFormat="1" ht="18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18" customHeight="1" x14ac:dyDescent="0.3">
      <c r="A3" s="43">
        <v>30127</v>
      </c>
      <c r="B3" s="25" t="s">
        <v>163</v>
      </c>
      <c r="C3" s="10">
        <f>IFERROR(INDEX('حسابهای دریافتنی'!H:H,MATCH(Table26[[#This Row],[كد تفصيلي]],'حسابهای دریافتنی'!A:A,0)),0)</f>
        <v>31800110000</v>
      </c>
      <c r="D3" s="11">
        <f>IFERROR(INDEX('درجریان وصول'!F:F,MATCH(Table26[[#This Row],[كد تفصيلي]],'درجریان وصول'!A:A,0)),0)</f>
        <v>0</v>
      </c>
      <c r="E3" s="11">
        <f>IFERROR(INDEX('چکهای دریافتنی'!F:F,MATCH(Table26[[#This Row],[كد تفصيلي]],'چکهای دریافتنی'!A:A,0)),0)</f>
        <v>0</v>
      </c>
      <c r="F3" s="11">
        <f>Table26[[#This Row],[حسابهای دریافتنی]]+Table26[[#This Row],[چکهای در جریان وصول]]+Table26[[#This Row],[چکهای نزد صندوق]]</f>
        <v>31800110000</v>
      </c>
      <c r="G3" s="12">
        <f>IFERROR(INDEX('مانده سوفاله'!F:F,MATCH(Table26[[#This Row],[كد تفصيلي]],'مانده سوفاله'!A:A,0)),0)</f>
        <v>-18472</v>
      </c>
    </row>
    <row r="4" spans="1:7" ht="18" customHeight="1" x14ac:dyDescent="0.3">
      <c r="A4" s="44">
        <v>30066</v>
      </c>
      <c r="B4" s="24" t="s">
        <v>111</v>
      </c>
      <c r="C4" s="10">
        <f>IFERROR(INDEX('حسابهای دریافتنی'!H:H,MATCH(Table26[[#This Row],[كد تفصيلي]],'حسابهای دریافتنی'!A:A,0)),0)</f>
        <v>6484147500</v>
      </c>
      <c r="D4" s="11">
        <f>IFERROR(INDEX('درجریان وصول'!F:F,MATCH(Table26[[#This Row],[كد تفصيلي]],'درجریان وصول'!A:A,0)),0)</f>
        <v>0</v>
      </c>
      <c r="E4" s="11">
        <f>IFERROR(INDEX('چکهای دریافتنی'!F:F,MATCH(Table26[[#This Row],[كد تفصيلي]],'چکهای دریافتنی'!A:A,0)),0)</f>
        <v>0</v>
      </c>
      <c r="F4" s="11">
        <f>Table26[[#This Row],[حسابهای دریافتنی]]+Table26[[#This Row],[چکهای در جریان وصول]]+Table26[[#This Row],[چکهای نزد صندوق]]</f>
        <v>6484147500</v>
      </c>
      <c r="G4" s="12">
        <f>IFERROR(INDEX('مانده سوفاله'!F:F,MATCH(Table26[[#This Row],[كد تفصيلي]],'مانده سوفاله'!A:A,0)),0)</f>
        <v>-1320</v>
      </c>
    </row>
    <row r="5" spans="1:7" ht="18" customHeight="1" x14ac:dyDescent="0.3">
      <c r="A5" s="44">
        <v>10003</v>
      </c>
      <c r="B5" s="24" t="s">
        <v>10</v>
      </c>
      <c r="C5" s="10">
        <f>IFERROR(INDEX('حسابهای دریافتنی'!H:H,MATCH(Table26[[#This Row],[كد تفصيلي]],'حسابهای دریافتنی'!A:A,0)),0)</f>
        <v>10804267992</v>
      </c>
      <c r="D5" s="11">
        <f>IFERROR(INDEX('درجریان وصول'!F:F,MATCH(Table26[[#This Row],[كد تفصيلي]],'درجریان وصول'!A:A,0)),0)</f>
        <v>0</v>
      </c>
      <c r="E5" s="11">
        <f>IFERROR(INDEX('چکهای دریافتنی'!F:F,MATCH(Table26[[#This Row],[كد تفصيلي]],'چکهای دریافتنی'!A:A,0)),0)</f>
        <v>13698001280</v>
      </c>
      <c r="F5" s="11">
        <f>Table26[[#This Row],[حسابهای دریافتنی]]+Table26[[#This Row],[چکهای در جریان وصول]]+Table26[[#This Row],[چکهای نزد صندوق]]</f>
        <v>24502269272</v>
      </c>
      <c r="G5" s="12">
        <f>IFERROR(INDEX('مانده سوفاله'!F:F,MATCH(Table26[[#This Row],[كد تفصيلي]],'مانده سوفاله'!A:A,0)),0)</f>
        <v>-39886</v>
      </c>
    </row>
    <row r="6" spans="1:7" ht="18" customHeight="1" x14ac:dyDescent="0.3">
      <c r="A6" s="44">
        <v>30058</v>
      </c>
      <c r="B6" s="24" t="s">
        <v>103</v>
      </c>
      <c r="C6" s="10">
        <f>IFERROR(INDEX('حسابهای دریافتنی'!H:H,MATCH(Table26[[#This Row],[كد تفصيلي]],'حسابهای دریافتنی'!A:A,0)),0)</f>
        <v>1700045560</v>
      </c>
      <c r="D6" s="11">
        <f>IFERROR(INDEX('درجریان وصول'!F:F,MATCH(Table26[[#This Row],[كد تفصيلي]],'درجریان وصول'!A:A,0)),0)</f>
        <v>0</v>
      </c>
      <c r="E6" s="11">
        <f>IFERROR(INDEX('چکهای دریافتنی'!F:F,MATCH(Table26[[#This Row],[كد تفصيلي]],'چکهای دریافتنی'!A:A,0)),0)</f>
        <v>0</v>
      </c>
      <c r="F6" s="11">
        <f>Table26[[#This Row],[حسابهای دریافتنی]]+Table26[[#This Row],[چکهای در جریان وصول]]+Table26[[#This Row],[چکهای نزد صندوق]]</f>
        <v>1700045560</v>
      </c>
      <c r="G6" s="12">
        <f>IFERROR(INDEX('مانده سوفاله'!F:F,MATCH(Table26[[#This Row],[كد تفصيلي]],'مانده سوفاله'!A:A,0)),0)</f>
        <v>-225</v>
      </c>
    </row>
    <row r="7" spans="1:7" ht="18" customHeight="1" x14ac:dyDescent="0.3">
      <c r="A7" s="44">
        <v>10055</v>
      </c>
      <c r="B7" s="24" t="s">
        <v>162</v>
      </c>
      <c r="C7" s="10">
        <f>IFERROR(INDEX('حسابهای دریافتنی'!H:H,MATCH(Table26[[#This Row],[كد تفصيلي]],'حسابهای دریافتنی'!A:A,0)),0)</f>
        <v>10460111325</v>
      </c>
      <c r="D7" s="11">
        <f>IFERROR(INDEX('درجریان وصول'!F:F,MATCH(Table26[[#This Row],[كد تفصيلي]],'درجریان وصول'!A:A,0)),0)</f>
        <v>0</v>
      </c>
      <c r="E7" s="11">
        <f>IFERROR(INDEX('چکهای دریافتنی'!F:F,MATCH(Table26[[#This Row],[كد تفصيلي]],'چکهای دریافتنی'!A:A,0)),0)</f>
        <v>2783298655</v>
      </c>
      <c r="F7" s="11">
        <f>Table26[[#This Row],[حسابهای دریافتنی]]+Table26[[#This Row],[چکهای در جریان وصول]]+Table26[[#This Row],[چکهای نزد صندوق]]</f>
        <v>13243409980</v>
      </c>
      <c r="G7" s="12">
        <f>IFERROR(INDEX('مانده سوفاله'!F:F,MATCH(Table26[[#This Row],[كد تفصيلي]],'مانده سوفاله'!A:A,0)),0)</f>
        <v>-12714</v>
      </c>
    </row>
    <row r="8" spans="1:7" ht="18" customHeight="1" x14ac:dyDescent="0.3">
      <c r="A8" s="44">
        <v>30009</v>
      </c>
      <c r="B8" s="24" t="s">
        <v>164</v>
      </c>
      <c r="C8" s="10">
        <f>IFERROR(INDEX('حسابهای دریافتنی'!H:H,MATCH(Table26[[#This Row],[كد تفصيلي]],'حسابهای دریافتنی'!A:A,0)),0)</f>
        <v>7853844277</v>
      </c>
      <c r="D8" s="11">
        <f>IFERROR(INDEX('درجریان وصول'!F:F,MATCH(Table26[[#This Row],[كد تفصيلي]],'درجریان وصول'!A:A,0)),0)</f>
        <v>0</v>
      </c>
      <c r="E8" s="11">
        <f>IFERROR(INDEX('چکهای دریافتنی'!F:F,MATCH(Table26[[#This Row],[كد تفصيلي]],'چکهای دریافتنی'!A:A,0)),0)</f>
        <v>6474835380</v>
      </c>
      <c r="F8" s="11">
        <f>Table26[[#This Row],[حسابهای دریافتنی]]+Table26[[#This Row],[چکهای در جریان وصول]]+Table26[[#This Row],[چکهای نزد صندوق]]</f>
        <v>14328679657</v>
      </c>
      <c r="G8" s="12">
        <f>IFERROR(INDEX('مانده سوفاله'!F:F,MATCH(Table26[[#This Row],[كد تفصيلي]],'مانده سوفاله'!A:A,0)),0)</f>
        <v>-11452</v>
      </c>
    </row>
    <row r="9" spans="1:7" ht="18" customHeight="1" x14ac:dyDescent="0.3">
      <c r="A9" s="43">
        <v>30004</v>
      </c>
      <c r="B9" s="25" t="s">
        <v>54</v>
      </c>
      <c r="C9" s="10">
        <f>IFERROR(INDEX('حسابهای دریافتنی'!H:H,MATCH(Table26[[#This Row],[كد تفصيلي]],'حسابهای دریافتنی'!A:A,0)),0)</f>
        <v>7598548260</v>
      </c>
      <c r="D9" s="11">
        <f>IFERROR(INDEX('درجریان وصول'!F:F,MATCH(Table26[[#This Row],[كد تفصيلي]],'درجریان وصول'!A:A,0)),0)</f>
        <v>0</v>
      </c>
      <c r="E9" s="11">
        <f>IFERROR(INDEX('چکهای دریافتنی'!F:F,MATCH(Table26[[#This Row],[كد تفصيلي]],'چکهای دریافتنی'!A:A,0)),0)</f>
        <v>11698760000</v>
      </c>
      <c r="F9" s="11">
        <f>Table26[[#This Row],[حسابهای دریافتنی]]+Table26[[#This Row],[چکهای در جریان وصول]]+Table26[[#This Row],[چکهای نزد صندوق]]</f>
        <v>19297308260</v>
      </c>
      <c r="G9" s="12">
        <f>IFERROR(INDEX('مانده سوفاله'!F:F,MATCH(Table26[[#This Row],[كد تفصيلي]],'مانده سوفاله'!A:A,0)),0)</f>
        <v>-4237</v>
      </c>
    </row>
    <row r="10" spans="1:7" ht="18" customHeight="1" x14ac:dyDescent="0.3">
      <c r="A10" s="44">
        <v>10027</v>
      </c>
      <c r="B10" s="24" t="s">
        <v>33</v>
      </c>
      <c r="C10" s="10">
        <f>IFERROR(INDEX('حسابهای دریافتنی'!H:H,MATCH(Table26[[#This Row],[كد تفصيلي]],'حسابهای دریافتنی'!A:A,0)),0)</f>
        <v>33078340</v>
      </c>
      <c r="D10" s="11">
        <f>IFERROR(INDEX('درجریان وصول'!F:F,MATCH(Table26[[#This Row],[كد تفصيلي]],'درجریان وصول'!A:A,0)),0)</f>
        <v>0</v>
      </c>
      <c r="E10" s="11">
        <f>IFERROR(INDEX('چکهای دریافتنی'!F:F,MATCH(Table26[[#This Row],[كد تفصيلي]],'چکهای دریافتنی'!A:A,0)),0)</f>
        <v>1588359160</v>
      </c>
      <c r="F10" s="11">
        <f>Table26[[#This Row],[حسابهای دریافتنی]]+Table26[[#This Row],[چکهای در جریان وصول]]+Table26[[#This Row],[چکهای نزد صندوق]]</f>
        <v>1621437500</v>
      </c>
      <c r="G10" s="12">
        <f>IFERROR(INDEX('مانده سوفاله'!F:F,MATCH(Table26[[#This Row],[كد تفصيلي]],'مانده سوفاله'!A:A,0)),0)</f>
        <v>-647</v>
      </c>
    </row>
    <row r="11" spans="1:7" ht="18" customHeight="1" x14ac:dyDescent="0.3">
      <c r="A11" s="43">
        <v>50016</v>
      </c>
      <c r="B11" s="25" t="s">
        <v>160</v>
      </c>
      <c r="C11" s="10">
        <f>IFERROR(INDEX('حسابهای دریافتنی'!H:H,MATCH(Table26[[#This Row],[كد تفصيلي]],'حسابهای دریافتنی'!A:A,0)),0)</f>
        <v>6344545550</v>
      </c>
      <c r="D11" s="11">
        <f>IFERROR(INDEX('درجریان وصول'!F:F,MATCH(Table26[[#This Row],[كد تفصيلي]],'درجریان وصول'!A:A,0)),0)</f>
        <v>0</v>
      </c>
      <c r="E11" s="11">
        <f>IFERROR(INDEX('چکهای دریافتنی'!F:F,MATCH(Table26[[#This Row],[كد تفصيلي]],'چکهای دریافتنی'!A:A,0)),0)</f>
        <v>0</v>
      </c>
      <c r="F11" s="11">
        <f>Table26[[#This Row],[حسابهای دریافتنی]]+Table26[[#This Row],[چکهای در جریان وصول]]+Table26[[#This Row],[چکهای نزد صندوق]]</f>
        <v>6344545550</v>
      </c>
      <c r="G11" s="12">
        <f>IFERROR(INDEX('مانده سوفاله'!F:F,MATCH(Table26[[#This Row],[كد تفصيلي]],'مانده سوفاله'!A:A,0)),0)</f>
        <v>5508</v>
      </c>
    </row>
    <row r="12" spans="1:7" ht="18" customHeight="1" x14ac:dyDescent="0.3">
      <c r="A12" s="43">
        <v>10026</v>
      </c>
      <c r="B12" s="25" t="s">
        <v>32</v>
      </c>
      <c r="C12" s="10">
        <f>IFERROR(INDEX('حسابهای دریافتنی'!H:H,MATCH(Table26[[#This Row],[كد تفصيلي]],'حسابهای دریافتنی'!A:A,0)),0)</f>
        <v>3795031844</v>
      </c>
      <c r="D12" s="11">
        <f>IFERROR(INDEX('درجریان وصول'!F:F,MATCH(Table26[[#This Row],[كد تفصيلي]],'درجریان وصول'!A:A,0)),0)</f>
        <v>0</v>
      </c>
      <c r="E12" s="11">
        <f>IFERROR(INDEX('چکهای دریافتنی'!F:F,MATCH(Table26[[#This Row],[كد تفصيلي]],'چکهای دریافتنی'!A:A,0)),0)</f>
        <v>2690000000</v>
      </c>
      <c r="F12" s="11">
        <f>Table26[[#This Row],[حسابهای دریافتنی]]+Table26[[#This Row],[چکهای در جریان وصول]]+Table26[[#This Row],[چکهای نزد صندوق]]</f>
        <v>6485031844</v>
      </c>
      <c r="G12" s="12">
        <f>IFERROR(INDEX('مانده سوفاله'!F:F,MATCH(Table26[[#This Row],[كد تفصيلي]],'مانده سوفاله'!A:A,0)),0)</f>
        <v>-12543</v>
      </c>
    </row>
    <row r="13" spans="1:7" ht="18" customHeight="1" x14ac:dyDescent="0.3">
      <c r="A13" s="43">
        <v>30099</v>
      </c>
      <c r="B13" s="25" t="s">
        <v>167</v>
      </c>
      <c r="C13" s="10">
        <f>IFERROR(INDEX('حسابهای دریافتنی'!H:H,MATCH(Table26[[#This Row],[كد تفصيلي]],'حسابهای دریافتنی'!A:A,0)),0)</f>
        <v>1398393484</v>
      </c>
      <c r="D13" s="11">
        <f>IFERROR(INDEX('درجریان وصول'!F:F,MATCH(Table26[[#This Row],[كد تفصيلي]],'درجریان وصول'!A:A,0)),0)</f>
        <v>0</v>
      </c>
      <c r="E13" s="11">
        <f>IFERROR(INDEX('چکهای دریافتنی'!F:F,MATCH(Table26[[#This Row],[كد تفصيلي]],'چکهای دریافتنی'!A:A,0)),0)</f>
        <v>583000000</v>
      </c>
      <c r="F13" s="11">
        <f>Table26[[#This Row],[حسابهای دریافتنی]]+Table26[[#This Row],[چکهای در جریان وصول]]+Table26[[#This Row],[چکهای نزد صندوق]]</f>
        <v>1981393484</v>
      </c>
      <c r="G13" s="12">
        <f>IFERROR(INDEX('مانده سوفاله'!F:F,MATCH(Table26[[#This Row],[كد تفصيلي]],'مانده سوفاله'!A:A,0)),0)</f>
        <v>-332</v>
      </c>
    </row>
    <row r="14" spans="1:7" ht="18" customHeight="1" x14ac:dyDescent="0.3">
      <c r="A14" s="46">
        <v>10123</v>
      </c>
      <c r="B14" s="25" t="s">
        <v>340</v>
      </c>
      <c r="C14" s="10">
        <f>IFERROR(INDEX('حسابهای دریافتنی'!H:H,MATCH(Table26[[#This Row],[كد تفصيلي]],'حسابهای دریافتنی'!A:A,0)),0)</f>
        <v>-50813000</v>
      </c>
      <c r="D14" s="11">
        <f>IFERROR(INDEX('درجریان وصول'!F:F,MATCH(Table26[[#This Row],[كد تفصيلي]],'درجریان وصول'!A:A,0)),0)</f>
        <v>0</v>
      </c>
      <c r="E14" s="11">
        <f>IFERROR(INDEX('چکهای دریافتنی'!F:F,MATCH(Table26[[#This Row],[كد تفصيلي]],'چکهای دریافتنی'!A:A,0)),0)</f>
        <v>0</v>
      </c>
      <c r="F14" s="11">
        <f>Table26[[#This Row],[حسابهای دریافتنی]]+Table26[[#This Row],[چکهای در جریان وصول]]+Table26[[#This Row],[چکهای نزد صندوق]]</f>
        <v>-50813000</v>
      </c>
      <c r="G14" s="12">
        <f>IFERROR(INDEX('مانده سوفاله'!F:F,MATCH(Table26[[#This Row],[كد تفصيلي]],'مانده سوفاله'!A:A,0)),0)</f>
        <v>0</v>
      </c>
    </row>
    <row r="15" spans="1:7" ht="18" customHeight="1" x14ac:dyDescent="0.3">
      <c r="A15" s="44">
        <v>30003</v>
      </c>
      <c r="B15" s="24" t="s">
        <v>53</v>
      </c>
      <c r="C15" s="10">
        <f>IFERROR(INDEX('حسابهای دریافتنی'!H:H,MATCH(Table26[[#This Row],[كد تفصيلي]],'حسابهای دریافتنی'!A:A,0)),0)</f>
        <v>754765900</v>
      </c>
      <c r="D15" s="11">
        <f>IFERROR(INDEX('درجریان وصول'!F:F,MATCH(Table26[[#This Row],[كد تفصيلي]],'درجریان وصول'!A:A,0)),0)</f>
        <v>0</v>
      </c>
      <c r="E15" s="11">
        <f>IFERROR(INDEX('چکهای دریافتنی'!F:F,MATCH(Table26[[#This Row],[كد تفصيلي]],'چکهای دریافتنی'!A:A,0)),0)</f>
        <v>571000000</v>
      </c>
      <c r="F15" s="11">
        <f>Table26[[#This Row],[حسابهای دریافتنی]]+Table26[[#This Row],[چکهای در جریان وصول]]+Table26[[#This Row],[چکهای نزد صندوق]]</f>
        <v>1325765900</v>
      </c>
      <c r="G15" s="12">
        <f>IFERROR(INDEX('مانده سوفاله'!F:F,MATCH(Table26[[#This Row],[كد تفصيلي]],'مانده سوفاله'!A:A,0)),0)</f>
        <v>-3538</v>
      </c>
    </row>
    <row r="16" spans="1:7" ht="18" customHeight="1" x14ac:dyDescent="0.3">
      <c r="A16" s="44">
        <v>10029</v>
      </c>
      <c r="B16" s="24" t="s">
        <v>35</v>
      </c>
      <c r="C16" s="10">
        <f>IFERROR(INDEX('حسابهای دریافتنی'!H:H,MATCH(Table26[[#This Row],[كد تفصيلي]],'حسابهای دریافتنی'!A:A,0)),0)</f>
        <v>-1038298620</v>
      </c>
      <c r="D16" s="11">
        <f>IFERROR(INDEX('درجریان وصول'!F:F,MATCH(Table26[[#This Row],[كد تفصيلي]],'درجریان وصول'!A:A,0)),0)</f>
        <v>0</v>
      </c>
      <c r="E16" s="11">
        <f>IFERROR(INDEX('چکهای دریافتنی'!F:F,MATCH(Table26[[#This Row],[كد تفصيلي]],'چکهای دریافتنی'!A:A,0)),0)</f>
        <v>2019000000</v>
      </c>
      <c r="F16" s="11">
        <f>Table26[[#This Row],[حسابهای دریافتنی]]+Table26[[#This Row],[چکهای در جریان وصول]]+Table26[[#This Row],[چکهای نزد صندوق]]</f>
        <v>980701380</v>
      </c>
      <c r="G16" s="12">
        <f>IFERROR(INDEX('مانده سوفاله'!F:F,MATCH(Table26[[#This Row],[كد تفصيلي]],'مانده سوفاله'!A:A,0)),0)</f>
        <v>6603</v>
      </c>
    </row>
    <row r="17" spans="1:7" ht="18" customHeight="1" x14ac:dyDescent="0.3">
      <c r="A17" s="43">
        <v>30022</v>
      </c>
      <c r="B17" s="25" t="s">
        <v>70</v>
      </c>
      <c r="C17" s="10">
        <f>IFERROR(INDEX('حسابهای دریافتنی'!H:H,MATCH(Table26[[#This Row],[كد تفصيلي]],'حسابهای دریافتنی'!A:A,0)),0)</f>
        <v>2933770530</v>
      </c>
      <c r="D17" s="11">
        <f>IFERROR(INDEX('درجریان وصول'!F:F,MATCH(Table26[[#This Row],[كد تفصيلي]],'درجریان وصول'!A:A,0)),0)</f>
        <v>0</v>
      </c>
      <c r="E17" s="11">
        <f>IFERROR(INDEX('چکهای دریافتنی'!F:F,MATCH(Table26[[#This Row],[كد تفصيلي]],'چکهای دریافتنی'!A:A,0)),0)</f>
        <v>0</v>
      </c>
      <c r="F17" s="11">
        <f>Table26[[#This Row],[حسابهای دریافتنی]]+Table26[[#This Row],[چکهای در جریان وصول]]+Table26[[#This Row],[چکهای نزد صندوق]]</f>
        <v>2933770530</v>
      </c>
      <c r="G17" s="12">
        <f>IFERROR(INDEX('مانده سوفاله'!F:F,MATCH(Table26[[#This Row],[كد تفصيلي]],'مانده سوفاله'!A:A,0)),0)</f>
        <v>-14747</v>
      </c>
    </row>
    <row r="18" spans="1:7" ht="18" customHeight="1" x14ac:dyDescent="0.3">
      <c r="A18" s="43">
        <v>30006</v>
      </c>
      <c r="B18" s="25" t="s">
        <v>56</v>
      </c>
      <c r="C18" s="10">
        <f>IFERROR(INDEX('حسابهای دریافتنی'!H:H,MATCH(Table26[[#This Row],[كد تفصيلي]],'حسابهای دریافتنی'!A:A,0)),0)</f>
        <v>-162677545</v>
      </c>
      <c r="D18" s="11">
        <f>IFERROR(INDEX('درجریان وصول'!F:F,MATCH(Table26[[#This Row],[كد تفصيلي]],'درجریان وصول'!A:A,0)),0)</f>
        <v>0</v>
      </c>
      <c r="E18" s="11">
        <f>IFERROR(INDEX('چکهای دریافتنی'!F:F,MATCH(Table26[[#This Row],[كد تفصيلي]],'چکهای دریافتنی'!A:A,0)),0)</f>
        <v>0</v>
      </c>
      <c r="F18" s="11">
        <f>Table26[[#This Row],[حسابهای دریافتنی]]+Table26[[#This Row],[چکهای در جریان وصول]]+Table26[[#This Row],[چکهای نزد صندوق]]</f>
        <v>-162677545</v>
      </c>
      <c r="G18" s="12">
        <f>IFERROR(INDEX('مانده سوفاله'!F:F,MATCH(Table26[[#This Row],[كد تفصيلي]],'مانده سوفاله'!A:A,0)),0)</f>
        <v>-6</v>
      </c>
    </row>
    <row r="19" spans="1:7" ht="18" customHeight="1" x14ac:dyDescent="0.3">
      <c r="A19" s="45">
        <v>30186</v>
      </c>
      <c r="B19" s="24" t="s">
        <v>367</v>
      </c>
      <c r="C19" s="10">
        <f>IFERROR(INDEX('حسابهای دریافتنی'!H:H,MATCH(Table26[[#This Row],[كد تفصيلي]],'حسابهای دریافتنی'!A:A,0)),0)</f>
        <v>986425000</v>
      </c>
      <c r="D19" s="11">
        <f>IFERROR(INDEX('درجریان وصول'!F:F,MATCH(Table26[[#This Row],[كد تفصيلي]],'درجریان وصول'!A:A,0)),0)</f>
        <v>0</v>
      </c>
      <c r="E19" s="11">
        <f>IFERROR(INDEX('چکهای دریافتنی'!F:F,MATCH(Table26[[#This Row],[كد تفصيلي]],'چکهای دریافتنی'!A:A,0)),0)</f>
        <v>5982430000</v>
      </c>
      <c r="F19" s="11">
        <f>Table26[[#This Row],[حسابهای دریافتنی]]+Table26[[#This Row],[چکهای در جریان وصول]]+Table26[[#This Row],[چکهای نزد صندوق]]</f>
        <v>6968855000</v>
      </c>
      <c r="G19" s="12">
        <f>IFERROR(INDEX('مانده سوفاله'!F:F,MATCH(Table26[[#This Row],[كد تفصيلي]],'مانده سوفاله'!A:A,0)),0)</f>
        <v>-7388</v>
      </c>
    </row>
    <row r="20" spans="1:7" ht="18" customHeight="1" x14ac:dyDescent="0.3">
      <c r="A20" s="43">
        <v>30018</v>
      </c>
      <c r="B20" s="25" t="s">
        <v>66</v>
      </c>
      <c r="C20" s="10">
        <f>IFERROR(INDEX('حسابهای دریافتنی'!H:H,MATCH(Table26[[#This Row],[كد تفصيلي]],'حسابهای دریافتنی'!A:A,0)),0)</f>
        <v>1901077182</v>
      </c>
      <c r="D20" s="11">
        <f>IFERROR(INDEX('درجریان وصول'!F:F,MATCH(Table26[[#This Row],[كد تفصيلي]],'درجریان وصول'!A:A,0)),0)</f>
        <v>0</v>
      </c>
      <c r="E20" s="11">
        <f>IFERROR(INDEX('چکهای دریافتنی'!F:F,MATCH(Table26[[#This Row],[كد تفصيلي]],'چکهای دریافتنی'!A:A,0)),0)</f>
        <v>0</v>
      </c>
      <c r="F20" s="11">
        <f>Table26[[#This Row],[حسابهای دریافتنی]]+Table26[[#This Row],[چکهای در جریان وصول]]+Table26[[#This Row],[چکهای نزد صندوق]]</f>
        <v>1901077182</v>
      </c>
      <c r="G20" s="12">
        <f>IFERROR(INDEX('مانده سوفاله'!F:F,MATCH(Table26[[#This Row],[كد تفصيلي]],'مانده سوفاله'!A:A,0)),0)</f>
        <v>-3024</v>
      </c>
    </row>
    <row r="21" spans="1:7" ht="18" customHeight="1" x14ac:dyDescent="0.3">
      <c r="A21" s="43">
        <v>10056</v>
      </c>
      <c r="B21" s="25" t="s">
        <v>166</v>
      </c>
      <c r="C21" s="10">
        <f>IFERROR(INDEX('حسابهای دریافتنی'!H:H,MATCH(Table26[[#This Row],[كد تفصيلي]],'حسابهای دریافتنی'!A:A,0)),0)</f>
        <v>812653500</v>
      </c>
      <c r="D21" s="11">
        <f>IFERROR(INDEX('درجریان وصول'!F:F,MATCH(Table26[[#This Row],[كد تفصيلي]],'درجریان وصول'!A:A,0)),0)</f>
        <v>0</v>
      </c>
      <c r="E21" s="11">
        <f>IFERROR(INDEX('چکهای دریافتنی'!F:F,MATCH(Table26[[#This Row],[كد تفصيلي]],'چکهای دریافتنی'!A:A,0)),0)</f>
        <v>0</v>
      </c>
      <c r="F21" s="11">
        <f>Table26[[#This Row],[حسابهای دریافتنی]]+Table26[[#This Row],[چکهای در جریان وصول]]+Table26[[#This Row],[چکهای نزد صندوق]]</f>
        <v>812653500</v>
      </c>
      <c r="G21" s="12">
        <f>IFERROR(INDEX('مانده سوفاله'!F:F,MATCH(Table26[[#This Row],[كد تفصيلي]],'مانده سوفاله'!A:A,0)),0)</f>
        <v>0</v>
      </c>
    </row>
    <row r="22" spans="1:7" ht="18" customHeight="1" x14ac:dyDescent="0.3">
      <c r="A22" s="43">
        <v>30014</v>
      </c>
      <c r="B22" s="25" t="s">
        <v>63</v>
      </c>
      <c r="C22" s="10">
        <f>IFERROR(INDEX('حسابهای دریافتنی'!H:H,MATCH(Table26[[#This Row],[كد تفصيلي]],'حسابهای دریافتنی'!A:A,0)),0)</f>
        <v>1762223932</v>
      </c>
      <c r="D22" s="11">
        <f>IFERROR(INDEX('درجریان وصول'!F:F,MATCH(Table26[[#This Row],[كد تفصيلي]],'درجریان وصول'!A:A,0)),0)</f>
        <v>0</v>
      </c>
      <c r="E22" s="11">
        <f>IFERROR(INDEX('چکهای دریافتنی'!F:F,MATCH(Table26[[#This Row],[كد تفصيلي]],'چکهای دریافتنی'!A:A,0)),0)</f>
        <v>0</v>
      </c>
      <c r="F22" s="11">
        <f>Table26[[#This Row],[حسابهای دریافتنی]]+Table26[[#This Row],[چکهای در جریان وصول]]+Table26[[#This Row],[چکهای نزد صندوق]]</f>
        <v>1762223932</v>
      </c>
      <c r="G22" s="12">
        <f>IFERROR(INDEX('مانده سوفاله'!F:F,MATCH(Table26[[#This Row],[كد تفصيلي]],'مانده سوفاله'!A:A,0)),0)</f>
        <v>-1368</v>
      </c>
    </row>
    <row r="23" spans="1:7" ht="18" customHeight="1" x14ac:dyDescent="0.3">
      <c r="A23" s="43">
        <v>30081</v>
      </c>
      <c r="B23" s="25" t="s">
        <v>126</v>
      </c>
      <c r="C23" s="10">
        <f>IFERROR(INDEX('حسابهای دریافتنی'!H:H,MATCH(Table26[[#This Row],[كد تفصيلي]],'حسابهای دریافتنی'!A:A,0)),0)</f>
        <v>1148992373</v>
      </c>
      <c r="D23" s="11">
        <f>IFERROR(INDEX('درجریان وصول'!F:F,MATCH(Table26[[#This Row],[كد تفصيلي]],'درجریان وصول'!A:A,0)),0)</f>
        <v>0</v>
      </c>
      <c r="E23" s="11">
        <f>IFERROR(INDEX('چکهای دریافتنی'!F:F,MATCH(Table26[[#This Row],[كد تفصيلي]],'چکهای دریافتنی'!A:A,0)),0)</f>
        <v>0</v>
      </c>
      <c r="F23" s="11">
        <f>Table26[[#This Row],[حسابهای دریافتنی]]+Table26[[#This Row],[چکهای در جریان وصول]]+Table26[[#This Row],[چکهای نزد صندوق]]</f>
        <v>1148992373</v>
      </c>
      <c r="G23" s="12">
        <f>IFERROR(INDEX('مانده سوفاله'!F:F,MATCH(Table26[[#This Row],[كد تفصيلي]],'مانده سوفاله'!A:A,0)),0)</f>
        <v>-6924</v>
      </c>
    </row>
    <row r="24" spans="1:7" ht="18" customHeight="1" x14ac:dyDescent="0.3">
      <c r="A24" s="43">
        <v>30012</v>
      </c>
      <c r="B24" s="25" t="s">
        <v>61</v>
      </c>
      <c r="C24" s="10">
        <f>IFERROR(INDEX('حسابهای دریافتنی'!H:H,MATCH(Table26[[#This Row],[كد تفصيلي]],'حسابهای دریافتنی'!A:A,0)),0)</f>
        <v>-46099000</v>
      </c>
      <c r="D24" s="11">
        <f>IFERROR(INDEX('درجریان وصول'!F:F,MATCH(Table26[[#This Row],[كد تفصيلي]],'درجریان وصول'!A:A,0)),0)</f>
        <v>0</v>
      </c>
      <c r="E24" s="11">
        <f>IFERROR(INDEX('چکهای دریافتنی'!F:F,MATCH(Table26[[#This Row],[كد تفصيلي]],'چکهای دریافتنی'!A:A,0)),0)</f>
        <v>348650000</v>
      </c>
      <c r="F24" s="11">
        <f>Table26[[#This Row],[حسابهای دریافتنی]]+Table26[[#This Row],[چکهای در جریان وصول]]+Table26[[#This Row],[چکهای نزد صندوق]]</f>
        <v>302551000</v>
      </c>
      <c r="G24" s="12">
        <f>IFERROR(INDEX('مانده سوفاله'!F:F,MATCH(Table26[[#This Row],[كد تفصيلي]],'مانده سوفاله'!A:A,0)),0)</f>
        <v>141</v>
      </c>
    </row>
    <row r="25" spans="1:7" ht="18" customHeight="1" x14ac:dyDescent="0.3">
      <c r="A25" s="44">
        <v>30017</v>
      </c>
      <c r="B25" s="24" t="s">
        <v>65</v>
      </c>
      <c r="C25" s="10">
        <f>IFERROR(INDEX('حسابهای دریافتنی'!H:H,MATCH(Table26[[#This Row],[كد تفصيلي]],'حسابهای دریافتنی'!A:A,0)),0)</f>
        <v>905000830</v>
      </c>
      <c r="D25" s="11">
        <f>IFERROR(INDEX('درجریان وصول'!F:F,MATCH(Table26[[#This Row],[كد تفصيلي]],'درجریان وصول'!A:A,0)),0)</f>
        <v>0</v>
      </c>
      <c r="E25" s="11">
        <f>IFERROR(INDEX('چکهای دریافتنی'!F:F,MATCH(Table26[[#This Row],[كد تفصيلي]],'چکهای دریافتنی'!A:A,0)),0)</f>
        <v>0</v>
      </c>
      <c r="F25" s="11">
        <f>Table26[[#This Row],[حسابهای دریافتنی]]+Table26[[#This Row],[چکهای در جریان وصول]]+Table26[[#This Row],[چکهای نزد صندوق]]</f>
        <v>905000830</v>
      </c>
      <c r="G25" s="12">
        <f>IFERROR(INDEX('مانده سوفاله'!F:F,MATCH(Table26[[#This Row],[كد تفصيلي]],'مانده سوفاله'!A:A,0)),0)</f>
        <v>-2186</v>
      </c>
    </row>
    <row r="26" spans="1:7" ht="18" customHeight="1" x14ac:dyDescent="0.3">
      <c r="A26" s="44">
        <v>30124</v>
      </c>
      <c r="B26" s="24" t="s">
        <v>246</v>
      </c>
      <c r="C26" s="10">
        <f>IFERROR(INDEX('حسابهای دریافتنی'!H:H,MATCH(Table26[[#This Row],[كد تفصيلي]],'حسابهای دریافتنی'!A:A,0)),0)</f>
        <v>0</v>
      </c>
      <c r="D26" s="11">
        <f>IFERROR(INDEX('درجریان وصول'!F:F,MATCH(Table26[[#This Row],[كد تفصيلي]],'درجریان وصول'!A:A,0)),0)</f>
        <v>0</v>
      </c>
      <c r="E26" s="11">
        <f>IFERROR(INDEX('چکهای دریافتنی'!F:F,MATCH(Table26[[#This Row],[كد تفصيلي]],'چکهای دریافتنی'!A:A,0)),0)</f>
        <v>505676000</v>
      </c>
      <c r="F26" s="11">
        <f>Table26[[#This Row],[حسابهای دریافتنی]]+Table26[[#This Row],[چکهای در جریان وصول]]+Table26[[#This Row],[چکهای نزد صندوق]]</f>
        <v>505676000</v>
      </c>
      <c r="G26" s="12">
        <f>IFERROR(INDEX('مانده سوفاله'!F:F,MATCH(Table26[[#This Row],[كد تفصيلي]],'مانده سوفاله'!A:A,0)),0)</f>
        <v>1498</v>
      </c>
    </row>
    <row r="27" spans="1:7" ht="18" customHeight="1" x14ac:dyDescent="0.3">
      <c r="A27" s="43">
        <v>10008</v>
      </c>
      <c r="B27" s="25" t="s">
        <v>15</v>
      </c>
      <c r="C27" s="10">
        <f>IFERROR(INDEX('حسابهای دریافتنی'!H:H,MATCH(Table26[[#This Row],[كد تفصيلي]],'حسابهای دریافتنی'!A:A,0)),0)</f>
        <v>597342000</v>
      </c>
      <c r="D27" s="11">
        <f>IFERROR(INDEX('درجریان وصول'!F:F,MATCH(Table26[[#This Row],[كد تفصيلي]],'درجریان وصول'!A:A,0)),0)</f>
        <v>0</v>
      </c>
      <c r="E27" s="11">
        <f>IFERROR(INDEX('چکهای دریافتنی'!F:F,MATCH(Table26[[#This Row],[كد تفصيلي]],'چکهای دریافتنی'!A:A,0)),0)</f>
        <v>0</v>
      </c>
      <c r="F27" s="11">
        <f>Table26[[#This Row],[حسابهای دریافتنی]]+Table26[[#This Row],[چکهای در جریان وصول]]+Table26[[#This Row],[چکهای نزد صندوق]]</f>
        <v>597342000</v>
      </c>
      <c r="G27" s="12">
        <f>IFERROR(INDEX('مانده سوفاله'!F:F,MATCH(Table26[[#This Row],[كد تفصيلي]],'مانده سوفاله'!A:A,0)),0)</f>
        <v>-578</v>
      </c>
    </row>
    <row r="28" spans="1:7" ht="18" customHeight="1" x14ac:dyDescent="0.3">
      <c r="A28" s="43">
        <v>30030</v>
      </c>
      <c r="B28" s="25" t="s">
        <v>77</v>
      </c>
      <c r="C28" s="10">
        <f>IFERROR(INDEX('حسابهای دریافتنی'!H:H,MATCH(Table26[[#This Row],[كد تفصيلي]],'حسابهای دریافتنی'!A:A,0)),0)</f>
        <v>850500</v>
      </c>
      <c r="D28" s="11">
        <f>IFERROR(INDEX('درجریان وصول'!F:F,MATCH(Table26[[#This Row],[كد تفصيلي]],'درجریان وصول'!A:A,0)),0)</f>
        <v>0</v>
      </c>
      <c r="E28" s="11">
        <f>IFERROR(INDEX('چکهای دریافتنی'!F:F,MATCH(Table26[[#This Row],[كد تفصيلي]],'چکهای دریافتنی'!A:A,0)),0)</f>
        <v>0</v>
      </c>
      <c r="F28" s="11">
        <f>Table26[[#This Row],[حسابهای دریافتنی]]+Table26[[#This Row],[چکهای در جریان وصول]]+Table26[[#This Row],[چکهای نزد صندوق]]</f>
        <v>850500</v>
      </c>
      <c r="G28" s="12">
        <f>IFERROR(INDEX('مانده سوفاله'!F:F,MATCH(Table26[[#This Row],[كد تفصيلي]],'مانده سوفاله'!A:A,0)),0)</f>
        <v>-49</v>
      </c>
    </row>
    <row r="29" spans="1:7" ht="18" customHeight="1" x14ac:dyDescent="0.3">
      <c r="A29" s="44">
        <v>10057</v>
      </c>
      <c r="B29" s="24" t="s">
        <v>225</v>
      </c>
      <c r="C29" s="10">
        <f>IFERROR(INDEX('حسابهای دریافتنی'!H:H,MATCH(Table26[[#This Row],[كد تفصيلي]],'حسابهای دریافتنی'!A:A,0)),0)</f>
        <v>1390485500</v>
      </c>
      <c r="D29" s="11">
        <f>IFERROR(INDEX('درجریان وصول'!F:F,MATCH(Table26[[#This Row],[كد تفصيلي]],'درجریان وصول'!A:A,0)),0)</f>
        <v>0</v>
      </c>
      <c r="E29" s="11">
        <f>IFERROR(INDEX('چکهای دریافتنی'!F:F,MATCH(Table26[[#This Row],[كد تفصيلي]],'چکهای دریافتنی'!A:A,0)),0)</f>
        <v>0</v>
      </c>
      <c r="F29" s="11">
        <f>Table26[[#This Row],[حسابهای دریافتنی]]+Table26[[#This Row],[چکهای در جریان وصول]]+Table26[[#This Row],[چکهای نزد صندوق]]</f>
        <v>1390485500</v>
      </c>
      <c r="G29" s="12">
        <f>IFERROR(INDEX('مانده سوفاله'!F:F,MATCH(Table26[[#This Row],[كد تفصيلي]],'مانده سوفاله'!A:A,0)),0)</f>
        <v>-2044</v>
      </c>
    </row>
    <row r="30" spans="1:7" ht="18" customHeight="1" x14ac:dyDescent="0.3">
      <c r="A30" s="43">
        <v>10020</v>
      </c>
      <c r="B30" s="25" t="s">
        <v>27</v>
      </c>
      <c r="C30" s="10">
        <f>IFERROR(INDEX('حسابهای دریافتنی'!H:H,MATCH(Table26[[#This Row],[كد تفصيلي]],'حسابهای دریافتنی'!A:A,0)),0)</f>
        <v>57999963</v>
      </c>
      <c r="D30" s="11">
        <f>IFERROR(INDEX('درجریان وصول'!F:F,MATCH(Table26[[#This Row],[كد تفصيلي]],'درجریان وصول'!A:A,0)),0)</f>
        <v>0</v>
      </c>
      <c r="E30" s="11">
        <f>IFERROR(INDEX('چکهای دریافتنی'!F:F,MATCH(Table26[[#This Row],[كد تفصيلي]],'چکهای دریافتنی'!A:A,0)),0)</f>
        <v>728000000</v>
      </c>
      <c r="F30" s="11">
        <f>Table26[[#This Row],[حسابهای دریافتنی]]+Table26[[#This Row],[چکهای در جریان وصول]]+Table26[[#This Row],[چکهای نزد صندوق]]</f>
        <v>785999963</v>
      </c>
      <c r="G30" s="12">
        <f>IFERROR(INDEX('مانده سوفاله'!F:F,MATCH(Table26[[#This Row],[كد تفصيلي]],'مانده سوفاله'!A:A,0)),0)</f>
        <v>-1031</v>
      </c>
    </row>
    <row r="31" spans="1:7" ht="18" customHeight="1" x14ac:dyDescent="0.3">
      <c r="A31" s="44">
        <v>30140</v>
      </c>
      <c r="B31" s="24" t="s">
        <v>259</v>
      </c>
      <c r="C31" s="10">
        <f>IFERROR(INDEX('حسابهای دریافتنی'!H:H,MATCH(Table26[[#This Row],[كد تفصيلي]],'حسابهای دریافتنی'!A:A,0)),0)</f>
        <v>553728200</v>
      </c>
      <c r="D31" s="11">
        <f>IFERROR(INDEX('درجریان وصول'!F:F,MATCH(Table26[[#This Row],[كد تفصيلي]],'درجریان وصول'!A:A,0)),0)</f>
        <v>0</v>
      </c>
      <c r="E31" s="11">
        <f>IFERROR(INDEX('چکهای دریافتنی'!F:F,MATCH(Table26[[#This Row],[كد تفصيلي]],'چکهای دریافتنی'!A:A,0)),0)</f>
        <v>1030000000</v>
      </c>
      <c r="F31" s="11">
        <f>Table26[[#This Row],[حسابهای دریافتنی]]+Table26[[#This Row],[چکهای در جریان وصول]]+Table26[[#This Row],[چکهای نزد صندوق]]</f>
        <v>1583728200</v>
      </c>
      <c r="G31" s="12">
        <f>IFERROR(INDEX('مانده سوفاله'!F:F,MATCH(Table26[[#This Row],[كد تفصيلي]],'مانده سوفاله'!A:A,0)),0)</f>
        <v>-12630</v>
      </c>
    </row>
    <row r="32" spans="1:7" ht="18" customHeight="1" x14ac:dyDescent="0.3">
      <c r="A32" s="44">
        <v>50011</v>
      </c>
      <c r="B32" s="24" t="s">
        <v>147</v>
      </c>
      <c r="C32" s="10">
        <f>IFERROR(INDEX('حسابهای دریافتنی'!H:H,MATCH(Table26[[#This Row],[كد تفصيلي]],'حسابهای دریافتنی'!A:A,0)),0)</f>
        <v>832182413</v>
      </c>
      <c r="D32" s="11">
        <f>IFERROR(INDEX('درجریان وصول'!F:F,MATCH(Table26[[#This Row],[كد تفصيلي]],'درجریان وصول'!A:A,0)),0)</f>
        <v>0</v>
      </c>
      <c r="E32" s="11">
        <f>IFERROR(INDEX('چکهای دریافتنی'!F:F,MATCH(Table26[[#This Row],[كد تفصيلي]],'چکهای دریافتنی'!A:A,0)),0)</f>
        <v>0</v>
      </c>
      <c r="F32" s="11">
        <f>Table26[[#This Row],[حسابهای دریافتنی]]+Table26[[#This Row],[چکهای در جریان وصول]]+Table26[[#This Row],[چکهای نزد صندوق]]</f>
        <v>832182413</v>
      </c>
      <c r="G32" s="12">
        <f>IFERROR(INDEX('مانده سوفاله'!F:F,MATCH(Table26[[#This Row],[كد تفصيلي]],'مانده سوفاله'!A:A,0)),0)</f>
        <v>30</v>
      </c>
    </row>
    <row r="33" spans="1:7" ht="18" customHeight="1" x14ac:dyDescent="0.3">
      <c r="A33" s="43">
        <v>30040</v>
      </c>
      <c r="B33" s="25" t="s">
        <v>87</v>
      </c>
      <c r="C33" s="10">
        <f>IFERROR(INDEX('حسابهای دریافتنی'!H:H,MATCH(Table26[[#This Row],[كد تفصيلي]],'حسابهای دریافتنی'!A:A,0)),0)</f>
        <v>0</v>
      </c>
      <c r="D33" s="11">
        <f>IFERROR(INDEX('درجریان وصول'!F:F,MATCH(Table26[[#This Row],[كد تفصيلي]],'درجریان وصول'!A:A,0)),0)</f>
        <v>0</v>
      </c>
      <c r="E33" s="11">
        <f>IFERROR(INDEX('چکهای دریافتنی'!F:F,MATCH(Table26[[#This Row],[كد تفصيلي]],'چکهای دریافتنی'!A:A,0)),0)</f>
        <v>0</v>
      </c>
      <c r="F33" s="11">
        <f>Table26[[#This Row],[حسابهای دریافتنی]]+Table26[[#This Row],[چکهای در جریان وصول]]+Table26[[#This Row],[چکهای نزد صندوق]]</f>
        <v>0</v>
      </c>
      <c r="G33" s="12">
        <f>IFERROR(INDEX('مانده سوفاله'!F:F,MATCH(Table26[[#This Row],[كد تفصيلي]],'مانده سوفاله'!A:A,0)),0)</f>
        <v>0</v>
      </c>
    </row>
    <row r="34" spans="1:7" ht="18" customHeight="1" x14ac:dyDescent="0.3">
      <c r="A34" s="44">
        <v>30070</v>
      </c>
      <c r="B34" s="24" t="s">
        <v>115</v>
      </c>
      <c r="C34" s="10">
        <f>IFERROR(INDEX('حسابهای دریافتنی'!H:H,MATCH(Table26[[#This Row],[كد تفصيلي]],'حسابهای دریافتنی'!A:A,0)),0)</f>
        <v>2651728820</v>
      </c>
      <c r="D34" s="11">
        <f>IFERROR(INDEX('درجریان وصول'!F:F,MATCH(Table26[[#This Row],[كد تفصيلي]],'درجریان وصول'!A:A,0)),0)</f>
        <v>0</v>
      </c>
      <c r="E34" s="11">
        <f>IFERROR(INDEX('چکهای دریافتنی'!F:F,MATCH(Table26[[#This Row],[كد تفصيلي]],'چکهای دریافتنی'!A:A,0)),0)</f>
        <v>3660000000</v>
      </c>
      <c r="F34" s="11">
        <f>Table26[[#This Row],[حسابهای دریافتنی]]+Table26[[#This Row],[چکهای در جریان وصول]]+Table26[[#This Row],[چکهای نزد صندوق]]</f>
        <v>6311728820</v>
      </c>
      <c r="G34" s="12">
        <f>IFERROR(INDEX('مانده سوفاله'!F:F,MATCH(Table26[[#This Row],[كد تفصيلي]],'مانده سوفاله'!A:A,0)),0)</f>
        <v>4378</v>
      </c>
    </row>
    <row r="35" spans="1:7" ht="18" customHeight="1" x14ac:dyDescent="0.3">
      <c r="A35" s="45">
        <v>30182</v>
      </c>
      <c r="B35" s="24" t="s">
        <v>342</v>
      </c>
      <c r="C35" s="10">
        <f>IFERROR(INDEX('حسابهای دریافتنی'!H:H,MATCH(Table26[[#This Row],[كد تفصيلي]],'حسابهای دریافتنی'!A:A,0)),0)</f>
        <v>-528256400</v>
      </c>
      <c r="D35" s="11">
        <f>IFERROR(INDEX('درجریان وصول'!F:F,MATCH(Table26[[#This Row],[كد تفصيلي]],'درجریان وصول'!A:A,0)),0)</f>
        <v>0</v>
      </c>
      <c r="E35" s="11">
        <f>IFERROR(INDEX('چکهای دریافتنی'!F:F,MATCH(Table26[[#This Row],[كد تفصيلي]],'چکهای دریافتنی'!A:A,0)),0)</f>
        <v>0</v>
      </c>
      <c r="F35" s="11">
        <f>Table26[[#This Row],[حسابهای دریافتنی]]+Table26[[#This Row],[چکهای در جریان وصول]]+Table26[[#This Row],[چکهای نزد صندوق]]</f>
        <v>-528256400</v>
      </c>
      <c r="G35" s="12">
        <f>IFERROR(INDEX('مانده سوفاله'!F:F,MATCH(Table26[[#This Row],[كد تفصيلي]],'مانده سوفاله'!A:A,0)),0)</f>
        <v>0</v>
      </c>
    </row>
    <row r="36" spans="1:7" ht="18" customHeight="1" x14ac:dyDescent="0.3">
      <c r="A36" s="43">
        <v>30069</v>
      </c>
      <c r="B36" s="25" t="s">
        <v>114</v>
      </c>
      <c r="C36" s="10">
        <f>IFERROR(INDEX('حسابهای دریافتنی'!H:H,MATCH(Table26[[#This Row],[كد تفصيلي]],'حسابهای دریافتنی'!A:A,0)),0)</f>
        <v>377909400</v>
      </c>
      <c r="D36" s="11">
        <f>IFERROR(INDEX('درجریان وصول'!F:F,MATCH(Table26[[#This Row],[كد تفصيلي]],'درجریان وصول'!A:A,0)),0)</f>
        <v>0</v>
      </c>
      <c r="E36" s="11">
        <f>IFERROR(INDEX('چکهای دریافتنی'!F:F,MATCH(Table26[[#This Row],[كد تفصيلي]],'چکهای دریافتنی'!A:A,0)),0)</f>
        <v>0</v>
      </c>
      <c r="F36" s="11">
        <f>Table26[[#This Row],[حسابهای دریافتنی]]+Table26[[#This Row],[چکهای در جریان وصول]]+Table26[[#This Row],[چکهای نزد صندوق]]</f>
        <v>377909400</v>
      </c>
      <c r="G36" s="12">
        <f>IFERROR(INDEX('مانده سوفاله'!F:F,MATCH(Table26[[#This Row],[كد تفصيلي]],'مانده سوفاله'!A:A,0)),0)</f>
        <v>66</v>
      </c>
    </row>
    <row r="37" spans="1:7" ht="18" customHeight="1" x14ac:dyDescent="0.3">
      <c r="A37" s="43">
        <v>10084</v>
      </c>
      <c r="B37" s="25" t="s">
        <v>217</v>
      </c>
      <c r="C37" s="10">
        <f>IFERROR(INDEX('حسابهای دریافتنی'!H:H,MATCH(Table26[[#This Row],[كد تفصيلي]],'حسابهای دریافتنی'!A:A,0)),0)</f>
        <v>358092810</v>
      </c>
      <c r="D37" s="11">
        <f>IFERROR(INDEX('درجریان وصول'!F:F,MATCH(Table26[[#This Row],[كد تفصيلي]],'درجریان وصول'!A:A,0)),0)</f>
        <v>0</v>
      </c>
      <c r="E37" s="11">
        <f>IFERROR(INDEX('چکهای دریافتنی'!F:F,MATCH(Table26[[#This Row],[كد تفصيلي]],'چکهای دریافتنی'!A:A,0)),0)</f>
        <v>870000000</v>
      </c>
      <c r="F37" s="11">
        <f>Table26[[#This Row],[حسابهای دریافتنی]]+Table26[[#This Row],[چکهای در جریان وصول]]+Table26[[#This Row],[چکهای نزد صندوق]]</f>
        <v>1228092810</v>
      </c>
      <c r="G37" s="12">
        <f>IFERROR(INDEX('مانده سوفاله'!F:F,MATCH(Table26[[#This Row],[كد تفصيلي]],'مانده سوفاله'!A:A,0)),0)</f>
        <v>-1656</v>
      </c>
    </row>
    <row r="38" spans="1:7" ht="18" customHeight="1" x14ac:dyDescent="0.3">
      <c r="A38" s="43">
        <v>30055</v>
      </c>
      <c r="B38" s="25" t="s">
        <v>100</v>
      </c>
      <c r="C38" s="10">
        <f>IFERROR(INDEX('حسابهای دریافتنی'!H:H,MATCH(Table26[[#This Row],[كد تفصيلي]],'حسابهای دریافتنی'!A:A,0)),0)</f>
        <v>0</v>
      </c>
      <c r="D38" s="11">
        <f>IFERROR(INDEX('درجریان وصول'!F:F,MATCH(Table26[[#This Row],[كد تفصيلي]],'درجریان وصول'!A:A,0)),0)</f>
        <v>0</v>
      </c>
      <c r="E38" s="11">
        <f>IFERROR(INDEX('چکهای دریافتنی'!F:F,MATCH(Table26[[#This Row],[كد تفصيلي]],'چکهای دریافتنی'!A:A,0)),0)</f>
        <v>0</v>
      </c>
      <c r="F38" s="11">
        <f>Table26[[#This Row],[حسابهای دریافتنی]]+Table26[[#This Row],[چکهای در جریان وصول]]+Table26[[#This Row],[چکهای نزد صندوق]]</f>
        <v>0</v>
      </c>
      <c r="G38" s="12">
        <f>IFERROR(INDEX('مانده سوفاله'!F:F,MATCH(Table26[[#This Row],[كد تفصيلي]],'مانده سوفاله'!A:A,0)),0)</f>
        <v>48</v>
      </c>
    </row>
    <row r="39" spans="1:7" ht="18" customHeight="1" x14ac:dyDescent="0.3">
      <c r="A39" s="44">
        <v>30086</v>
      </c>
      <c r="B39" s="24" t="s">
        <v>131</v>
      </c>
      <c r="C39" s="10">
        <f>IFERROR(INDEX('حسابهای دریافتنی'!H:H,MATCH(Table26[[#This Row],[كد تفصيلي]],'حسابهای دریافتنی'!A:A,0)),0)</f>
        <v>187376603</v>
      </c>
      <c r="D39" s="11">
        <f>IFERROR(INDEX('درجریان وصول'!F:F,MATCH(Table26[[#This Row],[كد تفصيلي]],'درجریان وصول'!A:A,0)),0)</f>
        <v>0</v>
      </c>
      <c r="E39" s="11">
        <f>IFERROR(INDEX('چکهای دریافتنی'!F:F,MATCH(Table26[[#This Row],[كد تفصيلي]],'چکهای دریافتنی'!A:A,0)),0)</f>
        <v>0</v>
      </c>
      <c r="F39" s="11">
        <f>Table26[[#This Row],[حسابهای دریافتنی]]+Table26[[#This Row],[چکهای در جریان وصول]]+Table26[[#This Row],[چکهای نزد صندوق]]</f>
        <v>187376603</v>
      </c>
      <c r="G39" s="12">
        <f>IFERROR(INDEX('مانده سوفاله'!F:F,MATCH(Table26[[#This Row],[كد تفصيلي]],'مانده سوفاله'!A:A,0)),0)</f>
        <v>1549</v>
      </c>
    </row>
    <row r="40" spans="1:7" ht="18" customHeight="1" x14ac:dyDescent="0.3">
      <c r="A40" s="44">
        <v>10015</v>
      </c>
      <c r="B40" s="24" t="s">
        <v>22</v>
      </c>
      <c r="C40" s="10">
        <f>IFERROR(INDEX('حسابهای دریافتنی'!H:H,MATCH(Table26[[#This Row],[كد تفصيلي]],'حسابهای دریافتنی'!A:A,0)),0)</f>
        <v>-4735000</v>
      </c>
      <c r="D40" s="11">
        <f>IFERROR(INDEX('درجریان وصول'!F:F,MATCH(Table26[[#This Row],[كد تفصيلي]],'درجریان وصول'!A:A,0)),0)</f>
        <v>0</v>
      </c>
      <c r="E40" s="11">
        <f>IFERROR(INDEX('چکهای دریافتنی'!F:F,MATCH(Table26[[#This Row],[كد تفصيلي]],'چکهای دریافتنی'!A:A,0)),0)</f>
        <v>0</v>
      </c>
      <c r="F40" s="11">
        <f>Table26[[#This Row],[حسابهای دریافتنی]]+Table26[[#This Row],[چکهای در جریان وصول]]+Table26[[#This Row],[چکهای نزد صندوق]]</f>
        <v>-4735000</v>
      </c>
      <c r="G40" s="12">
        <f>IFERROR(INDEX('مانده سوفاله'!F:F,MATCH(Table26[[#This Row],[كد تفصيلي]],'مانده سوفاله'!A:A,0)),0)</f>
        <v>12</v>
      </c>
    </row>
    <row r="41" spans="1:7" ht="18" customHeight="1" x14ac:dyDescent="0.3">
      <c r="A41" s="43">
        <v>30026</v>
      </c>
      <c r="B41" s="25" t="s">
        <v>74</v>
      </c>
      <c r="C41" s="10">
        <f>IFERROR(INDEX('حسابهای دریافتنی'!H:H,MATCH(Table26[[#This Row],[كد تفصيلي]],'حسابهای دریافتنی'!A:A,0)),0)</f>
        <v>5689439</v>
      </c>
      <c r="D41" s="11">
        <f>IFERROR(INDEX('درجریان وصول'!F:F,MATCH(Table26[[#This Row],[كد تفصيلي]],'درجریان وصول'!A:A,0)),0)</f>
        <v>0</v>
      </c>
      <c r="E41" s="11">
        <f>IFERROR(INDEX('چکهای دریافتنی'!F:F,MATCH(Table26[[#This Row],[كد تفصيلي]],'چکهای دریافتنی'!A:A,0)),0)</f>
        <v>0</v>
      </c>
      <c r="F41" s="11">
        <f>Table26[[#This Row],[حسابهای دریافتنی]]+Table26[[#This Row],[چکهای در جریان وصول]]+Table26[[#This Row],[چکهای نزد صندوق]]</f>
        <v>5689439</v>
      </c>
      <c r="G41" s="12">
        <f>IFERROR(INDEX('مانده سوفاله'!F:F,MATCH(Table26[[#This Row],[كد تفصيلي]],'مانده سوفاله'!A:A,0)),0)</f>
        <v>764</v>
      </c>
    </row>
    <row r="42" spans="1:7" ht="18" customHeight="1" x14ac:dyDescent="0.3">
      <c r="A42" s="44">
        <v>30019</v>
      </c>
      <c r="B42" s="24" t="s">
        <v>67</v>
      </c>
      <c r="C42" s="10">
        <f>IFERROR(INDEX('حسابهای دریافتنی'!H:H,MATCH(Table26[[#This Row],[كد تفصيلي]],'حسابهای دریافتنی'!A:A,0)),0)</f>
        <v>823484840</v>
      </c>
      <c r="D42" s="11">
        <f>IFERROR(INDEX('درجریان وصول'!F:F,MATCH(Table26[[#This Row],[كد تفصيلي]],'درجریان وصول'!A:A,0)),0)</f>
        <v>0</v>
      </c>
      <c r="E42" s="11">
        <f>IFERROR(INDEX('چکهای دریافتنی'!F:F,MATCH(Table26[[#This Row],[كد تفصيلي]],'چکهای دریافتنی'!A:A,0)),0)</f>
        <v>0</v>
      </c>
      <c r="F42" s="11">
        <f>Table26[[#This Row],[حسابهای دریافتنی]]+Table26[[#This Row],[چکهای در جریان وصول]]+Table26[[#This Row],[چکهای نزد صندوق]]</f>
        <v>823484840</v>
      </c>
      <c r="G42" s="12">
        <f>IFERROR(INDEX('مانده سوفاله'!F:F,MATCH(Table26[[#This Row],[كد تفصيلي]],'مانده سوفاله'!A:A,0)),0)</f>
        <v>612</v>
      </c>
    </row>
    <row r="43" spans="1:7" ht="18" customHeight="1" x14ac:dyDescent="0.3">
      <c r="A43" s="46">
        <v>30187</v>
      </c>
      <c r="B43" s="25" t="s">
        <v>369</v>
      </c>
      <c r="C43" s="10">
        <f>IFERROR(INDEX('حسابهای دریافتنی'!H:H,MATCH(Table26[[#This Row],[كد تفصيلي]],'حسابهای دریافتنی'!A:A,0)),0)</f>
        <v>337825500</v>
      </c>
      <c r="D43" s="11">
        <f>IFERROR(INDEX('درجریان وصول'!F:F,MATCH(Table26[[#This Row],[كد تفصيلي]],'درجریان وصول'!A:A,0)),0)</f>
        <v>0</v>
      </c>
      <c r="E43" s="11">
        <f>IFERROR(INDEX('چکهای دریافتنی'!F:F,MATCH(Table26[[#This Row],[كد تفصيلي]],'چکهای دریافتنی'!A:A,0)),0)</f>
        <v>0</v>
      </c>
      <c r="F43" s="11">
        <f>Table26[[#This Row],[حسابهای دریافتنی]]+Table26[[#This Row],[چکهای در جریان وصول]]+Table26[[#This Row],[چکهای نزد صندوق]]</f>
        <v>337825500</v>
      </c>
      <c r="G43" s="12">
        <f>IFERROR(INDEX('مانده سوفاله'!F:F,MATCH(Table26[[#This Row],[كد تفصيلي]],'مانده سوفاله'!A:A,0)),0)</f>
        <v>-108</v>
      </c>
    </row>
    <row r="44" spans="1:7" ht="18" customHeight="1" x14ac:dyDescent="0.3">
      <c r="A44" s="43">
        <v>10092</v>
      </c>
      <c r="B44" s="25" t="s">
        <v>260</v>
      </c>
      <c r="C44" s="10">
        <f>IFERROR(INDEX('حسابهای دریافتنی'!H:H,MATCH(Table26[[#This Row],[كد تفصيلي]],'حسابهای دریافتنی'!A:A,0)),0)</f>
        <v>-1749946500</v>
      </c>
      <c r="D44" s="11">
        <f>IFERROR(INDEX('درجریان وصول'!F:F,MATCH(Table26[[#This Row],[كد تفصيلي]],'درجریان وصول'!A:A,0)),0)</f>
        <v>0</v>
      </c>
      <c r="E44" s="11">
        <f>IFERROR(INDEX('چکهای دریافتنی'!F:F,MATCH(Table26[[#This Row],[كد تفصيلي]],'چکهای دریافتنی'!A:A,0)),0)</f>
        <v>300000000</v>
      </c>
      <c r="F44" s="11">
        <f>Table26[[#This Row],[حسابهای دریافتنی]]+Table26[[#This Row],[چکهای در جریان وصول]]+Table26[[#This Row],[چکهای نزد صندوق]]</f>
        <v>-1449946500</v>
      </c>
      <c r="G44" s="12">
        <f>IFERROR(INDEX('مانده سوفاله'!F:F,MATCH(Table26[[#This Row],[كد تفصيلي]],'مانده سوفاله'!A:A,0)),0)</f>
        <v>0</v>
      </c>
    </row>
    <row r="45" spans="1:7" ht="18" customHeight="1" x14ac:dyDescent="0.3">
      <c r="A45" s="43">
        <v>10096</v>
      </c>
      <c r="B45" s="25" t="s">
        <v>271</v>
      </c>
      <c r="C45" s="10">
        <f>IFERROR(INDEX('حسابهای دریافتنی'!H:H,MATCH(Table26[[#This Row],[كد تفصيلي]],'حسابهای دریافتنی'!A:A,0)),0)</f>
        <v>36455500</v>
      </c>
      <c r="D45" s="11">
        <f>IFERROR(INDEX('درجریان وصول'!F:F,MATCH(Table26[[#This Row],[كد تفصيلي]],'درجریان وصول'!A:A,0)),0)</f>
        <v>0</v>
      </c>
      <c r="E45" s="11">
        <f>IFERROR(INDEX('چکهای دریافتنی'!F:F,MATCH(Table26[[#This Row],[كد تفصيلي]],'چکهای دریافتنی'!A:A,0)),0)</f>
        <v>0</v>
      </c>
      <c r="F45" s="11">
        <f>Table26[[#This Row],[حسابهای دریافتنی]]+Table26[[#This Row],[چکهای در جریان وصول]]+Table26[[#This Row],[چکهای نزد صندوق]]</f>
        <v>36455500</v>
      </c>
      <c r="G45" s="12">
        <f>IFERROR(INDEX('مانده سوفاله'!F:F,MATCH(Table26[[#This Row],[كد تفصيلي]],'مانده سوفاله'!A:A,0)),0)</f>
        <v>0</v>
      </c>
    </row>
    <row r="46" spans="1:7" ht="18" customHeight="1" x14ac:dyDescent="0.3">
      <c r="A46" s="44">
        <v>30025</v>
      </c>
      <c r="B46" s="24" t="s">
        <v>73</v>
      </c>
      <c r="C46" s="10">
        <f>IFERROR(INDEX('حسابهای دریافتنی'!H:H,MATCH(Table26[[#This Row],[كد تفصيلي]],'حسابهای دریافتنی'!A:A,0)),0)</f>
        <v>35598920</v>
      </c>
      <c r="D46" s="11">
        <f>IFERROR(INDEX('درجریان وصول'!F:F,MATCH(Table26[[#This Row],[كد تفصيلي]],'درجریان وصول'!A:A,0)),0)</f>
        <v>0</v>
      </c>
      <c r="E46" s="11">
        <f>IFERROR(INDEX('چکهای دریافتنی'!F:F,MATCH(Table26[[#This Row],[كد تفصيلي]],'چکهای دریافتنی'!A:A,0)),0)</f>
        <v>0</v>
      </c>
      <c r="F46" s="11">
        <f>Table26[[#This Row],[حسابهای دریافتنی]]+Table26[[#This Row],[چکهای در جریان وصول]]+Table26[[#This Row],[چکهای نزد صندوق]]</f>
        <v>35598920</v>
      </c>
      <c r="G46" s="12">
        <f>IFERROR(INDEX('مانده سوفاله'!F:F,MATCH(Table26[[#This Row],[كد تفصيلي]],'مانده سوفاله'!A:A,0)),0)</f>
        <v>-165</v>
      </c>
    </row>
    <row r="47" spans="1:7" ht="18" customHeight="1" x14ac:dyDescent="0.3">
      <c r="A47" s="44">
        <v>30160</v>
      </c>
      <c r="B47" s="24" t="s">
        <v>296</v>
      </c>
      <c r="C47" s="10">
        <f>IFERROR(INDEX('حسابهای دریافتنی'!H:H,MATCH(Table26[[#This Row],[كد تفصيلي]],'حسابهای دریافتنی'!A:A,0)),0)</f>
        <v>0</v>
      </c>
      <c r="D47" s="11">
        <f>IFERROR(INDEX('درجریان وصول'!F:F,MATCH(Table26[[#This Row],[كد تفصيلي]],'درجریان وصول'!A:A,0)),0)</f>
        <v>0</v>
      </c>
      <c r="E47" s="11">
        <f>IFERROR(INDEX('چکهای دریافتنی'!F:F,MATCH(Table26[[#This Row],[كد تفصيلي]],'چکهای دریافتنی'!A:A,0)),0)</f>
        <v>0</v>
      </c>
      <c r="F47" s="11">
        <f>Table26[[#This Row],[حسابهای دریافتنی]]+Table26[[#This Row],[چکهای در جریان وصول]]+Table26[[#This Row],[چکهای نزد صندوق]]</f>
        <v>0</v>
      </c>
      <c r="G47" s="12">
        <f>IFERROR(INDEX('مانده سوفاله'!F:F,MATCH(Table26[[#This Row],[كد تفصيلي]],'مانده سوفاله'!A:A,0)),0)</f>
        <v>-425</v>
      </c>
    </row>
    <row r="48" spans="1:7" ht="18" customHeight="1" x14ac:dyDescent="0.3">
      <c r="A48" s="43">
        <v>30093</v>
      </c>
      <c r="B48" s="25" t="s">
        <v>151</v>
      </c>
      <c r="C48" s="10">
        <f>IFERROR(INDEX('حسابهای دریافتنی'!H:H,MATCH(Table26[[#This Row],[كد تفصيلي]],'حسابهای دریافتنی'!A:A,0)),0)</f>
        <v>0</v>
      </c>
      <c r="D48" s="11">
        <f>IFERROR(INDEX('درجریان وصول'!F:F,MATCH(Table26[[#This Row],[كد تفصيلي]],'درجریان وصول'!A:A,0)),0)</f>
        <v>0</v>
      </c>
      <c r="E48" s="11">
        <f>IFERROR(INDEX('چکهای دریافتنی'!F:F,MATCH(Table26[[#This Row],[كد تفصيلي]],'چکهای دریافتنی'!A:A,0)),0)</f>
        <v>0</v>
      </c>
      <c r="F48" s="11">
        <f>Table26[[#This Row],[حسابهای دریافتنی]]+Table26[[#This Row],[چکهای در جریان وصول]]+Table26[[#This Row],[چکهای نزد صندوق]]</f>
        <v>0</v>
      </c>
      <c r="G48" s="12">
        <v>77</v>
      </c>
    </row>
    <row r="49" spans="1:7" ht="18" customHeight="1" x14ac:dyDescent="0.3">
      <c r="A49" s="43">
        <v>30008</v>
      </c>
      <c r="B49" s="25" t="s">
        <v>58</v>
      </c>
      <c r="C49" s="10">
        <f>IFERROR(INDEX('حسابهای دریافتنی'!H:H,MATCH(Table26[[#This Row],[كد تفصيلي]],'حسابهای دریافتنی'!A:A,0)),0)</f>
        <v>15520000</v>
      </c>
      <c r="D49" s="11">
        <f>IFERROR(INDEX('درجریان وصول'!F:F,MATCH(Table26[[#This Row],[كد تفصيلي]],'درجریان وصول'!A:A,0)),0)</f>
        <v>0</v>
      </c>
      <c r="E49" s="11">
        <f>IFERROR(INDEX('چکهای دریافتنی'!F:F,MATCH(Table26[[#This Row],[كد تفصيلي]],'چکهای دریافتنی'!A:A,0)),0)</f>
        <v>0</v>
      </c>
      <c r="F49" s="11">
        <f>Table26[[#This Row],[حسابهای دریافتنی]]+Table26[[#This Row],[چکهای در جریان وصول]]+Table26[[#This Row],[چکهای نزد صندوق]]</f>
        <v>15520000</v>
      </c>
      <c r="G49" s="12">
        <f>IFERROR(INDEX('مانده سوفاله'!F:F,MATCH(Table26[[#This Row],[كد تفصيلي]],'مانده سوفاله'!A:A,0)),0)</f>
        <v>0</v>
      </c>
    </row>
    <row r="50" spans="1:7" ht="18" customHeight="1" x14ac:dyDescent="0.3">
      <c r="A50" s="44">
        <v>10007</v>
      </c>
      <c r="B50" s="24" t="s">
        <v>14</v>
      </c>
      <c r="C50" s="10">
        <f>IFERROR(INDEX('حسابهای دریافتنی'!H:H,MATCH(Table26[[#This Row],[كد تفصيلي]],'حسابهای دریافتنی'!A:A,0)),0)</f>
        <v>12770000</v>
      </c>
      <c r="D50" s="11">
        <f>IFERROR(INDEX('درجریان وصول'!F:F,MATCH(Table26[[#This Row],[كد تفصيلي]],'درجریان وصول'!A:A,0)),0)</f>
        <v>0</v>
      </c>
      <c r="E50" s="11">
        <f>IFERROR(INDEX('چکهای دریافتنی'!F:F,MATCH(Table26[[#This Row],[كد تفصيلي]],'چکهای دریافتنی'!A:A,0)),0)</f>
        <v>0</v>
      </c>
      <c r="F50" s="11">
        <f>Table26[[#This Row],[حسابهای دریافتنی]]+Table26[[#This Row],[چکهای در جریان وصول]]+Table26[[#This Row],[چکهای نزد صندوق]]</f>
        <v>12770000</v>
      </c>
      <c r="G50" s="12">
        <f>IFERROR(INDEX('مانده سوفاله'!F:F,MATCH(Table26[[#This Row],[كد تفصيلي]],'مانده سوفاله'!A:A,0)),0)</f>
        <v>-52.5</v>
      </c>
    </row>
    <row r="51" spans="1:7" ht="18" customHeight="1" x14ac:dyDescent="0.3">
      <c r="A51" s="43">
        <v>30101</v>
      </c>
      <c r="B51" s="25" t="s">
        <v>196</v>
      </c>
      <c r="C51" s="10">
        <f>IFERROR(INDEX('حسابهای دریافتنی'!H:H,MATCH(Table26[[#This Row],[كد تفصيلي]],'حسابهای دریافتنی'!A:A,0)),0)</f>
        <v>203336095</v>
      </c>
      <c r="D51" s="11">
        <f>IFERROR(INDEX('درجریان وصول'!F:F,MATCH(Table26[[#This Row],[كد تفصيلي]],'درجریان وصول'!A:A,0)),0)</f>
        <v>0</v>
      </c>
      <c r="E51" s="11">
        <f>IFERROR(INDEX('چکهای دریافتنی'!F:F,MATCH(Table26[[#This Row],[كد تفصيلي]],'چکهای دریافتنی'!A:A,0)),0)</f>
        <v>0</v>
      </c>
      <c r="F51" s="11">
        <f>Table26[[#This Row],[حسابهای دریافتنی]]+Table26[[#This Row],[چکهای در جریان وصول]]+Table26[[#This Row],[چکهای نزد صندوق]]</f>
        <v>203336095</v>
      </c>
      <c r="G51" s="12">
        <f>IFERROR(INDEX('مانده سوفاله'!F:F,MATCH(Table26[[#This Row],[كد تفصيلي]],'مانده سوفاله'!A:A,0)),0)</f>
        <v>15</v>
      </c>
    </row>
    <row r="52" spans="1:7" ht="18" customHeight="1" x14ac:dyDescent="0.3">
      <c r="A52" s="46">
        <v>50000</v>
      </c>
      <c r="B52" s="25" t="s">
        <v>447</v>
      </c>
      <c r="C52" s="41">
        <f>IFERROR(INDEX('حسابهای دریافتنی'!H:H,MATCH(Table26[[#This Row],[كد تفصيلي]],'حسابهای دریافتنی'!A:A,0)),0)</f>
        <v>0</v>
      </c>
      <c r="D52" s="41">
        <f>IFERROR(INDEX('درجریان وصول'!F:F,MATCH(Table26[[#This Row],[كد تفصيلي]],'درجریان وصول'!A:A,0)),0)</f>
        <v>0</v>
      </c>
      <c r="E52" s="41">
        <f>IFERROR(INDEX('چکهای دریافتنی'!F:F,MATCH(Table26[[#This Row],[كد تفصيلي]],'چکهای دریافتنی'!A:A,0)),0)</f>
        <v>0</v>
      </c>
      <c r="F52" s="41">
        <f>Table26[[#This Row],[حسابهای دریافتنی]]+Table26[[#This Row],[چکهای در جریان وصول]]+Table26[[#This Row],[چکهای نزد صندوق]]</f>
        <v>0</v>
      </c>
      <c r="G52" s="42">
        <f>IFERROR(INDEX('مانده سوفاله'!F:F,MATCH(Table26[[#This Row],[كد تفصيلي]],'مانده سوفاله'!A:A,0)),0)</f>
        <v>0</v>
      </c>
    </row>
    <row r="53" spans="1:7" ht="18" customHeight="1" x14ac:dyDescent="0.3">
      <c r="A53" s="43">
        <v>30145</v>
      </c>
      <c r="B53" s="25" t="s">
        <v>265</v>
      </c>
      <c r="C53" s="10">
        <f>IFERROR(INDEX('حسابهای دریافتنی'!H:H,MATCH(Table26[[#This Row],[كد تفصيلي]],'حسابهای دریافتنی'!A:A,0)),0)</f>
        <v>6442500</v>
      </c>
      <c r="D53" s="11">
        <f>IFERROR(INDEX('درجریان وصول'!F:F,MATCH(Table26[[#This Row],[كد تفصيلي]],'درجریان وصول'!A:A,0)),0)</f>
        <v>0</v>
      </c>
      <c r="E53" s="11">
        <f>IFERROR(INDEX('چکهای دریافتنی'!F:F,MATCH(Table26[[#This Row],[كد تفصيلي]],'چکهای دریافتنی'!A:A,0)),0)</f>
        <v>0</v>
      </c>
      <c r="F53" s="11">
        <f>Table26[[#This Row],[حسابهای دریافتنی]]+Table26[[#This Row],[چکهای در جریان وصول]]+Table26[[#This Row],[چکهای نزد صندوق]]</f>
        <v>6442500</v>
      </c>
      <c r="G53" s="12">
        <f>IFERROR(INDEX('مانده سوفاله'!F:F,MATCH(Table26[[#This Row],[كد تفصيلي]],'مانده سوفاله'!A:A,0)),0)</f>
        <v>0</v>
      </c>
    </row>
    <row r="54" spans="1:7" ht="18" customHeight="1" x14ac:dyDescent="0.3">
      <c r="A54" s="44">
        <v>30047</v>
      </c>
      <c r="B54" s="24" t="s">
        <v>94</v>
      </c>
      <c r="C54" s="10">
        <f>IFERROR(INDEX('حسابهای دریافتنی'!H:H,MATCH(Table26[[#This Row],[كد تفصيلي]],'حسابهای دریافتنی'!A:A,0)),0)</f>
        <v>5794900</v>
      </c>
      <c r="D54" s="11">
        <f>IFERROR(INDEX('درجریان وصول'!F:F,MATCH(Table26[[#This Row],[كد تفصيلي]],'درجریان وصول'!A:A,0)),0)</f>
        <v>0</v>
      </c>
      <c r="E54" s="11">
        <f>IFERROR(INDEX('چکهای دریافتنی'!F:F,MATCH(Table26[[#This Row],[كد تفصيلي]],'چکهای دریافتنی'!A:A,0)),0)</f>
        <v>0</v>
      </c>
      <c r="F54" s="11">
        <f>Table26[[#This Row],[حسابهای دریافتنی]]+Table26[[#This Row],[چکهای در جریان وصول]]+Table26[[#This Row],[چکهای نزد صندوق]]</f>
        <v>5794900</v>
      </c>
      <c r="G54" s="12">
        <f>IFERROR(INDEX('مانده سوفاله'!F:F,MATCH(Table26[[#This Row],[كد تفصيلي]],'مانده سوفاله'!A:A,0)),0)</f>
        <v>-630</v>
      </c>
    </row>
    <row r="55" spans="1:7" ht="18" customHeight="1" x14ac:dyDescent="0.3">
      <c r="A55" s="44">
        <v>30011</v>
      </c>
      <c r="B55" s="24" t="s">
        <v>60</v>
      </c>
      <c r="C55" s="10">
        <f>IFERROR(INDEX('حسابهای دریافتنی'!H:H,MATCH(Table26[[#This Row],[كد تفصيلي]],'حسابهای دریافتنی'!A:A,0)),0)</f>
        <v>5595200</v>
      </c>
      <c r="D55" s="11">
        <f>IFERROR(INDEX('درجریان وصول'!F:F,MATCH(Table26[[#This Row],[كد تفصيلي]],'درجریان وصول'!A:A,0)),0)</f>
        <v>0</v>
      </c>
      <c r="E55" s="11">
        <f>IFERROR(INDEX('چکهای دریافتنی'!F:F,MATCH(Table26[[#This Row],[كد تفصيلي]],'چکهای دریافتنی'!A:A,0)),0)</f>
        <v>0</v>
      </c>
      <c r="F55" s="11">
        <f>Table26[[#This Row],[حسابهای دریافتنی]]+Table26[[#This Row],[چکهای در جریان وصول]]+Table26[[#This Row],[چکهای نزد صندوق]]</f>
        <v>5595200</v>
      </c>
      <c r="G55" s="12">
        <f>IFERROR(INDEX('مانده سوفاله'!F:F,MATCH(Table26[[#This Row],[كد تفصيلي]],'مانده سوفاله'!A:A,0)),0)</f>
        <v>-5</v>
      </c>
    </row>
    <row r="56" spans="1:7" ht="18" customHeight="1" x14ac:dyDescent="0.3">
      <c r="A56" s="43">
        <v>10080</v>
      </c>
      <c r="B56" s="25" t="s">
        <v>214</v>
      </c>
      <c r="C56" s="10">
        <f>IFERROR(INDEX('حسابهای دریافتنی'!H:H,MATCH(Table26[[#This Row],[كد تفصيلي]],'حسابهای دریافتنی'!A:A,0)),0)</f>
        <v>5395000</v>
      </c>
      <c r="D56" s="11">
        <f>IFERROR(INDEX('درجریان وصول'!F:F,MATCH(Table26[[#This Row],[كد تفصيلي]],'درجریان وصول'!A:A,0)),0)</f>
        <v>0</v>
      </c>
      <c r="E56" s="11">
        <f>IFERROR(INDEX('چکهای دریافتنی'!F:F,MATCH(Table26[[#This Row],[كد تفصيلي]],'چکهای دریافتنی'!A:A,0)),0)</f>
        <v>0</v>
      </c>
      <c r="F56" s="11">
        <f>Table26[[#This Row],[حسابهای دریافتنی]]+Table26[[#This Row],[چکهای در جریان وصول]]+Table26[[#This Row],[چکهای نزد صندوق]]</f>
        <v>5395000</v>
      </c>
      <c r="G56" s="12">
        <f>IFERROR(INDEX('مانده سوفاله'!F:F,MATCH(Table26[[#This Row],[كد تفصيلي]],'مانده سوفاله'!A:A,0)),0)</f>
        <v>0</v>
      </c>
    </row>
    <row r="57" spans="1:7" ht="18" customHeight="1" x14ac:dyDescent="0.3">
      <c r="A57" s="44">
        <v>30114</v>
      </c>
      <c r="B57" s="24" t="s">
        <v>175</v>
      </c>
      <c r="C57" s="10">
        <f>IFERROR(INDEX('حسابهای دریافتنی'!H:H,MATCH(Table26[[#This Row],[كد تفصيلي]],'حسابهای دریافتنی'!A:A,0)),0)</f>
        <v>5385600</v>
      </c>
      <c r="D57" s="11">
        <f>IFERROR(INDEX('درجریان وصول'!F:F,MATCH(Table26[[#This Row],[كد تفصيلي]],'درجریان وصول'!A:A,0)),0)</f>
        <v>0</v>
      </c>
      <c r="E57" s="11">
        <f>IFERROR(INDEX('چکهای دریافتنی'!F:F,MATCH(Table26[[#This Row],[كد تفصيلي]],'چکهای دریافتنی'!A:A,0)),0)</f>
        <v>0</v>
      </c>
      <c r="F57" s="11">
        <f>Table26[[#This Row],[حسابهای دریافتنی]]+Table26[[#This Row],[چکهای در جریان وصول]]+Table26[[#This Row],[چکهای نزد صندوق]]</f>
        <v>5385600</v>
      </c>
      <c r="G57" s="12">
        <f>IFERROR(INDEX('مانده سوفاله'!F:F,MATCH(Table26[[#This Row],[كد تفصيلي]],'مانده سوفاله'!A:A,0)),0)</f>
        <v>0</v>
      </c>
    </row>
    <row r="58" spans="1:7" ht="18" customHeight="1" x14ac:dyDescent="0.3">
      <c r="A58" s="43">
        <v>30123</v>
      </c>
      <c r="B58" s="25" t="s">
        <v>208</v>
      </c>
      <c r="C58" s="10">
        <f>IFERROR(INDEX('حسابهای دریافتنی'!H:H,MATCH(Table26[[#This Row],[كد تفصيلي]],'حسابهای دریافتنی'!A:A,0)),0)</f>
        <v>4138250</v>
      </c>
      <c r="D58" s="11">
        <f>IFERROR(INDEX('درجریان وصول'!F:F,MATCH(Table26[[#This Row],[كد تفصيلي]],'درجریان وصول'!A:A,0)),0)</f>
        <v>0</v>
      </c>
      <c r="E58" s="11">
        <f>IFERROR(INDEX('چکهای دریافتنی'!F:F,MATCH(Table26[[#This Row],[كد تفصيلي]],'چکهای دریافتنی'!A:A,0)),0)</f>
        <v>0</v>
      </c>
      <c r="F58" s="11">
        <f>Table26[[#This Row],[حسابهای دریافتنی]]+Table26[[#This Row],[چکهای در جریان وصول]]+Table26[[#This Row],[چکهای نزد صندوق]]</f>
        <v>4138250</v>
      </c>
      <c r="G58" s="12">
        <f>IFERROR(INDEX('مانده سوفاله'!F:F,MATCH(Table26[[#This Row],[كد تفصيلي]],'مانده سوفاله'!A:A,0)),0)</f>
        <v>-20</v>
      </c>
    </row>
    <row r="59" spans="1:7" ht="18" customHeight="1" x14ac:dyDescent="0.3">
      <c r="A59" s="45">
        <v>10116</v>
      </c>
      <c r="B59" s="24" t="s">
        <v>321</v>
      </c>
      <c r="C59" s="10">
        <f>IFERROR(INDEX('حسابهای دریافتنی'!H:H,MATCH(Table26[[#This Row],[كد تفصيلي]],'حسابهای دریافتنی'!A:A,0)),0)</f>
        <v>3892500</v>
      </c>
      <c r="D59" s="11">
        <f>IFERROR(INDEX('درجریان وصول'!F:F,MATCH(Table26[[#This Row],[كد تفصيلي]],'درجریان وصول'!A:A,0)),0)</f>
        <v>0</v>
      </c>
      <c r="E59" s="11">
        <f>IFERROR(INDEX('چکهای دریافتنی'!F:F,MATCH(Table26[[#This Row],[كد تفصيلي]],'چکهای دریافتنی'!A:A,0)),0)</f>
        <v>0</v>
      </c>
      <c r="F59" s="11">
        <f>Table26[[#This Row],[حسابهای دریافتنی]]+Table26[[#This Row],[چکهای در جریان وصول]]+Table26[[#This Row],[چکهای نزد صندوق]]</f>
        <v>3892500</v>
      </c>
      <c r="G59" s="12">
        <f>IFERROR(INDEX('مانده سوفاله'!F:F,MATCH(Table26[[#This Row],[كد تفصيلي]],'مانده سوفاله'!A:A,0)),0)</f>
        <v>0</v>
      </c>
    </row>
    <row r="60" spans="1:7" ht="18" customHeight="1" x14ac:dyDescent="0.3">
      <c r="A60" s="43">
        <v>10030</v>
      </c>
      <c r="B60" s="25" t="s">
        <v>36</v>
      </c>
      <c r="C60" s="10">
        <f>IFERROR(INDEX('حسابهای دریافتنی'!H:H,MATCH(Table26[[#This Row],[كد تفصيلي]],'حسابهای دریافتنی'!A:A,0)),0)</f>
        <v>3272000</v>
      </c>
      <c r="D60" s="11">
        <f>IFERROR(INDEX('درجریان وصول'!F:F,MATCH(Table26[[#This Row],[كد تفصيلي]],'درجریان وصول'!A:A,0)),0)</f>
        <v>0</v>
      </c>
      <c r="E60" s="11">
        <f>IFERROR(INDEX('چکهای دریافتنی'!F:F,MATCH(Table26[[#This Row],[كد تفصيلي]],'چکهای دریافتنی'!A:A,0)),0)</f>
        <v>0</v>
      </c>
      <c r="F60" s="11">
        <f>Table26[[#This Row],[حسابهای دریافتنی]]+Table26[[#This Row],[چکهای در جریان وصول]]+Table26[[#This Row],[چکهای نزد صندوق]]</f>
        <v>3272000</v>
      </c>
      <c r="G60" s="12">
        <f>IFERROR(INDEX('مانده سوفاله'!F:F,MATCH(Table26[[#This Row],[كد تفصيلي]],'مانده سوفاله'!A:A,0)),0)</f>
        <v>-222</v>
      </c>
    </row>
    <row r="61" spans="1:7" ht="18" customHeight="1" x14ac:dyDescent="0.3">
      <c r="A61" s="45">
        <v>10128</v>
      </c>
      <c r="B61" s="24" t="s">
        <v>372</v>
      </c>
      <c r="C61" s="10">
        <f>IFERROR(INDEX('حسابهای دریافتنی'!H:H,MATCH(Table26[[#This Row],[كد تفصيلي]],'حسابهای دریافتنی'!A:A,0)),0)</f>
        <v>-45000</v>
      </c>
      <c r="D61" s="11">
        <f>IFERROR(INDEX('درجریان وصول'!F:F,MATCH(Table26[[#This Row],[كد تفصيلي]],'درجریان وصول'!A:A,0)),0)</f>
        <v>0</v>
      </c>
      <c r="E61" s="11">
        <f>IFERROR(INDEX('چکهای دریافتنی'!F:F,MATCH(Table26[[#This Row],[كد تفصيلي]],'چکهای دریافتنی'!A:A,0)),0)</f>
        <v>0</v>
      </c>
      <c r="F61" s="11">
        <f>Table26[[#This Row],[حسابهای دریافتنی]]+Table26[[#This Row],[چکهای در جریان وصول]]+Table26[[#This Row],[چکهای نزد صندوق]]</f>
        <v>-45000</v>
      </c>
      <c r="G61" s="12">
        <f>IFERROR(INDEX('مانده سوفاله'!F:F,MATCH(Table26[[#This Row],[كد تفصيلي]],'مانده سوفاله'!A:A,0)),0)</f>
        <v>6</v>
      </c>
    </row>
    <row r="62" spans="1:7" ht="18" customHeight="1" x14ac:dyDescent="0.3">
      <c r="A62" s="44">
        <v>30001</v>
      </c>
      <c r="B62" s="24" t="s">
        <v>190</v>
      </c>
      <c r="C62" s="10">
        <f>IFERROR(INDEX('حسابهای دریافتنی'!H:H,MATCH(Table26[[#This Row],[كد تفصيلي]],'حسابهای دریافتنی'!A:A,0)),0)</f>
        <v>119647176</v>
      </c>
      <c r="D62" s="11">
        <f>IFERROR(INDEX('درجریان وصول'!F:F,MATCH(Table26[[#This Row],[كد تفصيلي]],'درجریان وصول'!A:A,0)),0)</f>
        <v>0</v>
      </c>
      <c r="E62" s="11">
        <f>IFERROR(INDEX('چکهای دریافتنی'!F:F,MATCH(Table26[[#This Row],[كد تفصيلي]],'چکهای دریافتنی'!A:A,0)),0)</f>
        <v>0</v>
      </c>
      <c r="F62" s="11">
        <f>Table26[[#This Row],[حسابهای دریافتنی]]+Table26[[#This Row],[چکهای در جریان وصول]]+Table26[[#This Row],[چکهای نزد صندوق]]</f>
        <v>119647176</v>
      </c>
      <c r="G62" s="12">
        <f>IFERROR(INDEX('مانده سوفاله'!F:F,MATCH(Table26[[#This Row],[كد تفصيلي]],'مانده سوفاله'!A:A,0)),0)</f>
        <v>123</v>
      </c>
    </row>
    <row r="63" spans="1:7" ht="18" customHeight="1" x14ac:dyDescent="0.3">
      <c r="A63" s="45">
        <v>30178</v>
      </c>
      <c r="B63" s="24" t="s">
        <v>335</v>
      </c>
      <c r="C63" s="10">
        <f>IFERROR(INDEX('حسابهای دریافتنی'!H:H,MATCH(Table26[[#This Row],[كد تفصيلي]],'حسابهای دریافتنی'!A:A,0)),0)</f>
        <v>3040000</v>
      </c>
      <c r="D63" s="11">
        <f>IFERROR(INDEX('درجریان وصول'!F:F,MATCH(Table26[[#This Row],[كد تفصيلي]],'درجریان وصول'!A:A,0)),0)</f>
        <v>0</v>
      </c>
      <c r="E63" s="11">
        <f>IFERROR(INDEX('چکهای دریافتنی'!F:F,MATCH(Table26[[#This Row],[كد تفصيلي]],'چکهای دریافتنی'!A:A,0)),0)</f>
        <v>0</v>
      </c>
      <c r="F63" s="11">
        <f>Table26[[#This Row],[حسابهای دریافتنی]]+Table26[[#This Row],[چکهای در جریان وصول]]+Table26[[#This Row],[چکهای نزد صندوق]]</f>
        <v>3040000</v>
      </c>
      <c r="G63" s="12">
        <f>IFERROR(INDEX('مانده سوفاله'!F:F,MATCH(Table26[[#This Row],[كد تفصيلي]],'مانده سوفاله'!A:A,0)),0)</f>
        <v>0</v>
      </c>
    </row>
    <row r="64" spans="1:7" ht="18" customHeight="1" x14ac:dyDescent="0.3">
      <c r="A64" s="44">
        <v>30138</v>
      </c>
      <c r="B64" s="24" t="s">
        <v>252</v>
      </c>
      <c r="C64" s="10">
        <f>IFERROR(INDEX('حسابهای دریافتنی'!H:H,MATCH(Table26[[#This Row],[كد تفصيلي]],'حسابهای دریافتنی'!A:A,0)),0)</f>
        <v>0</v>
      </c>
      <c r="D64" s="11">
        <f>IFERROR(INDEX('درجریان وصول'!F:F,MATCH(Table26[[#This Row],[كد تفصيلي]],'درجریان وصول'!A:A,0)),0)</f>
        <v>0</v>
      </c>
      <c r="E64" s="11">
        <f>IFERROR(INDEX('چکهای دریافتنی'!F:F,MATCH(Table26[[#This Row],[كد تفصيلي]],'چکهای دریافتنی'!A:A,0)),0)</f>
        <v>0</v>
      </c>
      <c r="F64" s="11">
        <f>Table26[[#This Row],[حسابهای دریافتنی]]+Table26[[#This Row],[چکهای در جریان وصول]]+Table26[[#This Row],[چکهای نزد صندوق]]</f>
        <v>0</v>
      </c>
      <c r="G64" s="12">
        <f>IFERROR(INDEX('مانده سوفاله'!F:F,MATCH(Table26[[#This Row],[كد تفصيلي]],'مانده سوفاله'!A:A,0)),0)</f>
        <v>0</v>
      </c>
    </row>
    <row r="65" spans="1:7" ht="18" customHeight="1" x14ac:dyDescent="0.3">
      <c r="A65" s="43">
        <v>10032</v>
      </c>
      <c r="B65" s="25" t="s">
        <v>38</v>
      </c>
      <c r="C65" s="10">
        <f>IFERROR(INDEX('حسابهای دریافتنی'!H:H,MATCH(Table26[[#This Row],[كد تفصيلي]],'حسابهای دریافتنی'!A:A,0)),0)</f>
        <v>0</v>
      </c>
      <c r="D65" s="11">
        <f>IFERROR(INDEX('درجریان وصول'!F:F,MATCH(Table26[[#This Row],[كد تفصيلي]],'درجریان وصول'!A:A,0)),0)</f>
        <v>0</v>
      </c>
      <c r="E65" s="11">
        <f>IFERROR(INDEX('چکهای دریافتنی'!F:F,MATCH(Table26[[#This Row],[كد تفصيلي]],'چکهای دریافتنی'!A:A,0)),0)</f>
        <v>0</v>
      </c>
      <c r="F65" s="11">
        <f>Table26[[#This Row],[حسابهای دریافتنی]]+Table26[[#This Row],[چکهای در جریان وصول]]+Table26[[#This Row],[چکهای نزد صندوق]]</f>
        <v>0</v>
      </c>
      <c r="G65" s="12">
        <f>IFERROR(INDEX('مانده سوفاله'!F:F,MATCH(Table26[[#This Row],[كد تفصيلي]],'مانده سوفاله'!A:A,0)),0)</f>
        <v>0</v>
      </c>
    </row>
    <row r="66" spans="1:7" ht="18" customHeight="1" x14ac:dyDescent="0.3">
      <c r="A66" s="44">
        <v>30084</v>
      </c>
      <c r="B66" s="24" t="s">
        <v>129</v>
      </c>
      <c r="C66" s="10">
        <f>IFERROR(INDEX('حسابهای دریافتنی'!H:H,MATCH(Table26[[#This Row],[كد تفصيلي]],'حسابهای دریافتنی'!A:A,0)),0)</f>
        <v>1220000</v>
      </c>
      <c r="D66" s="11">
        <f>IFERROR(INDEX('درجریان وصول'!F:F,MATCH(Table26[[#This Row],[كد تفصيلي]],'درجریان وصول'!A:A,0)),0)</f>
        <v>0</v>
      </c>
      <c r="E66" s="11">
        <f>IFERROR(INDEX('چکهای دریافتنی'!F:F,MATCH(Table26[[#This Row],[كد تفصيلي]],'چکهای دریافتنی'!A:A,0)),0)</f>
        <v>0</v>
      </c>
      <c r="F66" s="11">
        <f>Table26[[#This Row],[حسابهای دریافتنی]]+Table26[[#This Row],[چکهای در جریان وصول]]+Table26[[#This Row],[چکهای نزد صندوق]]</f>
        <v>1220000</v>
      </c>
      <c r="G66" s="12">
        <f>IFERROR(INDEX('مانده سوفاله'!F:F,MATCH(Table26[[#This Row],[كد تفصيلي]],'مانده سوفاله'!A:A,0)),0)</f>
        <v>0</v>
      </c>
    </row>
    <row r="67" spans="1:7" ht="18" customHeight="1" x14ac:dyDescent="0.3">
      <c r="A67" s="43">
        <v>10076</v>
      </c>
      <c r="B67" s="25" t="s">
        <v>182</v>
      </c>
      <c r="C67" s="10">
        <f>IFERROR(INDEX('حسابهای دریافتنی'!H:H,MATCH(Table26[[#This Row],[كد تفصيلي]],'حسابهای دریافتنی'!A:A,0)),0)</f>
        <v>0</v>
      </c>
      <c r="D67" s="11">
        <f>IFERROR(INDEX('درجریان وصول'!F:F,MATCH(Table26[[#This Row],[كد تفصيلي]],'درجریان وصول'!A:A,0)),0)</f>
        <v>0</v>
      </c>
      <c r="E67" s="11">
        <f>IFERROR(INDEX('چکهای دریافتنی'!F:F,MATCH(Table26[[#This Row],[كد تفصيلي]],'چکهای دریافتنی'!A:A,0)),0)</f>
        <v>0</v>
      </c>
      <c r="F67" s="11">
        <f>Table26[[#This Row],[حسابهای دریافتنی]]+Table26[[#This Row],[چکهای در جریان وصول]]+Table26[[#This Row],[چکهای نزد صندوق]]</f>
        <v>0</v>
      </c>
      <c r="G67" s="12">
        <f>IFERROR(INDEX('مانده سوفاله'!F:F,MATCH(Table26[[#This Row],[كد تفصيلي]],'مانده سوفاله'!A:A,0)),0)</f>
        <v>-13</v>
      </c>
    </row>
    <row r="68" spans="1:7" ht="18" customHeight="1" x14ac:dyDescent="0.3">
      <c r="A68" s="43">
        <v>79055</v>
      </c>
      <c r="B68" s="25" t="s">
        <v>297</v>
      </c>
      <c r="C68" s="10">
        <f>IFERROR(INDEX('حسابهای دریافتنی'!H:H,MATCH(Table26[[#This Row],[كد تفصيلي]],'حسابهای دریافتنی'!A:A,0)),0)</f>
        <v>896500</v>
      </c>
      <c r="D68" s="11">
        <f>IFERROR(INDEX('درجریان وصول'!F:F,MATCH(Table26[[#This Row],[كد تفصيلي]],'درجریان وصول'!A:A,0)),0)</f>
        <v>0</v>
      </c>
      <c r="E68" s="11">
        <f>IFERROR(INDEX('چکهای دریافتنی'!F:F,MATCH(Table26[[#This Row],[كد تفصيلي]],'چکهای دریافتنی'!A:A,0)),0)</f>
        <v>0</v>
      </c>
      <c r="F68" s="11">
        <f>Table26[[#This Row],[حسابهای دریافتنی]]+Table26[[#This Row],[چکهای در جریان وصول]]+Table26[[#This Row],[چکهای نزد صندوق]]</f>
        <v>896500</v>
      </c>
      <c r="G68" s="12">
        <f>IFERROR(INDEX('مانده سوفاله'!F:F,MATCH(Table26[[#This Row],[كد تفصيلي]],'مانده سوفاله'!A:A,0)),0)</f>
        <v>0</v>
      </c>
    </row>
    <row r="69" spans="1:7" ht="18" customHeight="1" x14ac:dyDescent="0.3">
      <c r="A69" s="43">
        <v>10048</v>
      </c>
      <c r="B69" s="25" t="s">
        <v>191</v>
      </c>
      <c r="C69" s="10">
        <f>IFERROR(INDEX('حسابهای دریافتنی'!H:H,MATCH(Table26[[#This Row],[كد تفصيلي]],'حسابهای دریافتنی'!A:A,0)),0)</f>
        <v>0</v>
      </c>
      <c r="D69" s="11">
        <f>IFERROR(INDEX('درجریان وصول'!F:F,MATCH(Table26[[#This Row],[كد تفصيلي]],'درجریان وصول'!A:A,0)),0)</f>
        <v>0</v>
      </c>
      <c r="E69" s="11">
        <f>IFERROR(INDEX('چکهای دریافتنی'!F:F,MATCH(Table26[[#This Row],[كد تفصيلي]],'چکهای دریافتنی'!A:A,0)),0)</f>
        <v>0</v>
      </c>
      <c r="F69" s="11">
        <f>Table26[[#This Row],[حسابهای دریافتنی]]+Table26[[#This Row],[چکهای در جریان وصول]]+Table26[[#This Row],[چکهای نزد صندوق]]</f>
        <v>0</v>
      </c>
      <c r="G69" s="12">
        <f>IFERROR(INDEX('مانده سوفاله'!F:F,MATCH(Table26[[#This Row],[كد تفصيلي]],'مانده سوفاله'!A:A,0)),0)</f>
        <v>-1097</v>
      </c>
    </row>
    <row r="70" spans="1:7" ht="18" customHeight="1" x14ac:dyDescent="0.3">
      <c r="A70" s="43">
        <v>30129</v>
      </c>
      <c r="B70" s="25" t="s">
        <v>178</v>
      </c>
      <c r="C70" s="10">
        <f>IFERROR(INDEX('حسابهای دریافتنی'!H:H,MATCH(Table26[[#This Row],[كد تفصيلي]],'حسابهای دریافتنی'!A:A,0)),0)</f>
        <v>783000</v>
      </c>
      <c r="D70" s="11">
        <f>IFERROR(INDEX('درجریان وصول'!F:F,MATCH(Table26[[#This Row],[كد تفصيلي]],'درجریان وصول'!A:A,0)),0)</f>
        <v>0</v>
      </c>
      <c r="E70" s="11">
        <f>IFERROR(INDEX('چکهای دریافتنی'!F:F,MATCH(Table26[[#This Row],[كد تفصيلي]],'چکهای دریافتنی'!A:A,0)),0)</f>
        <v>0</v>
      </c>
      <c r="F70" s="11">
        <f>Table26[[#This Row],[حسابهای دریافتنی]]+Table26[[#This Row],[چکهای در جریان وصول]]+Table26[[#This Row],[چکهای نزد صندوق]]</f>
        <v>783000</v>
      </c>
      <c r="G70" s="12">
        <f>IFERROR(INDEX('مانده سوفاله'!F:F,MATCH(Table26[[#This Row],[كد تفصيلي]],'مانده سوفاله'!A:A,0)),0)</f>
        <v>0</v>
      </c>
    </row>
    <row r="71" spans="1:7" ht="18" customHeight="1" x14ac:dyDescent="0.3">
      <c r="A71" s="44">
        <v>30090</v>
      </c>
      <c r="B71" s="24" t="s">
        <v>144</v>
      </c>
      <c r="C71" s="10">
        <f>IFERROR(INDEX('حسابهای دریافتنی'!H:H,MATCH(Table26[[#This Row],[كد تفصيلي]],'حسابهای دریافتنی'!A:A,0)),0)</f>
        <v>640100</v>
      </c>
      <c r="D71" s="11">
        <f>IFERROR(INDEX('درجریان وصول'!F:F,MATCH(Table26[[#This Row],[كد تفصيلي]],'درجریان وصول'!A:A,0)),0)</f>
        <v>0</v>
      </c>
      <c r="E71" s="11">
        <f>IFERROR(INDEX('چکهای دریافتنی'!F:F,MATCH(Table26[[#This Row],[كد تفصيلي]],'چکهای دریافتنی'!A:A,0)),0)</f>
        <v>0</v>
      </c>
      <c r="F71" s="11">
        <f>Table26[[#This Row],[حسابهای دریافتنی]]+Table26[[#This Row],[چکهای در جریان وصول]]+Table26[[#This Row],[چکهای نزد صندوق]]</f>
        <v>640100</v>
      </c>
      <c r="G71" s="12">
        <f>IFERROR(INDEX('مانده سوفاله'!F:F,MATCH(Table26[[#This Row],[كد تفصيلي]],'مانده سوفاله'!A:A,0)),0)</f>
        <v>0</v>
      </c>
    </row>
    <row r="72" spans="1:7" ht="18" customHeight="1" x14ac:dyDescent="0.3">
      <c r="A72" s="43">
        <v>30109</v>
      </c>
      <c r="B72" s="25" t="s">
        <v>165</v>
      </c>
      <c r="C72" s="10">
        <f>IFERROR(INDEX('حسابهای دریافتنی'!H:H,MATCH(Table26[[#This Row],[كد تفصيلي]],'حسابهای دریافتنی'!A:A,0)),0)</f>
        <v>607300</v>
      </c>
      <c r="D72" s="11">
        <f>IFERROR(INDEX('درجریان وصول'!F:F,MATCH(Table26[[#This Row],[كد تفصيلي]],'درجریان وصول'!A:A,0)),0)</f>
        <v>0</v>
      </c>
      <c r="E72" s="11">
        <f>IFERROR(INDEX('چکهای دریافتنی'!F:F,MATCH(Table26[[#This Row],[كد تفصيلي]],'چکهای دریافتنی'!A:A,0)),0)</f>
        <v>0</v>
      </c>
      <c r="F72" s="11">
        <f>Table26[[#This Row],[حسابهای دریافتنی]]+Table26[[#This Row],[چکهای در جریان وصول]]+Table26[[#This Row],[چکهای نزد صندوق]]</f>
        <v>607300</v>
      </c>
      <c r="G72" s="12">
        <f>IFERROR(INDEX('مانده سوفاله'!F:F,MATCH(Table26[[#This Row],[كد تفصيلي]],'مانده سوفاله'!A:A,0)),0)</f>
        <v>0</v>
      </c>
    </row>
    <row r="73" spans="1:7" ht="18" customHeight="1" x14ac:dyDescent="0.3">
      <c r="A73" s="44">
        <v>10097</v>
      </c>
      <c r="B73" s="24" t="s">
        <v>270</v>
      </c>
      <c r="C73" s="10">
        <f>IFERROR(INDEX('حسابهای دریافتنی'!H:H,MATCH(Table26[[#This Row],[كد تفصيلي]],'حسابهای دریافتنی'!A:A,0)),0)</f>
        <v>270642500</v>
      </c>
      <c r="D73" s="11">
        <f>IFERROR(INDEX('درجریان وصول'!F:F,MATCH(Table26[[#This Row],[كد تفصيلي]],'درجریان وصول'!A:A,0)),0)</f>
        <v>0</v>
      </c>
      <c r="E73" s="11">
        <f>IFERROR(INDEX('چکهای دریافتنی'!F:F,MATCH(Table26[[#This Row],[كد تفصيلي]],'چکهای دریافتنی'!A:A,0)),0)</f>
        <v>287000000</v>
      </c>
      <c r="F73" s="11">
        <f>Table26[[#This Row],[حسابهای دریافتنی]]+Table26[[#This Row],[چکهای در جریان وصول]]+Table26[[#This Row],[چکهای نزد صندوق]]</f>
        <v>557642500</v>
      </c>
      <c r="G73" s="12">
        <f>IFERROR(INDEX('مانده سوفاله'!F:F,MATCH(Table26[[#This Row],[كد تفصيلي]],'مانده سوفاله'!A:A,0)),0)</f>
        <v>0</v>
      </c>
    </row>
    <row r="74" spans="1:7" ht="18" customHeight="1" x14ac:dyDescent="0.3">
      <c r="A74" s="43">
        <v>30010</v>
      </c>
      <c r="B74" s="25" t="s">
        <v>59</v>
      </c>
      <c r="C74" s="10">
        <f>IFERROR(INDEX('حسابهای دریافتنی'!H:H,MATCH(Table26[[#This Row],[كد تفصيلي]],'حسابهای دریافتنی'!A:A,0)),0)</f>
        <v>366215</v>
      </c>
      <c r="D74" s="11">
        <f>IFERROR(INDEX('درجریان وصول'!F:F,MATCH(Table26[[#This Row],[كد تفصيلي]],'درجریان وصول'!A:A,0)),0)</f>
        <v>0</v>
      </c>
      <c r="E74" s="11">
        <f>IFERROR(INDEX('چکهای دریافتنی'!F:F,MATCH(Table26[[#This Row],[كد تفصيلي]],'چکهای دریافتنی'!A:A,0)),0)</f>
        <v>0</v>
      </c>
      <c r="F74" s="11">
        <f>Table26[[#This Row],[حسابهای دریافتنی]]+Table26[[#This Row],[چکهای در جریان وصول]]+Table26[[#This Row],[چکهای نزد صندوق]]</f>
        <v>366215</v>
      </c>
      <c r="G74" s="12">
        <f>IFERROR(INDEX('مانده سوفاله'!F:F,MATCH(Table26[[#This Row],[كد تفصيلي]],'مانده سوفاله'!A:A,0)),0)</f>
        <v>8</v>
      </c>
    </row>
    <row r="75" spans="1:7" ht="18" customHeight="1" x14ac:dyDescent="0.3">
      <c r="A75" s="44">
        <v>30027</v>
      </c>
      <c r="B75" s="24" t="s">
        <v>75</v>
      </c>
      <c r="C75" s="10">
        <f>IFERROR(INDEX('حسابهای دریافتنی'!H:H,MATCH(Table26[[#This Row],[كد تفصيلي]],'حسابهای دریافتنی'!A:A,0)),0)</f>
        <v>326950</v>
      </c>
      <c r="D75" s="11">
        <f>IFERROR(INDEX('درجریان وصول'!F:F,MATCH(Table26[[#This Row],[كد تفصيلي]],'درجریان وصول'!A:A,0)),0)</f>
        <v>0</v>
      </c>
      <c r="E75" s="11">
        <f>IFERROR(INDEX('چکهای دریافتنی'!F:F,MATCH(Table26[[#This Row],[كد تفصيلي]],'چکهای دریافتنی'!A:A,0)),0)</f>
        <v>0</v>
      </c>
      <c r="F75" s="11">
        <f>Table26[[#This Row],[حسابهای دریافتنی]]+Table26[[#This Row],[چکهای در جریان وصول]]+Table26[[#This Row],[چکهای نزد صندوق]]</f>
        <v>326950</v>
      </c>
      <c r="G75" s="12">
        <f>IFERROR(INDEX('مانده سوفاله'!F:F,MATCH(Table26[[#This Row],[كد تفصيلي]],'مانده سوفاله'!A:A,0)),0)</f>
        <v>0</v>
      </c>
    </row>
    <row r="76" spans="1:7" ht="18" customHeight="1" x14ac:dyDescent="0.3">
      <c r="A76" s="44">
        <v>10091</v>
      </c>
      <c r="B76" s="24" t="s">
        <v>258</v>
      </c>
      <c r="C76" s="10">
        <f>IFERROR(INDEX('حسابهای دریافتنی'!H:H,MATCH(Table26[[#This Row],[كد تفصيلي]],'حسابهای دریافتنی'!A:A,0)),0)</f>
        <v>59321500</v>
      </c>
      <c r="D76" s="11">
        <f>IFERROR(INDEX('درجریان وصول'!F:F,MATCH(Table26[[#This Row],[كد تفصيلي]],'درجریان وصول'!A:A,0)),0)</f>
        <v>0</v>
      </c>
      <c r="E76" s="11">
        <f>IFERROR(INDEX('چکهای دریافتنی'!F:F,MATCH(Table26[[#This Row],[كد تفصيلي]],'چکهای دریافتنی'!A:A,0)),0)</f>
        <v>0</v>
      </c>
      <c r="F76" s="11">
        <f>Table26[[#This Row],[حسابهای دریافتنی]]+Table26[[#This Row],[چکهای در جریان وصول]]+Table26[[#This Row],[چکهای نزد صندوق]]</f>
        <v>59321500</v>
      </c>
      <c r="G76" s="12">
        <f>IFERROR(INDEX('مانده سوفاله'!F:F,MATCH(Table26[[#This Row],[كد تفصيلي]],'مانده سوفاله'!A:A,0)),0)</f>
        <v>0</v>
      </c>
    </row>
    <row r="77" spans="1:7" ht="18" customHeight="1" x14ac:dyDescent="0.3">
      <c r="A77" s="44">
        <v>10063</v>
      </c>
      <c r="B77" s="24" t="s">
        <v>180</v>
      </c>
      <c r="C77" s="10">
        <f>IFERROR(INDEX('حسابهای دریافتنی'!H:H,MATCH(Table26[[#This Row],[كد تفصيلي]],'حسابهای دریافتنی'!A:A,0)),0)</f>
        <v>0</v>
      </c>
      <c r="D77" s="11">
        <f>IFERROR(INDEX('درجریان وصول'!F:F,MATCH(Table26[[#This Row],[كد تفصيلي]],'درجریان وصول'!A:A,0)),0)</f>
        <v>0</v>
      </c>
      <c r="E77" s="11">
        <f>IFERROR(INDEX('چکهای دریافتنی'!F:F,MATCH(Table26[[#This Row],[كد تفصيلي]],'چکهای دریافتنی'!A:A,0)),0)</f>
        <v>0</v>
      </c>
      <c r="F77" s="11">
        <f>Table26[[#This Row],[حسابهای دریافتنی]]+Table26[[#This Row],[چکهای در جریان وصول]]+Table26[[#This Row],[چکهای نزد صندوق]]</f>
        <v>0</v>
      </c>
      <c r="G77" s="12">
        <f>IFERROR(INDEX('مانده سوفاله'!F:F,MATCH(Table26[[#This Row],[كد تفصيلي]],'مانده سوفاله'!A:A,0)),0)</f>
        <v>0</v>
      </c>
    </row>
    <row r="78" spans="1:7" ht="18" customHeight="1" x14ac:dyDescent="0.3">
      <c r="A78" s="43">
        <v>10064</v>
      </c>
      <c r="B78" s="25" t="s">
        <v>181</v>
      </c>
      <c r="C78" s="10">
        <f>IFERROR(INDEX('حسابهای دریافتنی'!H:H,MATCH(Table26[[#This Row],[كد تفصيلي]],'حسابهای دریافتنی'!A:A,0)),0)</f>
        <v>0</v>
      </c>
      <c r="D78" s="11">
        <f>IFERROR(INDEX('درجریان وصول'!F:F,MATCH(Table26[[#This Row],[كد تفصيلي]],'درجریان وصول'!A:A,0)),0)</f>
        <v>0</v>
      </c>
      <c r="E78" s="11">
        <f>IFERROR(INDEX('چکهای دریافتنی'!F:F,MATCH(Table26[[#This Row],[كد تفصيلي]],'چکهای دریافتنی'!A:A,0)),0)</f>
        <v>0</v>
      </c>
      <c r="F78" s="11">
        <f>Table26[[#This Row],[حسابهای دریافتنی]]+Table26[[#This Row],[چکهای در جریان وصول]]+Table26[[#This Row],[چکهای نزد صندوق]]</f>
        <v>0</v>
      </c>
      <c r="G78" s="12">
        <f>IFERROR(INDEX('مانده سوفاله'!F:F,MATCH(Table26[[#This Row],[كد تفصيلي]],'مانده سوفاله'!A:A,0)),0)</f>
        <v>0</v>
      </c>
    </row>
    <row r="79" spans="1:7" ht="18" customHeight="1" x14ac:dyDescent="0.3">
      <c r="A79" s="43">
        <v>30135</v>
      </c>
      <c r="B79" s="25" t="s">
        <v>179</v>
      </c>
      <c r="C79" s="10">
        <f>IFERROR(INDEX('حسابهای دریافتنی'!H:H,MATCH(Table26[[#This Row],[كد تفصيلي]],'حسابهای دریافتنی'!A:A,0)),0)</f>
        <v>195000</v>
      </c>
      <c r="D79" s="11">
        <f>IFERROR(INDEX('درجریان وصول'!F:F,MATCH(Table26[[#This Row],[كد تفصيلي]],'درجریان وصول'!A:A,0)),0)</f>
        <v>0</v>
      </c>
      <c r="E79" s="11">
        <f>IFERROR(INDEX('چکهای دریافتنی'!F:F,MATCH(Table26[[#This Row],[كد تفصيلي]],'چکهای دریافتنی'!A:A,0)),0)</f>
        <v>0</v>
      </c>
      <c r="F79" s="11">
        <f>Table26[[#This Row],[حسابهای دریافتنی]]+Table26[[#This Row],[چکهای در جریان وصول]]+Table26[[#This Row],[چکهای نزد صندوق]]</f>
        <v>195000</v>
      </c>
      <c r="G79" s="12">
        <f>IFERROR(INDEX('مانده سوفاله'!F:F,MATCH(Table26[[#This Row],[كد تفصيلي]],'مانده سوفاله'!A:A,0)),0)</f>
        <v>-5</v>
      </c>
    </row>
    <row r="80" spans="1:7" ht="18" customHeight="1" x14ac:dyDescent="0.3">
      <c r="A80" s="44">
        <v>10043</v>
      </c>
      <c r="B80" s="24" t="s">
        <v>48</v>
      </c>
      <c r="C80" s="10">
        <f>IFERROR(INDEX('حسابهای دریافتنی'!H:H,MATCH(Table26[[#This Row],[كد تفصيلي]],'حسابهای دریافتنی'!A:A,0)),0)</f>
        <v>0</v>
      </c>
      <c r="D80" s="11">
        <f>IFERROR(INDEX('درجریان وصول'!F:F,MATCH(Table26[[#This Row],[كد تفصيلي]],'درجریان وصول'!A:A,0)),0)</f>
        <v>0</v>
      </c>
      <c r="E80" s="11">
        <f>IFERROR(INDEX('چکهای دریافتنی'!F:F,MATCH(Table26[[#This Row],[كد تفصيلي]],'چکهای دریافتنی'!A:A,0)),0)</f>
        <v>0</v>
      </c>
      <c r="F80" s="11">
        <f>Table26[[#This Row],[حسابهای دریافتنی]]+Table26[[#This Row],[چکهای در جریان وصول]]+Table26[[#This Row],[چکهای نزد صندوق]]</f>
        <v>0</v>
      </c>
      <c r="G80" s="12">
        <f>IFERROR(INDEX('مانده سوفاله'!F:F,MATCH(Table26[[#This Row],[كد تفصيلي]],'مانده سوفاله'!A:A,0)),0)</f>
        <v>0</v>
      </c>
    </row>
    <row r="81" spans="1:7" ht="18" customHeight="1" x14ac:dyDescent="0.3">
      <c r="A81" s="46">
        <v>30163</v>
      </c>
      <c r="B81" s="25" t="s">
        <v>302</v>
      </c>
      <c r="C81" s="10">
        <f>IFERROR(INDEX('حسابهای دریافتنی'!H:H,MATCH(Table26[[#This Row],[كد تفصيلي]],'حسابهای دریافتنی'!A:A,0)),0)</f>
        <v>0</v>
      </c>
      <c r="D81" s="11">
        <f>IFERROR(INDEX('درجریان وصول'!F:F,MATCH(Table26[[#This Row],[كد تفصيلي]],'درجریان وصول'!A:A,0)),0)</f>
        <v>0</v>
      </c>
      <c r="E81" s="11">
        <f>IFERROR(INDEX('چکهای دریافتنی'!F:F,MATCH(Table26[[#This Row],[كد تفصيلي]],'چکهای دریافتنی'!A:A,0)),0)</f>
        <v>0</v>
      </c>
      <c r="F81" s="11">
        <f>Table26[[#This Row],[حسابهای دریافتنی]]+Table26[[#This Row],[چکهای در جریان وصول]]+Table26[[#This Row],[چکهای نزد صندوق]]</f>
        <v>0</v>
      </c>
      <c r="G81" s="12">
        <f>IFERROR(INDEX('مانده سوفاله'!F:F,MATCH(Table26[[#This Row],[كد تفصيلي]],'مانده سوفاله'!A:A,0)),0)</f>
        <v>0</v>
      </c>
    </row>
    <row r="82" spans="1:7" ht="18" customHeight="1" x14ac:dyDescent="0.3">
      <c r="A82" s="44">
        <v>10075</v>
      </c>
      <c r="B82" s="24" t="s">
        <v>169</v>
      </c>
      <c r="C82" s="10">
        <f>IFERROR(INDEX('حسابهای دریافتنی'!H:H,MATCH(Table26[[#This Row],[كد تفصيلي]],'حسابهای دریافتنی'!A:A,0)),0)</f>
        <v>0</v>
      </c>
      <c r="D82" s="11">
        <f>IFERROR(INDEX('درجریان وصول'!F:F,MATCH(Table26[[#This Row],[كد تفصيلي]],'درجریان وصول'!A:A,0)),0)</f>
        <v>0</v>
      </c>
      <c r="E82" s="11">
        <f>IFERROR(INDEX('چکهای دریافتنی'!F:F,MATCH(Table26[[#This Row],[كد تفصيلي]],'چکهای دریافتنی'!A:A,0)),0)</f>
        <v>0</v>
      </c>
      <c r="F82" s="11">
        <f>Table26[[#This Row],[حسابهای دریافتنی]]+Table26[[#This Row],[چکهای در جریان وصول]]+Table26[[#This Row],[چکهای نزد صندوق]]</f>
        <v>0</v>
      </c>
      <c r="G82" s="12">
        <f>IFERROR(INDEX('مانده سوفاله'!F:F,MATCH(Table26[[#This Row],[كد تفصيلي]],'مانده سوفاله'!A:A,0)),0)</f>
        <v>0</v>
      </c>
    </row>
    <row r="83" spans="1:7" ht="18" customHeight="1" x14ac:dyDescent="0.3">
      <c r="A83" s="43">
        <v>30020</v>
      </c>
      <c r="B83" s="25" t="s">
        <v>68</v>
      </c>
      <c r="C83" s="10">
        <f>IFERROR(INDEX('حسابهای دریافتنی'!H:H,MATCH(Table26[[#This Row],[كد تفصيلي]],'حسابهای دریافتنی'!A:A,0)),0)</f>
        <v>2253500</v>
      </c>
      <c r="D83" s="11">
        <f>IFERROR(INDEX('درجریان وصول'!F:F,MATCH(Table26[[#This Row],[كد تفصيلي]],'درجریان وصول'!A:A,0)),0)</f>
        <v>0</v>
      </c>
      <c r="E83" s="11">
        <f>IFERROR(INDEX('چکهای دریافتنی'!F:F,MATCH(Table26[[#This Row],[كد تفصيلي]],'چکهای دریافتنی'!A:A,0)),0)</f>
        <v>0</v>
      </c>
      <c r="F83" s="11">
        <f>Table26[[#This Row],[حسابهای دریافتنی]]+Table26[[#This Row],[چکهای در جریان وصول]]+Table26[[#This Row],[چکهای نزد صندوق]]</f>
        <v>2253500</v>
      </c>
      <c r="G83" s="12">
        <f>IFERROR(INDEX('مانده سوفاله'!F:F,MATCH(Table26[[#This Row],[كد تفصيلي]],'مانده سوفاله'!A:A,0)),0)</f>
        <v>4</v>
      </c>
    </row>
    <row r="84" spans="1:7" ht="18" customHeight="1" x14ac:dyDescent="0.3">
      <c r="A84" s="43">
        <v>10072</v>
      </c>
      <c r="B84" s="25" t="s">
        <v>177</v>
      </c>
      <c r="C84" s="10">
        <f>IFERROR(INDEX('حسابهای دریافتنی'!H:H,MATCH(Table26[[#This Row],[كد تفصيلي]],'حسابهای دریافتنی'!A:A,0)),0)</f>
        <v>55880</v>
      </c>
      <c r="D84" s="11">
        <f>IFERROR(INDEX('درجریان وصول'!F:F,MATCH(Table26[[#This Row],[كد تفصيلي]],'درجریان وصول'!A:A,0)),0)</f>
        <v>0</v>
      </c>
      <c r="E84" s="11">
        <f>IFERROR(INDEX('چکهای دریافتنی'!F:F,MATCH(Table26[[#This Row],[كد تفصيلي]],'چکهای دریافتنی'!A:A,0)),0)</f>
        <v>427700000</v>
      </c>
      <c r="F84" s="11">
        <f>Table26[[#This Row],[حسابهای دریافتنی]]+Table26[[#This Row],[چکهای در جریان وصول]]+Table26[[#This Row],[چکهای نزد صندوق]]</f>
        <v>427755880</v>
      </c>
      <c r="G84" s="12">
        <f>IFERROR(INDEX('مانده سوفاله'!F:F,MATCH(Table26[[#This Row],[كد تفصيلي]],'مانده سوفاله'!A:A,0)),0)</f>
        <v>0</v>
      </c>
    </row>
    <row r="85" spans="1:7" ht="18" customHeight="1" x14ac:dyDescent="0.3">
      <c r="A85" s="43">
        <v>10010</v>
      </c>
      <c r="B85" s="25" t="s">
        <v>17</v>
      </c>
      <c r="C85" s="10">
        <f>IFERROR(INDEX('حسابهای دریافتنی'!H:H,MATCH(Table26[[#This Row],[كد تفصيلي]],'حسابهای دریافتنی'!A:A,0)),0)</f>
        <v>0</v>
      </c>
      <c r="D85" s="11">
        <f>IFERROR(INDEX('درجریان وصول'!F:F,MATCH(Table26[[#This Row],[كد تفصيلي]],'درجریان وصول'!A:A,0)),0)</f>
        <v>0</v>
      </c>
      <c r="E85" s="11">
        <f>IFERROR(INDEX('چکهای دریافتنی'!F:F,MATCH(Table26[[#This Row],[كد تفصيلي]],'چکهای دریافتنی'!A:A,0)),0)</f>
        <v>0</v>
      </c>
      <c r="F85" s="11">
        <f>Table26[[#This Row],[حسابهای دریافتنی]]+Table26[[#This Row],[چکهای در جریان وصول]]+Table26[[#This Row],[چکهای نزد صندوق]]</f>
        <v>0</v>
      </c>
      <c r="G85" s="12">
        <f>IFERROR(INDEX('مانده سوفاله'!F:F,MATCH(Table26[[#This Row],[كد تفصيلي]],'مانده سوفاله'!A:A,0)),0)</f>
        <v>8</v>
      </c>
    </row>
    <row r="86" spans="1:7" ht="18" customHeight="1" x14ac:dyDescent="0.3">
      <c r="A86" s="44">
        <v>10023</v>
      </c>
      <c r="B86" s="24" t="s">
        <v>155</v>
      </c>
      <c r="C86" s="10">
        <f>IFERROR(INDEX('حسابهای دریافتنی'!H:H,MATCH(Table26[[#This Row],[كد تفصيلي]],'حسابهای دریافتنی'!A:A,0)),0)</f>
        <v>0</v>
      </c>
      <c r="D86" s="11">
        <f>IFERROR(INDEX('درجریان وصول'!F:F,MATCH(Table26[[#This Row],[كد تفصيلي]],'درجریان وصول'!A:A,0)),0)</f>
        <v>0</v>
      </c>
      <c r="E86" s="11">
        <f>IFERROR(INDEX('چکهای دریافتنی'!F:F,MATCH(Table26[[#This Row],[كد تفصيلي]],'چکهای دریافتنی'!A:A,0)),0)</f>
        <v>0</v>
      </c>
      <c r="F86" s="11">
        <f>Table26[[#This Row],[حسابهای دریافتنی]]+Table26[[#This Row],[چکهای در جریان وصول]]+Table26[[#This Row],[چکهای نزد صندوق]]</f>
        <v>0</v>
      </c>
      <c r="G86" s="12">
        <f>IFERROR(INDEX('مانده سوفاله'!F:F,MATCH(Table26[[#This Row],[كد تفصيلي]],'مانده سوفاله'!A:A,0)),0)</f>
        <v>6</v>
      </c>
    </row>
    <row r="87" spans="1:7" customFormat="1" ht="18" customHeight="1" x14ac:dyDescent="0.35">
      <c r="A87" s="48">
        <v>10039</v>
      </c>
      <c r="B87" s="24" t="s">
        <v>45</v>
      </c>
      <c r="C87" s="10">
        <f>IFERROR(INDEX('حسابهای دریافتنی'!H:H,MATCH(Table26[[#This Row],[كد تفصيلي]],'حسابهای دریافتنی'!A:A,0)),0)</f>
        <v>0</v>
      </c>
      <c r="D87" s="11">
        <f>IFERROR(INDEX('درجریان وصول'!F:F,MATCH(Table26[[#This Row],[كد تفصيلي]],'درجریان وصول'!A:A,0)),0)</f>
        <v>0</v>
      </c>
      <c r="E87" s="11">
        <f>IFERROR(INDEX('چکهای دریافتنی'!F:F,MATCH(Table26[[#This Row],[كد تفصيلي]],'چکهای دریافتنی'!A:A,0)),0)</f>
        <v>0</v>
      </c>
      <c r="F87" s="11">
        <f>Table26[[#This Row],[حسابهای دریافتنی]]+Table26[[#This Row],[چکهای در جریان وصول]]+Table26[[#This Row],[چکهای نزد صندوق]]</f>
        <v>0</v>
      </c>
      <c r="G87" s="12">
        <f>IFERROR(INDEX('مانده سوفاله'!F:F,MATCH(Table26[[#This Row],[كد تفصيلي]],'مانده سوفاله'!A:A,0)),0)</f>
        <v>4</v>
      </c>
    </row>
    <row r="88" spans="1:7" customFormat="1" ht="18" customHeight="1" x14ac:dyDescent="0.35">
      <c r="A88" s="47">
        <v>10046</v>
      </c>
      <c r="B88" s="25" t="s">
        <v>51</v>
      </c>
      <c r="C88" s="10">
        <f>IFERROR(INDEX('حسابهای دریافتنی'!H:H,MATCH(Table26[[#This Row],[كد تفصيلي]],'حسابهای دریافتنی'!A:A,0)),0)</f>
        <v>0</v>
      </c>
      <c r="D88" s="11">
        <f>IFERROR(INDEX('درجریان وصول'!F:F,MATCH(Table26[[#This Row],[كد تفصيلي]],'درجریان وصول'!A:A,0)),0)</f>
        <v>0</v>
      </c>
      <c r="E88" s="11">
        <f>IFERROR(INDEX('چکهای دریافتنی'!F:F,MATCH(Table26[[#This Row],[كد تفصيلي]],'چکهای دریافتنی'!A:A,0)),0)</f>
        <v>0</v>
      </c>
      <c r="F88" s="11">
        <f>Table26[[#This Row],[حسابهای دریافتنی]]+Table26[[#This Row],[چکهای در جریان وصول]]+Table26[[#This Row],[چکهای نزد صندوق]]</f>
        <v>0</v>
      </c>
      <c r="G88" s="12">
        <f>IFERROR(INDEX('مانده سوفاله'!F:F,MATCH(Table26[[#This Row],[كد تفصيلي]],'مانده سوفاله'!A:A,0)),0)</f>
        <v>118</v>
      </c>
    </row>
    <row r="89" spans="1:7" ht="18" customHeight="1" x14ac:dyDescent="0.3">
      <c r="A89" s="44">
        <v>10065</v>
      </c>
      <c r="B89" s="24" t="s">
        <v>228</v>
      </c>
      <c r="C89" s="10">
        <f>IFERROR(INDEX('حسابهای دریافتنی'!H:H,MATCH(Table26[[#This Row],[كد تفصيلي]],'حسابهای دریافتنی'!A:A,0)),0)</f>
        <v>0</v>
      </c>
      <c r="D89" s="11">
        <f>IFERROR(INDEX('درجریان وصول'!F:F,MATCH(Table26[[#This Row],[كد تفصيلي]],'درجریان وصول'!A:A,0)),0)</f>
        <v>0</v>
      </c>
      <c r="E89" s="11">
        <f>IFERROR(INDEX('چکهای دریافتنی'!F:F,MATCH(Table26[[#This Row],[كد تفصيلي]],'چکهای دریافتنی'!A:A,0)),0)</f>
        <v>0</v>
      </c>
      <c r="F89" s="11">
        <f>Table26[[#This Row],[حسابهای دریافتنی]]+Table26[[#This Row],[چکهای در جریان وصول]]+Table26[[#This Row],[چکهای نزد صندوق]]</f>
        <v>0</v>
      </c>
      <c r="G89" s="12">
        <f>IFERROR(INDEX('مانده سوفاله'!F:F,MATCH(Table26[[#This Row],[كد تفصيلي]],'مانده سوفاله'!A:A,0)),0)</f>
        <v>127</v>
      </c>
    </row>
    <row r="90" spans="1:7" ht="18" customHeight="1" x14ac:dyDescent="0.3">
      <c r="A90" s="44">
        <v>30064</v>
      </c>
      <c r="B90" s="24" t="s">
        <v>109</v>
      </c>
      <c r="C90" s="10">
        <f>IFERROR(INDEX('حسابهای دریافتنی'!H:H,MATCH(Table26[[#This Row],[كد تفصيلي]],'حسابهای دریافتنی'!A:A,0)),0)</f>
        <v>-49679500</v>
      </c>
      <c r="D90" s="11">
        <f>IFERROR(INDEX('درجریان وصول'!F:F,MATCH(Table26[[#This Row],[كد تفصيلي]],'درجریان وصول'!A:A,0)),0)</f>
        <v>0</v>
      </c>
      <c r="E90" s="11">
        <f>IFERROR(INDEX('چکهای دریافتنی'!F:F,MATCH(Table26[[#This Row],[كد تفصيلي]],'چکهای دریافتنی'!A:A,0)),0)</f>
        <v>0</v>
      </c>
      <c r="F90" s="11">
        <f>Table26[[#This Row],[حسابهای دریافتنی]]+Table26[[#This Row],[چکهای در جریان وصول]]+Table26[[#This Row],[چکهای نزد صندوق]]</f>
        <v>-49679500</v>
      </c>
      <c r="G90" s="12">
        <f>IFERROR(INDEX('مانده سوفاله'!F:F,MATCH(Table26[[#This Row],[كد تفصيلي]],'مانده سوفاله'!A:A,0)),0)</f>
        <v>0</v>
      </c>
    </row>
    <row r="91" spans="1:7" ht="18" customHeight="1" x14ac:dyDescent="0.3">
      <c r="A91" s="43">
        <v>30065</v>
      </c>
      <c r="B91" s="25" t="s">
        <v>110</v>
      </c>
      <c r="C91" s="10">
        <f>IFERROR(INDEX('حسابهای دریافتنی'!H:H,MATCH(Table26[[#This Row],[كد تفصيلي]],'حسابهای دریافتنی'!A:A,0)),0)</f>
        <v>0</v>
      </c>
      <c r="D91" s="11">
        <f>IFERROR(INDEX('درجریان وصول'!F:F,MATCH(Table26[[#This Row],[كد تفصيلي]],'درجریان وصول'!A:A,0)),0)</f>
        <v>0</v>
      </c>
      <c r="E91" s="11">
        <f>IFERROR(INDEX('چکهای دریافتنی'!F:F,MATCH(Table26[[#This Row],[كد تفصيلي]],'چکهای دریافتنی'!A:A,0)),0)</f>
        <v>0</v>
      </c>
      <c r="F91" s="11">
        <f>Table26[[#This Row],[حسابهای دریافتنی]]+Table26[[#This Row],[چکهای در جریان وصول]]+Table26[[#This Row],[چکهای نزد صندوق]]</f>
        <v>0</v>
      </c>
      <c r="G91" s="12">
        <f>IFERROR(INDEX('مانده سوفاله'!F:F,MATCH(Table26[[#This Row],[كد تفصيلي]],'مانده سوفاله'!A:A,0)),0)</f>
        <v>33</v>
      </c>
    </row>
    <row r="92" spans="1:7" ht="18" customHeight="1" x14ac:dyDescent="0.3">
      <c r="A92" s="43">
        <v>30071</v>
      </c>
      <c r="B92" s="25" t="s">
        <v>116</v>
      </c>
      <c r="C92" s="10">
        <f>IFERROR(INDEX('حسابهای دریافتنی'!H:H,MATCH(Table26[[#This Row],[كد تفصيلي]],'حسابهای دریافتنی'!A:A,0)),0)</f>
        <v>0</v>
      </c>
      <c r="D92" s="11">
        <f>IFERROR(INDEX('درجریان وصول'!F:F,MATCH(Table26[[#This Row],[كد تفصيلي]],'درجریان وصول'!A:A,0)),0)</f>
        <v>0</v>
      </c>
      <c r="E92" s="11">
        <f>IFERROR(INDEX('چکهای دریافتنی'!F:F,MATCH(Table26[[#This Row],[كد تفصيلي]],'چکهای دریافتنی'!A:A,0)),0)</f>
        <v>0</v>
      </c>
      <c r="F92" s="11">
        <f>Table26[[#This Row],[حسابهای دریافتنی]]+Table26[[#This Row],[چکهای در جریان وصول]]+Table26[[#This Row],[چکهای نزد صندوق]]</f>
        <v>0</v>
      </c>
      <c r="G92" s="12">
        <f>IFERROR(INDEX('مانده سوفاله'!F:F,MATCH(Table26[[#This Row],[كد تفصيلي]],'مانده سوفاله'!A:A,0)),0)</f>
        <v>3</v>
      </c>
    </row>
    <row r="93" spans="1:7" ht="18" customHeight="1" x14ac:dyDescent="0.3">
      <c r="A93" s="43">
        <v>30077</v>
      </c>
      <c r="B93" s="25" t="s">
        <v>122</v>
      </c>
      <c r="C93" s="10">
        <f>IFERROR(INDEX('حسابهای دریافتنی'!H:H,MATCH(Table26[[#This Row],[كد تفصيلي]],'حسابهای دریافتنی'!A:A,0)),0)</f>
        <v>360000</v>
      </c>
      <c r="D93" s="11">
        <f>IFERROR(INDEX('درجریان وصول'!F:F,MATCH(Table26[[#This Row],[كد تفصيلي]],'درجریان وصول'!A:A,0)),0)</f>
        <v>0</v>
      </c>
      <c r="E93" s="11">
        <f>IFERROR(INDEX('چکهای دریافتنی'!F:F,MATCH(Table26[[#This Row],[كد تفصيلي]],'چکهای دریافتنی'!A:A,0)),0)</f>
        <v>0</v>
      </c>
      <c r="F93" s="11">
        <f>Table26[[#This Row],[حسابهای دریافتنی]]+Table26[[#This Row],[چکهای در جریان وصول]]+Table26[[#This Row],[چکهای نزد صندوق]]</f>
        <v>360000</v>
      </c>
      <c r="G93" s="12">
        <f>IFERROR(INDEX('مانده سوفاله'!F:F,MATCH(Table26[[#This Row],[كد تفصيلي]],'مانده سوفاله'!A:A,0)),0)</f>
        <v>-32</v>
      </c>
    </row>
    <row r="94" spans="1:7" ht="18" customHeight="1" x14ac:dyDescent="0.3">
      <c r="A94" s="43">
        <v>30079</v>
      </c>
      <c r="B94" s="25" t="s">
        <v>124</v>
      </c>
      <c r="C94" s="10">
        <f>IFERROR(INDEX('حسابهای دریافتنی'!H:H,MATCH(Table26[[#This Row],[كد تفصيلي]],'حسابهای دریافتنی'!A:A,0)),0)</f>
        <v>0</v>
      </c>
      <c r="D94" s="11">
        <f>IFERROR(INDEX('درجریان وصول'!F:F,MATCH(Table26[[#This Row],[كد تفصيلي]],'درجریان وصول'!A:A,0)),0)</f>
        <v>0</v>
      </c>
      <c r="E94" s="11">
        <f>IFERROR(INDEX('چکهای دریافتنی'!F:F,MATCH(Table26[[#This Row],[كد تفصيلي]],'چکهای دریافتنی'!A:A,0)),0)</f>
        <v>0</v>
      </c>
      <c r="F94" s="11">
        <f>Table26[[#This Row],[حسابهای دریافتنی]]+Table26[[#This Row],[چکهای در جریان وصول]]+Table26[[#This Row],[چکهای نزد صندوق]]</f>
        <v>0</v>
      </c>
      <c r="G94" s="12">
        <f>IFERROR(INDEX('مانده سوفاله'!F:F,MATCH(Table26[[#This Row],[كد تفصيلي]],'مانده سوفاله'!A:A,0)),0)</f>
        <v>-85</v>
      </c>
    </row>
    <row r="95" spans="1:7" ht="18" customHeight="1" x14ac:dyDescent="0.3">
      <c r="A95" s="43">
        <v>30097</v>
      </c>
      <c r="B95" s="25" t="s">
        <v>188</v>
      </c>
      <c r="C95" s="10">
        <f>IFERROR(INDEX('حسابهای دریافتنی'!H:H,MATCH(Table26[[#This Row],[كد تفصيلي]],'حسابهای دریافتنی'!A:A,0)),0)</f>
        <v>0</v>
      </c>
      <c r="D95" s="11">
        <f>IFERROR(INDEX('درجریان وصول'!F:F,MATCH(Table26[[#This Row],[كد تفصيلي]],'درجریان وصول'!A:A,0)),0)</f>
        <v>0</v>
      </c>
      <c r="E95" s="11">
        <f>IFERROR(INDEX('چکهای دریافتنی'!F:F,MATCH(Table26[[#This Row],[كد تفصيلي]],'چکهای دریافتنی'!A:A,0)),0)</f>
        <v>0</v>
      </c>
      <c r="F95" s="11">
        <f>Table26[[#This Row],[حسابهای دریافتنی]]+Table26[[#This Row],[چکهای در جریان وصول]]+Table26[[#This Row],[چکهای نزد صندوق]]</f>
        <v>0</v>
      </c>
      <c r="G95" s="12">
        <f>IFERROR(INDEX('مانده سوفاله'!F:F,MATCH(Table26[[#This Row],[كد تفصيلي]],'مانده سوفاله'!A:A,0)),0)</f>
        <v>-82</v>
      </c>
    </row>
    <row r="96" spans="1:7" ht="18" customHeight="1" x14ac:dyDescent="0.3">
      <c r="A96" s="44">
        <v>30118</v>
      </c>
      <c r="B96" s="24" t="s">
        <v>205</v>
      </c>
      <c r="C96" s="10">
        <f>IFERROR(INDEX('حسابهای دریافتنی'!H:H,MATCH(Table26[[#This Row],[كد تفصيلي]],'حسابهای دریافتنی'!A:A,0)),0)</f>
        <v>0</v>
      </c>
      <c r="D96" s="11">
        <f>IFERROR(INDEX('درجریان وصول'!F:F,MATCH(Table26[[#This Row],[كد تفصيلي]],'درجریان وصول'!A:A,0)),0)</f>
        <v>0</v>
      </c>
      <c r="E96" s="11">
        <f>IFERROR(INDEX('چکهای دریافتنی'!F:F,MATCH(Table26[[#This Row],[كد تفصيلي]],'چکهای دریافتنی'!A:A,0)),0)</f>
        <v>0</v>
      </c>
      <c r="F96" s="11">
        <f>Table26[[#This Row],[حسابهای دریافتنی]]+Table26[[#This Row],[چکهای در جریان وصول]]+Table26[[#This Row],[چکهای نزد صندوق]]</f>
        <v>0</v>
      </c>
      <c r="G96" s="12">
        <f>IFERROR(INDEX('مانده سوفاله'!F:F,MATCH(Table26[[#This Row],[كد تفصيلي]],'مانده سوفاله'!A:A,0)),0)</f>
        <v>-20</v>
      </c>
    </row>
    <row r="97" spans="1:7" ht="18" customHeight="1" x14ac:dyDescent="0.3">
      <c r="A97" s="43">
        <v>30131</v>
      </c>
      <c r="B97" s="25" t="s">
        <v>213</v>
      </c>
      <c r="C97" s="10">
        <f>IFERROR(INDEX('حسابهای دریافتنی'!H:H,MATCH(Table26[[#This Row],[كد تفصيلي]],'حسابهای دریافتنی'!A:A,0)),0)</f>
        <v>-6228486500</v>
      </c>
      <c r="D97" s="11">
        <f>IFERROR(INDEX('درجریان وصول'!F:F,MATCH(Table26[[#This Row],[كد تفصيلي]],'درجریان وصول'!A:A,0)),0)</f>
        <v>0</v>
      </c>
      <c r="E97" s="11">
        <f>IFERROR(INDEX('چکهای دریافتنی'!F:F,MATCH(Table26[[#This Row],[كد تفصيلي]],'چکهای دریافتنی'!A:A,0)),0)</f>
        <v>0</v>
      </c>
      <c r="F97" s="11">
        <f>Table26[[#This Row],[حسابهای دریافتنی]]+Table26[[#This Row],[چکهای در جریان وصول]]+Table26[[#This Row],[چکهای نزد صندوق]]</f>
        <v>-6228486500</v>
      </c>
      <c r="G97" s="12">
        <f>IFERROR(INDEX('مانده سوفاله'!F:F,MATCH(Table26[[#This Row],[كد تفصيلي]],'مانده سوفاله'!A:A,0)),0)</f>
        <v>222</v>
      </c>
    </row>
    <row r="98" spans="1:7" ht="18" customHeight="1" x14ac:dyDescent="0.3">
      <c r="A98" s="43">
        <v>30137</v>
      </c>
      <c r="B98" s="25" t="s">
        <v>218</v>
      </c>
      <c r="C98" s="10">
        <f>IFERROR(INDEX('حسابهای دریافتنی'!H:H,MATCH(Table26[[#This Row],[كد تفصيلي]],'حسابهای دریافتنی'!A:A,0)),0)</f>
        <v>0</v>
      </c>
      <c r="D98" s="11">
        <f>IFERROR(INDEX('درجریان وصول'!F:F,MATCH(Table26[[#This Row],[كد تفصيلي]],'درجریان وصول'!A:A,0)),0)</f>
        <v>0</v>
      </c>
      <c r="E98" s="11">
        <f>IFERROR(INDEX('چکهای دریافتنی'!F:F,MATCH(Table26[[#This Row],[كد تفصيلي]],'چکهای دریافتنی'!A:A,0)),0)</f>
        <v>213182200</v>
      </c>
      <c r="F98" s="11">
        <f>Table26[[#This Row],[حسابهای دریافتنی]]+Table26[[#This Row],[چکهای در جریان وصول]]+Table26[[#This Row],[چکهای نزد صندوق]]</f>
        <v>213182200</v>
      </c>
      <c r="G98" s="12">
        <f>IFERROR(INDEX('مانده سوفاله'!F:F,MATCH(Table26[[#This Row],[كد تفصيلي]],'مانده سوفاله'!A:A,0)),0)</f>
        <v>0</v>
      </c>
    </row>
    <row r="99" spans="1:7" ht="18" customHeight="1" x14ac:dyDescent="0.3">
      <c r="A99" s="43">
        <v>30141</v>
      </c>
      <c r="B99" s="25" t="s">
        <v>261</v>
      </c>
      <c r="C99" s="10">
        <f>IFERROR(INDEX('حسابهای دریافتنی'!H:H,MATCH(Table26[[#This Row],[كد تفصيلي]],'حسابهای دریافتنی'!A:A,0)),0)</f>
        <v>0</v>
      </c>
      <c r="D99" s="11">
        <f>IFERROR(INDEX('درجریان وصول'!F:F,MATCH(Table26[[#This Row],[كد تفصيلي]],'درجریان وصول'!A:A,0)),0)</f>
        <v>0</v>
      </c>
      <c r="E99" s="11">
        <f>IFERROR(INDEX('چکهای دریافتنی'!F:F,MATCH(Table26[[#This Row],[كد تفصيلي]],'چکهای دریافتنی'!A:A,0)),0)</f>
        <v>0</v>
      </c>
      <c r="F99" s="11">
        <f>Table26[[#This Row],[حسابهای دریافتنی]]+Table26[[#This Row],[چکهای در جریان وصول]]+Table26[[#This Row],[چکهای نزد صندوق]]</f>
        <v>0</v>
      </c>
      <c r="G99" s="12">
        <f>IFERROR(INDEX('مانده سوفاله'!F:F,MATCH(Table26[[#This Row],[كد تفصيلي]],'مانده سوفاله'!A:A,0)),0)</f>
        <v>-42</v>
      </c>
    </row>
    <row r="100" spans="1:7" ht="18" customHeight="1" x14ac:dyDescent="0.3">
      <c r="A100" s="44">
        <v>30142</v>
      </c>
      <c r="B100" s="24" t="s">
        <v>263</v>
      </c>
      <c r="C100" s="10">
        <f>IFERROR(INDEX('حسابهای دریافتنی'!H:H,MATCH(Table26[[#This Row],[كد تفصيلي]],'حسابهای دریافتنی'!A:A,0)),0)</f>
        <v>0</v>
      </c>
      <c r="D100" s="11">
        <f>IFERROR(INDEX('درجریان وصول'!F:F,MATCH(Table26[[#This Row],[كد تفصيلي]],'درجریان وصول'!A:A,0)),0)</f>
        <v>0</v>
      </c>
      <c r="E100" s="11">
        <f>IFERROR(INDEX('چکهای دریافتنی'!F:F,MATCH(Table26[[#This Row],[كد تفصيلي]],'چکهای دریافتنی'!A:A,0)),0)</f>
        <v>0</v>
      </c>
      <c r="F100" s="11">
        <f>Table26[[#This Row],[حسابهای دریافتنی]]+Table26[[#This Row],[چکهای در جریان وصول]]+Table26[[#This Row],[چکهای نزد صندوق]]</f>
        <v>0</v>
      </c>
      <c r="G100" s="12">
        <f>IFERROR(INDEX('مانده سوفاله'!F:F,MATCH(Table26[[#This Row],[كد تفصيلي]],'مانده سوفاله'!A:A,0)),0)</f>
        <v>13</v>
      </c>
    </row>
    <row r="101" spans="1:7" ht="18" customHeight="1" x14ac:dyDescent="0.3">
      <c r="A101" s="43">
        <v>50006</v>
      </c>
      <c r="B101" s="25" t="s">
        <v>168</v>
      </c>
      <c r="C101" s="10">
        <f>IFERROR(INDEX('حسابهای دریافتنی'!H:H,MATCH(Table26[[#This Row],[كد تفصيلي]],'حسابهای دریافتنی'!A:A,0)),0)</f>
        <v>0</v>
      </c>
      <c r="D101" s="11">
        <f>IFERROR(INDEX('درجریان وصول'!F:F,MATCH(Table26[[#This Row],[كد تفصيلي]],'درجریان وصول'!A:A,0)),0)</f>
        <v>0</v>
      </c>
      <c r="E101" s="11">
        <f>IFERROR(INDEX('چکهای دریافتنی'!F:F,MATCH(Table26[[#This Row],[كد تفصيلي]],'چکهای دریافتنی'!A:A,0)),0)</f>
        <v>0</v>
      </c>
      <c r="F101" s="11">
        <f>Table26[[#This Row],[حسابهای دریافتنی]]+Table26[[#This Row],[چکهای در جریان وصول]]+Table26[[#This Row],[چکهای نزد صندوق]]</f>
        <v>0</v>
      </c>
      <c r="G101" s="12">
        <f>IFERROR(INDEX('مانده سوفاله'!F:F,MATCH(Table26[[#This Row],[كد تفصيلي]],'مانده سوفاله'!A:A,0)),0)</f>
        <v>-7581</v>
      </c>
    </row>
    <row r="102" spans="1:7" ht="18" customHeight="1" x14ac:dyDescent="0.3">
      <c r="A102" s="43">
        <v>79010</v>
      </c>
      <c r="B102" s="25" t="s">
        <v>176</v>
      </c>
      <c r="C102" s="10">
        <f>IFERROR(INDEX('حسابهای دریافتنی'!H:H,MATCH(Table26[[#This Row],[كد تفصيلي]],'حسابهای دریافتنی'!A:A,0)),0)</f>
        <v>0</v>
      </c>
      <c r="D102" s="11">
        <f>IFERROR(INDEX('درجریان وصول'!F:F,MATCH(Table26[[#This Row],[كد تفصيلي]],'درجریان وصول'!A:A,0)),0)</f>
        <v>0</v>
      </c>
      <c r="E102" s="11">
        <f>IFERROR(INDEX('چکهای دریافتنی'!F:F,MATCH(Table26[[#This Row],[كد تفصيلي]],'چکهای دریافتنی'!A:A,0)),0)</f>
        <v>0</v>
      </c>
      <c r="F102" s="11">
        <f>Table26[[#This Row],[حسابهای دریافتنی]]+Table26[[#This Row],[چکهای در جریان وصول]]+Table26[[#This Row],[چکهای نزد صندوق]]</f>
        <v>0</v>
      </c>
      <c r="G102" s="12">
        <f>IFERROR(INDEX('مانده سوفاله'!F:F,MATCH(Table26[[#This Row],[كد تفصيلي]],'مانده سوفاله'!A:A,0)),0)</f>
        <v>-110</v>
      </c>
    </row>
    <row r="103" spans="1:7" ht="18" customHeight="1" x14ac:dyDescent="0.3">
      <c r="A103" s="45">
        <v>30164</v>
      </c>
      <c r="B103" s="24" t="s">
        <v>304</v>
      </c>
      <c r="C103" s="10">
        <f>IFERROR(INDEX('حسابهای دریافتنی'!H:H,MATCH(Table26[[#This Row],[كد تفصيلي]],'حسابهای دریافتنی'!A:A,0)),0)</f>
        <v>184944000</v>
      </c>
      <c r="D103" s="11">
        <f>IFERROR(INDEX('درجریان وصول'!F:F,MATCH(Table26[[#This Row],[كد تفصيلي]],'درجریان وصول'!A:A,0)),0)</f>
        <v>0</v>
      </c>
      <c r="E103" s="11">
        <f>IFERROR(INDEX('چکهای دریافتنی'!F:F,MATCH(Table26[[#This Row],[كد تفصيلي]],'چکهای دریافتنی'!A:A,0)),0)</f>
        <v>0</v>
      </c>
      <c r="F103" s="11">
        <f>Table26[[#This Row],[حسابهای دریافتنی]]+Table26[[#This Row],[چکهای در جریان وصول]]+Table26[[#This Row],[چکهای نزد صندوق]]</f>
        <v>184944000</v>
      </c>
      <c r="G103" s="12">
        <f>IFERROR(INDEX('مانده سوفاله'!F:F,MATCH(Table26[[#This Row],[كد تفصيلي]],'مانده سوفاله'!A:A,0)),0)</f>
        <v>561</v>
      </c>
    </row>
    <row r="104" spans="1:7" ht="18" customHeight="1" x14ac:dyDescent="0.3">
      <c r="A104" s="46">
        <v>10109</v>
      </c>
      <c r="B104" s="25" t="s">
        <v>303</v>
      </c>
      <c r="C104" s="10">
        <f>IFERROR(INDEX('حسابهای دریافتنی'!H:H,MATCH(Table26[[#This Row],[كد تفصيلي]],'حسابهای دریافتنی'!A:A,0)),0)</f>
        <v>-1124737000</v>
      </c>
      <c r="D104" s="11">
        <f>IFERROR(INDEX('درجریان وصول'!F:F,MATCH(Table26[[#This Row],[كد تفصيلي]],'درجریان وصول'!A:A,0)),0)</f>
        <v>0</v>
      </c>
      <c r="E104" s="11">
        <f>IFERROR(INDEX('چکهای دریافتنی'!F:F,MATCH(Table26[[#This Row],[كد تفصيلي]],'چکهای دریافتنی'!A:A,0)),0)</f>
        <v>0</v>
      </c>
      <c r="F104" s="11">
        <f>Table26[[#This Row],[حسابهای دریافتنی]]+Table26[[#This Row],[چکهای در جریان وصول]]+Table26[[#This Row],[چکهای نزد صندوق]]</f>
        <v>-1124737000</v>
      </c>
      <c r="G104" s="12">
        <f>IFERROR(INDEX('مانده سوفاله'!F:F,MATCH(Table26[[#This Row],[كد تفصيلي]],'مانده سوفاله'!A:A,0)),0)</f>
        <v>-241</v>
      </c>
    </row>
    <row r="105" spans="1:7" ht="18" customHeight="1" x14ac:dyDescent="0.3">
      <c r="A105" s="44">
        <v>30021</v>
      </c>
      <c r="B105" s="24" t="s">
        <v>69</v>
      </c>
      <c r="C105" s="10">
        <f>IFERROR(INDEX('حسابهای دریافتنی'!H:H,MATCH(Table26[[#This Row],[كد تفصيلي]],'حسابهای دریافتنی'!A:A,0)),0)</f>
        <v>-122000</v>
      </c>
      <c r="D105" s="11">
        <f>IFERROR(INDEX('درجریان وصول'!F:F,MATCH(Table26[[#This Row],[كد تفصيلي]],'درجریان وصول'!A:A,0)),0)</f>
        <v>0</v>
      </c>
      <c r="E105" s="11">
        <f>IFERROR(INDEX('چکهای دریافتنی'!F:F,MATCH(Table26[[#This Row],[كد تفصيلي]],'چکهای دریافتنی'!A:A,0)),0)</f>
        <v>0</v>
      </c>
      <c r="F105" s="11">
        <f>Table26[[#This Row],[حسابهای دریافتنی]]+Table26[[#This Row],[چکهای در جریان وصول]]+Table26[[#This Row],[چکهای نزد صندوق]]</f>
        <v>-122000</v>
      </c>
      <c r="G105" s="12">
        <f>IFERROR(INDEX('مانده سوفاله'!F:F,MATCH(Table26[[#This Row],[كد تفصيلي]],'مانده سوفاله'!A:A,0)),0)</f>
        <v>0</v>
      </c>
    </row>
    <row r="106" spans="1:7" ht="18" customHeight="1" x14ac:dyDescent="0.3">
      <c r="A106" s="43">
        <v>10066</v>
      </c>
      <c r="B106" s="25" t="s">
        <v>262</v>
      </c>
      <c r="C106" s="10">
        <f>IFERROR(INDEX('حسابهای دریافتنی'!H:H,MATCH(Table26[[#This Row],[كد تفصيلي]],'حسابهای دریافتنی'!A:A,0)),0)</f>
        <v>-191500</v>
      </c>
      <c r="D106" s="11">
        <f>IFERROR(INDEX('درجریان وصول'!F:F,MATCH(Table26[[#This Row],[كد تفصيلي]],'درجریان وصول'!A:A,0)),0)</f>
        <v>0</v>
      </c>
      <c r="E106" s="11">
        <f>IFERROR(INDEX('چکهای دریافتنی'!F:F,MATCH(Table26[[#This Row],[كد تفصيلي]],'چکهای دریافتنی'!A:A,0)),0)</f>
        <v>0</v>
      </c>
      <c r="F106" s="11">
        <f>Table26[[#This Row],[حسابهای دریافتنی]]+Table26[[#This Row],[چکهای در جریان وصول]]+Table26[[#This Row],[چکهای نزد صندوق]]</f>
        <v>-191500</v>
      </c>
      <c r="G106" s="12">
        <f>IFERROR(INDEX('مانده سوفاله'!F:F,MATCH(Table26[[#This Row],[كد تفصيلي]],'مانده سوفاله'!A:A,0)),0)</f>
        <v>2</v>
      </c>
    </row>
    <row r="107" spans="1:7" ht="18" customHeight="1" x14ac:dyDescent="0.3">
      <c r="A107" s="46">
        <v>30167</v>
      </c>
      <c r="B107" s="25" t="s">
        <v>311</v>
      </c>
      <c r="C107" s="10">
        <f>IFERROR(INDEX('حسابهای دریافتنی'!H:H,MATCH(Table26[[#This Row],[كد تفصيلي]],'حسابهای دریافتنی'!A:A,0)),0)</f>
        <v>-221000</v>
      </c>
      <c r="D107" s="11">
        <f>IFERROR(INDEX('درجریان وصول'!F:F,MATCH(Table26[[#This Row],[كد تفصيلي]],'درجریان وصول'!A:A,0)),0)</f>
        <v>0</v>
      </c>
      <c r="E107" s="11">
        <f>IFERROR(INDEX('چکهای دریافتنی'!F:F,MATCH(Table26[[#This Row],[كد تفصيلي]],'چکهای دریافتنی'!A:A,0)),0)</f>
        <v>0</v>
      </c>
      <c r="F107" s="11">
        <f>Table26[[#This Row],[حسابهای دریافتنی]]+Table26[[#This Row],[چکهای در جریان وصول]]+Table26[[#This Row],[چکهای نزد صندوق]]</f>
        <v>-221000</v>
      </c>
      <c r="G107" s="12">
        <f>IFERROR(INDEX('مانده سوفاله'!F:F,MATCH(Table26[[#This Row],[كد تفصيلي]],'مانده سوفاله'!A:A,0)),0)</f>
        <v>6</v>
      </c>
    </row>
    <row r="108" spans="1:7" ht="18" customHeight="1" x14ac:dyDescent="0.3">
      <c r="A108" s="44">
        <v>10077</v>
      </c>
      <c r="B108" s="24" t="s">
        <v>210</v>
      </c>
      <c r="C108" s="10">
        <f>IFERROR(INDEX('حسابهای دریافتنی'!H:H,MATCH(Table26[[#This Row],[كد تفصيلي]],'حسابهای دریافتنی'!A:A,0)),0)</f>
        <v>-238500</v>
      </c>
      <c r="D108" s="11">
        <f>IFERROR(INDEX('درجریان وصول'!F:F,MATCH(Table26[[#This Row],[كد تفصيلي]],'درجریان وصول'!A:A,0)),0)</f>
        <v>0</v>
      </c>
      <c r="E108" s="11">
        <f>IFERROR(INDEX('چکهای دریافتنی'!F:F,MATCH(Table26[[#This Row],[كد تفصيلي]],'چکهای دریافتنی'!A:A,0)),0)</f>
        <v>0</v>
      </c>
      <c r="F108" s="11">
        <f>Table26[[#This Row],[حسابهای دریافتنی]]+Table26[[#This Row],[چکهای در جریان وصول]]+Table26[[#This Row],[چکهای نزد صندوق]]</f>
        <v>-238500</v>
      </c>
      <c r="G108" s="12">
        <f>IFERROR(INDEX('مانده سوفاله'!F:F,MATCH(Table26[[#This Row],[كد تفصيلي]],'مانده سوفاله'!A:A,0)),0)</f>
        <v>0</v>
      </c>
    </row>
    <row r="109" spans="1:7" ht="18" customHeight="1" x14ac:dyDescent="0.3">
      <c r="A109" s="43">
        <v>10012</v>
      </c>
      <c r="B109" s="25" t="s">
        <v>19</v>
      </c>
      <c r="C109" s="10">
        <f>IFERROR(INDEX('حسابهای دریافتنی'!H:H,MATCH(Table26[[#This Row],[كد تفصيلي]],'حسابهای دریافتنی'!A:A,0)),0)</f>
        <v>-244000</v>
      </c>
      <c r="D109" s="11">
        <f>IFERROR(INDEX('درجریان وصول'!F:F,MATCH(Table26[[#This Row],[كد تفصيلي]],'درجریان وصول'!A:A,0)),0)</f>
        <v>0</v>
      </c>
      <c r="E109" s="11">
        <f>IFERROR(INDEX('چکهای دریافتنی'!F:F,MATCH(Table26[[#This Row],[كد تفصيلي]],'چکهای دریافتنی'!A:A,0)),0)</f>
        <v>0</v>
      </c>
      <c r="F109" s="11">
        <f>Table26[[#This Row],[حسابهای دریافتنی]]+Table26[[#This Row],[چکهای در جریان وصول]]+Table26[[#This Row],[چکهای نزد صندوق]]</f>
        <v>-244000</v>
      </c>
      <c r="G109" s="12">
        <f>IFERROR(INDEX('مانده سوفاله'!F:F,MATCH(Table26[[#This Row],[كد تفصيلي]],'مانده سوفاله'!A:A,0)),0)</f>
        <v>0</v>
      </c>
    </row>
    <row r="110" spans="1:7" ht="18" customHeight="1" x14ac:dyDescent="0.3">
      <c r="A110" s="44">
        <v>30088</v>
      </c>
      <c r="B110" s="24" t="s">
        <v>142</v>
      </c>
      <c r="C110" s="10">
        <f>IFERROR(INDEX('حسابهای دریافتنی'!H:H,MATCH(Table26[[#This Row],[كد تفصيلي]],'حسابهای دریافتنی'!A:A,0)),0)</f>
        <v>-252000</v>
      </c>
      <c r="D110" s="11">
        <f>IFERROR(INDEX('درجریان وصول'!F:F,MATCH(Table26[[#This Row],[كد تفصيلي]],'درجریان وصول'!A:A,0)),0)</f>
        <v>0</v>
      </c>
      <c r="E110" s="11">
        <f>IFERROR(INDEX('چکهای دریافتنی'!F:F,MATCH(Table26[[#This Row],[كد تفصيلي]],'چکهای دریافتنی'!A:A,0)),0)</f>
        <v>0</v>
      </c>
      <c r="F110" s="11">
        <f>Table26[[#This Row],[حسابهای دریافتنی]]+Table26[[#This Row],[چکهای در جریان وصول]]+Table26[[#This Row],[چکهای نزد صندوق]]</f>
        <v>-252000</v>
      </c>
      <c r="G110" s="12">
        <f>IFERROR(INDEX('مانده سوفاله'!F:F,MATCH(Table26[[#This Row],[كد تفصيلي]],'مانده سوفاله'!A:A,0)),0)</f>
        <v>0</v>
      </c>
    </row>
    <row r="111" spans="1:7" ht="18" customHeight="1" x14ac:dyDescent="0.3">
      <c r="A111" s="43">
        <v>10052</v>
      </c>
      <c r="B111" s="25" t="s">
        <v>192</v>
      </c>
      <c r="C111" s="10">
        <f>IFERROR(INDEX('حسابهای دریافتنی'!H:H,MATCH(Table26[[#This Row],[كد تفصيلي]],'حسابهای دریافتنی'!A:A,0)),0)</f>
        <v>0</v>
      </c>
      <c r="D111" s="11">
        <f>IFERROR(INDEX('درجریان وصول'!F:F,MATCH(Table26[[#This Row],[كد تفصيلي]],'درجریان وصول'!A:A,0)),0)</f>
        <v>0</v>
      </c>
      <c r="E111" s="11">
        <f>IFERROR(INDEX('چکهای دریافتنی'!F:F,MATCH(Table26[[#This Row],[كد تفصيلي]],'چکهای دریافتنی'!A:A,0)),0)</f>
        <v>0</v>
      </c>
      <c r="F111" s="11">
        <f>Table26[[#This Row],[حسابهای دریافتنی]]+Table26[[#This Row],[چکهای در جریان وصول]]+Table26[[#This Row],[چکهای نزد صندوق]]</f>
        <v>0</v>
      </c>
      <c r="G111" s="12">
        <f>IFERROR(INDEX('مانده سوفاله'!F:F,MATCH(Table26[[#This Row],[كد تفصيلي]],'مانده سوفاله'!A:A,0)),0)</f>
        <v>0</v>
      </c>
    </row>
    <row r="112" spans="1:7" ht="18" customHeight="1" x14ac:dyDescent="0.3">
      <c r="A112" s="44">
        <v>10045</v>
      </c>
      <c r="B112" s="24" t="s">
        <v>50</v>
      </c>
      <c r="C112" s="10">
        <f>IFERROR(INDEX('حسابهای دریافتنی'!H:H,MATCH(Table26[[#This Row],[كد تفصيلي]],'حسابهای دریافتنی'!A:A,0)),0)</f>
        <v>-383000</v>
      </c>
      <c r="D112" s="11">
        <f>IFERROR(INDEX('درجریان وصول'!F:F,MATCH(Table26[[#This Row],[كد تفصيلي]],'درجریان وصول'!A:A,0)),0)</f>
        <v>0</v>
      </c>
      <c r="E112" s="11">
        <f>IFERROR(INDEX('چکهای دریافتنی'!F:F,MATCH(Table26[[#This Row],[كد تفصيلي]],'چکهای دریافتنی'!A:A,0)),0)</f>
        <v>0</v>
      </c>
      <c r="F112" s="11">
        <f>Table26[[#This Row],[حسابهای دریافتنی]]+Table26[[#This Row],[چکهای در جریان وصول]]+Table26[[#This Row],[چکهای نزد صندوق]]</f>
        <v>-383000</v>
      </c>
      <c r="G112" s="12">
        <f>IFERROR(INDEX('مانده سوفاله'!F:F,MATCH(Table26[[#This Row],[كد تفصيلي]],'مانده سوفاله'!A:A,0)),0)</f>
        <v>-30</v>
      </c>
    </row>
    <row r="113" spans="1:7" ht="18" customHeight="1" x14ac:dyDescent="0.3">
      <c r="A113" s="44">
        <v>30051</v>
      </c>
      <c r="B113" s="24" t="s">
        <v>98</v>
      </c>
      <c r="C113" s="10">
        <f>IFERROR(INDEX('حسابهای دریافتنی'!H:H,MATCH(Table26[[#This Row],[كد تفصيلي]],'حسابهای دریافتنی'!A:A,0)),0)</f>
        <v>-384000</v>
      </c>
      <c r="D113" s="11">
        <f>IFERROR(INDEX('درجریان وصول'!F:F,MATCH(Table26[[#This Row],[كد تفصيلي]],'درجریان وصول'!A:A,0)),0)</f>
        <v>0</v>
      </c>
      <c r="E113" s="11">
        <f>IFERROR(INDEX('چکهای دریافتنی'!F:F,MATCH(Table26[[#This Row],[كد تفصيلي]],'چکهای دریافتنی'!A:A,0)),0)</f>
        <v>0</v>
      </c>
      <c r="F113" s="11">
        <f>Table26[[#This Row],[حسابهای دریافتنی]]+Table26[[#This Row],[چکهای در جریان وصول]]+Table26[[#This Row],[چکهای نزد صندوق]]</f>
        <v>-384000</v>
      </c>
      <c r="G113" s="12">
        <f>IFERROR(INDEX('مانده سوفاله'!F:F,MATCH(Table26[[#This Row],[كد تفصيلي]],'مانده سوفاله'!A:A,0)),0)</f>
        <v>0</v>
      </c>
    </row>
    <row r="114" spans="1:7" ht="18" customHeight="1" x14ac:dyDescent="0.3">
      <c r="A114" s="43">
        <v>30044</v>
      </c>
      <c r="B114" s="25" t="s">
        <v>91</v>
      </c>
      <c r="C114" s="10">
        <f>IFERROR(INDEX('حسابهای دریافتنی'!H:H,MATCH(Table26[[#This Row],[كد تفصيلي]],'حسابهای دریافتنی'!A:A,0)),0)</f>
        <v>-492500</v>
      </c>
      <c r="D114" s="11">
        <f>IFERROR(INDEX('درجریان وصول'!F:F,MATCH(Table26[[#This Row],[كد تفصيلي]],'درجریان وصول'!A:A,0)),0)</f>
        <v>0</v>
      </c>
      <c r="E114" s="11">
        <f>IFERROR(INDEX('چکهای دریافتنی'!F:F,MATCH(Table26[[#This Row],[كد تفصيلي]],'چکهای دریافتنی'!A:A,0)),0)</f>
        <v>0</v>
      </c>
      <c r="F114" s="11">
        <f>Table26[[#This Row],[حسابهای دریافتنی]]+Table26[[#This Row],[چکهای در جریان وصول]]+Table26[[#This Row],[چکهای نزد صندوق]]</f>
        <v>-492500</v>
      </c>
      <c r="G114" s="12">
        <f>IFERROR(INDEX('مانده سوفاله'!F:F,MATCH(Table26[[#This Row],[كد تفصيلي]],'مانده سوفاله'!A:A,0)),0)</f>
        <v>2</v>
      </c>
    </row>
    <row r="115" spans="1:7" ht="18" customHeight="1" x14ac:dyDescent="0.3">
      <c r="A115" s="44">
        <v>10095</v>
      </c>
      <c r="B115" s="24" t="s">
        <v>268</v>
      </c>
      <c r="C115" s="10">
        <f>IFERROR(INDEX('حسابهای دریافتنی'!H:H,MATCH(Table26[[#This Row],[كد تفصيلي]],'حسابهای دریافتنی'!A:A,0)),0)</f>
        <v>-496500</v>
      </c>
      <c r="D115" s="11">
        <f>IFERROR(INDEX('درجریان وصول'!F:F,MATCH(Table26[[#This Row],[كد تفصيلي]],'درجریان وصول'!A:A,0)),0)</f>
        <v>0</v>
      </c>
      <c r="E115" s="11">
        <f>IFERROR(INDEX('چکهای دریافتنی'!F:F,MATCH(Table26[[#This Row],[كد تفصيلي]],'چکهای دریافتنی'!A:A,0)),0)</f>
        <v>0</v>
      </c>
      <c r="F115" s="11">
        <f>Table26[[#This Row],[حسابهای دریافتنی]]+Table26[[#This Row],[چکهای در جریان وصول]]+Table26[[#This Row],[چکهای نزد صندوق]]</f>
        <v>-496500</v>
      </c>
      <c r="G115" s="12">
        <f>IFERROR(INDEX('مانده سوفاله'!F:F,MATCH(Table26[[#This Row],[كد تفصيلي]],'مانده سوفاله'!A:A,0)),0)</f>
        <v>0</v>
      </c>
    </row>
    <row r="116" spans="1:7" ht="18" customHeight="1" x14ac:dyDescent="0.3">
      <c r="A116" s="43">
        <v>30052</v>
      </c>
      <c r="B116" s="25" t="s">
        <v>149</v>
      </c>
      <c r="C116" s="10">
        <f>IFERROR(INDEX('حسابهای دریافتنی'!H:H,MATCH(Table26[[#This Row],[كد تفصيلي]],'حسابهای دریافتنی'!A:A,0)),0)</f>
        <v>-539000</v>
      </c>
      <c r="D116" s="11">
        <f>IFERROR(INDEX('درجریان وصول'!F:F,MATCH(Table26[[#This Row],[كد تفصيلي]],'درجریان وصول'!A:A,0)),0)</f>
        <v>0</v>
      </c>
      <c r="E116" s="11">
        <f>IFERROR(INDEX('چکهای دریافتنی'!F:F,MATCH(Table26[[#This Row],[كد تفصيلي]],'چکهای دریافتنی'!A:A,0)),0)</f>
        <v>0</v>
      </c>
      <c r="F116" s="11">
        <f>Table26[[#This Row],[حسابهای دریافتنی]]+Table26[[#This Row],[چکهای در جریان وصول]]+Table26[[#This Row],[چکهای نزد صندوق]]</f>
        <v>-539000</v>
      </c>
      <c r="G116" s="12">
        <f>IFERROR(INDEX('مانده سوفاله'!F:F,MATCH(Table26[[#This Row],[كد تفصيلي]],'مانده سوفاله'!A:A,0)),0)</f>
        <v>0</v>
      </c>
    </row>
    <row r="117" spans="1:7" ht="18" customHeight="1" x14ac:dyDescent="0.3">
      <c r="A117" s="44">
        <v>10061</v>
      </c>
      <c r="B117" s="24" t="s">
        <v>194</v>
      </c>
      <c r="C117" s="10">
        <f>IFERROR(INDEX('حسابهای دریافتنی'!H:H,MATCH(Table26[[#This Row],[كد تفصيلي]],'حسابهای دریافتنی'!A:A,0)),0)</f>
        <v>-565500</v>
      </c>
      <c r="D117" s="11">
        <f>IFERROR(INDEX('درجریان وصول'!F:F,MATCH(Table26[[#This Row],[كد تفصيلي]],'درجریان وصول'!A:A,0)),0)</f>
        <v>0</v>
      </c>
      <c r="E117" s="11">
        <f>IFERROR(INDEX('چکهای دریافتنی'!F:F,MATCH(Table26[[#This Row],[كد تفصيلي]],'چکهای دریافتنی'!A:A,0)),0)</f>
        <v>0</v>
      </c>
      <c r="F117" s="11">
        <f>Table26[[#This Row],[حسابهای دریافتنی]]+Table26[[#This Row],[چکهای در جریان وصول]]+Table26[[#This Row],[چکهای نزد صندوق]]</f>
        <v>-565500</v>
      </c>
      <c r="G117" s="12">
        <f>IFERROR(INDEX('مانده سوفاله'!F:F,MATCH(Table26[[#This Row],[كد تفصيلي]],'مانده سوفاله'!A:A,0)),0)</f>
        <v>0</v>
      </c>
    </row>
    <row r="118" spans="1:7" ht="18" customHeight="1" x14ac:dyDescent="0.3">
      <c r="A118" s="45">
        <v>10118</v>
      </c>
      <c r="B118" s="24" t="s">
        <v>334</v>
      </c>
      <c r="C118" s="10">
        <f>IFERROR(INDEX('حسابهای دریافتنی'!H:H,MATCH(Table26[[#This Row],[كد تفصيلي]],'حسابهای دریافتنی'!A:A,0)),0)</f>
        <v>-587500</v>
      </c>
      <c r="D118" s="11">
        <f>IFERROR(INDEX('درجریان وصول'!F:F,MATCH(Table26[[#This Row],[كد تفصيلي]],'درجریان وصول'!A:A,0)),0)</f>
        <v>0</v>
      </c>
      <c r="E118" s="11">
        <f>IFERROR(INDEX('چکهای دریافتنی'!F:F,MATCH(Table26[[#This Row],[كد تفصيلي]],'چکهای دریافتنی'!A:A,0)),0)</f>
        <v>0</v>
      </c>
      <c r="F118" s="11">
        <f>Table26[[#This Row],[حسابهای دریافتنی]]+Table26[[#This Row],[چکهای در جریان وصول]]+Table26[[#This Row],[چکهای نزد صندوق]]</f>
        <v>-587500</v>
      </c>
      <c r="G118" s="12">
        <f>IFERROR(INDEX('مانده سوفاله'!F:F,MATCH(Table26[[#This Row],[كد تفصيلي]],'مانده سوفاله'!A:A,0)),0)</f>
        <v>0</v>
      </c>
    </row>
    <row r="119" spans="1:7" ht="18" customHeight="1" x14ac:dyDescent="0.3">
      <c r="A119" s="43">
        <v>10018</v>
      </c>
      <c r="B119" s="25" t="s">
        <v>25</v>
      </c>
      <c r="C119" s="10">
        <f>IFERROR(INDEX('حسابهای دریافتنی'!H:H,MATCH(Table26[[#This Row],[كد تفصيلي]],'حسابهای دریافتنی'!A:A,0)),0)</f>
        <v>95282000</v>
      </c>
      <c r="D119" s="11">
        <f>IFERROR(INDEX('درجریان وصول'!F:F,MATCH(Table26[[#This Row],[كد تفصيلي]],'درجریان وصول'!A:A,0)),0)</f>
        <v>0</v>
      </c>
      <c r="E119" s="11">
        <f>IFERROR(INDEX('چکهای دریافتنی'!F:F,MATCH(Table26[[#This Row],[كد تفصيلي]],'چکهای دریافتنی'!A:A,0)),0)</f>
        <v>0</v>
      </c>
      <c r="F119" s="11">
        <f>Table26[[#This Row],[حسابهای دریافتنی]]+Table26[[#This Row],[چکهای در جریان وصول]]+Table26[[#This Row],[چکهای نزد صندوق]]</f>
        <v>95282000</v>
      </c>
      <c r="G119" s="12">
        <f>IFERROR(INDEX('مانده سوفاله'!F:F,MATCH(Table26[[#This Row],[كد تفصيلي]],'مانده سوفاله'!A:A,0)),0)</f>
        <v>-32</v>
      </c>
    </row>
    <row r="120" spans="1:7" ht="18" customHeight="1" x14ac:dyDescent="0.3">
      <c r="A120" s="44">
        <v>30112</v>
      </c>
      <c r="B120" s="24" t="s">
        <v>201</v>
      </c>
      <c r="C120" s="10">
        <f>IFERROR(INDEX('حسابهای دریافتنی'!H:H,MATCH(Table26[[#This Row],[كد تفصيلي]],'حسابهای دریافتنی'!A:A,0)),0)</f>
        <v>-720500</v>
      </c>
      <c r="D120" s="11">
        <f>IFERROR(INDEX('درجریان وصول'!F:F,MATCH(Table26[[#This Row],[كد تفصيلي]],'درجریان وصول'!A:A,0)),0)</f>
        <v>0</v>
      </c>
      <c r="E120" s="11">
        <f>IFERROR(INDEX('چکهای دریافتنی'!F:F,MATCH(Table26[[#This Row],[كد تفصيلي]],'چکهای دریافتنی'!A:A,0)),0)</f>
        <v>0</v>
      </c>
      <c r="F120" s="11">
        <f>Table26[[#This Row],[حسابهای دریافتنی]]+Table26[[#This Row],[چکهای در جریان وصول]]+Table26[[#This Row],[چکهای نزد صندوق]]</f>
        <v>-720500</v>
      </c>
      <c r="G120" s="12">
        <f>IFERROR(INDEX('مانده سوفاله'!F:F,MATCH(Table26[[#This Row],[كد تفصيلي]],'مانده سوفاله'!A:A,0)),0)</f>
        <v>36</v>
      </c>
    </row>
    <row r="121" spans="1:7" ht="18" customHeight="1" x14ac:dyDescent="0.3">
      <c r="A121" s="44">
        <v>10013</v>
      </c>
      <c r="B121" s="24" t="s">
        <v>20</v>
      </c>
      <c r="C121" s="10">
        <f>IFERROR(INDEX('حسابهای دریافتنی'!H:H,MATCH(Table26[[#This Row],[كد تفصيلي]],'حسابهای دریافتنی'!A:A,0)),0)</f>
        <v>-915000</v>
      </c>
      <c r="D121" s="11">
        <f>IFERROR(INDEX('درجریان وصول'!F:F,MATCH(Table26[[#This Row],[كد تفصيلي]],'درجریان وصول'!A:A,0)),0)</f>
        <v>0</v>
      </c>
      <c r="E121" s="11">
        <f>IFERROR(INDEX('چکهای دریافتنی'!F:F,MATCH(Table26[[#This Row],[كد تفصيلي]],'چکهای دریافتنی'!A:A,0)),0)</f>
        <v>0</v>
      </c>
      <c r="F121" s="11">
        <f>Table26[[#This Row],[حسابهای دریافتنی]]+Table26[[#This Row],[چکهای در جریان وصول]]+Table26[[#This Row],[چکهای نزد صندوق]]</f>
        <v>-915000</v>
      </c>
      <c r="G121" s="12">
        <f>IFERROR(INDEX('مانده سوفاله'!F:F,MATCH(Table26[[#This Row],[كد تفصيلي]],'مانده سوفاله'!A:A,0)),0)</f>
        <v>0</v>
      </c>
    </row>
    <row r="122" spans="1:7" ht="18" customHeight="1" x14ac:dyDescent="0.3">
      <c r="A122" s="43">
        <v>10042</v>
      </c>
      <c r="B122" s="25" t="s">
        <v>47</v>
      </c>
      <c r="C122" s="10">
        <f>IFERROR(INDEX('حسابهای دریافتنی'!H:H,MATCH(Table26[[#This Row],[كد تفصيلي]],'حسابهای دریافتنی'!A:A,0)),0)</f>
        <v>-1120000</v>
      </c>
      <c r="D122" s="11">
        <f>IFERROR(INDEX('درجریان وصول'!F:F,MATCH(Table26[[#This Row],[كد تفصيلي]],'درجریان وصول'!A:A,0)),0)</f>
        <v>0</v>
      </c>
      <c r="E122" s="11">
        <f>IFERROR(INDEX('چکهای دریافتنی'!F:F,MATCH(Table26[[#This Row],[كد تفصيلي]],'چکهای دریافتنی'!A:A,0)),0)</f>
        <v>0</v>
      </c>
      <c r="F122" s="11">
        <f>Table26[[#This Row],[حسابهای دریافتنی]]+Table26[[#This Row],[چکهای در جریان وصول]]+Table26[[#This Row],[چکهای نزد صندوق]]</f>
        <v>-1120000</v>
      </c>
      <c r="G122" s="12">
        <f>IFERROR(INDEX('مانده سوفاله'!F:F,MATCH(Table26[[#This Row],[كد تفصيلي]],'مانده سوفاله'!A:A,0)),0)</f>
        <v>2</v>
      </c>
    </row>
    <row r="123" spans="1:7" ht="18" customHeight="1" x14ac:dyDescent="0.3">
      <c r="A123" s="43">
        <v>30032</v>
      </c>
      <c r="B123" s="25" t="s">
        <v>79</v>
      </c>
      <c r="C123" s="10">
        <f>IFERROR(INDEX('حسابهای دریافتنی'!H:H,MATCH(Table26[[#This Row],[كد تفصيلي]],'حسابهای دریافتنی'!A:A,0)),0)</f>
        <v>-1347000</v>
      </c>
      <c r="D123" s="11">
        <f>IFERROR(INDEX('درجریان وصول'!F:F,MATCH(Table26[[#This Row],[كد تفصيلي]],'درجریان وصول'!A:A,0)),0)</f>
        <v>0</v>
      </c>
      <c r="E123" s="11">
        <f>IFERROR(INDEX('چکهای دریافتنی'!F:F,MATCH(Table26[[#This Row],[كد تفصيلي]],'چکهای دریافتنی'!A:A,0)),0)</f>
        <v>0</v>
      </c>
      <c r="F123" s="11">
        <f>Table26[[#This Row],[حسابهای دریافتنی]]+Table26[[#This Row],[چکهای در جریان وصول]]+Table26[[#This Row],[چکهای نزد صندوق]]</f>
        <v>-1347000</v>
      </c>
      <c r="G123" s="12">
        <f>IFERROR(INDEX('مانده سوفاله'!F:F,MATCH(Table26[[#This Row],[كد تفصيلي]],'مانده سوفاله'!A:A,0)),0)</f>
        <v>0</v>
      </c>
    </row>
    <row r="124" spans="1:7" ht="18" customHeight="1" x14ac:dyDescent="0.3">
      <c r="A124" s="46">
        <v>30171</v>
      </c>
      <c r="B124" s="25" t="s">
        <v>322</v>
      </c>
      <c r="C124" s="10">
        <f>IFERROR(INDEX('حسابهای دریافتنی'!H:H,MATCH(Table26[[#This Row],[كد تفصيلي]],'حسابهای دریافتنی'!A:A,0)),0)</f>
        <v>-1500000</v>
      </c>
      <c r="D124" s="11">
        <f>IFERROR(INDEX('درجریان وصول'!F:F,MATCH(Table26[[#This Row],[كد تفصيلي]],'درجریان وصول'!A:A,0)),0)</f>
        <v>0</v>
      </c>
      <c r="E124" s="11">
        <f>IFERROR(INDEX('چکهای دریافتنی'!F:F,MATCH(Table26[[#This Row],[كد تفصيلي]],'چکهای دریافتنی'!A:A,0)),0)</f>
        <v>0</v>
      </c>
      <c r="F124" s="11">
        <f>Table26[[#This Row],[حسابهای دریافتنی]]+Table26[[#This Row],[چکهای در جریان وصول]]+Table26[[#This Row],[چکهای نزد صندوق]]</f>
        <v>-1500000</v>
      </c>
      <c r="G124" s="12">
        <f>IFERROR(INDEX('مانده سوفاله'!F:F,MATCH(Table26[[#This Row],[كد تفصيلي]],'مانده سوفاله'!A:A,0)),0)</f>
        <v>0</v>
      </c>
    </row>
    <row r="125" spans="1:7" ht="18" customHeight="1" x14ac:dyDescent="0.3">
      <c r="A125" s="44">
        <v>10103</v>
      </c>
      <c r="B125" s="24" t="s">
        <v>283</v>
      </c>
      <c r="C125" s="10">
        <f>IFERROR(INDEX('حسابهای دریافتنی'!H:H,MATCH(Table26[[#This Row],[كد تفصيلي]],'حسابهای دریافتنی'!A:A,0)),0)</f>
        <v>-1580000</v>
      </c>
      <c r="D125" s="11">
        <f>IFERROR(INDEX('درجریان وصول'!F:F,MATCH(Table26[[#This Row],[كد تفصيلي]],'درجریان وصول'!A:A,0)),0)</f>
        <v>0</v>
      </c>
      <c r="E125" s="11">
        <f>IFERROR(INDEX('چکهای دریافتنی'!F:F,MATCH(Table26[[#This Row],[كد تفصيلي]],'چکهای دریافتنی'!A:A,0)),0)</f>
        <v>0</v>
      </c>
      <c r="F125" s="11">
        <f>Table26[[#This Row],[حسابهای دریافتنی]]+Table26[[#This Row],[چکهای در جریان وصول]]+Table26[[#This Row],[چکهای نزد صندوق]]</f>
        <v>-1580000</v>
      </c>
      <c r="G125" s="12">
        <f>IFERROR(INDEX('مانده سوفاله'!F:F,MATCH(Table26[[#This Row],[كد تفصيلي]],'مانده سوفاله'!A:A,0)),0)</f>
        <v>0</v>
      </c>
    </row>
    <row r="126" spans="1:7" ht="18" customHeight="1" x14ac:dyDescent="0.3">
      <c r="A126" s="43">
        <v>30155</v>
      </c>
      <c r="B126" s="25" t="s">
        <v>289</v>
      </c>
      <c r="C126" s="10">
        <f>IFERROR(INDEX('حسابهای دریافتنی'!H:H,MATCH(Table26[[#This Row],[كد تفصيلي]],'حسابهای دریافتنی'!A:A,0)),0)</f>
        <v>-454985417</v>
      </c>
      <c r="D126" s="11">
        <f>IFERROR(INDEX('درجریان وصول'!F:F,MATCH(Table26[[#This Row],[كد تفصيلي]],'درجریان وصول'!A:A,0)),0)</f>
        <v>0</v>
      </c>
      <c r="E126" s="11">
        <f>IFERROR(INDEX('چکهای دریافتنی'!F:F,MATCH(Table26[[#This Row],[كد تفصيلي]],'چکهای دریافتنی'!A:A,0)),0)</f>
        <v>1379936267</v>
      </c>
      <c r="F126" s="11">
        <f>Table26[[#This Row],[حسابهای دریافتنی]]+Table26[[#This Row],[چکهای در جریان وصول]]+Table26[[#This Row],[چکهای نزد صندوق]]</f>
        <v>924950850</v>
      </c>
      <c r="G126" s="12">
        <f>IFERROR(INDEX('مانده سوفاله'!F:F,MATCH(Table26[[#This Row],[كد تفصيلي]],'مانده سوفاله'!A:A,0)),0)</f>
        <v>0</v>
      </c>
    </row>
    <row r="127" spans="1:7" ht="18" customHeight="1" x14ac:dyDescent="0.3">
      <c r="A127" s="46">
        <v>10125</v>
      </c>
      <c r="B127" s="25" t="s">
        <v>345</v>
      </c>
      <c r="C127" s="10">
        <f>IFERROR(INDEX('حسابهای دریافتنی'!H:H,MATCH(Table26[[#This Row],[كد تفصيلي]],'حسابهای دریافتنی'!A:A,0)),0)</f>
        <v>-1650000</v>
      </c>
      <c r="D127" s="11">
        <f>IFERROR(INDEX('درجریان وصول'!F:F,MATCH(Table26[[#This Row],[كد تفصيلي]],'درجریان وصول'!A:A,0)),0)</f>
        <v>0</v>
      </c>
      <c r="E127" s="11">
        <f>IFERROR(INDEX('چکهای دریافتنی'!F:F,MATCH(Table26[[#This Row],[كد تفصيلي]],'چکهای دریافتنی'!A:A,0)),0)</f>
        <v>0</v>
      </c>
      <c r="F127" s="11">
        <f>Table26[[#This Row],[حسابهای دریافتنی]]+Table26[[#This Row],[چکهای در جریان وصول]]+Table26[[#This Row],[چکهای نزد صندوق]]</f>
        <v>-1650000</v>
      </c>
      <c r="G127" s="12">
        <f>IFERROR(INDEX('مانده سوفاله'!F:F,MATCH(Table26[[#This Row],[كد تفصيلي]],'مانده سوفاله'!A:A,0)),0)</f>
        <v>0</v>
      </c>
    </row>
    <row r="128" spans="1:7" ht="18" customHeight="1" x14ac:dyDescent="0.3">
      <c r="A128" s="45">
        <v>10110</v>
      </c>
      <c r="B128" s="24" t="s">
        <v>306</v>
      </c>
      <c r="C128" s="10">
        <f>IFERROR(INDEX('حسابهای دریافتنی'!H:H,MATCH(Table26[[#This Row],[كد تفصيلي]],'حسابهای دریافتنی'!A:A,0)),0)</f>
        <v>-1817500</v>
      </c>
      <c r="D128" s="11">
        <f>IFERROR(INDEX('درجریان وصول'!F:F,MATCH(Table26[[#This Row],[كد تفصيلي]],'درجریان وصول'!A:A,0)),0)</f>
        <v>0</v>
      </c>
      <c r="E128" s="11">
        <f>IFERROR(INDEX('چکهای دریافتنی'!F:F,MATCH(Table26[[#This Row],[كد تفصيلي]],'چکهای دریافتنی'!A:A,0)),0)</f>
        <v>0</v>
      </c>
      <c r="F128" s="11">
        <f>Table26[[#This Row],[حسابهای دریافتنی]]+Table26[[#This Row],[چکهای در جریان وصول]]+Table26[[#This Row],[چکهای نزد صندوق]]</f>
        <v>-1817500</v>
      </c>
      <c r="G128" s="12">
        <f>IFERROR(INDEX('مانده سوفاله'!F:F,MATCH(Table26[[#This Row],[كد تفصيلي]],'مانده سوفاله'!A:A,0)),0)</f>
        <v>7</v>
      </c>
    </row>
    <row r="129" spans="1:7" ht="18" customHeight="1" x14ac:dyDescent="0.3">
      <c r="A129" s="43">
        <v>30103</v>
      </c>
      <c r="B129" s="25" t="s">
        <v>240</v>
      </c>
      <c r="C129" s="10">
        <f>IFERROR(INDEX('حسابهای دریافتنی'!H:H,MATCH(Table26[[#This Row],[كد تفصيلي]],'حسابهای دریافتنی'!A:A,0)),0)</f>
        <v>-1820000</v>
      </c>
      <c r="D129" s="11">
        <f>IFERROR(INDEX('درجریان وصول'!F:F,MATCH(Table26[[#This Row],[كد تفصيلي]],'درجریان وصول'!A:A,0)),0)</f>
        <v>0</v>
      </c>
      <c r="E129" s="11">
        <f>IFERROR(INDEX('چکهای دریافتنی'!F:F,MATCH(Table26[[#This Row],[كد تفصيلي]],'چکهای دریافتنی'!A:A,0)),0)</f>
        <v>0</v>
      </c>
      <c r="F129" s="11">
        <f>Table26[[#This Row],[حسابهای دریافتنی]]+Table26[[#This Row],[چکهای در جریان وصول]]+Table26[[#This Row],[چکهای نزد صندوق]]</f>
        <v>-1820000</v>
      </c>
      <c r="G129" s="12">
        <f>IFERROR(INDEX('مانده سوفاله'!F:F,MATCH(Table26[[#This Row],[كد تفصيلي]],'مانده سوفاله'!A:A,0)),0)</f>
        <v>0</v>
      </c>
    </row>
    <row r="130" spans="1:7" ht="18" customHeight="1" x14ac:dyDescent="0.3">
      <c r="A130" s="45">
        <v>30174</v>
      </c>
      <c r="B130" s="24" t="s">
        <v>327</v>
      </c>
      <c r="C130" s="10">
        <f>IFERROR(INDEX('حسابهای دریافتنی'!H:H,MATCH(Table26[[#This Row],[كد تفصيلي]],'حسابهای دریافتنی'!A:A,0)),0)</f>
        <v>-5000</v>
      </c>
      <c r="D130" s="11">
        <f>IFERROR(INDEX('درجریان وصول'!F:F,MATCH(Table26[[#This Row],[كد تفصيلي]],'درجریان وصول'!A:A,0)),0)</f>
        <v>0</v>
      </c>
      <c r="E130" s="11">
        <f>IFERROR(INDEX('چکهای دریافتنی'!F:F,MATCH(Table26[[#This Row],[كد تفصيلي]],'چکهای دریافتنی'!A:A,0)),0)</f>
        <v>0</v>
      </c>
      <c r="F130" s="11">
        <f>Table26[[#This Row],[حسابهای دریافتنی]]+Table26[[#This Row],[چکهای در جریان وصول]]+Table26[[#This Row],[چکهای نزد صندوق]]</f>
        <v>-5000</v>
      </c>
      <c r="G130" s="12">
        <f>IFERROR(INDEX('مانده سوفاله'!F:F,MATCH(Table26[[#This Row],[كد تفصيلي]],'مانده سوفاله'!A:A,0)),0)</f>
        <v>0</v>
      </c>
    </row>
    <row r="131" spans="1:7" customFormat="1" ht="18" customHeight="1" x14ac:dyDescent="0.35">
      <c r="A131" s="47">
        <v>10070</v>
      </c>
      <c r="B131" s="25" t="s">
        <v>230</v>
      </c>
      <c r="C131" s="10">
        <f>IFERROR(INDEX('حسابهای دریافتنی'!H:H,MATCH(Table26[[#This Row],[كد تفصيلي]],'حسابهای دریافتنی'!A:A,0)),0)</f>
        <v>508152500</v>
      </c>
      <c r="D131" s="11">
        <f>IFERROR(INDEX('درجریان وصول'!F:F,MATCH(Table26[[#This Row],[كد تفصيلي]],'درجریان وصول'!A:A,0)),0)</f>
        <v>0</v>
      </c>
      <c r="E131" s="11">
        <f>IFERROR(INDEX('چکهای دریافتنی'!F:F,MATCH(Table26[[#This Row],[كد تفصيلي]],'چکهای دریافتنی'!A:A,0)),0)</f>
        <v>570000000</v>
      </c>
      <c r="F131" s="11">
        <f>Table26[[#This Row],[حسابهای دریافتنی]]+Table26[[#This Row],[چکهای در جریان وصول]]+Table26[[#This Row],[چکهای نزد صندوق]]</f>
        <v>1078152500</v>
      </c>
      <c r="G131" s="12">
        <f>IFERROR(INDEX('مانده سوفاله'!F:F,MATCH(Table26[[#This Row],[كد تفصيلي]],'مانده سوفاله'!A:A,0)),0)</f>
        <v>-3170</v>
      </c>
    </row>
    <row r="132" spans="1:7" customFormat="1" ht="18" customHeight="1" x14ac:dyDescent="0.35">
      <c r="A132" s="48">
        <v>30128</v>
      </c>
      <c r="B132" s="24" t="s">
        <v>212</v>
      </c>
      <c r="C132" s="10">
        <f>IFERROR(INDEX('حسابهای دریافتنی'!H:H,MATCH(Table26[[#This Row],[كد تفصيلي]],'حسابهای دریافتنی'!A:A,0)),0)</f>
        <v>-2451320</v>
      </c>
      <c r="D132" s="11">
        <f>IFERROR(INDEX('درجریان وصول'!F:F,MATCH(Table26[[#This Row],[كد تفصيلي]],'درجریان وصول'!A:A,0)),0)</f>
        <v>0</v>
      </c>
      <c r="E132" s="11">
        <f>IFERROR(INDEX('چکهای دریافتنی'!F:F,MATCH(Table26[[#This Row],[كد تفصيلي]],'چکهای دریافتنی'!A:A,0)),0)</f>
        <v>0</v>
      </c>
      <c r="F132" s="11">
        <f>Table26[[#This Row],[حسابهای دریافتنی]]+Table26[[#This Row],[چکهای در جریان وصول]]+Table26[[#This Row],[چکهای نزد صندوق]]</f>
        <v>-2451320</v>
      </c>
      <c r="G132" s="12">
        <f>IFERROR(INDEX('مانده سوفاله'!F:F,MATCH(Table26[[#This Row],[كد تفصيلي]],'مانده سوفاله'!A:A,0)),0)</f>
        <v>0</v>
      </c>
    </row>
    <row r="133" spans="1:7" customFormat="1" ht="18" customHeight="1" x14ac:dyDescent="0.35">
      <c r="A133" s="48">
        <v>30015</v>
      </c>
      <c r="B133" s="24" t="s">
        <v>64</v>
      </c>
      <c r="C133" s="10">
        <f>IFERROR(INDEX('حسابهای دریافتنی'!H:H,MATCH(Table26[[#This Row],[كد تفصيلي]],'حسابهای دریافتنی'!A:A,0)),0)</f>
        <v>-3105895</v>
      </c>
      <c r="D133" s="11">
        <f>IFERROR(INDEX('درجریان وصول'!F:F,MATCH(Table26[[#This Row],[كد تفصيلي]],'درجریان وصول'!A:A,0)),0)</f>
        <v>0</v>
      </c>
      <c r="E133" s="11">
        <f>IFERROR(INDEX('چکهای دریافتنی'!F:F,MATCH(Table26[[#This Row],[كد تفصيلي]],'چکهای دریافتنی'!A:A,0)),0)</f>
        <v>0</v>
      </c>
      <c r="F133" s="11">
        <f>Table26[[#This Row],[حسابهای دریافتنی]]+Table26[[#This Row],[چکهای در جریان وصول]]+Table26[[#This Row],[چکهای نزد صندوق]]</f>
        <v>-3105895</v>
      </c>
      <c r="G133" s="12">
        <f>IFERROR(INDEX('مانده سوفاله'!F:F,MATCH(Table26[[#This Row],[كد تفصيلي]],'مانده سوفاله'!A:A,0)),0)</f>
        <v>0</v>
      </c>
    </row>
    <row r="134" spans="1:7" customFormat="1" ht="18" customHeight="1" x14ac:dyDescent="0.35">
      <c r="A134" s="48">
        <v>30110</v>
      </c>
      <c r="B134" s="24" t="s">
        <v>200</v>
      </c>
      <c r="C134" s="10">
        <f>IFERROR(INDEX('حسابهای دریافتنی'!H:H,MATCH(Table26[[#This Row],[كد تفصيلي]],'حسابهای دریافتنی'!A:A,0)),0)</f>
        <v>-3492360</v>
      </c>
      <c r="D134" s="11">
        <f>IFERROR(INDEX('درجریان وصول'!F:F,MATCH(Table26[[#This Row],[كد تفصيلي]],'درجریان وصول'!A:A,0)),0)</f>
        <v>0</v>
      </c>
      <c r="E134" s="11">
        <f>IFERROR(INDEX('چکهای دریافتنی'!F:F,MATCH(Table26[[#This Row],[كد تفصيلي]],'چکهای دریافتنی'!A:A,0)),0)</f>
        <v>0</v>
      </c>
      <c r="F134" s="11">
        <f>Table26[[#This Row],[حسابهای دریافتنی]]+Table26[[#This Row],[چکهای در جریان وصول]]+Table26[[#This Row],[چکهای نزد صندوق]]</f>
        <v>-3492360</v>
      </c>
      <c r="G134" s="12">
        <f>IFERROR(INDEX('مانده سوفاله'!F:F,MATCH(Table26[[#This Row],[كد تفصيلي]],'مانده سوفاله'!A:A,0)),0)</f>
        <v>0</v>
      </c>
    </row>
    <row r="135" spans="1:7" customFormat="1" ht="18" customHeight="1" x14ac:dyDescent="0.35">
      <c r="A135" s="48">
        <v>10049</v>
      </c>
      <c r="B135" s="24" t="s">
        <v>157</v>
      </c>
      <c r="C135" s="10">
        <f>IFERROR(INDEX('حسابهای دریافتنی'!H:H,MATCH(Table26[[#This Row],[كد تفصيلي]],'حسابهای دریافتنی'!A:A,0)),0)</f>
        <v>-32909500</v>
      </c>
      <c r="D135" s="11">
        <f>IFERROR(INDEX('درجریان وصول'!F:F,MATCH(Table26[[#This Row],[كد تفصيلي]],'درجریان وصول'!A:A,0)),0)</f>
        <v>0</v>
      </c>
      <c r="E135" s="11">
        <f>IFERROR(INDEX('چکهای دریافتنی'!F:F,MATCH(Table26[[#This Row],[كد تفصيلي]],'چکهای دریافتنی'!A:A,0)),0)</f>
        <v>0</v>
      </c>
      <c r="F135" s="11">
        <f>Table26[[#This Row],[حسابهای دریافتنی]]+Table26[[#This Row],[چکهای در جریان وصول]]+Table26[[#This Row],[چکهای نزد صندوق]]</f>
        <v>-32909500</v>
      </c>
      <c r="G135" s="12">
        <f>IFERROR(INDEX('مانده سوفاله'!F:F,MATCH(Table26[[#This Row],[كد تفصيلي]],'مانده سوفاله'!A:A,0)),0)</f>
        <v>0</v>
      </c>
    </row>
    <row r="136" spans="1:7" customFormat="1" ht="18" customHeight="1" x14ac:dyDescent="0.35">
      <c r="A136" s="48">
        <v>30023</v>
      </c>
      <c r="B136" s="24" t="s">
        <v>71</v>
      </c>
      <c r="C136" s="10">
        <f>IFERROR(INDEX('حسابهای دریافتنی'!H:H,MATCH(Table26[[#This Row],[كد تفصيلي]],'حسابهای دریافتنی'!A:A,0)),0)</f>
        <v>-5793600</v>
      </c>
      <c r="D136" s="11">
        <f>IFERROR(INDEX('درجریان وصول'!F:F,MATCH(Table26[[#This Row],[كد تفصيلي]],'درجریان وصول'!A:A,0)),0)</f>
        <v>0</v>
      </c>
      <c r="E136" s="11">
        <f>IFERROR(INDEX('چکهای دریافتنی'!F:F,MATCH(Table26[[#This Row],[كد تفصيلي]],'چکهای دریافتنی'!A:A,0)),0)</f>
        <v>0</v>
      </c>
      <c r="F136" s="11">
        <f>Table26[[#This Row],[حسابهای دریافتنی]]+Table26[[#This Row],[چکهای در جریان وصول]]+Table26[[#This Row],[چکهای نزد صندوق]]</f>
        <v>-5793600</v>
      </c>
      <c r="G136" s="12">
        <f>IFERROR(INDEX('مانده سوفاله'!F:F,MATCH(Table26[[#This Row],[كد تفصيلي]],'مانده سوفاله'!A:A,0)),0)</f>
        <v>0</v>
      </c>
    </row>
    <row r="137" spans="1:7" customFormat="1" ht="18" customHeight="1" x14ac:dyDescent="0.35">
      <c r="A137" s="50">
        <v>30176</v>
      </c>
      <c r="B137" s="24" t="s">
        <v>332</v>
      </c>
      <c r="C137" s="10">
        <f>IFERROR(INDEX('حسابهای دریافتنی'!H:H,MATCH(Table26[[#This Row],[كد تفصيلي]],'حسابهای دریافتنی'!A:A,0)),0)</f>
        <v>-7540075</v>
      </c>
      <c r="D137" s="11">
        <f>IFERROR(INDEX('درجریان وصول'!F:F,MATCH(Table26[[#This Row],[كد تفصيلي]],'درجریان وصول'!A:A,0)),0)</f>
        <v>0</v>
      </c>
      <c r="E137" s="11">
        <f>IFERROR(INDEX('چکهای دریافتنی'!F:F,MATCH(Table26[[#This Row],[كد تفصيلي]],'چکهای دریافتنی'!A:A,0)),0)</f>
        <v>0</v>
      </c>
      <c r="F137" s="11">
        <f>Table26[[#This Row],[حسابهای دریافتنی]]+Table26[[#This Row],[چکهای در جریان وصول]]+Table26[[#This Row],[چکهای نزد صندوق]]</f>
        <v>-7540075</v>
      </c>
      <c r="G137" s="12">
        <f>IFERROR(INDEX('مانده سوفاله'!F:F,MATCH(Table26[[#This Row],[كد تفصيلي]],'مانده سوفاله'!A:A,0)),0)</f>
        <v>0</v>
      </c>
    </row>
    <row r="138" spans="1:7" customFormat="1" ht="18" customHeight="1" x14ac:dyDescent="0.35">
      <c r="A138" s="50">
        <v>10106</v>
      </c>
      <c r="B138" s="24" t="s">
        <v>298</v>
      </c>
      <c r="C138" s="10">
        <f>IFERROR(INDEX('حسابهای دریافتنی'!H:H,MATCH(Table26[[#This Row],[كد تفصيلي]],'حسابهای دریافتنی'!A:A,0)),0)</f>
        <v>-9134000</v>
      </c>
      <c r="D138" s="11">
        <f>IFERROR(INDEX('درجریان وصول'!F:F,MATCH(Table26[[#This Row],[كد تفصيلي]],'درجریان وصول'!A:A,0)),0)</f>
        <v>0</v>
      </c>
      <c r="E138" s="11">
        <f>IFERROR(INDEX('چکهای دریافتنی'!F:F,MATCH(Table26[[#This Row],[كد تفصيلي]],'چکهای دریافتنی'!A:A,0)),0)</f>
        <v>0</v>
      </c>
      <c r="F138" s="11">
        <f>Table26[[#This Row],[حسابهای دریافتنی]]+Table26[[#This Row],[چکهای در جریان وصول]]+Table26[[#This Row],[چکهای نزد صندوق]]</f>
        <v>-9134000</v>
      </c>
      <c r="G138" s="12">
        <f>IFERROR(INDEX('مانده سوفاله'!F:F,MATCH(Table26[[#This Row],[كد تفصيلي]],'مانده سوفاله'!A:A,0)),0)</f>
        <v>0</v>
      </c>
    </row>
    <row r="139" spans="1:7" customFormat="1" ht="18" customHeight="1" x14ac:dyDescent="0.35">
      <c r="A139" s="47">
        <v>10102</v>
      </c>
      <c r="B139" s="25" t="s">
        <v>282</v>
      </c>
      <c r="C139" s="10">
        <f>IFERROR(INDEX('حسابهای دریافتنی'!H:H,MATCH(Table26[[#This Row],[كد تفصيلي]],'حسابهای دریافتنی'!A:A,0)),0)</f>
        <v>-10374000</v>
      </c>
      <c r="D139" s="11">
        <f>IFERROR(INDEX('درجریان وصول'!F:F,MATCH(Table26[[#This Row],[كد تفصيلي]],'درجریان وصول'!A:A,0)),0)</f>
        <v>0</v>
      </c>
      <c r="E139" s="11">
        <f>IFERROR(INDEX('چکهای دریافتنی'!F:F,MATCH(Table26[[#This Row],[كد تفصيلي]],'چکهای دریافتنی'!A:A,0)),0)</f>
        <v>0</v>
      </c>
      <c r="F139" s="11">
        <f>Table26[[#This Row],[حسابهای دریافتنی]]+Table26[[#This Row],[چکهای در جریان وصول]]+Table26[[#This Row],[چکهای نزد صندوق]]</f>
        <v>-10374000</v>
      </c>
      <c r="G139" s="12">
        <f>IFERROR(INDEX('مانده سوفاله'!F:F,MATCH(Table26[[#This Row],[كد تفصيلي]],'مانده سوفاله'!A:A,0)),0)</f>
        <v>0</v>
      </c>
    </row>
    <row r="140" spans="1:7" customFormat="1" ht="18" customHeight="1" x14ac:dyDescent="0.35">
      <c r="A140" s="47">
        <v>10058</v>
      </c>
      <c r="B140" s="25" t="s">
        <v>173</v>
      </c>
      <c r="C140" s="10">
        <f>IFERROR(INDEX('حسابهای دریافتنی'!H:H,MATCH(Table26[[#This Row],[كد تفصيلي]],'حسابهای دریافتنی'!A:A,0)),0)</f>
        <v>-13650000</v>
      </c>
      <c r="D140" s="11">
        <f>IFERROR(INDEX('درجریان وصول'!F:F,MATCH(Table26[[#This Row],[كد تفصيلي]],'درجریان وصول'!A:A,0)),0)</f>
        <v>0</v>
      </c>
      <c r="E140" s="11">
        <f>IFERROR(INDEX('چکهای دریافتنی'!F:F,MATCH(Table26[[#This Row],[كد تفصيلي]],'چکهای دریافتنی'!A:A,0)),0)</f>
        <v>0</v>
      </c>
      <c r="F140" s="11">
        <f>Table26[[#This Row],[حسابهای دریافتنی]]+Table26[[#This Row],[چکهای در جریان وصول]]+Table26[[#This Row],[چکهای نزد صندوق]]</f>
        <v>-13650000</v>
      </c>
      <c r="G140" s="12">
        <f>IFERROR(INDEX('مانده سوفاله'!F:F,MATCH(Table26[[#This Row],[كد تفصيلي]],'مانده سوفاله'!A:A,0)),0)</f>
        <v>0</v>
      </c>
    </row>
    <row r="141" spans="1:7" customFormat="1" ht="18" customHeight="1" x14ac:dyDescent="0.35">
      <c r="A141" s="50">
        <v>10126</v>
      </c>
      <c r="B141" s="24" t="s">
        <v>370</v>
      </c>
      <c r="C141" s="10">
        <f>IFERROR(INDEX('حسابهای دریافتنی'!H:H,MATCH(Table26[[#This Row],[كد تفصيلي]],'حسابهای دریافتنی'!A:A,0)),0)</f>
        <v>12165000</v>
      </c>
      <c r="D141" s="11">
        <f>IFERROR(INDEX('درجریان وصول'!F:F,MATCH(Table26[[#This Row],[كد تفصيلي]],'درجریان وصول'!A:A,0)),0)</f>
        <v>0</v>
      </c>
      <c r="E141" s="11">
        <f>IFERROR(INDEX('چکهای دریافتنی'!F:F,MATCH(Table26[[#This Row],[كد تفصيلي]],'چکهای دریافتنی'!A:A,0)),0)</f>
        <v>0</v>
      </c>
      <c r="F141" s="11">
        <f>Table26[[#This Row],[حسابهای دریافتنی]]+Table26[[#This Row],[چکهای در جریان وصول]]+Table26[[#This Row],[چکهای نزد صندوق]]</f>
        <v>12165000</v>
      </c>
      <c r="G141" s="12">
        <f>IFERROR(INDEX('مانده سوفاله'!F:F,MATCH(Table26[[#This Row],[كد تفصيلي]],'مانده سوفاله'!A:A,0)),0)</f>
        <v>0</v>
      </c>
    </row>
    <row r="142" spans="1:7" customFormat="1" ht="18" customHeight="1" x14ac:dyDescent="0.35">
      <c r="A142" s="48">
        <v>30082</v>
      </c>
      <c r="B142" s="24" t="s">
        <v>127</v>
      </c>
      <c r="C142" s="10">
        <f>IFERROR(INDEX('حسابهای دریافتنی'!H:H,MATCH(Table26[[#This Row],[كد تفصيلي]],'حسابهای دریافتنی'!A:A,0)),0)</f>
        <v>-15037000</v>
      </c>
      <c r="D142" s="11">
        <f>IFERROR(INDEX('درجریان وصول'!F:F,MATCH(Table26[[#This Row],[كد تفصيلي]],'درجریان وصول'!A:A,0)),0)</f>
        <v>0</v>
      </c>
      <c r="E142" s="11">
        <f>IFERROR(INDEX('چکهای دریافتنی'!F:F,MATCH(Table26[[#This Row],[كد تفصيلي]],'چکهای دریافتنی'!A:A,0)),0)</f>
        <v>0</v>
      </c>
      <c r="F142" s="11">
        <f>Table26[[#This Row],[حسابهای دریافتنی]]+Table26[[#This Row],[چکهای در جریان وصول]]+Table26[[#This Row],[چکهای نزد صندوق]]</f>
        <v>-15037000</v>
      </c>
      <c r="G142" s="12">
        <f>IFERROR(INDEX('مانده سوفاله'!F:F,MATCH(Table26[[#This Row],[كد تفصيلي]],'مانده سوفاله'!A:A,0)),0)</f>
        <v>-16</v>
      </c>
    </row>
    <row r="143" spans="1:7" customFormat="1" ht="18" customHeight="1" x14ac:dyDescent="0.35">
      <c r="A143" s="47">
        <v>30034</v>
      </c>
      <c r="B143" s="25" t="s">
        <v>81</v>
      </c>
      <c r="C143" s="10">
        <f>IFERROR(INDEX('حسابهای دریافتنی'!H:H,MATCH(Table26[[#This Row],[كد تفصيلي]],'حسابهای دریافتنی'!A:A,0)),0)</f>
        <v>388329200</v>
      </c>
      <c r="D143" s="11">
        <f>IFERROR(INDEX('درجریان وصول'!F:F,MATCH(Table26[[#This Row],[كد تفصيلي]],'درجریان وصول'!A:A,0)),0)</f>
        <v>0</v>
      </c>
      <c r="E143" s="11">
        <f>IFERROR(INDEX('چکهای دریافتنی'!F:F,MATCH(Table26[[#This Row],[كد تفصيلي]],'چکهای دریافتنی'!A:A,0)),0)</f>
        <v>0</v>
      </c>
      <c r="F143" s="11">
        <f>Table26[[#This Row],[حسابهای دریافتنی]]+Table26[[#This Row],[چکهای در جریان وصول]]+Table26[[#This Row],[چکهای نزد صندوق]]</f>
        <v>388329200</v>
      </c>
      <c r="G143" s="12">
        <f>IFERROR(INDEX('مانده سوفاله'!F:F,MATCH(Table26[[#This Row],[كد تفصيلي]],'مانده سوفاله'!A:A,0)),0)</f>
        <v>2886</v>
      </c>
    </row>
    <row r="144" spans="1:7" customFormat="1" ht="18" customHeight="1" x14ac:dyDescent="0.35">
      <c r="A144" s="47">
        <v>30042</v>
      </c>
      <c r="B144" s="25" t="s">
        <v>89</v>
      </c>
      <c r="C144" s="10">
        <f>IFERROR(INDEX('حسابهای دریافتنی'!H:H,MATCH(Table26[[#This Row],[كد تفصيلي]],'حسابهای دریافتنی'!A:A,0)),0)</f>
        <v>-18303540</v>
      </c>
      <c r="D144" s="11">
        <f>IFERROR(INDEX('درجریان وصول'!F:F,MATCH(Table26[[#This Row],[كد تفصيلي]],'درجریان وصول'!A:A,0)),0)</f>
        <v>0</v>
      </c>
      <c r="E144" s="11">
        <f>IFERROR(INDEX('چکهای دریافتنی'!F:F,MATCH(Table26[[#This Row],[كد تفصيلي]],'چکهای دریافتنی'!A:A,0)),0)</f>
        <v>0</v>
      </c>
      <c r="F144" s="11">
        <f>Table26[[#This Row],[حسابهای دریافتنی]]+Table26[[#This Row],[چکهای در جریان وصول]]+Table26[[#This Row],[چکهای نزد صندوق]]</f>
        <v>-18303540</v>
      </c>
      <c r="G144" s="12">
        <f>IFERROR(INDEX('مانده سوفاله'!F:F,MATCH(Table26[[#This Row],[كد تفصيلي]],'مانده سوفاله'!A:A,0)),0)</f>
        <v>0</v>
      </c>
    </row>
    <row r="145" spans="1:7" customFormat="1" ht="18" customHeight="1" x14ac:dyDescent="0.35">
      <c r="A145" s="47">
        <v>30028</v>
      </c>
      <c r="B145" s="25" t="s">
        <v>76</v>
      </c>
      <c r="C145" s="10">
        <f>IFERROR(INDEX('حسابهای دریافتنی'!H:H,MATCH(Table26[[#This Row],[كد تفصيلي]],'حسابهای دریافتنی'!A:A,0)),0)</f>
        <v>-23665000</v>
      </c>
      <c r="D145" s="11">
        <f>IFERROR(INDEX('درجریان وصول'!F:F,MATCH(Table26[[#This Row],[كد تفصيلي]],'درجریان وصول'!A:A,0)),0)</f>
        <v>0</v>
      </c>
      <c r="E145" s="11">
        <f>IFERROR(INDEX('چکهای دریافتنی'!F:F,MATCH(Table26[[#This Row],[كد تفصيلي]],'چکهای دریافتنی'!A:A,0)),0)</f>
        <v>0</v>
      </c>
      <c r="F145" s="11">
        <f>Table26[[#This Row],[حسابهای دریافتنی]]+Table26[[#This Row],[چکهای در جریان وصول]]+Table26[[#This Row],[چکهای نزد صندوق]]</f>
        <v>-23665000</v>
      </c>
      <c r="G145" s="12">
        <f>IFERROR(INDEX('مانده سوفاله'!F:F,MATCH(Table26[[#This Row],[كد تفصيلي]],'مانده سوفاله'!A:A,0)),0)</f>
        <v>0</v>
      </c>
    </row>
    <row r="146" spans="1:7" customFormat="1" ht="18" customHeight="1" x14ac:dyDescent="0.35">
      <c r="A146" s="47">
        <v>30024</v>
      </c>
      <c r="B146" s="25" t="s">
        <v>72</v>
      </c>
      <c r="C146" s="10">
        <f>IFERROR(INDEX('حسابهای دریافتنی'!H:H,MATCH(Table26[[#This Row],[كد تفصيلي]],'حسابهای دریافتنی'!A:A,0)),0)</f>
        <v>16135000</v>
      </c>
      <c r="D146" s="11">
        <f>IFERROR(INDEX('درجریان وصول'!F:F,MATCH(Table26[[#This Row],[كد تفصيلي]],'درجریان وصول'!A:A,0)),0)</f>
        <v>0</v>
      </c>
      <c r="E146" s="11">
        <f>IFERROR(INDEX('چکهای دریافتنی'!F:F,MATCH(Table26[[#This Row],[كد تفصيلي]],'چکهای دریافتنی'!A:A,0)),0)</f>
        <v>0</v>
      </c>
      <c r="F146" s="11">
        <f>Table26[[#This Row],[حسابهای دریافتنی]]+Table26[[#This Row],[چکهای در جریان وصول]]+Table26[[#This Row],[چکهای نزد صندوق]]</f>
        <v>16135000</v>
      </c>
      <c r="G146" s="12">
        <f>IFERROR(INDEX('مانده سوفاله'!F:F,MATCH(Table26[[#This Row],[كد تفصيلي]],'مانده سوفاله'!A:A,0)),0)</f>
        <v>0</v>
      </c>
    </row>
    <row r="147" spans="1:7" customFormat="1" ht="18" customHeight="1" x14ac:dyDescent="0.35">
      <c r="A147" s="48">
        <v>30072</v>
      </c>
      <c r="B147" s="24" t="s">
        <v>117</v>
      </c>
      <c r="C147" s="10">
        <f>IFERROR(INDEX('حسابهای دریافتنی'!H:H,MATCH(Table26[[#This Row],[كد تفصيلي]],'حسابهای دریافتنی'!A:A,0)),0)</f>
        <v>-30178900</v>
      </c>
      <c r="D147" s="11">
        <f>IFERROR(INDEX('درجریان وصول'!F:F,MATCH(Table26[[#This Row],[كد تفصيلي]],'درجریان وصول'!A:A,0)),0)</f>
        <v>0</v>
      </c>
      <c r="E147" s="11">
        <f>IFERROR(INDEX('چکهای دریافتنی'!F:F,MATCH(Table26[[#This Row],[كد تفصيلي]],'چکهای دریافتنی'!A:A,0)),0)</f>
        <v>0</v>
      </c>
      <c r="F147" s="11">
        <f>Table26[[#This Row],[حسابهای دریافتنی]]+Table26[[#This Row],[چکهای در جریان وصول]]+Table26[[#This Row],[چکهای نزد صندوق]]</f>
        <v>-30178900</v>
      </c>
      <c r="G147" s="12">
        <f>IFERROR(INDEX('مانده سوفاله'!F:F,MATCH(Table26[[#This Row],[كد تفصيلي]],'مانده سوفاله'!A:A,0)),0)</f>
        <v>-79</v>
      </c>
    </row>
    <row r="148" spans="1:7" customFormat="1" ht="18" customHeight="1" x14ac:dyDescent="0.35">
      <c r="A148" s="47">
        <v>10002</v>
      </c>
      <c r="B148" s="25" t="s">
        <v>9</v>
      </c>
      <c r="C148" s="10">
        <f>IFERROR(INDEX('حسابهای دریافتنی'!H:H,MATCH(Table26[[#This Row],[كد تفصيلي]],'حسابهای دریافتنی'!A:A,0)),0)</f>
        <v>-3600000000</v>
      </c>
      <c r="D148" s="11">
        <f>IFERROR(INDEX('درجریان وصول'!F:F,MATCH(Table26[[#This Row],[كد تفصيلي]],'درجریان وصول'!A:A,0)),0)</f>
        <v>0</v>
      </c>
      <c r="E148" s="11">
        <f>IFERROR(INDEX('چکهای دریافتنی'!F:F,MATCH(Table26[[#This Row],[كد تفصيلي]],'چکهای دریافتنی'!A:A,0)),0)</f>
        <v>0</v>
      </c>
      <c r="F148" s="11">
        <f>Table26[[#This Row],[حسابهای دریافتنی]]+Table26[[#This Row],[چکهای در جریان وصول]]+Table26[[#This Row],[چکهای نزد صندوق]]</f>
        <v>-3600000000</v>
      </c>
      <c r="G148" s="12">
        <f>IFERROR(INDEX('مانده سوفاله'!F:F,MATCH(Table26[[#This Row],[كد تفصيلي]],'مانده سوفاله'!A:A,0)),0)</f>
        <v>0</v>
      </c>
    </row>
    <row r="149" spans="1:7" customFormat="1" ht="18" customHeight="1" x14ac:dyDescent="0.35">
      <c r="A149" s="47">
        <v>30000</v>
      </c>
      <c r="B149" s="25" t="s">
        <v>189</v>
      </c>
      <c r="C149" s="10">
        <f>IFERROR(INDEX('حسابهای دریافتنی'!H:H,MATCH(Table26[[#This Row],[كد تفصيلي]],'حسابهای دریافتنی'!A:A,0)),0)</f>
        <v>-55440000</v>
      </c>
      <c r="D149" s="11">
        <f>IFERROR(INDEX('درجریان وصول'!F:F,MATCH(Table26[[#This Row],[كد تفصيلي]],'درجریان وصول'!A:A,0)),0)</f>
        <v>0</v>
      </c>
      <c r="E149" s="11">
        <f>IFERROR(INDEX('چکهای دریافتنی'!F:F,MATCH(Table26[[#This Row],[كد تفصيلي]],'چکهای دریافتنی'!A:A,0)),0)</f>
        <v>0</v>
      </c>
      <c r="F149" s="11">
        <f>Table26[[#This Row],[حسابهای دریافتنی]]+Table26[[#This Row],[چکهای در جریان وصول]]+Table26[[#This Row],[چکهای نزد صندوق]]</f>
        <v>-55440000</v>
      </c>
      <c r="G149" s="12">
        <f>IFERROR(INDEX('مانده سوفاله'!F:F,MATCH(Table26[[#This Row],[كد تفصيلي]],'مانده سوفاله'!A:A,0)),0)</f>
        <v>0</v>
      </c>
    </row>
    <row r="150" spans="1:7" customFormat="1" ht="18" customHeight="1" x14ac:dyDescent="0.35">
      <c r="A150" s="47">
        <v>30133</v>
      </c>
      <c r="B150" s="25" t="s">
        <v>251</v>
      </c>
      <c r="C150" s="10">
        <f>IFERROR(INDEX('حسابهای دریافتنی'!H:H,MATCH(Table26[[#This Row],[كد تفصيلي]],'حسابهای دریافتنی'!A:A,0)),0)</f>
        <v>-66889500</v>
      </c>
      <c r="D150" s="11">
        <f>IFERROR(INDEX('درجریان وصول'!F:F,MATCH(Table26[[#This Row],[كد تفصيلي]],'درجریان وصول'!A:A,0)),0)</f>
        <v>0</v>
      </c>
      <c r="E150" s="11">
        <f>IFERROR(INDEX('چکهای دریافتنی'!F:F,MATCH(Table26[[#This Row],[كد تفصيلي]],'چکهای دریافتنی'!A:A,0)),0)</f>
        <v>0</v>
      </c>
      <c r="F150" s="11">
        <f>Table26[[#This Row],[حسابهای دریافتنی]]+Table26[[#This Row],[چکهای در جریان وصول]]+Table26[[#This Row],[چکهای نزد صندوق]]</f>
        <v>-66889500</v>
      </c>
      <c r="G150" s="12">
        <f>IFERROR(INDEX('مانده سوفاله'!F:F,MATCH(Table26[[#This Row],[كد تفصيلي]],'مانده سوفاله'!A:A,0)),0)</f>
        <v>0</v>
      </c>
    </row>
    <row r="151" spans="1:7" customFormat="1" ht="18" customHeight="1" x14ac:dyDescent="0.35">
      <c r="A151" s="48">
        <v>50005</v>
      </c>
      <c r="B151" s="24" t="s">
        <v>148</v>
      </c>
      <c r="C151" s="10">
        <f>IFERROR(INDEX('حسابهای دریافتنی'!H:H,MATCH(Table26[[#This Row],[كد تفصيلي]],'حسابهای دریافتنی'!A:A,0)),0)</f>
        <v>0</v>
      </c>
      <c r="D151" s="11">
        <f>IFERROR(INDEX('درجریان وصول'!F:F,MATCH(Table26[[#This Row],[كد تفصيلي]],'درجریان وصول'!A:A,0)),0)</f>
        <v>0</v>
      </c>
      <c r="E151" s="11">
        <f>IFERROR(INDEX('چکهای دریافتنی'!F:F,MATCH(Table26[[#This Row],[كد تفصيلي]],'چکهای دریافتنی'!A:A,0)),0)</f>
        <v>0</v>
      </c>
      <c r="F151" s="11">
        <f>Table26[[#This Row],[حسابهای دریافتنی]]+Table26[[#This Row],[چکهای در جریان وصول]]+Table26[[#This Row],[چکهای نزد صندوق]]</f>
        <v>0</v>
      </c>
      <c r="G151" s="12">
        <f>IFERROR(INDEX('مانده سوفاله'!F:F,MATCH(Table26[[#This Row],[كد تفصيلي]],'مانده سوفاله'!A:A,0)),0)</f>
        <v>0</v>
      </c>
    </row>
    <row r="152" spans="1:7" customFormat="1" ht="18" customHeight="1" x14ac:dyDescent="0.35">
      <c r="A152" s="49">
        <v>30165</v>
      </c>
      <c r="B152" s="25" t="s">
        <v>310</v>
      </c>
      <c r="C152" s="10">
        <f>IFERROR(INDEX('حسابهای دریافتنی'!H:H,MATCH(Table26[[#This Row],[كد تفصيلي]],'حسابهای دریافتنی'!A:A,0)),0)</f>
        <v>-1139268000</v>
      </c>
      <c r="D152" s="11">
        <f>IFERROR(INDEX('درجریان وصول'!F:F,MATCH(Table26[[#This Row],[كد تفصيلي]],'درجریان وصول'!A:A,0)),0)</f>
        <v>0</v>
      </c>
      <c r="E152" s="11">
        <f>IFERROR(INDEX('چکهای دریافتنی'!F:F,MATCH(Table26[[#This Row],[كد تفصيلي]],'چکهای دریافتنی'!A:A,0)),0)</f>
        <v>0</v>
      </c>
      <c r="F152" s="11">
        <f>Table26[[#This Row],[حسابهای دریافتنی]]+Table26[[#This Row],[چکهای در جریان وصول]]+Table26[[#This Row],[چکهای نزد صندوق]]</f>
        <v>-1139268000</v>
      </c>
      <c r="G152" s="12">
        <f>IFERROR(INDEX('مانده سوفاله'!F:F,MATCH(Table26[[#This Row],[كد تفصيلي]],'مانده سوفاله'!A:A,0)),0)</f>
        <v>0</v>
      </c>
    </row>
    <row r="153" spans="1:7" customFormat="1" ht="18" customHeight="1" x14ac:dyDescent="0.35">
      <c r="A153" s="48">
        <v>10009</v>
      </c>
      <c r="B153" s="24" t="s">
        <v>16</v>
      </c>
      <c r="C153" s="10">
        <f>IFERROR(INDEX('حسابهای دریافتنی'!H:H,MATCH(Table26[[#This Row],[كد تفصيلي]],'حسابهای دریافتنی'!A:A,0)),0)</f>
        <v>-4260580000</v>
      </c>
      <c r="D153" s="11">
        <f>IFERROR(INDEX('درجریان وصول'!F:F,MATCH(Table26[[#This Row],[كد تفصيلي]],'درجریان وصول'!A:A,0)),0)</f>
        <v>0</v>
      </c>
      <c r="E153" s="11">
        <f>IFERROR(INDEX('چکهای دریافتنی'!F:F,MATCH(Table26[[#This Row],[كد تفصيلي]],'چکهای دریافتنی'!A:A,0)),0)</f>
        <v>1600000000</v>
      </c>
      <c r="F153" s="11">
        <f>Table26[[#This Row],[حسابهای دریافتنی]]+Table26[[#This Row],[چکهای در جریان وصول]]+Table26[[#This Row],[چکهای نزد صندوق]]</f>
        <v>-2660580000</v>
      </c>
      <c r="G153" s="12">
        <f>IFERROR(INDEX('مانده سوفاله'!F:F,MATCH(Table26[[#This Row],[كد تفصيلي]],'مانده سوفاله'!A:A,0)),0)</f>
        <v>9952</v>
      </c>
    </row>
    <row r="154" spans="1:7" customFormat="1" ht="18" customHeight="1" x14ac:dyDescent="0.35">
      <c r="A154" s="47">
        <v>30016</v>
      </c>
      <c r="B154" s="25" t="s">
        <v>253</v>
      </c>
      <c r="C154" s="10">
        <f>IFERROR(INDEX('حسابهای دریافتنی'!H:H,MATCH(Table26[[#This Row],[كد تفصيلي]],'حسابهای دریافتنی'!A:A,0)),0)</f>
        <v>0</v>
      </c>
      <c r="D154" s="11">
        <f>IFERROR(INDEX('درجریان وصول'!F:F,MATCH(Table26[[#This Row],[كد تفصيلي]],'درجریان وصول'!A:A,0)),0)</f>
        <v>0</v>
      </c>
      <c r="E154" s="11">
        <f>IFERROR(INDEX('چکهای دریافتنی'!F:F,MATCH(Table26[[#This Row],[كد تفصيلي]],'چکهای دریافتنی'!A:A,0)),0)</f>
        <v>0</v>
      </c>
      <c r="F154" s="11">
        <f>Table26[[#This Row],[حسابهای دریافتنی]]+Table26[[#This Row],[چکهای در جریان وصول]]+Table26[[#This Row],[چکهای نزد صندوق]]</f>
        <v>0</v>
      </c>
      <c r="G154" s="12">
        <f>IFERROR(INDEX('مانده سوفاله'!F:F,MATCH(Table26[[#This Row],[كد تفصيلي]],'مانده سوفاله'!A:A,0)),0)</f>
        <v>0</v>
      </c>
    </row>
    <row r="155" spans="1:7" customFormat="1" ht="18" customHeight="1" x14ac:dyDescent="0.35">
      <c r="A155" s="48">
        <v>10079</v>
      </c>
      <c r="B155" s="24" t="s">
        <v>174</v>
      </c>
      <c r="C155" s="10">
        <f>IFERROR(INDEX('حسابهای دریافتنی'!H:H,MATCH(Table26[[#This Row],[كد تفصيلي]],'حسابهای دریافتنی'!A:A,0)),0)</f>
        <v>-226593500</v>
      </c>
      <c r="D155" s="11">
        <f>IFERROR(INDEX('درجریان وصول'!F:F,MATCH(Table26[[#This Row],[كد تفصيلي]],'درجریان وصول'!A:A,0)),0)</f>
        <v>0</v>
      </c>
      <c r="E155" s="11">
        <f>IFERROR(INDEX('چکهای دریافتنی'!F:F,MATCH(Table26[[#This Row],[كد تفصيلي]],'چکهای دریافتنی'!A:A,0)),0)</f>
        <v>0</v>
      </c>
      <c r="F155" s="11">
        <f>Table26[[#This Row],[حسابهای دریافتنی]]+Table26[[#This Row],[چکهای در جریان وصول]]+Table26[[#This Row],[چکهای نزد صندوق]]</f>
        <v>-226593500</v>
      </c>
      <c r="G155" s="12">
        <f>IFERROR(INDEX('مانده سوفاله'!F:F,MATCH(Table26[[#This Row],[كد تفصيلي]],'مانده سوفاله'!A:A,0)),0)</f>
        <v>0</v>
      </c>
    </row>
    <row r="156" spans="1:7" customFormat="1" ht="18" customHeight="1" x14ac:dyDescent="0.35">
      <c r="A156" s="48">
        <v>79120</v>
      </c>
      <c r="B156" s="24" t="s">
        <v>195</v>
      </c>
      <c r="C156" s="10">
        <f>IFERROR(INDEX('حسابهای دریافتنی'!H:H,MATCH(Table26[[#This Row],[كد تفصيلي]],'حسابهای دریافتنی'!A:A,0)),0)</f>
        <v>-15776160000</v>
      </c>
      <c r="D156" s="11">
        <f>IFERROR(INDEX('درجریان وصول'!F:F,MATCH(Table26[[#This Row],[كد تفصيلي]],'درجریان وصول'!A:A,0)),0)</f>
        <v>0</v>
      </c>
      <c r="E156" s="11">
        <f>IFERROR(INDEX('چکهای دریافتنی'!F:F,MATCH(Table26[[#This Row],[كد تفصيلي]],'چکهای دریافتنی'!A:A,0)),0)</f>
        <v>0</v>
      </c>
      <c r="F156" s="11">
        <f>Table26[[#This Row],[حسابهای دریافتنی]]+Table26[[#This Row],[چکهای در جریان وصول]]+Table26[[#This Row],[چکهای نزد صندوق]]</f>
        <v>-15776160000</v>
      </c>
      <c r="G156" s="12">
        <f>IFERROR(INDEX('مانده سوفاله'!F:F,MATCH(Table26[[#This Row],[كد تفصيلي]],'مانده سوفاله'!A:A,0)),0)</f>
        <v>0</v>
      </c>
    </row>
    <row r="157" spans="1:7" ht="18" customHeight="1" x14ac:dyDescent="0.3">
      <c r="A157" s="44">
        <v>30156</v>
      </c>
      <c r="B157" s="24" t="s">
        <v>290</v>
      </c>
      <c r="C157" s="10">
        <f>IFERROR(INDEX('حسابهای دریافتنی'!H:H,MATCH(Table26[[#This Row],[كد تفصيلي]],'حسابهای دریافتنی'!A:A,0)),0)</f>
        <v>-180917500</v>
      </c>
      <c r="D157" s="11">
        <f>IFERROR(INDEX('درجریان وصول'!F:F,MATCH(Table26[[#This Row],[كد تفصيلي]],'درجریان وصول'!A:A,0)),0)</f>
        <v>0</v>
      </c>
      <c r="E157" s="11">
        <f>IFERROR(INDEX('چکهای دریافتنی'!F:F,MATCH(Table26[[#This Row],[كد تفصيلي]],'چکهای دریافتنی'!A:A,0)),0)</f>
        <v>0</v>
      </c>
      <c r="F157" s="11">
        <f>Table26[[#This Row],[حسابهای دریافتنی]]+Table26[[#This Row],[چکهای در جریان وصول]]+Table26[[#This Row],[چکهای نزد صندوق]]</f>
        <v>-180917500</v>
      </c>
      <c r="G157" s="12">
        <f>IFERROR(INDEX('مانده سوفاله'!F:F,MATCH(Table26[[#This Row],[كد تفصيلي]],'مانده سوفاله'!A:A,0)),0)</f>
        <v>0</v>
      </c>
    </row>
    <row r="158" spans="1:7" ht="18" customHeight="1" x14ac:dyDescent="0.3">
      <c r="A158" s="44">
        <v>10069</v>
      </c>
      <c r="B158" s="24" t="s">
        <v>204</v>
      </c>
      <c r="C158" s="10">
        <f>IFERROR(INDEX('حسابهای دریافتنی'!H:H,MATCH(Table26[[#This Row],[كد تفصيلي]],'حسابهای دریافتنی'!A:A,0)),0)</f>
        <v>952500</v>
      </c>
      <c r="D158" s="11">
        <f>IFERROR(INDEX('درجریان وصول'!F:F,MATCH(Table26[[#This Row],[كد تفصيلي]],'درجریان وصول'!A:A,0)),0)</f>
        <v>0</v>
      </c>
      <c r="E158" s="11">
        <f>IFERROR(INDEX('چکهای دریافتنی'!F:F,MATCH(Table26[[#This Row],[كد تفصيلي]],'چکهای دریافتنی'!A:A,0)),0)</f>
        <v>73000000</v>
      </c>
      <c r="F158" s="11">
        <f>Table26[[#This Row],[حسابهای دریافتنی]]+Table26[[#This Row],[چکهای در جریان وصول]]+Table26[[#This Row],[چکهای نزد صندوق]]</f>
        <v>73952500</v>
      </c>
      <c r="G158" s="12">
        <f>IFERROR(INDEX('مانده سوفاله'!F:F,MATCH(Table26[[#This Row],[كد تفصيلي]],'مانده سوفاله'!A:A,0)),0)</f>
        <v>339</v>
      </c>
    </row>
    <row r="159" spans="1:7" ht="18" customHeight="1" x14ac:dyDescent="0.3">
      <c r="A159" s="44">
        <v>10089</v>
      </c>
      <c r="B159" s="24" t="s">
        <v>255</v>
      </c>
      <c r="C159" s="10">
        <f>IFERROR(INDEX('حسابهای دریافتنی'!H:H,MATCH(Table26[[#This Row],[كد تفصيلي]],'حسابهای دریافتنی'!A:A,0)),0)</f>
        <v>-143944000</v>
      </c>
      <c r="D159" s="11">
        <f>IFERROR(INDEX('درجریان وصول'!F:F,MATCH(Table26[[#This Row],[كد تفصيلي]],'درجریان وصول'!A:A,0)),0)</f>
        <v>0</v>
      </c>
      <c r="E159" s="11">
        <f>IFERROR(INDEX('چکهای دریافتنی'!F:F,MATCH(Table26[[#This Row],[كد تفصيلي]],'چکهای دریافتنی'!A:A,0)),0)</f>
        <v>0</v>
      </c>
      <c r="F159" s="11">
        <f>Table26[[#This Row],[حسابهای دریافتنی]]+Table26[[#This Row],[چکهای در جریان وصول]]+Table26[[#This Row],[چکهای نزد صندوق]]</f>
        <v>-143944000</v>
      </c>
      <c r="G159" s="12">
        <f>IFERROR(INDEX('مانده سوفاله'!F:F,MATCH(Table26[[#This Row],[كد تفصيلي]],'مانده سوفاله'!A:A,0)),0)</f>
        <v>-948</v>
      </c>
    </row>
    <row r="160" spans="1:7" ht="18" customHeight="1" x14ac:dyDescent="0.3">
      <c r="A160" s="46">
        <v>10119</v>
      </c>
      <c r="B160" s="25" t="s">
        <v>333</v>
      </c>
      <c r="C160" s="10">
        <f>IFERROR(INDEX('حسابهای دریافتنی'!H:H,MATCH(Table26[[#This Row],[كد تفصيلي]],'حسابهای دریافتنی'!A:A,0)),0)</f>
        <v>-2592000</v>
      </c>
      <c r="D160" s="11">
        <f>IFERROR(INDEX('درجریان وصول'!F:F,MATCH(Table26[[#This Row],[كد تفصيلي]],'درجریان وصول'!A:A,0)),0)</f>
        <v>0</v>
      </c>
      <c r="E160" s="11">
        <f>IFERROR(INDEX('چکهای دریافتنی'!F:F,MATCH(Table26[[#This Row],[كد تفصيلي]],'چکهای دریافتنی'!A:A,0)),0)</f>
        <v>0</v>
      </c>
      <c r="F160" s="11">
        <f>Table26[[#This Row],[حسابهای دریافتنی]]+Table26[[#This Row],[چکهای در جریان وصول]]+Table26[[#This Row],[چکهای نزد صندوق]]</f>
        <v>-2592000</v>
      </c>
      <c r="G160" s="12">
        <f>IFERROR(INDEX('مانده سوفاله'!F:F,MATCH(Table26[[#This Row],[كد تفصيلي]],'مانده سوفاله'!A:A,0)),0)</f>
        <v>353</v>
      </c>
    </row>
    <row r="161" spans="1:7" ht="18" customHeight="1" x14ac:dyDescent="0.3">
      <c r="A161" s="43">
        <v>10004</v>
      </c>
      <c r="B161" s="25" t="s">
        <v>11</v>
      </c>
      <c r="C161" s="10">
        <f>IFERROR(INDEX('حسابهای دریافتنی'!H:H,MATCH(Table26[[#This Row],[كد تفصيلي]],'حسابهای دریافتنی'!A:A,0)),0)</f>
        <v>853000</v>
      </c>
      <c r="D161" s="11">
        <f>IFERROR(INDEX('درجریان وصول'!F:F,MATCH(Table26[[#This Row],[كد تفصيلي]],'درجریان وصول'!A:A,0)),0)</f>
        <v>0</v>
      </c>
      <c r="E161" s="11">
        <f>IFERROR(INDEX('چکهای دریافتنی'!F:F,MATCH(Table26[[#This Row],[كد تفصيلي]],'چکهای دریافتنی'!A:A,0)),0)</f>
        <v>341000000</v>
      </c>
      <c r="F161" s="11">
        <f>Table26[[#This Row],[حسابهای دریافتنی]]+Table26[[#This Row],[چکهای در جریان وصول]]+Table26[[#This Row],[چکهای نزد صندوق]]</f>
        <v>341853000</v>
      </c>
      <c r="G161" s="12">
        <f>IFERROR(INDEX('مانده سوفاله'!F:F,MATCH(Table26[[#This Row],[كد تفصيلي]],'مانده سوفاله'!A:A,0)),0)</f>
        <v>-12</v>
      </c>
    </row>
    <row r="162" spans="1:7" ht="18" customHeight="1" x14ac:dyDescent="0.3">
      <c r="A162" s="43">
        <v>10104</v>
      </c>
      <c r="B162" s="25" t="s">
        <v>293</v>
      </c>
      <c r="C162" s="10">
        <f>IFERROR(INDEX('حسابهای دریافتنی'!H:H,MATCH(Table26[[#This Row],[كد تفصيلي]],'حسابهای دریافتنی'!A:A,0)),0)</f>
        <v>0</v>
      </c>
      <c r="D162" s="11">
        <f>IFERROR(INDEX('درجریان وصول'!F:F,MATCH(Table26[[#This Row],[كد تفصيلي]],'درجریان وصول'!A:A,0)),0)</f>
        <v>0</v>
      </c>
      <c r="E162" s="11">
        <f>IFERROR(INDEX('چکهای دریافتنی'!F:F,MATCH(Table26[[#This Row],[كد تفصيلي]],'چکهای دریافتنی'!A:A,0)),0)</f>
        <v>0</v>
      </c>
      <c r="F162" s="11">
        <f>Table26[[#This Row],[حسابهای دریافتنی]]+Table26[[#This Row],[چکهای در جریان وصول]]+Table26[[#This Row],[چکهای نزد صندوق]]</f>
        <v>0</v>
      </c>
      <c r="G162" s="12">
        <f>IFERROR(INDEX('مانده سوفاله'!F:F,MATCH(Table26[[#This Row],[كد تفصيلي]],'مانده سوفاله'!A:A,0)),0)</f>
        <v>4065</v>
      </c>
    </row>
    <row r="163" spans="1:7" ht="18" customHeight="1" x14ac:dyDescent="0.3">
      <c r="A163" s="45">
        <v>30162</v>
      </c>
      <c r="B163" s="24" t="s">
        <v>301</v>
      </c>
      <c r="C163" s="10">
        <f>IFERROR(INDEX('حسابهای دریافتنی'!H:H,MATCH(Table26[[#This Row],[كد تفصيلي]],'حسابهای دریافتنی'!A:A,0)),0)</f>
        <v>204890235</v>
      </c>
      <c r="D163" s="11">
        <f>IFERROR(INDEX('درجریان وصول'!F:F,MATCH(Table26[[#This Row],[كد تفصيلي]],'درجریان وصول'!A:A,0)),0)</f>
        <v>0</v>
      </c>
      <c r="E163" s="11">
        <f>IFERROR(INDEX('چکهای دریافتنی'!F:F,MATCH(Table26[[#This Row],[كد تفصيلي]],'چکهای دریافتنی'!A:A,0)),0)</f>
        <v>0</v>
      </c>
      <c r="F163" s="11">
        <f>Table26[[#This Row],[حسابهای دریافتنی]]+Table26[[#This Row],[چکهای در جریان وصول]]+Table26[[#This Row],[چکهای نزد صندوق]]</f>
        <v>204890235</v>
      </c>
      <c r="G163" s="12">
        <f>IFERROR(INDEX('مانده سوفاله'!F:F,MATCH(Table26[[#This Row],[كد تفصيلي]],'مانده سوفاله'!A:A,0)),0)</f>
        <v>-251</v>
      </c>
    </row>
    <row r="164" spans="1:7" ht="18" customHeight="1" x14ac:dyDescent="0.3">
      <c r="A164" s="46">
        <v>30161</v>
      </c>
      <c r="B164" s="25" t="s">
        <v>299</v>
      </c>
      <c r="C164" s="10">
        <f>IFERROR(INDEX('حسابهای دریافتنی'!H:H,MATCH(Table26[[#This Row],[كد تفصيلي]],'حسابهای دریافتنی'!A:A,0)),0)</f>
        <v>0</v>
      </c>
      <c r="D164" s="11">
        <f>IFERROR(INDEX('درجریان وصول'!F:F,MATCH(Table26[[#This Row],[كد تفصيلي]],'درجریان وصول'!A:A,0)),0)</f>
        <v>0</v>
      </c>
      <c r="E164" s="11">
        <f>IFERROR(INDEX('چکهای دریافتنی'!F:F,MATCH(Table26[[#This Row],[كد تفصيلي]],'چکهای دریافتنی'!A:A,0)),0)</f>
        <v>0</v>
      </c>
      <c r="F164" s="11">
        <f>Table26[[#This Row],[حسابهای دریافتنی]]+Table26[[#This Row],[چکهای در جریان وصول]]+Table26[[#This Row],[چکهای نزد صندوق]]</f>
        <v>0</v>
      </c>
      <c r="G164" s="12">
        <f>IFERROR(INDEX('مانده سوفاله'!F:F,MATCH(Table26[[#This Row],[كد تفصيلي]],'مانده سوفاله'!A:A,0)),0)</f>
        <v>0</v>
      </c>
    </row>
    <row r="165" spans="1:7" ht="18" customHeight="1" x14ac:dyDescent="0.3">
      <c r="A165" s="45">
        <v>30184</v>
      </c>
      <c r="B165" s="24" t="s">
        <v>368</v>
      </c>
      <c r="C165" s="10">
        <f>IFERROR(INDEX('حسابهای دریافتنی'!H:H,MATCH(Table26[[#This Row],[كد تفصيلي]],'حسابهای دریافتنی'!A:A,0)),0)</f>
        <v>904890480</v>
      </c>
      <c r="D165" s="11">
        <f>IFERROR(INDEX('درجریان وصول'!F:F,MATCH(Table26[[#This Row],[كد تفصيلي]],'درجریان وصول'!A:A,0)),0)</f>
        <v>0</v>
      </c>
      <c r="E165" s="11">
        <f>IFERROR(INDEX('چکهای دریافتنی'!F:F,MATCH(Table26[[#This Row],[كد تفصيلي]],'چکهای دریافتنی'!A:A,0)),0)</f>
        <v>0</v>
      </c>
      <c r="F165" s="11">
        <f>Table26[[#This Row],[حسابهای دریافتنی]]+Table26[[#This Row],[چکهای در جریان وصول]]+Table26[[#This Row],[چکهای نزد صندوق]]</f>
        <v>904890480</v>
      </c>
      <c r="G165" s="12">
        <f>IFERROR(INDEX('مانده سوفاله'!F:F,MATCH(Table26[[#This Row],[كد تفصيلي]],'مانده سوفاله'!A:A,0)),0)</f>
        <v>-100</v>
      </c>
    </row>
    <row r="166" spans="1:7" ht="18" customHeight="1" x14ac:dyDescent="0.3">
      <c r="A166" s="43">
        <v>10088</v>
      </c>
      <c r="B166" s="25" t="s">
        <v>254</v>
      </c>
      <c r="C166" s="10">
        <f>IFERROR(INDEX('حسابهای دریافتنی'!H:H,MATCH(Table26[[#This Row],[كد تفصيلي]],'حسابهای دریافتنی'!A:A,0)),0)</f>
        <v>113500</v>
      </c>
      <c r="D166" s="11">
        <f>IFERROR(INDEX('درجریان وصول'!F:F,MATCH(Table26[[#This Row],[كد تفصيلي]],'درجریان وصول'!A:A,0)),0)</f>
        <v>0</v>
      </c>
      <c r="E166" s="11">
        <f>IFERROR(INDEX('چکهای دریافتنی'!F:F,MATCH(Table26[[#This Row],[كد تفصيلي]],'چکهای دریافتنی'!A:A,0)),0)</f>
        <v>0</v>
      </c>
      <c r="F166" s="11">
        <f>Table26[[#This Row],[حسابهای دریافتنی]]+Table26[[#This Row],[چکهای در جریان وصول]]+Table26[[#This Row],[چکهای نزد صندوق]]</f>
        <v>113500</v>
      </c>
      <c r="G166" s="12">
        <f>IFERROR(INDEX('مانده سوفاله'!F:F,MATCH(Table26[[#This Row],[كد تفصيلي]],'مانده سوفاله'!A:A,0)),0)</f>
        <v>0</v>
      </c>
    </row>
    <row r="167" spans="1:7" ht="18" customHeight="1" x14ac:dyDescent="0.3">
      <c r="A167" s="43">
        <v>30143</v>
      </c>
      <c r="B167" s="25" t="s">
        <v>278</v>
      </c>
      <c r="C167" s="10">
        <f>IFERROR(INDEX('حسابهای دریافتنی'!H:H,MATCH(Table26[[#This Row],[كد تفصيلي]],'حسابهای دریافتنی'!A:A,0)),0)</f>
        <v>0</v>
      </c>
      <c r="D167" s="11">
        <f>IFERROR(INDEX('درجریان وصول'!F:F,MATCH(Table26[[#This Row],[كد تفصيلي]],'درجریان وصول'!A:A,0)),0)</f>
        <v>0</v>
      </c>
      <c r="E167" s="11">
        <f>IFERROR(INDEX('چکهای دریافتنی'!F:F,MATCH(Table26[[#This Row],[كد تفصيلي]],'چکهای دریافتنی'!A:A,0)),0)</f>
        <v>0</v>
      </c>
      <c r="F167" s="11">
        <f>Table26[[#This Row],[حسابهای دریافتنی]]+Table26[[#This Row],[چکهای در جریان وصول]]+Table26[[#This Row],[چکهای نزد صندوق]]</f>
        <v>0</v>
      </c>
      <c r="G167" s="12">
        <f>IFERROR(INDEX('مانده سوفاله'!F:F,MATCH(Table26[[#This Row],[كد تفصيلي]],'مانده سوفاله'!A:A,0)),0)</f>
        <v>0</v>
      </c>
    </row>
    <row r="168" spans="1:7" ht="18" customHeight="1" x14ac:dyDescent="0.3">
      <c r="A168" s="44">
        <v>30005</v>
      </c>
      <c r="B168" s="24" t="s">
        <v>55</v>
      </c>
      <c r="C168" s="10">
        <f>IFERROR(INDEX('حسابهای دریافتنی'!H:H,MATCH(Table26[[#This Row],[كد تفصيلي]],'حسابهای دریافتنی'!A:A,0)),0)</f>
        <v>35368209</v>
      </c>
      <c r="D168" s="11">
        <f>IFERROR(INDEX('درجریان وصول'!F:F,MATCH(Table26[[#This Row],[كد تفصيلي]],'درجریان وصول'!A:A,0)),0)</f>
        <v>0</v>
      </c>
      <c r="E168" s="11">
        <f>IFERROR(INDEX('چکهای دریافتنی'!F:F,MATCH(Table26[[#This Row],[كد تفصيلي]],'چکهای دریافتنی'!A:A,0)),0)</f>
        <v>0</v>
      </c>
      <c r="F168" s="11">
        <f>Table26[[#This Row],[حسابهای دریافتنی]]+Table26[[#This Row],[چکهای در جریان وصول]]+Table26[[#This Row],[چکهای نزد صندوق]]</f>
        <v>35368209</v>
      </c>
      <c r="G168" s="12">
        <f>IFERROR(INDEX('مانده سوفاله'!F:F,MATCH(Table26[[#This Row],[كد تفصيلي]],'مانده سوفاله'!A:A,0)),0)</f>
        <v>61</v>
      </c>
    </row>
    <row r="169" spans="1:7" ht="18" customHeight="1" x14ac:dyDescent="0.3">
      <c r="A169" s="44">
        <v>30146</v>
      </c>
      <c r="B169" s="24" t="s">
        <v>266</v>
      </c>
      <c r="C169" s="10">
        <f>IFERROR(INDEX('حسابهای دریافتنی'!H:H,MATCH(Table26[[#This Row],[كد تفصيلي]],'حسابهای دریافتنی'!A:A,0)),0)</f>
        <v>-4146512500</v>
      </c>
      <c r="D169" s="11">
        <f>IFERROR(INDEX('درجریان وصول'!F:F,MATCH(Table26[[#This Row],[كد تفصيلي]],'درجریان وصول'!A:A,0)),0)</f>
        <v>0</v>
      </c>
      <c r="E169" s="11">
        <f>IFERROR(INDEX('چکهای دریافتنی'!F:F,MATCH(Table26[[#This Row],[كد تفصيلي]],'چکهای دریافتنی'!A:A,0)),0)</f>
        <v>0</v>
      </c>
      <c r="F169" s="11">
        <f>Table26[[#This Row],[حسابهای دریافتنی]]+Table26[[#This Row],[چکهای در جریان وصول]]+Table26[[#This Row],[چکهای نزد صندوق]]</f>
        <v>-4146512500</v>
      </c>
      <c r="G169" s="12">
        <f>IFERROR(INDEX('مانده سوفاله'!F:F,MATCH(Table26[[#This Row],[كد تفصيلي]],'مانده سوفاله'!A:A,0)),0)</f>
        <v>2823</v>
      </c>
    </row>
    <row r="170" spans="1:7" ht="18" customHeight="1" x14ac:dyDescent="0.3">
      <c r="A170" s="43">
        <v>79043</v>
      </c>
      <c r="B170" s="25" t="s">
        <v>156</v>
      </c>
      <c r="C170" s="10">
        <f>IFERROR(INDEX('حسابهای دریافتنی'!H:H,MATCH(Table26[[#This Row],[كد تفصيلي]],'حسابهای دریافتنی'!A:A,0)),0)</f>
        <v>-16110730000</v>
      </c>
      <c r="D170" s="11">
        <f>IFERROR(INDEX('درجریان وصول'!F:F,MATCH(Table26[[#This Row],[كد تفصيلي]],'درجریان وصول'!A:A,0)),0)</f>
        <v>0</v>
      </c>
      <c r="E170" s="11">
        <f>IFERROR(INDEX('چکهای دریافتنی'!F:F,MATCH(Table26[[#This Row],[كد تفصيلي]],'چکهای دریافتنی'!A:A,0)),0)</f>
        <v>0</v>
      </c>
      <c r="F170" s="11">
        <f>Table26[[#This Row],[حسابهای دریافتنی]]+Table26[[#This Row],[چکهای در جریان وصول]]+Table26[[#This Row],[چکهای نزد صندوق]]</f>
        <v>-16110730000</v>
      </c>
      <c r="G170" s="12">
        <f>IFERROR(INDEX('مانده سوفاله'!F:F,MATCH(Table26[[#This Row],[كد تفصيلي]],'مانده سوفاله'!A:A,0)),0)</f>
        <v>0</v>
      </c>
    </row>
    <row r="171" spans="1:7" ht="18" customHeight="1" x14ac:dyDescent="0.35">
      <c r="A171" s="36"/>
      <c r="B171" s="37"/>
      <c r="C171" s="38">
        <f>SUBTOTAL(109,Table26[حسابهای دریافتنی])</f>
        <v>53466543405</v>
      </c>
      <c r="D171" s="38">
        <f>SUBTOTAL(109,Table26[چکهای در جریان وصول])</f>
        <v>0</v>
      </c>
      <c r="E171" s="38">
        <f>SUBTOTAL(109,Table26[چکهای نزد صندوق])</f>
        <v>60422828942</v>
      </c>
      <c r="F171" s="38"/>
      <c r="G171" s="39">
        <f>SUBTOTAL(109,Table26[مانده سوفاله])</f>
        <v>-131499.5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0"/>
  <sheetViews>
    <sheetView rightToLeft="1" workbookViewId="0">
      <selection activeCell="B145" sqref="B144:B145"/>
    </sheetView>
  </sheetViews>
  <sheetFormatPr defaultColWidth="9.08984375" defaultRowHeight="23.25" customHeight="1" x14ac:dyDescent="0.35"/>
  <cols>
    <col min="1" max="1" width="14.36328125" style="5" customWidth="1"/>
    <col min="2" max="2" width="33.08984375" style="5" customWidth="1"/>
    <col min="3" max="3" width="20.26953125" style="3" customWidth="1"/>
    <col min="4" max="4" width="17.726562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1.5" customHeight="1" thickBot="1" x14ac:dyDescent="0.4">
      <c r="A1" s="97" t="s">
        <v>449</v>
      </c>
      <c r="B1" s="98"/>
      <c r="C1" s="98"/>
      <c r="D1" s="98"/>
      <c r="E1" s="98"/>
      <c r="F1" s="98"/>
      <c r="G1" s="99"/>
    </row>
    <row r="2" spans="1:7" s="2" customFormat="1" ht="23.2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3.25" customHeight="1" x14ac:dyDescent="0.3">
      <c r="A3" s="29">
        <v>30127</v>
      </c>
      <c r="B3" s="25" t="s">
        <v>163</v>
      </c>
      <c r="C3" s="10">
        <f>IFERROR(INDEX('حسابهای دریافتنی'!H:H,MATCH(Table27[[#This Row],[كد تفصيلي]],'حسابهای دریافتنی'!A:A,0)),0)</f>
        <v>31800110000</v>
      </c>
      <c r="D3" s="11">
        <f>IFERROR(INDEX('درجریان وصول'!F:F,MATCH(Table27[[#This Row],[كد تفصيلي]],'درجریان وصول'!A:A,0)),0)</f>
        <v>0</v>
      </c>
      <c r="E3" s="11">
        <f>IFERROR(INDEX('چکهای دریافتنی'!F:F,MATCH(Table27[[#This Row],[كد تفصيلي]],'چکهای دریافتنی'!A:A,0)),0)</f>
        <v>0</v>
      </c>
      <c r="F3" s="11">
        <f>Table27[[#This Row],[حسابهای دریافتنی]]+Table27[[#This Row],[چکهای در جریان وصول]]+Table27[[#This Row],[چکهای نزد صندوق]]</f>
        <v>31800110000</v>
      </c>
      <c r="G3" s="12">
        <f>IFERROR(INDEX('مانده سوفاله'!F:F,MATCH(Table27[[#This Row],[كد تفصيلي]],'مانده سوفاله'!A:A,0)),0)</f>
        <v>-18472</v>
      </c>
    </row>
    <row r="4" spans="1:7" ht="23.25" customHeight="1" x14ac:dyDescent="0.3">
      <c r="A4" s="28">
        <v>30066</v>
      </c>
      <c r="B4" s="24" t="s">
        <v>111</v>
      </c>
      <c r="C4" s="10">
        <f>IFERROR(INDEX('حسابهای دریافتنی'!H:H,MATCH(Table27[[#This Row],[كد تفصيلي]],'حسابهای دریافتنی'!A:A,0)),0)</f>
        <v>6484147500</v>
      </c>
      <c r="D4" s="11">
        <f>IFERROR(INDEX('درجریان وصول'!F:F,MATCH(Table27[[#This Row],[كد تفصيلي]],'درجریان وصول'!A:A,0)),0)</f>
        <v>0</v>
      </c>
      <c r="E4" s="11">
        <f>IFERROR(INDEX('چکهای دریافتنی'!F:F,MATCH(Table27[[#This Row],[كد تفصيلي]],'چکهای دریافتنی'!A:A,0)),0)</f>
        <v>0</v>
      </c>
      <c r="F4" s="11">
        <f>Table27[[#This Row],[حسابهای دریافتنی]]+Table27[[#This Row],[چکهای در جریان وصول]]+Table27[[#This Row],[چکهای نزد صندوق]]</f>
        <v>6484147500</v>
      </c>
      <c r="G4" s="12">
        <f>IFERROR(INDEX('مانده سوفاله'!F:F,MATCH(Table27[[#This Row],[كد تفصيلي]],'مانده سوفاله'!A:A,0)),0)</f>
        <v>-1320</v>
      </c>
    </row>
    <row r="5" spans="1:7" ht="23.25" customHeight="1" x14ac:dyDescent="0.3">
      <c r="A5" s="28">
        <v>10003</v>
      </c>
      <c r="B5" s="24" t="s">
        <v>10</v>
      </c>
      <c r="C5" s="10">
        <f>IFERROR(INDEX('حسابهای دریافتنی'!H:H,MATCH(Table27[[#This Row],[كد تفصيلي]],'حسابهای دریافتنی'!A:A,0)),0)</f>
        <v>10804267992</v>
      </c>
      <c r="D5" s="11">
        <f>IFERROR(INDEX('درجریان وصول'!F:F,MATCH(Table27[[#This Row],[كد تفصيلي]],'درجریان وصول'!A:A,0)),0)</f>
        <v>0</v>
      </c>
      <c r="E5" s="11">
        <f>IFERROR(INDEX('چکهای دریافتنی'!F:F,MATCH(Table27[[#This Row],[كد تفصيلي]],'چکهای دریافتنی'!A:A,0)),0)</f>
        <v>13698001280</v>
      </c>
      <c r="F5" s="11">
        <f>Table27[[#This Row],[حسابهای دریافتنی]]+Table27[[#This Row],[چکهای در جریان وصول]]+Table27[[#This Row],[چکهای نزد صندوق]]</f>
        <v>24502269272</v>
      </c>
      <c r="G5" s="12">
        <f>IFERROR(INDEX('مانده سوفاله'!F:F,MATCH(Table27[[#This Row],[كد تفصيلي]],'مانده سوفاله'!A:A,0)),0)</f>
        <v>-39886</v>
      </c>
    </row>
    <row r="6" spans="1:7" ht="23.25" customHeight="1" x14ac:dyDescent="0.3">
      <c r="A6" s="28">
        <v>30009</v>
      </c>
      <c r="B6" s="24" t="s">
        <v>164</v>
      </c>
      <c r="C6" s="10">
        <f>IFERROR(INDEX('حسابهای دریافتنی'!H:H,MATCH(Table27[[#This Row],[كد تفصيلي]],'حسابهای دریافتنی'!A:A,0)),0)</f>
        <v>7853844277</v>
      </c>
      <c r="D6" s="11">
        <f>IFERROR(INDEX('درجریان وصول'!F:F,MATCH(Table27[[#This Row],[كد تفصيلي]],'درجریان وصول'!A:A,0)),0)</f>
        <v>0</v>
      </c>
      <c r="E6" s="11">
        <f>IFERROR(INDEX('چکهای دریافتنی'!F:F,MATCH(Table27[[#This Row],[كد تفصيلي]],'چکهای دریافتنی'!A:A,0)),0)</f>
        <v>6474835380</v>
      </c>
      <c r="F6" s="11">
        <f>Table27[[#This Row],[حسابهای دریافتنی]]+Table27[[#This Row],[چکهای در جریان وصول]]+Table27[[#This Row],[چکهای نزد صندوق]]</f>
        <v>14328679657</v>
      </c>
      <c r="G6" s="12">
        <f>IFERROR(INDEX('مانده سوفاله'!F:F,MATCH(Table27[[#This Row],[كد تفصيلي]],'مانده سوفاله'!A:A,0)),0)</f>
        <v>-11452</v>
      </c>
    </row>
    <row r="7" spans="1:7" ht="23.25" customHeight="1" x14ac:dyDescent="0.3">
      <c r="A7" s="28">
        <v>10055</v>
      </c>
      <c r="B7" s="24" t="s">
        <v>162</v>
      </c>
      <c r="C7" s="10">
        <f>IFERROR(INDEX('حسابهای دریافتنی'!H:H,MATCH(Table27[[#This Row],[كد تفصيلي]],'حسابهای دریافتنی'!A:A,0)),0)</f>
        <v>10460111325</v>
      </c>
      <c r="D7" s="11">
        <f>IFERROR(INDEX('درجریان وصول'!F:F,MATCH(Table27[[#This Row],[كد تفصيلي]],'درجریان وصول'!A:A,0)),0)</f>
        <v>0</v>
      </c>
      <c r="E7" s="11">
        <f>IFERROR(INDEX('چکهای دریافتنی'!F:F,MATCH(Table27[[#This Row],[كد تفصيلي]],'چکهای دریافتنی'!A:A,0)),0)</f>
        <v>2783298655</v>
      </c>
      <c r="F7" s="11">
        <f>Table27[[#This Row],[حسابهای دریافتنی]]+Table27[[#This Row],[چکهای در جریان وصول]]+Table27[[#This Row],[چکهای نزد صندوق]]</f>
        <v>13243409980</v>
      </c>
      <c r="G7" s="12">
        <f>IFERROR(INDEX('مانده سوفاله'!F:F,MATCH(Table27[[#This Row],[كد تفصيلي]],'مانده سوفاله'!A:A,0)),0)</f>
        <v>-12714</v>
      </c>
    </row>
    <row r="8" spans="1:7" ht="23.25" customHeight="1" x14ac:dyDescent="0.3">
      <c r="A8" s="28">
        <v>30058</v>
      </c>
      <c r="B8" s="24" t="s">
        <v>103</v>
      </c>
      <c r="C8" s="10">
        <f>IFERROR(INDEX('حسابهای دریافتنی'!H:H,MATCH(Table27[[#This Row],[كد تفصيلي]],'حسابهای دریافتنی'!A:A,0)),0)</f>
        <v>1700045560</v>
      </c>
      <c r="D8" s="11">
        <f>IFERROR(INDEX('درجریان وصول'!F:F,MATCH(Table27[[#This Row],[كد تفصيلي]],'درجریان وصول'!A:A,0)),0)</f>
        <v>0</v>
      </c>
      <c r="E8" s="11">
        <f>IFERROR(INDEX('چکهای دریافتنی'!F:F,MATCH(Table27[[#This Row],[كد تفصيلي]],'چکهای دریافتنی'!A:A,0)),0)</f>
        <v>0</v>
      </c>
      <c r="F8" s="11">
        <f>Table27[[#This Row],[حسابهای دریافتنی]]+Table27[[#This Row],[چکهای در جریان وصول]]+Table27[[#This Row],[چکهای نزد صندوق]]</f>
        <v>1700045560</v>
      </c>
      <c r="G8" s="12">
        <f>IFERROR(INDEX('مانده سوفاله'!F:F,MATCH(Table27[[#This Row],[كد تفصيلي]],'مانده سوفاله'!A:A,0)),0)</f>
        <v>-225</v>
      </c>
    </row>
    <row r="9" spans="1:7" ht="23.25" customHeight="1" x14ac:dyDescent="0.3">
      <c r="A9" s="29">
        <v>30004</v>
      </c>
      <c r="B9" s="25" t="s">
        <v>54</v>
      </c>
      <c r="C9" s="10">
        <f>IFERROR(INDEX('حسابهای دریافتنی'!H:H,MATCH(Table27[[#This Row],[كد تفصيلي]],'حسابهای دریافتنی'!A:A,0)),0)</f>
        <v>7598548260</v>
      </c>
      <c r="D9" s="11">
        <f>IFERROR(INDEX('درجریان وصول'!F:F,MATCH(Table27[[#This Row],[كد تفصيلي]],'درجریان وصول'!A:A,0)),0)</f>
        <v>0</v>
      </c>
      <c r="E9" s="11">
        <f>IFERROR(INDEX('چکهای دریافتنی'!F:F,MATCH(Table27[[#This Row],[كد تفصيلي]],'چکهای دریافتنی'!A:A,0)),0)</f>
        <v>11698760000</v>
      </c>
      <c r="F9" s="11">
        <f>Table27[[#This Row],[حسابهای دریافتنی]]+Table27[[#This Row],[چکهای در جریان وصول]]+Table27[[#This Row],[چکهای نزد صندوق]]</f>
        <v>19297308260</v>
      </c>
      <c r="G9" s="12">
        <f>IFERROR(INDEX('مانده سوفاله'!F:F,MATCH(Table27[[#This Row],[كد تفصيلي]],'مانده سوفاله'!A:A,0)),0)</f>
        <v>-4237</v>
      </c>
    </row>
    <row r="10" spans="1:7" ht="23.25" customHeight="1" x14ac:dyDescent="0.3">
      <c r="A10" s="28">
        <v>10027</v>
      </c>
      <c r="B10" s="24" t="s">
        <v>33</v>
      </c>
      <c r="C10" s="10">
        <f>IFERROR(INDEX('حسابهای دریافتنی'!H:H,MATCH(Table27[[#This Row],[كد تفصيلي]],'حسابهای دریافتنی'!A:A,0)),0)</f>
        <v>33078340</v>
      </c>
      <c r="D10" s="11">
        <f>IFERROR(INDEX('درجریان وصول'!F:F,MATCH(Table27[[#This Row],[كد تفصيلي]],'درجریان وصول'!A:A,0)),0)</f>
        <v>0</v>
      </c>
      <c r="E10" s="11">
        <f>IFERROR(INDEX('چکهای دریافتنی'!F:F,MATCH(Table27[[#This Row],[كد تفصيلي]],'چکهای دریافتنی'!A:A,0)),0)</f>
        <v>1588359160</v>
      </c>
      <c r="F10" s="11">
        <f>Table27[[#This Row],[حسابهای دریافتنی]]+Table27[[#This Row],[چکهای در جریان وصول]]+Table27[[#This Row],[چکهای نزد صندوق]]</f>
        <v>1621437500</v>
      </c>
      <c r="G10" s="12">
        <f>IFERROR(INDEX('مانده سوفاله'!F:F,MATCH(Table27[[#This Row],[كد تفصيلي]],'مانده سوفاله'!A:A,0)),0)</f>
        <v>-647</v>
      </c>
    </row>
    <row r="11" spans="1:7" ht="23.25" customHeight="1" x14ac:dyDescent="0.3">
      <c r="A11" s="29">
        <v>50016</v>
      </c>
      <c r="B11" s="25" t="s">
        <v>160</v>
      </c>
      <c r="C11" s="10">
        <f>IFERROR(INDEX('حسابهای دریافتنی'!H:H,MATCH(Table27[[#This Row],[كد تفصيلي]],'حسابهای دریافتنی'!A:A,0)),0)</f>
        <v>6344545550</v>
      </c>
      <c r="D11" s="11">
        <f>IFERROR(INDEX('درجریان وصول'!F:F,MATCH(Table27[[#This Row],[كد تفصيلي]],'درجریان وصول'!A:A,0)),0)</f>
        <v>0</v>
      </c>
      <c r="E11" s="11">
        <f>IFERROR(INDEX('چکهای دریافتنی'!F:F,MATCH(Table27[[#This Row],[كد تفصيلي]],'چکهای دریافتنی'!A:A,0)),0)</f>
        <v>0</v>
      </c>
      <c r="F11" s="11">
        <f>Table27[[#This Row],[حسابهای دریافتنی]]+Table27[[#This Row],[چکهای در جریان وصول]]+Table27[[#This Row],[چکهای نزد صندوق]]</f>
        <v>6344545550</v>
      </c>
      <c r="G11" s="12">
        <f>IFERROR(INDEX('مانده سوفاله'!F:F,MATCH(Table27[[#This Row],[كد تفصيلي]],'مانده سوفاله'!A:A,0)),0)</f>
        <v>5508</v>
      </c>
    </row>
    <row r="12" spans="1:7" ht="23.25" customHeight="1" x14ac:dyDescent="0.3">
      <c r="A12" s="29">
        <v>30099</v>
      </c>
      <c r="B12" s="25" t="s">
        <v>167</v>
      </c>
      <c r="C12" s="10">
        <f>IFERROR(INDEX('حسابهای دریافتنی'!H:H,MATCH(Table27[[#This Row],[كد تفصيلي]],'حسابهای دریافتنی'!A:A,0)),0)</f>
        <v>1398393484</v>
      </c>
      <c r="D12" s="11">
        <f>IFERROR(INDEX('درجریان وصول'!F:F,MATCH(Table27[[#This Row],[كد تفصيلي]],'درجریان وصول'!A:A,0)),0)</f>
        <v>0</v>
      </c>
      <c r="E12" s="11">
        <f>IFERROR(INDEX('چکهای دریافتنی'!F:F,MATCH(Table27[[#This Row],[كد تفصيلي]],'چکهای دریافتنی'!A:A,0)),0)</f>
        <v>583000000</v>
      </c>
      <c r="F12" s="11">
        <f>Table27[[#This Row],[حسابهای دریافتنی]]+Table27[[#This Row],[چکهای در جریان وصول]]+Table27[[#This Row],[چکهای نزد صندوق]]</f>
        <v>1981393484</v>
      </c>
      <c r="G12" s="12">
        <f>IFERROR(INDEX('مانده سوفاله'!F:F,MATCH(Table27[[#This Row],[كد تفصيلي]],'مانده سوفاله'!A:A,0)),0)</f>
        <v>-332</v>
      </c>
    </row>
    <row r="13" spans="1:7" ht="23.25" customHeight="1" x14ac:dyDescent="0.3">
      <c r="A13" s="29">
        <v>30022</v>
      </c>
      <c r="B13" s="25" t="s">
        <v>70</v>
      </c>
      <c r="C13" s="10">
        <f>IFERROR(INDEX('حسابهای دریافتنی'!H:H,MATCH(Table27[[#This Row],[كد تفصيلي]],'حسابهای دریافتنی'!A:A,0)),0)</f>
        <v>2933770530</v>
      </c>
      <c r="D13" s="11">
        <f>IFERROR(INDEX('درجریان وصول'!F:F,MATCH(Table27[[#This Row],[كد تفصيلي]],'درجریان وصول'!A:A,0)),0)</f>
        <v>0</v>
      </c>
      <c r="E13" s="11">
        <f>IFERROR(INDEX('چکهای دریافتنی'!F:F,MATCH(Table27[[#This Row],[كد تفصيلي]],'چکهای دریافتنی'!A:A,0)),0)</f>
        <v>0</v>
      </c>
      <c r="F13" s="11">
        <f>Table27[[#This Row],[حسابهای دریافتنی]]+Table27[[#This Row],[چکهای در جریان وصول]]+Table27[[#This Row],[چکهای نزد صندوق]]</f>
        <v>2933770530</v>
      </c>
      <c r="G13" s="12">
        <f>IFERROR(INDEX('مانده سوفاله'!F:F,MATCH(Table27[[#This Row],[كد تفصيلي]],'مانده سوفاله'!A:A,0)),0)</f>
        <v>-14747</v>
      </c>
    </row>
    <row r="14" spans="1:7" ht="23.25" customHeight="1" x14ac:dyDescent="0.3">
      <c r="A14" s="29">
        <v>10123</v>
      </c>
      <c r="B14" s="25" t="s">
        <v>340</v>
      </c>
      <c r="C14" s="10">
        <f>IFERROR(INDEX('حسابهای دریافتنی'!H:H,MATCH(Table27[[#This Row],[كد تفصيلي]],'حسابهای دریافتنی'!A:A,0)),0)</f>
        <v>-50813000</v>
      </c>
      <c r="D14" s="11">
        <f>IFERROR(INDEX('درجریان وصول'!F:F,MATCH(Table27[[#This Row],[كد تفصيلي]],'درجریان وصول'!A:A,0)),0)</f>
        <v>0</v>
      </c>
      <c r="E14" s="11">
        <f>IFERROR(INDEX('چکهای دریافتنی'!F:F,MATCH(Table27[[#This Row],[كد تفصيلي]],'چکهای دریافتنی'!A:A,0)),0)</f>
        <v>0</v>
      </c>
      <c r="F14" s="11">
        <f>Table27[[#This Row],[حسابهای دریافتنی]]+Table27[[#This Row],[چکهای در جریان وصول]]+Table27[[#This Row],[چکهای نزد صندوق]]</f>
        <v>-50813000</v>
      </c>
      <c r="G14" s="12">
        <f>IFERROR(INDEX('مانده سوفاله'!F:F,MATCH(Table27[[#This Row],[كد تفصيلي]],'مانده سوفاله'!A:A,0)),0)</f>
        <v>0</v>
      </c>
    </row>
    <row r="15" spans="1:7" ht="23.25" customHeight="1" x14ac:dyDescent="0.3">
      <c r="A15" s="28">
        <v>30162</v>
      </c>
      <c r="B15" s="24" t="s">
        <v>301</v>
      </c>
      <c r="C15" s="10">
        <f>IFERROR(INDEX('حسابهای دریافتنی'!H:H,MATCH(Table27[[#This Row],[كد تفصيلي]],'حسابهای دریافتنی'!A:A,0)),0)</f>
        <v>204890235</v>
      </c>
      <c r="D15" s="11">
        <f>IFERROR(INDEX('درجریان وصول'!F:F,MATCH(Table27[[#This Row],[كد تفصيلي]],'درجریان وصول'!A:A,0)),0)</f>
        <v>0</v>
      </c>
      <c r="E15" s="11">
        <f>IFERROR(INDEX('چکهای دریافتنی'!F:F,MATCH(Table27[[#This Row],[كد تفصيلي]],'چکهای دریافتنی'!A:A,0)),0)</f>
        <v>0</v>
      </c>
      <c r="F15" s="11">
        <f>Table27[[#This Row],[حسابهای دریافتنی]]+Table27[[#This Row],[چکهای در جریان وصول]]+Table27[[#This Row],[چکهای نزد صندوق]]</f>
        <v>204890235</v>
      </c>
      <c r="G15" s="12">
        <f>IFERROR(INDEX('مانده سوفاله'!F:F,MATCH(Table27[[#This Row],[كد تفصيلي]],'مانده سوفاله'!A:A,0)),0)</f>
        <v>-251</v>
      </c>
    </row>
    <row r="16" spans="1:7" ht="23.25" customHeight="1" x14ac:dyDescent="0.3">
      <c r="A16" s="28">
        <v>10029</v>
      </c>
      <c r="B16" s="24" t="s">
        <v>35</v>
      </c>
      <c r="C16" s="10">
        <f>IFERROR(INDEX('حسابهای دریافتنی'!H:H,MATCH(Table27[[#This Row],[كد تفصيلي]],'حسابهای دریافتنی'!A:A,0)),0)</f>
        <v>-1038298620</v>
      </c>
      <c r="D16" s="11">
        <f>IFERROR(INDEX('درجریان وصول'!F:F,MATCH(Table27[[#This Row],[كد تفصيلي]],'درجریان وصول'!A:A,0)),0)</f>
        <v>0</v>
      </c>
      <c r="E16" s="11">
        <f>IFERROR(INDEX('چکهای دریافتنی'!F:F,MATCH(Table27[[#This Row],[كد تفصيلي]],'چکهای دریافتنی'!A:A,0)),0)</f>
        <v>2019000000</v>
      </c>
      <c r="F16" s="11">
        <f>Table27[[#This Row],[حسابهای دریافتنی]]+Table27[[#This Row],[چکهای در جریان وصول]]+Table27[[#This Row],[چکهای نزد صندوق]]</f>
        <v>980701380</v>
      </c>
      <c r="G16" s="12">
        <f>IFERROR(INDEX('مانده سوفاله'!F:F,MATCH(Table27[[#This Row],[كد تفصيلي]],'مانده سوفاله'!A:A,0)),0)</f>
        <v>6603</v>
      </c>
    </row>
    <row r="17" spans="1:7" ht="23.25" customHeight="1" x14ac:dyDescent="0.3">
      <c r="A17" s="29">
        <v>30014</v>
      </c>
      <c r="B17" s="25" t="s">
        <v>63</v>
      </c>
      <c r="C17" s="10">
        <f>IFERROR(INDEX('حسابهای دریافتنی'!H:H,MATCH(Table27[[#This Row],[كد تفصيلي]],'حسابهای دریافتنی'!A:A,0)),0)</f>
        <v>1762223932</v>
      </c>
      <c r="D17" s="11">
        <f>IFERROR(INDEX('درجریان وصول'!F:F,MATCH(Table27[[#This Row],[كد تفصيلي]],'درجریان وصول'!A:A,0)),0)</f>
        <v>0</v>
      </c>
      <c r="E17" s="11">
        <f>IFERROR(INDEX('چکهای دریافتنی'!F:F,MATCH(Table27[[#This Row],[كد تفصيلي]],'چکهای دریافتنی'!A:A,0)),0)</f>
        <v>0</v>
      </c>
      <c r="F17" s="11">
        <f>Table27[[#This Row],[حسابهای دریافتنی]]+Table27[[#This Row],[چکهای در جریان وصول]]+Table27[[#This Row],[چکهای نزد صندوق]]</f>
        <v>1762223932</v>
      </c>
      <c r="G17" s="12">
        <f>IFERROR(INDEX('مانده سوفاله'!F:F,MATCH(Table27[[#This Row],[كد تفصيلي]],'مانده سوفاله'!A:A,0)),0)</f>
        <v>-1368</v>
      </c>
    </row>
    <row r="18" spans="1:7" ht="23.25" customHeight="1" x14ac:dyDescent="0.3">
      <c r="A18" s="29">
        <v>10026</v>
      </c>
      <c r="B18" s="25" t="s">
        <v>32</v>
      </c>
      <c r="C18" s="10">
        <f>IFERROR(INDEX('حسابهای دریافتنی'!H:H,MATCH(Table27[[#This Row],[كد تفصيلي]],'حسابهای دریافتنی'!A:A,0)),0)</f>
        <v>3795031844</v>
      </c>
      <c r="D18" s="11">
        <f>IFERROR(INDEX('درجریان وصول'!F:F,MATCH(Table27[[#This Row],[كد تفصيلي]],'درجریان وصول'!A:A,0)),0)</f>
        <v>0</v>
      </c>
      <c r="E18" s="11">
        <f>IFERROR(INDEX('چکهای دریافتنی'!F:F,MATCH(Table27[[#This Row],[كد تفصيلي]],'چکهای دریافتنی'!A:A,0)),0)</f>
        <v>2690000000</v>
      </c>
      <c r="F18" s="11">
        <f>Table27[[#This Row],[حسابهای دریافتنی]]+Table27[[#This Row],[چکهای در جریان وصول]]+Table27[[#This Row],[چکهای نزد صندوق]]</f>
        <v>6485031844</v>
      </c>
      <c r="G18" s="12">
        <f>IFERROR(INDEX('مانده سوفاله'!F:F,MATCH(Table27[[#This Row],[كد تفصيلي]],'مانده سوفاله'!A:A,0)),0)</f>
        <v>-12543</v>
      </c>
    </row>
    <row r="19" spans="1:7" ht="23.25" customHeight="1" x14ac:dyDescent="0.3">
      <c r="A19" s="29">
        <v>30006</v>
      </c>
      <c r="B19" s="25" t="s">
        <v>56</v>
      </c>
      <c r="C19" s="10">
        <f>IFERROR(INDEX('حسابهای دریافتنی'!H:H,MATCH(Table27[[#This Row],[كد تفصيلي]],'حسابهای دریافتنی'!A:A,0)),0)</f>
        <v>-162677545</v>
      </c>
      <c r="D19" s="11">
        <f>IFERROR(INDEX('درجریان وصول'!F:F,MATCH(Table27[[#This Row],[كد تفصيلي]],'درجریان وصول'!A:A,0)),0)</f>
        <v>0</v>
      </c>
      <c r="E19" s="11">
        <f>IFERROR(INDEX('چکهای دریافتنی'!F:F,MATCH(Table27[[#This Row],[كد تفصيلي]],'چکهای دریافتنی'!A:A,0)),0)</f>
        <v>0</v>
      </c>
      <c r="F19" s="11">
        <f>Table27[[#This Row],[حسابهای دریافتنی]]+Table27[[#This Row],[چکهای در جریان وصول]]+Table27[[#This Row],[چکهای نزد صندوق]]</f>
        <v>-162677545</v>
      </c>
      <c r="G19" s="12">
        <f>IFERROR(INDEX('مانده سوفاله'!F:F,MATCH(Table27[[#This Row],[كد تفصيلي]],'مانده سوفاله'!A:A,0)),0)</f>
        <v>-6</v>
      </c>
    </row>
    <row r="20" spans="1:7" ht="23.25" customHeight="1" x14ac:dyDescent="0.3">
      <c r="A20" s="29">
        <v>30081</v>
      </c>
      <c r="B20" s="25" t="s">
        <v>126</v>
      </c>
      <c r="C20" s="10">
        <f>IFERROR(INDEX('حسابهای دریافتنی'!H:H,MATCH(Table27[[#This Row],[كد تفصيلي]],'حسابهای دریافتنی'!A:A,0)),0)</f>
        <v>1148992373</v>
      </c>
      <c r="D20" s="11">
        <f>IFERROR(INDEX('درجریان وصول'!F:F,MATCH(Table27[[#This Row],[كد تفصيلي]],'درجریان وصول'!A:A,0)),0)</f>
        <v>0</v>
      </c>
      <c r="E20" s="11">
        <f>IFERROR(INDEX('چکهای دریافتنی'!F:F,MATCH(Table27[[#This Row],[كد تفصيلي]],'چکهای دریافتنی'!A:A,0)),0)</f>
        <v>0</v>
      </c>
      <c r="F20" s="11">
        <f>Table27[[#This Row],[حسابهای دریافتنی]]+Table27[[#This Row],[چکهای در جریان وصول]]+Table27[[#This Row],[چکهای نزد صندوق]]</f>
        <v>1148992373</v>
      </c>
      <c r="G20" s="12">
        <f>IFERROR(INDEX('مانده سوفاله'!F:F,MATCH(Table27[[#This Row],[كد تفصيلي]],'مانده سوفاله'!A:A,0)),0)</f>
        <v>-6924</v>
      </c>
    </row>
    <row r="21" spans="1:7" ht="23.25" customHeight="1" x14ac:dyDescent="0.3">
      <c r="A21" s="29">
        <v>30018</v>
      </c>
      <c r="B21" s="25" t="s">
        <v>66</v>
      </c>
      <c r="C21" s="10">
        <f>IFERROR(INDEX('حسابهای دریافتنی'!H:H,MATCH(Table27[[#This Row],[كد تفصيلي]],'حسابهای دریافتنی'!A:A,0)),0)</f>
        <v>1901077182</v>
      </c>
      <c r="D21" s="11">
        <f>IFERROR(INDEX('درجریان وصول'!F:F,MATCH(Table27[[#This Row],[كد تفصيلي]],'درجریان وصول'!A:A,0)),0)</f>
        <v>0</v>
      </c>
      <c r="E21" s="11">
        <f>IFERROR(INDEX('چکهای دریافتنی'!F:F,MATCH(Table27[[#This Row],[كد تفصيلي]],'چکهای دریافتنی'!A:A,0)),0)</f>
        <v>0</v>
      </c>
      <c r="F21" s="11">
        <f>Table27[[#This Row],[حسابهای دریافتنی]]+Table27[[#This Row],[چکهای در جریان وصول]]+Table27[[#This Row],[چکهای نزد صندوق]]</f>
        <v>1901077182</v>
      </c>
      <c r="G21" s="12">
        <f>IFERROR(INDEX('مانده سوفاله'!F:F,MATCH(Table27[[#This Row],[كد تفصيلي]],'مانده سوفاله'!A:A,0)),0)</f>
        <v>-3024</v>
      </c>
    </row>
    <row r="22" spans="1:7" ht="23.25" customHeight="1" x14ac:dyDescent="0.3">
      <c r="A22" s="29">
        <v>10056</v>
      </c>
      <c r="B22" s="25" t="s">
        <v>166</v>
      </c>
      <c r="C22" s="10">
        <f>IFERROR(INDEX('حسابهای دریافتنی'!H:H,MATCH(Table27[[#This Row],[كد تفصيلي]],'حسابهای دریافتنی'!A:A,0)),0)</f>
        <v>812653500</v>
      </c>
      <c r="D22" s="11">
        <f>IFERROR(INDEX('درجریان وصول'!F:F,MATCH(Table27[[#This Row],[كد تفصيلي]],'درجریان وصول'!A:A,0)),0)</f>
        <v>0</v>
      </c>
      <c r="E22" s="11">
        <f>IFERROR(INDEX('چکهای دریافتنی'!F:F,MATCH(Table27[[#This Row],[كد تفصيلي]],'چکهای دریافتنی'!A:A,0)),0)</f>
        <v>0</v>
      </c>
      <c r="F22" s="11">
        <f>Table27[[#This Row],[حسابهای دریافتنی]]+Table27[[#This Row],[چکهای در جریان وصول]]+Table27[[#This Row],[چکهای نزد صندوق]]</f>
        <v>812653500</v>
      </c>
      <c r="G22" s="12">
        <f>IFERROR(INDEX('مانده سوفاله'!F:F,MATCH(Table27[[#This Row],[كد تفصيلي]],'مانده سوفاله'!A:A,0)),0)</f>
        <v>0</v>
      </c>
    </row>
    <row r="23" spans="1:7" ht="23.25" customHeight="1" x14ac:dyDescent="0.3">
      <c r="A23" s="28">
        <v>30184</v>
      </c>
      <c r="B23" s="24" t="s">
        <v>368</v>
      </c>
      <c r="C23" s="10">
        <f>IFERROR(INDEX('حسابهای دریافتنی'!H:H,MATCH(Table27[[#This Row],[كد تفصيلي]],'حسابهای دریافتنی'!A:A,0)),0)</f>
        <v>904890480</v>
      </c>
      <c r="D23" s="11">
        <f>IFERROR(INDEX('درجریان وصول'!F:F,MATCH(Table27[[#This Row],[كد تفصيلي]],'درجریان وصول'!A:A,0)),0)</f>
        <v>0</v>
      </c>
      <c r="E23" s="11">
        <f>IFERROR(INDEX('چکهای دریافتنی'!F:F,MATCH(Table27[[#This Row],[كد تفصيلي]],'چکهای دریافتنی'!A:A,0)),0)</f>
        <v>0</v>
      </c>
      <c r="F23" s="11">
        <f>Table27[[#This Row],[حسابهای دریافتنی]]+Table27[[#This Row],[چکهای در جریان وصول]]+Table27[[#This Row],[چکهای نزد صندوق]]</f>
        <v>904890480</v>
      </c>
      <c r="G23" s="12">
        <f>IFERROR(INDEX('مانده سوفاله'!F:F,MATCH(Table27[[#This Row],[كد تفصيلي]],'مانده سوفاله'!A:A,0)),0)</f>
        <v>-100</v>
      </c>
    </row>
    <row r="24" spans="1:7" ht="23.25" customHeight="1" x14ac:dyDescent="0.3">
      <c r="A24" s="29">
        <v>30012</v>
      </c>
      <c r="B24" s="25" t="s">
        <v>61</v>
      </c>
      <c r="C24" s="10">
        <f>IFERROR(INDEX('حسابهای دریافتنی'!H:H,MATCH(Table27[[#This Row],[كد تفصيلي]],'حسابهای دریافتنی'!A:A,0)),0)</f>
        <v>-46099000</v>
      </c>
      <c r="D24" s="11">
        <f>IFERROR(INDEX('درجریان وصول'!F:F,MATCH(Table27[[#This Row],[كد تفصيلي]],'درجریان وصول'!A:A,0)),0)</f>
        <v>0</v>
      </c>
      <c r="E24" s="11">
        <f>IFERROR(INDEX('چکهای دریافتنی'!F:F,MATCH(Table27[[#This Row],[كد تفصيلي]],'چکهای دریافتنی'!A:A,0)),0)</f>
        <v>348650000</v>
      </c>
      <c r="F24" s="11">
        <f>Table27[[#This Row],[حسابهای دریافتنی]]+Table27[[#This Row],[چکهای در جریان وصول]]+Table27[[#This Row],[چکهای نزد صندوق]]</f>
        <v>302551000</v>
      </c>
      <c r="G24" s="12">
        <f>IFERROR(INDEX('مانده سوفاله'!F:F,MATCH(Table27[[#This Row],[كد تفصيلي]],'مانده سوفاله'!A:A,0)),0)</f>
        <v>141</v>
      </c>
    </row>
    <row r="25" spans="1:7" ht="23.25" customHeight="1" x14ac:dyDescent="0.3">
      <c r="A25" s="28">
        <v>30017</v>
      </c>
      <c r="B25" s="24" t="s">
        <v>65</v>
      </c>
      <c r="C25" s="10">
        <f>IFERROR(INDEX('حسابهای دریافتنی'!H:H,MATCH(Table27[[#This Row],[كد تفصيلي]],'حسابهای دریافتنی'!A:A,0)),0)</f>
        <v>905000830</v>
      </c>
      <c r="D25" s="11">
        <f>IFERROR(INDEX('درجریان وصول'!F:F,MATCH(Table27[[#This Row],[كد تفصيلي]],'درجریان وصول'!A:A,0)),0)</f>
        <v>0</v>
      </c>
      <c r="E25" s="11">
        <f>IFERROR(INDEX('چکهای دریافتنی'!F:F,MATCH(Table27[[#This Row],[كد تفصيلي]],'چکهای دریافتنی'!A:A,0)),0)</f>
        <v>0</v>
      </c>
      <c r="F25" s="11">
        <f>Table27[[#This Row],[حسابهای دریافتنی]]+Table27[[#This Row],[چکهای در جریان وصول]]+Table27[[#This Row],[چکهای نزد صندوق]]</f>
        <v>905000830</v>
      </c>
      <c r="G25" s="12">
        <f>IFERROR(INDEX('مانده سوفاله'!F:F,MATCH(Table27[[#This Row],[كد تفصيلي]],'مانده سوفاله'!A:A,0)),0)</f>
        <v>-2186</v>
      </c>
    </row>
    <row r="26" spans="1:7" ht="23.25" customHeight="1" x14ac:dyDescent="0.3">
      <c r="A26" s="28">
        <v>30124</v>
      </c>
      <c r="B26" s="24" t="s">
        <v>246</v>
      </c>
      <c r="C26" s="10">
        <f>IFERROR(INDEX('حسابهای دریافتنی'!H:H,MATCH(Table27[[#This Row],[كد تفصيلي]],'حسابهای دریافتنی'!A:A,0)),0)</f>
        <v>0</v>
      </c>
      <c r="D26" s="11">
        <f>IFERROR(INDEX('درجریان وصول'!F:F,MATCH(Table27[[#This Row],[كد تفصيلي]],'درجریان وصول'!A:A,0)),0)</f>
        <v>0</v>
      </c>
      <c r="E26" s="11">
        <f>IFERROR(INDEX('چکهای دریافتنی'!F:F,MATCH(Table27[[#This Row],[كد تفصيلي]],'چکهای دریافتنی'!A:A,0)),0)</f>
        <v>505676000</v>
      </c>
      <c r="F26" s="11">
        <f>Table27[[#This Row],[حسابهای دریافتنی]]+Table27[[#This Row],[چکهای در جریان وصول]]+Table27[[#This Row],[چکهای نزد صندوق]]</f>
        <v>505676000</v>
      </c>
      <c r="G26" s="12">
        <f>IFERROR(INDEX('مانده سوفاله'!F:F,MATCH(Table27[[#This Row],[كد تفصيلي]],'مانده سوفاله'!A:A,0)),0)</f>
        <v>1498</v>
      </c>
    </row>
    <row r="27" spans="1:7" ht="23.25" customHeight="1" x14ac:dyDescent="0.3">
      <c r="A27" s="29">
        <v>10008</v>
      </c>
      <c r="B27" s="25" t="s">
        <v>15</v>
      </c>
      <c r="C27" s="10">
        <f>IFERROR(INDEX('حسابهای دریافتنی'!H:H,MATCH(Table27[[#This Row],[كد تفصيلي]],'حسابهای دریافتنی'!A:A,0)),0)</f>
        <v>597342000</v>
      </c>
      <c r="D27" s="11">
        <f>IFERROR(INDEX('درجریان وصول'!F:F,MATCH(Table27[[#This Row],[كد تفصيلي]],'درجریان وصول'!A:A,0)),0)</f>
        <v>0</v>
      </c>
      <c r="E27" s="11">
        <f>IFERROR(INDEX('چکهای دریافتنی'!F:F,MATCH(Table27[[#This Row],[كد تفصيلي]],'چکهای دریافتنی'!A:A,0)),0)</f>
        <v>0</v>
      </c>
      <c r="F27" s="11">
        <f>Table27[[#This Row],[حسابهای دریافتنی]]+Table27[[#This Row],[چکهای در جریان وصول]]+Table27[[#This Row],[چکهای نزد صندوق]]</f>
        <v>597342000</v>
      </c>
      <c r="G27" s="12">
        <f>IFERROR(INDEX('مانده سوفاله'!F:F,MATCH(Table27[[#This Row],[كد تفصيلي]],'مانده سوفاله'!A:A,0)),0)</f>
        <v>-578</v>
      </c>
    </row>
    <row r="28" spans="1:7" ht="23.25" customHeight="1" x14ac:dyDescent="0.3">
      <c r="A28" s="29">
        <v>30030</v>
      </c>
      <c r="B28" s="25" t="s">
        <v>77</v>
      </c>
      <c r="C28" s="10">
        <f>IFERROR(INDEX('حسابهای دریافتنی'!H:H,MATCH(Table27[[#This Row],[كد تفصيلي]],'حسابهای دریافتنی'!A:A,0)),0)</f>
        <v>850500</v>
      </c>
      <c r="D28" s="11">
        <f>IFERROR(INDEX('درجریان وصول'!F:F,MATCH(Table27[[#This Row],[كد تفصيلي]],'درجریان وصول'!A:A,0)),0)</f>
        <v>0</v>
      </c>
      <c r="E28" s="11">
        <f>IFERROR(INDEX('چکهای دریافتنی'!F:F,MATCH(Table27[[#This Row],[كد تفصيلي]],'چکهای دریافتنی'!A:A,0)),0)</f>
        <v>0</v>
      </c>
      <c r="F28" s="11">
        <f>Table27[[#This Row],[حسابهای دریافتنی]]+Table27[[#This Row],[چکهای در جریان وصول]]+Table27[[#This Row],[چکهای نزد صندوق]]</f>
        <v>850500</v>
      </c>
      <c r="G28" s="12">
        <f>IFERROR(INDEX('مانده سوفاله'!F:F,MATCH(Table27[[#This Row],[كد تفصيلي]],'مانده سوفاله'!A:A,0)),0)</f>
        <v>-49</v>
      </c>
    </row>
    <row r="29" spans="1:7" ht="23.25" customHeight="1" x14ac:dyDescent="0.3">
      <c r="A29" s="28">
        <v>10057</v>
      </c>
      <c r="B29" s="24" t="s">
        <v>225</v>
      </c>
      <c r="C29" s="10">
        <f>IFERROR(INDEX('حسابهای دریافتنی'!H:H,MATCH(Table27[[#This Row],[كد تفصيلي]],'حسابهای دریافتنی'!A:A,0)),0)</f>
        <v>1390485500</v>
      </c>
      <c r="D29" s="11">
        <f>IFERROR(INDEX('درجریان وصول'!F:F,MATCH(Table27[[#This Row],[كد تفصيلي]],'درجریان وصول'!A:A,0)),0)</f>
        <v>0</v>
      </c>
      <c r="E29" s="11">
        <f>IFERROR(INDEX('چکهای دریافتنی'!F:F,MATCH(Table27[[#This Row],[كد تفصيلي]],'چکهای دریافتنی'!A:A,0)),0)</f>
        <v>0</v>
      </c>
      <c r="F29" s="11">
        <f>Table27[[#This Row],[حسابهای دریافتنی]]+Table27[[#This Row],[چکهای در جریان وصول]]+Table27[[#This Row],[چکهای نزد صندوق]]</f>
        <v>1390485500</v>
      </c>
      <c r="G29" s="12">
        <f>IFERROR(INDEX('مانده سوفاله'!F:F,MATCH(Table27[[#This Row],[كد تفصيلي]],'مانده سوفاله'!A:A,0)),0)</f>
        <v>-2044</v>
      </c>
    </row>
    <row r="30" spans="1:7" ht="23.25" customHeight="1" x14ac:dyDescent="0.3">
      <c r="A30" s="29">
        <v>10020</v>
      </c>
      <c r="B30" s="25" t="s">
        <v>27</v>
      </c>
      <c r="C30" s="10">
        <f>IFERROR(INDEX('حسابهای دریافتنی'!H:H,MATCH(Table27[[#This Row],[كد تفصيلي]],'حسابهای دریافتنی'!A:A,0)),0)</f>
        <v>57999963</v>
      </c>
      <c r="D30" s="11">
        <f>IFERROR(INDEX('درجریان وصول'!F:F,MATCH(Table27[[#This Row],[كد تفصيلي]],'درجریان وصول'!A:A,0)),0)</f>
        <v>0</v>
      </c>
      <c r="E30" s="11">
        <f>IFERROR(INDEX('چکهای دریافتنی'!F:F,MATCH(Table27[[#This Row],[كد تفصيلي]],'چکهای دریافتنی'!A:A,0)),0)</f>
        <v>728000000</v>
      </c>
      <c r="F30" s="11">
        <f>Table27[[#This Row],[حسابهای دریافتنی]]+Table27[[#This Row],[چکهای در جریان وصول]]+Table27[[#This Row],[چکهای نزد صندوق]]</f>
        <v>785999963</v>
      </c>
      <c r="G30" s="12">
        <f>IFERROR(INDEX('مانده سوفاله'!F:F,MATCH(Table27[[#This Row],[كد تفصيلي]],'مانده سوفاله'!A:A,0)),0)</f>
        <v>-1031</v>
      </c>
    </row>
    <row r="31" spans="1:7" ht="23.25" customHeight="1" x14ac:dyDescent="0.3">
      <c r="A31" s="28">
        <v>30140</v>
      </c>
      <c r="B31" s="24" t="s">
        <v>259</v>
      </c>
      <c r="C31" s="10">
        <f>IFERROR(INDEX('حسابهای دریافتنی'!H:H,MATCH(Table27[[#This Row],[كد تفصيلي]],'حسابهای دریافتنی'!A:A,0)),0)</f>
        <v>553728200</v>
      </c>
      <c r="D31" s="11">
        <f>IFERROR(INDEX('درجریان وصول'!F:F,MATCH(Table27[[#This Row],[كد تفصيلي]],'درجریان وصول'!A:A,0)),0)</f>
        <v>0</v>
      </c>
      <c r="E31" s="11">
        <f>IFERROR(INDEX('چکهای دریافتنی'!F:F,MATCH(Table27[[#This Row],[كد تفصيلي]],'چکهای دریافتنی'!A:A,0)),0)</f>
        <v>1030000000</v>
      </c>
      <c r="F31" s="11">
        <f>Table27[[#This Row],[حسابهای دریافتنی]]+Table27[[#This Row],[چکهای در جریان وصول]]+Table27[[#This Row],[چکهای نزد صندوق]]</f>
        <v>1583728200</v>
      </c>
      <c r="G31" s="12">
        <f>IFERROR(INDEX('مانده سوفاله'!F:F,MATCH(Table27[[#This Row],[كد تفصيلي]],'مانده سوفاله'!A:A,0)),0)</f>
        <v>-12630</v>
      </c>
    </row>
    <row r="32" spans="1:7" ht="23.25" customHeight="1" x14ac:dyDescent="0.3">
      <c r="A32" s="28">
        <v>50011</v>
      </c>
      <c r="B32" s="24" t="s">
        <v>147</v>
      </c>
      <c r="C32" s="10">
        <f>IFERROR(INDEX('حسابهای دریافتنی'!H:H,MATCH(Table27[[#This Row],[كد تفصيلي]],'حسابهای دریافتنی'!A:A,0)),0)</f>
        <v>832182413</v>
      </c>
      <c r="D32" s="11">
        <f>IFERROR(INDEX('درجریان وصول'!F:F,MATCH(Table27[[#This Row],[كد تفصيلي]],'درجریان وصول'!A:A,0)),0)</f>
        <v>0</v>
      </c>
      <c r="E32" s="11">
        <f>IFERROR(INDEX('چکهای دریافتنی'!F:F,MATCH(Table27[[#This Row],[كد تفصيلي]],'چکهای دریافتنی'!A:A,0)),0)</f>
        <v>0</v>
      </c>
      <c r="F32" s="11">
        <f>Table27[[#This Row],[حسابهای دریافتنی]]+Table27[[#This Row],[چکهای در جریان وصول]]+Table27[[#This Row],[چکهای نزد صندوق]]</f>
        <v>832182413</v>
      </c>
      <c r="G32" s="12">
        <f>IFERROR(INDEX('مانده سوفاله'!F:F,MATCH(Table27[[#This Row],[كد تفصيلي]],'مانده سوفاله'!A:A,0)),0)</f>
        <v>30</v>
      </c>
    </row>
    <row r="33" spans="1:7" ht="23.25" customHeight="1" x14ac:dyDescent="0.3">
      <c r="A33" s="28">
        <v>30070</v>
      </c>
      <c r="B33" s="24" t="s">
        <v>115</v>
      </c>
      <c r="C33" s="10">
        <f>IFERROR(INDEX('حسابهای دریافتنی'!H:H,MATCH(Table27[[#This Row],[كد تفصيلي]],'حسابهای دریافتنی'!A:A,0)),0)</f>
        <v>2651728820</v>
      </c>
      <c r="D33" s="11">
        <f>IFERROR(INDEX('درجریان وصول'!F:F,MATCH(Table27[[#This Row],[كد تفصيلي]],'درجریان وصول'!A:A,0)),0)</f>
        <v>0</v>
      </c>
      <c r="E33" s="11">
        <f>IFERROR(INDEX('چکهای دریافتنی'!F:F,MATCH(Table27[[#This Row],[كد تفصيلي]],'چکهای دریافتنی'!A:A,0)),0)</f>
        <v>3660000000</v>
      </c>
      <c r="F33" s="11">
        <f>Table27[[#This Row],[حسابهای دریافتنی]]+Table27[[#This Row],[چکهای در جریان وصول]]+Table27[[#This Row],[چکهای نزد صندوق]]</f>
        <v>6311728820</v>
      </c>
      <c r="G33" s="12">
        <f>IFERROR(INDEX('مانده سوفاله'!F:F,MATCH(Table27[[#This Row],[كد تفصيلي]],'مانده سوفاله'!A:A,0)),0)</f>
        <v>4378</v>
      </c>
    </row>
    <row r="34" spans="1:7" ht="23.25" customHeight="1" x14ac:dyDescent="0.3">
      <c r="A34" s="28">
        <v>30182</v>
      </c>
      <c r="B34" s="24" t="s">
        <v>342</v>
      </c>
      <c r="C34" s="10">
        <f>IFERROR(INDEX('حسابهای دریافتنی'!H:H,MATCH(Table27[[#This Row],[كد تفصيلي]],'حسابهای دریافتنی'!A:A,0)),0)</f>
        <v>-528256400</v>
      </c>
      <c r="D34" s="11">
        <f>IFERROR(INDEX('درجریان وصول'!F:F,MATCH(Table27[[#This Row],[كد تفصيلي]],'درجریان وصول'!A:A,0)),0)</f>
        <v>0</v>
      </c>
      <c r="E34" s="11">
        <f>IFERROR(INDEX('چکهای دریافتنی'!F:F,MATCH(Table27[[#This Row],[كد تفصيلي]],'چکهای دریافتنی'!A:A,0)),0)</f>
        <v>0</v>
      </c>
      <c r="F34" s="11">
        <f>Table27[[#This Row],[حسابهای دریافتنی]]+Table27[[#This Row],[چکهای در جریان وصول]]+Table27[[#This Row],[چکهای نزد صندوق]]</f>
        <v>-528256400</v>
      </c>
      <c r="G34" s="12">
        <f>IFERROR(INDEX('مانده سوفاله'!F:F,MATCH(Table27[[#This Row],[كد تفصيلي]],'مانده سوفاله'!A:A,0)),0)</f>
        <v>0</v>
      </c>
    </row>
    <row r="35" spans="1:7" ht="23.25" customHeight="1" x14ac:dyDescent="0.3">
      <c r="A35" s="29">
        <v>30069</v>
      </c>
      <c r="B35" s="25" t="s">
        <v>114</v>
      </c>
      <c r="C35" s="10">
        <f>IFERROR(INDEX('حسابهای دریافتنی'!H:H,MATCH(Table27[[#This Row],[كد تفصيلي]],'حسابهای دریافتنی'!A:A,0)),0)</f>
        <v>377909400</v>
      </c>
      <c r="D35" s="11">
        <f>IFERROR(INDEX('درجریان وصول'!F:F,MATCH(Table27[[#This Row],[كد تفصيلي]],'درجریان وصول'!A:A,0)),0)</f>
        <v>0</v>
      </c>
      <c r="E35" s="11">
        <f>IFERROR(INDEX('چکهای دریافتنی'!F:F,MATCH(Table27[[#This Row],[كد تفصيلي]],'چکهای دریافتنی'!A:A,0)),0)</f>
        <v>0</v>
      </c>
      <c r="F35" s="11">
        <f>Table27[[#This Row],[حسابهای دریافتنی]]+Table27[[#This Row],[چکهای در جریان وصول]]+Table27[[#This Row],[چکهای نزد صندوق]]</f>
        <v>377909400</v>
      </c>
      <c r="G35" s="12">
        <f>IFERROR(INDEX('مانده سوفاله'!F:F,MATCH(Table27[[#This Row],[كد تفصيلي]],'مانده سوفاله'!A:A,0)),0)</f>
        <v>66</v>
      </c>
    </row>
    <row r="36" spans="1:7" ht="23.25" customHeight="1" x14ac:dyDescent="0.3">
      <c r="A36" s="29">
        <v>10084</v>
      </c>
      <c r="B36" s="25" t="s">
        <v>217</v>
      </c>
      <c r="C36" s="10">
        <f>IFERROR(INDEX('حسابهای دریافتنی'!H:H,MATCH(Table27[[#This Row],[كد تفصيلي]],'حسابهای دریافتنی'!A:A,0)),0)</f>
        <v>358092810</v>
      </c>
      <c r="D36" s="11">
        <f>IFERROR(INDEX('درجریان وصول'!F:F,MATCH(Table27[[#This Row],[كد تفصيلي]],'درجریان وصول'!A:A,0)),0)</f>
        <v>0</v>
      </c>
      <c r="E36" s="11">
        <f>IFERROR(INDEX('چکهای دریافتنی'!F:F,MATCH(Table27[[#This Row],[كد تفصيلي]],'چکهای دریافتنی'!A:A,0)),0)</f>
        <v>870000000</v>
      </c>
      <c r="F36" s="11">
        <f>Table27[[#This Row],[حسابهای دریافتنی]]+Table27[[#This Row],[چکهای در جریان وصول]]+Table27[[#This Row],[چکهای نزد صندوق]]</f>
        <v>1228092810</v>
      </c>
      <c r="G36" s="12">
        <f>IFERROR(INDEX('مانده سوفاله'!F:F,MATCH(Table27[[#This Row],[كد تفصيلي]],'مانده سوفاله'!A:A,0)),0)</f>
        <v>-1656</v>
      </c>
    </row>
    <row r="37" spans="1:7" ht="23.25" customHeight="1" x14ac:dyDescent="0.3">
      <c r="A37" s="29">
        <v>30055</v>
      </c>
      <c r="B37" s="25" t="s">
        <v>100</v>
      </c>
      <c r="C37" s="10">
        <f>IFERROR(INDEX('حسابهای دریافتنی'!H:H,MATCH(Table27[[#This Row],[كد تفصيلي]],'حسابهای دریافتنی'!A:A,0)),0)</f>
        <v>0</v>
      </c>
      <c r="D37" s="11">
        <f>IFERROR(INDEX('درجریان وصول'!F:F,MATCH(Table27[[#This Row],[كد تفصيلي]],'درجریان وصول'!A:A,0)),0)</f>
        <v>0</v>
      </c>
      <c r="E37" s="11">
        <f>IFERROR(INDEX('چکهای دریافتنی'!F:F,MATCH(Table27[[#This Row],[كد تفصيلي]],'چکهای دریافتنی'!A:A,0)),0)</f>
        <v>0</v>
      </c>
      <c r="F37" s="11">
        <f>Table27[[#This Row],[حسابهای دریافتنی]]+Table27[[#This Row],[چکهای در جریان وصول]]+Table27[[#This Row],[چکهای نزد صندوق]]</f>
        <v>0</v>
      </c>
      <c r="G37" s="12">
        <f>IFERROR(INDEX('مانده سوفاله'!F:F,MATCH(Table27[[#This Row],[كد تفصيلي]],'مانده سوفاله'!A:A,0)),0)</f>
        <v>48</v>
      </c>
    </row>
    <row r="38" spans="1:7" ht="23.25" customHeight="1" x14ac:dyDescent="0.3">
      <c r="A38" s="28">
        <v>30186</v>
      </c>
      <c r="B38" s="24" t="s">
        <v>367</v>
      </c>
      <c r="C38" s="10">
        <f>IFERROR(INDEX('حسابهای دریافتنی'!H:H,MATCH(Table27[[#This Row],[كد تفصيلي]],'حسابهای دریافتنی'!A:A,0)),0)</f>
        <v>986425000</v>
      </c>
      <c r="D38" s="11">
        <f>IFERROR(INDEX('درجریان وصول'!F:F,MATCH(Table27[[#This Row],[كد تفصيلي]],'درجریان وصول'!A:A,0)),0)</f>
        <v>0</v>
      </c>
      <c r="E38" s="11">
        <f>IFERROR(INDEX('چکهای دریافتنی'!F:F,MATCH(Table27[[#This Row],[كد تفصيلي]],'چکهای دریافتنی'!A:A,0)),0)</f>
        <v>5982430000</v>
      </c>
      <c r="F38" s="11">
        <f>Table27[[#This Row],[حسابهای دریافتنی]]+Table27[[#This Row],[چکهای در جریان وصول]]+Table27[[#This Row],[چکهای نزد صندوق]]</f>
        <v>6968855000</v>
      </c>
      <c r="G38" s="12">
        <f>IFERROR(INDEX('مانده سوفاله'!F:F,MATCH(Table27[[#This Row],[كد تفصيلي]],'مانده سوفاله'!A:A,0)),0)</f>
        <v>-7388</v>
      </c>
    </row>
    <row r="39" spans="1:7" ht="23.25" customHeight="1" x14ac:dyDescent="0.3">
      <c r="A39" s="28">
        <v>30086</v>
      </c>
      <c r="B39" s="24" t="s">
        <v>131</v>
      </c>
      <c r="C39" s="10">
        <f>IFERROR(INDEX('حسابهای دریافتنی'!H:H,MATCH(Table27[[#This Row],[كد تفصيلي]],'حسابهای دریافتنی'!A:A,0)),0)</f>
        <v>187376603</v>
      </c>
      <c r="D39" s="11">
        <f>IFERROR(INDEX('درجریان وصول'!F:F,MATCH(Table27[[#This Row],[كد تفصيلي]],'درجریان وصول'!A:A,0)),0)</f>
        <v>0</v>
      </c>
      <c r="E39" s="11">
        <f>IFERROR(INDEX('چکهای دریافتنی'!F:F,MATCH(Table27[[#This Row],[كد تفصيلي]],'چکهای دریافتنی'!A:A,0)),0)</f>
        <v>0</v>
      </c>
      <c r="F39" s="11">
        <f>Table27[[#This Row],[حسابهای دریافتنی]]+Table27[[#This Row],[چکهای در جریان وصول]]+Table27[[#This Row],[چکهای نزد صندوق]]</f>
        <v>187376603</v>
      </c>
      <c r="G39" s="12">
        <f>IFERROR(INDEX('مانده سوفاله'!F:F,MATCH(Table27[[#This Row],[كد تفصيلي]],'مانده سوفاله'!A:A,0)),0)</f>
        <v>1549</v>
      </c>
    </row>
    <row r="40" spans="1:7" ht="23.25" customHeight="1" x14ac:dyDescent="0.3">
      <c r="A40" s="28">
        <v>10015</v>
      </c>
      <c r="B40" s="24" t="s">
        <v>22</v>
      </c>
      <c r="C40" s="10">
        <f>IFERROR(INDEX('حسابهای دریافتنی'!H:H,MATCH(Table27[[#This Row],[كد تفصيلي]],'حسابهای دریافتنی'!A:A,0)),0)</f>
        <v>-4735000</v>
      </c>
      <c r="D40" s="11">
        <f>IFERROR(INDEX('درجریان وصول'!F:F,MATCH(Table27[[#This Row],[كد تفصيلي]],'درجریان وصول'!A:A,0)),0)</f>
        <v>0</v>
      </c>
      <c r="E40" s="11">
        <f>IFERROR(INDEX('چکهای دریافتنی'!F:F,MATCH(Table27[[#This Row],[كد تفصيلي]],'چکهای دریافتنی'!A:A,0)),0)</f>
        <v>0</v>
      </c>
      <c r="F40" s="11">
        <f>Table27[[#This Row],[حسابهای دریافتنی]]+Table27[[#This Row],[چکهای در جریان وصول]]+Table27[[#This Row],[چکهای نزد صندوق]]</f>
        <v>-4735000</v>
      </c>
      <c r="G40" s="12">
        <f>IFERROR(INDEX('مانده سوفاله'!F:F,MATCH(Table27[[#This Row],[كد تفصيلي]],'مانده سوفاله'!A:A,0)),0)</f>
        <v>12</v>
      </c>
    </row>
    <row r="41" spans="1:7" ht="23.25" customHeight="1" x14ac:dyDescent="0.3">
      <c r="A41" s="29">
        <v>30026</v>
      </c>
      <c r="B41" s="25" t="s">
        <v>74</v>
      </c>
      <c r="C41" s="10">
        <f>IFERROR(INDEX('حسابهای دریافتنی'!H:H,MATCH(Table27[[#This Row],[كد تفصيلي]],'حسابهای دریافتنی'!A:A,0)),0)</f>
        <v>5689439</v>
      </c>
      <c r="D41" s="11">
        <f>IFERROR(INDEX('درجریان وصول'!F:F,MATCH(Table27[[#This Row],[كد تفصيلي]],'درجریان وصول'!A:A,0)),0)</f>
        <v>0</v>
      </c>
      <c r="E41" s="11">
        <f>IFERROR(INDEX('چکهای دریافتنی'!F:F,MATCH(Table27[[#This Row],[كد تفصيلي]],'چکهای دریافتنی'!A:A,0)),0)</f>
        <v>0</v>
      </c>
      <c r="F41" s="11">
        <f>Table27[[#This Row],[حسابهای دریافتنی]]+Table27[[#This Row],[چکهای در جریان وصول]]+Table27[[#This Row],[چکهای نزد صندوق]]</f>
        <v>5689439</v>
      </c>
      <c r="G41" s="12">
        <f>IFERROR(INDEX('مانده سوفاله'!F:F,MATCH(Table27[[#This Row],[كد تفصيلي]],'مانده سوفاله'!A:A,0)),0)</f>
        <v>764</v>
      </c>
    </row>
    <row r="42" spans="1:7" ht="23.25" customHeight="1" x14ac:dyDescent="0.3">
      <c r="A42" s="28">
        <v>30019</v>
      </c>
      <c r="B42" s="24" t="s">
        <v>67</v>
      </c>
      <c r="C42" s="10">
        <f>IFERROR(INDEX('حسابهای دریافتنی'!H:H,MATCH(Table27[[#This Row],[كد تفصيلي]],'حسابهای دریافتنی'!A:A,0)),0)</f>
        <v>823484840</v>
      </c>
      <c r="D42" s="11">
        <f>IFERROR(INDEX('درجریان وصول'!F:F,MATCH(Table27[[#This Row],[كد تفصيلي]],'درجریان وصول'!A:A,0)),0)</f>
        <v>0</v>
      </c>
      <c r="E42" s="11">
        <f>IFERROR(INDEX('چکهای دریافتنی'!F:F,MATCH(Table27[[#This Row],[كد تفصيلي]],'چکهای دریافتنی'!A:A,0)),0)</f>
        <v>0</v>
      </c>
      <c r="F42" s="11">
        <f>Table27[[#This Row],[حسابهای دریافتنی]]+Table27[[#This Row],[چکهای در جریان وصول]]+Table27[[#This Row],[چکهای نزد صندوق]]</f>
        <v>823484840</v>
      </c>
      <c r="G42" s="12">
        <f>IFERROR(INDEX('مانده سوفاله'!F:F,MATCH(Table27[[#This Row],[كد تفصيلي]],'مانده سوفاله'!A:A,0)),0)</f>
        <v>612</v>
      </c>
    </row>
    <row r="43" spans="1:7" ht="23.25" customHeight="1" x14ac:dyDescent="0.3">
      <c r="A43" s="29">
        <v>30187</v>
      </c>
      <c r="B43" s="25" t="s">
        <v>369</v>
      </c>
      <c r="C43" s="10">
        <f>IFERROR(INDEX('حسابهای دریافتنی'!H:H,MATCH(Table27[[#This Row],[كد تفصيلي]],'حسابهای دریافتنی'!A:A,0)),0)</f>
        <v>337825500</v>
      </c>
      <c r="D43" s="11">
        <f>IFERROR(INDEX('درجریان وصول'!F:F,MATCH(Table27[[#This Row],[كد تفصيلي]],'درجریان وصول'!A:A,0)),0)</f>
        <v>0</v>
      </c>
      <c r="E43" s="11">
        <f>IFERROR(INDEX('چکهای دریافتنی'!F:F,MATCH(Table27[[#This Row],[كد تفصيلي]],'چکهای دریافتنی'!A:A,0)),0)</f>
        <v>0</v>
      </c>
      <c r="F43" s="11">
        <f>Table27[[#This Row],[حسابهای دریافتنی]]+Table27[[#This Row],[چکهای در جریان وصول]]+Table27[[#This Row],[چکهای نزد صندوق]]</f>
        <v>337825500</v>
      </c>
      <c r="G43" s="12">
        <f>IFERROR(INDEX('مانده سوفاله'!F:F,MATCH(Table27[[#This Row],[كد تفصيلي]],'مانده سوفاله'!A:A,0)),0)</f>
        <v>-108</v>
      </c>
    </row>
    <row r="44" spans="1:7" ht="23.25" customHeight="1" x14ac:dyDescent="0.3">
      <c r="A44" s="29">
        <v>10092</v>
      </c>
      <c r="B44" s="25" t="s">
        <v>260</v>
      </c>
      <c r="C44" s="10">
        <f>IFERROR(INDEX('حسابهای دریافتنی'!H:H,MATCH(Table27[[#This Row],[كد تفصيلي]],'حسابهای دریافتنی'!A:A,0)),0)</f>
        <v>-1749946500</v>
      </c>
      <c r="D44" s="11">
        <f>IFERROR(INDEX('درجریان وصول'!F:F,MATCH(Table27[[#This Row],[كد تفصيلي]],'درجریان وصول'!A:A,0)),0)</f>
        <v>0</v>
      </c>
      <c r="E44" s="11">
        <f>IFERROR(INDEX('چکهای دریافتنی'!F:F,MATCH(Table27[[#This Row],[كد تفصيلي]],'چکهای دریافتنی'!A:A,0)),0)</f>
        <v>300000000</v>
      </c>
      <c r="F44" s="11">
        <f>Table27[[#This Row],[حسابهای دریافتنی]]+Table27[[#This Row],[چکهای در جریان وصول]]+Table27[[#This Row],[چکهای نزد صندوق]]</f>
        <v>-1449946500</v>
      </c>
      <c r="G44" s="12">
        <f>IFERROR(INDEX('مانده سوفاله'!F:F,MATCH(Table27[[#This Row],[كد تفصيلي]],'مانده سوفاله'!A:A,0)),0)</f>
        <v>0</v>
      </c>
    </row>
    <row r="45" spans="1:7" ht="23.25" customHeight="1" x14ac:dyDescent="0.3">
      <c r="A45" s="29">
        <v>10096</v>
      </c>
      <c r="B45" s="25" t="s">
        <v>271</v>
      </c>
      <c r="C45" s="10">
        <f>IFERROR(INDEX('حسابهای دریافتنی'!H:H,MATCH(Table27[[#This Row],[كد تفصيلي]],'حسابهای دریافتنی'!A:A,0)),0)</f>
        <v>36455500</v>
      </c>
      <c r="D45" s="11">
        <f>IFERROR(INDEX('درجریان وصول'!F:F,MATCH(Table27[[#This Row],[كد تفصيلي]],'درجریان وصول'!A:A,0)),0)</f>
        <v>0</v>
      </c>
      <c r="E45" s="11">
        <f>IFERROR(INDEX('چکهای دریافتنی'!F:F,MATCH(Table27[[#This Row],[كد تفصيلي]],'چکهای دریافتنی'!A:A,0)),0)</f>
        <v>0</v>
      </c>
      <c r="F45" s="11">
        <f>Table27[[#This Row],[حسابهای دریافتنی]]+Table27[[#This Row],[چکهای در جریان وصول]]+Table27[[#This Row],[چکهای نزد صندوق]]</f>
        <v>36455500</v>
      </c>
      <c r="G45" s="12">
        <f>IFERROR(INDEX('مانده سوفاله'!F:F,MATCH(Table27[[#This Row],[كد تفصيلي]],'مانده سوفاله'!A:A,0)),0)</f>
        <v>0</v>
      </c>
    </row>
    <row r="46" spans="1:7" ht="23.25" customHeight="1" x14ac:dyDescent="0.3">
      <c r="A46" s="28">
        <v>30025</v>
      </c>
      <c r="B46" s="24" t="s">
        <v>73</v>
      </c>
      <c r="C46" s="10">
        <f>IFERROR(INDEX('حسابهای دریافتنی'!H:H,MATCH(Table27[[#This Row],[كد تفصيلي]],'حسابهای دریافتنی'!A:A,0)),0)</f>
        <v>35598920</v>
      </c>
      <c r="D46" s="11">
        <f>IFERROR(INDEX('درجریان وصول'!F:F,MATCH(Table27[[#This Row],[كد تفصيلي]],'درجریان وصول'!A:A,0)),0)</f>
        <v>0</v>
      </c>
      <c r="E46" s="11">
        <f>IFERROR(INDEX('چکهای دریافتنی'!F:F,MATCH(Table27[[#This Row],[كد تفصيلي]],'چکهای دریافتنی'!A:A,0)),0)</f>
        <v>0</v>
      </c>
      <c r="F46" s="11">
        <f>Table27[[#This Row],[حسابهای دریافتنی]]+Table27[[#This Row],[چکهای در جریان وصول]]+Table27[[#This Row],[چکهای نزد صندوق]]</f>
        <v>35598920</v>
      </c>
      <c r="G46" s="12">
        <f>IFERROR(INDEX('مانده سوفاله'!F:F,MATCH(Table27[[#This Row],[كد تفصيلي]],'مانده سوفاله'!A:A,0)),0)</f>
        <v>-165</v>
      </c>
    </row>
    <row r="47" spans="1:7" ht="23.25" customHeight="1" x14ac:dyDescent="0.3">
      <c r="A47" s="28">
        <v>30160</v>
      </c>
      <c r="B47" s="24" t="s">
        <v>296</v>
      </c>
      <c r="C47" s="10">
        <f>IFERROR(INDEX('حسابهای دریافتنی'!H:H,MATCH(Table27[[#This Row],[كد تفصيلي]],'حسابهای دریافتنی'!A:A,0)),0)</f>
        <v>0</v>
      </c>
      <c r="D47" s="11">
        <f>IFERROR(INDEX('درجریان وصول'!F:F,MATCH(Table27[[#This Row],[كد تفصيلي]],'درجریان وصول'!A:A,0)),0)</f>
        <v>0</v>
      </c>
      <c r="E47" s="11">
        <f>IFERROR(INDEX('چکهای دریافتنی'!F:F,MATCH(Table27[[#This Row],[كد تفصيلي]],'چکهای دریافتنی'!A:A,0)),0)</f>
        <v>0</v>
      </c>
      <c r="F47" s="11">
        <f>Table27[[#This Row],[حسابهای دریافتنی]]+Table27[[#This Row],[چکهای در جریان وصول]]+Table27[[#This Row],[چکهای نزد صندوق]]</f>
        <v>0</v>
      </c>
      <c r="G47" s="12">
        <f>IFERROR(INDEX('مانده سوفاله'!F:F,MATCH(Table27[[#This Row],[كد تفصيلي]],'مانده سوفاله'!A:A,0)),0)</f>
        <v>-425</v>
      </c>
    </row>
    <row r="48" spans="1:7" ht="23.25" customHeight="1" x14ac:dyDescent="0.3">
      <c r="A48" s="29">
        <v>30093</v>
      </c>
      <c r="B48" s="25" t="s">
        <v>151</v>
      </c>
      <c r="C48" s="10">
        <f>IFERROR(INDEX('حسابهای دریافتنی'!H:H,MATCH(Table27[[#This Row],[كد تفصيلي]],'حسابهای دریافتنی'!A:A,0)),0)</f>
        <v>0</v>
      </c>
      <c r="D48" s="11">
        <f>IFERROR(INDEX('درجریان وصول'!F:F,MATCH(Table27[[#This Row],[كد تفصيلي]],'درجریان وصول'!A:A,0)),0)</f>
        <v>0</v>
      </c>
      <c r="E48" s="11">
        <f>IFERROR(INDEX('چکهای دریافتنی'!F:F,MATCH(Table27[[#This Row],[كد تفصيلي]],'چکهای دریافتنی'!A:A,0)),0)</f>
        <v>0</v>
      </c>
      <c r="F48" s="11">
        <f>Table27[[#This Row],[حسابهای دریافتنی]]+Table27[[#This Row],[چکهای در جریان وصول]]+Table27[[#This Row],[چکهای نزد صندوق]]</f>
        <v>0</v>
      </c>
      <c r="G48" s="12">
        <v>77</v>
      </c>
    </row>
    <row r="49" spans="1:7" ht="23.25" customHeight="1" x14ac:dyDescent="0.3">
      <c r="A49" s="29">
        <v>30008</v>
      </c>
      <c r="B49" s="25" t="s">
        <v>58</v>
      </c>
      <c r="C49" s="10">
        <f>IFERROR(INDEX('حسابهای دریافتنی'!H:H,MATCH(Table27[[#This Row],[كد تفصيلي]],'حسابهای دریافتنی'!A:A,0)),0)</f>
        <v>15520000</v>
      </c>
      <c r="D49" s="11">
        <f>IFERROR(INDEX('درجریان وصول'!F:F,MATCH(Table27[[#This Row],[كد تفصيلي]],'درجریان وصول'!A:A,0)),0)</f>
        <v>0</v>
      </c>
      <c r="E49" s="11">
        <f>IFERROR(INDEX('چکهای دریافتنی'!F:F,MATCH(Table27[[#This Row],[كد تفصيلي]],'چکهای دریافتنی'!A:A,0)),0)</f>
        <v>0</v>
      </c>
      <c r="F49" s="11">
        <f>Table27[[#This Row],[حسابهای دریافتنی]]+Table27[[#This Row],[چکهای در جریان وصول]]+Table27[[#This Row],[چکهای نزد صندوق]]</f>
        <v>15520000</v>
      </c>
      <c r="G49" s="12">
        <f>IFERROR(INDEX('مانده سوفاله'!F:F,MATCH(Table27[[#This Row],[كد تفصيلي]],'مانده سوفاله'!A:A,0)),0)</f>
        <v>0</v>
      </c>
    </row>
    <row r="50" spans="1:7" ht="23.25" customHeight="1" x14ac:dyDescent="0.3">
      <c r="A50" s="28">
        <v>10007</v>
      </c>
      <c r="B50" s="24" t="s">
        <v>14</v>
      </c>
      <c r="C50" s="10">
        <f>IFERROR(INDEX('حسابهای دریافتنی'!H:H,MATCH(Table27[[#This Row],[كد تفصيلي]],'حسابهای دریافتنی'!A:A,0)),0)</f>
        <v>12770000</v>
      </c>
      <c r="D50" s="11">
        <f>IFERROR(INDEX('درجریان وصول'!F:F,MATCH(Table27[[#This Row],[كد تفصيلي]],'درجریان وصول'!A:A,0)),0)</f>
        <v>0</v>
      </c>
      <c r="E50" s="11">
        <f>IFERROR(INDEX('چکهای دریافتنی'!F:F,MATCH(Table27[[#This Row],[كد تفصيلي]],'چکهای دریافتنی'!A:A,0)),0)</f>
        <v>0</v>
      </c>
      <c r="F50" s="11">
        <f>Table27[[#This Row],[حسابهای دریافتنی]]+Table27[[#This Row],[چکهای در جریان وصول]]+Table27[[#This Row],[چکهای نزد صندوق]]</f>
        <v>12770000</v>
      </c>
      <c r="G50" s="12">
        <f>IFERROR(INDEX('مانده سوفاله'!F:F,MATCH(Table27[[#This Row],[كد تفصيلي]],'مانده سوفاله'!A:A,0)),0)</f>
        <v>-52.5</v>
      </c>
    </row>
    <row r="51" spans="1:7" ht="23.25" customHeight="1" x14ac:dyDescent="0.3">
      <c r="A51" s="29">
        <v>30101</v>
      </c>
      <c r="B51" s="25" t="s">
        <v>196</v>
      </c>
      <c r="C51" s="10">
        <f>IFERROR(INDEX('حسابهای دریافتنی'!H:H,MATCH(Table27[[#This Row],[كد تفصيلي]],'حسابهای دریافتنی'!A:A,0)),0)</f>
        <v>203336095</v>
      </c>
      <c r="D51" s="11">
        <f>IFERROR(INDEX('درجریان وصول'!F:F,MATCH(Table27[[#This Row],[كد تفصيلي]],'درجریان وصول'!A:A,0)),0)</f>
        <v>0</v>
      </c>
      <c r="E51" s="11">
        <f>IFERROR(INDEX('چکهای دریافتنی'!F:F,MATCH(Table27[[#This Row],[كد تفصيلي]],'چکهای دریافتنی'!A:A,0)),0)</f>
        <v>0</v>
      </c>
      <c r="F51" s="11">
        <f>Table27[[#This Row],[حسابهای دریافتنی]]+Table27[[#This Row],[چکهای در جریان وصول]]+Table27[[#This Row],[چکهای نزد صندوق]]</f>
        <v>203336095</v>
      </c>
      <c r="G51" s="12">
        <f>IFERROR(INDEX('مانده سوفاله'!F:F,MATCH(Table27[[#This Row],[كد تفصيلي]],'مانده سوفاله'!A:A,0)),0)</f>
        <v>15</v>
      </c>
    </row>
    <row r="52" spans="1:7" ht="23.25" customHeight="1" x14ac:dyDescent="0.3">
      <c r="A52" s="29">
        <v>30145</v>
      </c>
      <c r="B52" s="25" t="s">
        <v>265</v>
      </c>
      <c r="C52" s="10">
        <f>IFERROR(INDEX('حسابهای دریافتنی'!H:H,MATCH(Table27[[#This Row],[كد تفصيلي]],'حسابهای دریافتنی'!A:A,0)),0)</f>
        <v>6442500</v>
      </c>
      <c r="D52" s="11">
        <f>IFERROR(INDEX('درجریان وصول'!F:F,MATCH(Table27[[#This Row],[كد تفصيلي]],'درجریان وصول'!A:A,0)),0)</f>
        <v>0</v>
      </c>
      <c r="E52" s="11">
        <f>IFERROR(INDEX('چکهای دریافتنی'!F:F,MATCH(Table27[[#This Row],[كد تفصيلي]],'چکهای دریافتنی'!A:A,0)),0)</f>
        <v>0</v>
      </c>
      <c r="F52" s="11">
        <f>Table27[[#This Row],[حسابهای دریافتنی]]+Table27[[#This Row],[چکهای در جریان وصول]]+Table27[[#This Row],[چکهای نزد صندوق]]</f>
        <v>6442500</v>
      </c>
      <c r="G52" s="12">
        <f>IFERROR(INDEX('مانده سوفاله'!F:F,MATCH(Table27[[#This Row],[كد تفصيلي]],'مانده سوفاله'!A:A,0)),0)</f>
        <v>0</v>
      </c>
    </row>
    <row r="53" spans="1:7" ht="23.25" customHeight="1" x14ac:dyDescent="0.3">
      <c r="A53" s="28">
        <v>30047</v>
      </c>
      <c r="B53" s="24" t="s">
        <v>94</v>
      </c>
      <c r="C53" s="10">
        <f>IFERROR(INDEX('حسابهای دریافتنی'!H:H,MATCH(Table27[[#This Row],[كد تفصيلي]],'حسابهای دریافتنی'!A:A,0)),0)</f>
        <v>5794900</v>
      </c>
      <c r="D53" s="11">
        <f>IFERROR(INDEX('درجریان وصول'!F:F,MATCH(Table27[[#This Row],[كد تفصيلي]],'درجریان وصول'!A:A,0)),0)</f>
        <v>0</v>
      </c>
      <c r="E53" s="11">
        <f>IFERROR(INDEX('چکهای دریافتنی'!F:F,MATCH(Table27[[#This Row],[كد تفصيلي]],'چکهای دریافتنی'!A:A,0)),0)</f>
        <v>0</v>
      </c>
      <c r="F53" s="11">
        <f>Table27[[#This Row],[حسابهای دریافتنی]]+Table27[[#This Row],[چکهای در جریان وصول]]+Table27[[#This Row],[چکهای نزد صندوق]]</f>
        <v>5794900</v>
      </c>
      <c r="G53" s="12">
        <f>IFERROR(INDEX('مانده سوفاله'!F:F,MATCH(Table27[[#This Row],[كد تفصيلي]],'مانده سوفاله'!A:A,0)),0)</f>
        <v>-630</v>
      </c>
    </row>
    <row r="54" spans="1:7" ht="23.25" customHeight="1" x14ac:dyDescent="0.3">
      <c r="A54" s="28">
        <v>30011</v>
      </c>
      <c r="B54" s="24" t="s">
        <v>60</v>
      </c>
      <c r="C54" s="10">
        <f>IFERROR(INDEX('حسابهای دریافتنی'!H:H,MATCH(Table27[[#This Row],[كد تفصيلي]],'حسابهای دریافتنی'!A:A,0)),0)</f>
        <v>5595200</v>
      </c>
      <c r="D54" s="11">
        <f>IFERROR(INDEX('درجریان وصول'!F:F,MATCH(Table27[[#This Row],[كد تفصيلي]],'درجریان وصول'!A:A,0)),0)</f>
        <v>0</v>
      </c>
      <c r="E54" s="11">
        <f>IFERROR(INDEX('چکهای دریافتنی'!F:F,MATCH(Table27[[#This Row],[كد تفصيلي]],'چکهای دریافتنی'!A:A,0)),0)</f>
        <v>0</v>
      </c>
      <c r="F54" s="11">
        <f>Table27[[#This Row],[حسابهای دریافتنی]]+Table27[[#This Row],[چکهای در جریان وصول]]+Table27[[#This Row],[چکهای نزد صندوق]]</f>
        <v>5595200</v>
      </c>
      <c r="G54" s="12">
        <f>IFERROR(INDEX('مانده سوفاله'!F:F,MATCH(Table27[[#This Row],[كد تفصيلي]],'مانده سوفاله'!A:A,0)),0)</f>
        <v>-5</v>
      </c>
    </row>
    <row r="55" spans="1:7" ht="23.25" customHeight="1" x14ac:dyDescent="0.3">
      <c r="A55" s="29">
        <v>10080</v>
      </c>
      <c r="B55" s="25" t="s">
        <v>214</v>
      </c>
      <c r="C55" s="10">
        <f>IFERROR(INDEX('حسابهای دریافتنی'!H:H,MATCH(Table27[[#This Row],[كد تفصيلي]],'حسابهای دریافتنی'!A:A,0)),0)</f>
        <v>5395000</v>
      </c>
      <c r="D55" s="11">
        <f>IFERROR(INDEX('درجریان وصول'!F:F,MATCH(Table27[[#This Row],[كد تفصيلي]],'درجریان وصول'!A:A,0)),0)</f>
        <v>0</v>
      </c>
      <c r="E55" s="11">
        <f>IFERROR(INDEX('چکهای دریافتنی'!F:F,MATCH(Table27[[#This Row],[كد تفصيلي]],'چکهای دریافتنی'!A:A,0)),0)</f>
        <v>0</v>
      </c>
      <c r="F55" s="11">
        <f>Table27[[#This Row],[حسابهای دریافتنی]]+Table27[[#This Row],[چکهای در جریان وصول]]+Table27[[#This Row],[چکهای نزد صندوق]]</f>
        <v>5395000</v>
      </c>
      <c r="G55" s="12">
        <f>IFERROR(INDEX('مانده سوفاله'!F:F,MATCH(Table27[[#This Row],[كد تفصيلي]],'مانده سوفاله'!A:A,0)),0)</f>
        <v>0</v>
      </c>
    </row>
    <row r="56" spans="1:7" ht="23.25" customHeight="1" x14ac:dyDescent="0.3">
      <c r="A56" s="28">
        <v>30114</v>
      </c>
      <c r="B56" s="24" t="s">
        <v>175</v>
      </c>
      <c r="C56" s="10">
        <f>IFERROR(INDEX('حسابهای دریافتنی'!H:H,MATCH(Table27[[#This Row],[كد تفصيلي]],'حسابهای دریافتنی'!A:A,0)),0)</f>
        <v>5385600</v>
      </c>
      <c r="D56" s="11">
        <f>IFERROR(INDEX('درجریان وصول'!F:F,MATCH(Table27[[#This Row],[كد تفصيلي]],'درجریان وصول'!A:A,0)),0)</f>
        <v>0</v>
      </c>
      <c r="E56" s="11">
        <f>IFERROR(INDEX('چکهای دریافتنی'!F:F,MATCH(Table27[[#This Row],[كد تفصيلي]],'چکهای دریافتنی'!A:A,0)),0)</f>
        <v>0</v>
      </c>
      <c r="F56" s="11">
        <f>Table27[[#This Row],[حسابهای دریافتنی]]+Table27[[#This Row],[چکهای در جریان وصول]]+Table27[[#This Row],[چکهای نزد صندوق]]</f>
        <v>5385600</v>
      </c>
      <c r="G56" s="12">
        <f>IFERROR(INDEX('مانده سوفاله'!F:F,MATCH(Table27[[#This Row],[كد تفصيلي]],'مانده سوفاله'!A:A,0)),0)</f>
        <v>0</v>
      </c>
    </row>
    <row r="57" spans="1:7" ht="23.25" customHeight="1" x14ac:dyDescent="0.3">
      <c r="A57" s="29">
        <v>30123</v>
      </c>
      <c r="B57" s="25" t="s">
        <v>208</v>
      </c>
      <c r="C57" s="10">
        <f>IFERROR(INDEX('حسابهای دریافتنی'!H:H,MATCH(Table27[[#This Row],[كد تفصيلي]],'حسابهای دریافتنی'!A:A,0)),0)</f>
        <v>4138250</v>
      </c>
      <c r="D57" s="11">
        <f>IFERROR(INDEX('درجریان وصول'!F:F,MATCH(Table27[[#This Row],[كد تفصيلي]],'درجریان وصول'!A:A,0)),0)</f>
        <v>0</v>
      </c>
      <c r="E57" s="11">
        <f>IFERROR(INDEX('چکهای دریافتنی'!F:F,MATCH(Table27[[#This Row],[كد تفصيلي]],'چکهای دریافتنی'!A:A,0)),0)</f>
        <v>0</v>
      </c>
      <c r="F57" s="11">
        <f>Table27[[#This Row],[حسابهای دریافتنی]]+Table27[[#This Row],[چکهای در جریان وصول]]+Table27[[#This Row],[چکهای نزد صندوق]]</f>
        <v>4138250</v>
      </c>
      <c r="G57" s="12">
        <f>IFERROR(INDEX('مانده سوفاله'!F:F,MATCH(Table27[[#This Row],[كد تفصيلي]],'مانده سوفاله'!A:A,0)),0)</f>
        <v>-20</v>
      </c>
    </row>
    <row r="58" spans="1:7" ht="23.25" customHeight="1" x14ac:dyDescent="0.3">
      <c r="A58" s="28">
        <v>10116</v>
      </c>
      <c r="B58" s="24" t="s">
        <v>321</v>
      </c>
      <c r="C58" s="10">
        <f>IFERROR(INDEX('حسابهای دریافتنی'!H:H,MATCH(Table27[[#This Row],[كد تفصيلي]],'حسابهای دریافتنی'!A:A,0)),0)</f>
        <v>3892500</v>
      </c>
      <c r="D58" s="11">
        <f>IFERROR(INDEX('درجریان وصول'!F:F,MATCH(Table27[[#This Row],[كد تفصيلي]],'درجریان وصول'!A:A,0)),0)</f>
        <v>0</v>
      </c>
      <c r="E58" s="11">
        <f>IFERROR(INDEX('چکهای دریافتنی'!F:F,MATCH(Table27[[#This Row],[كد تفصيلي]],'چکهای دریافتنی'!A:A,0)),0)</f>
        <v>0</v>
      </c>
      <c r="F58" s="11">
        <f>Table27[[#This Row],[حسابهای دریافتنی]]+Table27[[#This Row],[چکهای در جریان وصول]]+Table27[[#This Row],[چکهای نزد صندوق]]</f>
        <v>3892500</v>
      </c>
      <c r="G58" s="12">
        <f>IFERROR(INDEX('مانده سوفاله'!F:F,MATCH(Table27[[#This Row],[كد تفصيلي]],'مانده سوفاله'!A:A,0)),0)</f>
        <v>0</v>
      </c>
    </row>
    <row r="59" spans="1:7" ht="23.25" customHeight="1" x14ac:dyDescent="0.3">
      <c r="A59" s="29">
        <v>10030</v>
      </c>
      <c r="B59" s="25" t="s">
        <v>36</v>
      </c>
      <c r="C59" s="10">
        <f>IFERROR(INDEX('حسابهای دریافتنی'!H:H,MATCH(Table27[[#This Row],[كد تفصيلي]],'حسابهای دریافتنی'!A:A,0)),0)</f>
        <v>3272000</v>
      </c>
      <c r="D59" s="11">
        <f>IFERROR(INDEX('درجریان وصول'!F:F,MATCH(Table27[[#This Row],[كد تفصيلي]],'درجریان وصول'!A:A,0)),0)</f>
        <v>0</v>
      </c>
      <c r="E59" s="11">
        <f>IFERROR(INDEX('چکهای دریافتنی'!F:F,MATCH(Table27[[#This Row],[كد تفصيلي]],'چکهای دریافتنی'!A:A,0)),0)</f>
        <v>0</v>
      </c>
      <c r="F59" s="11">
        <f>Table27[[#This Row],[حسابهای دریافتنی]]+Table27[[#This Row],[چکهای در جریان وصول]]+Table27[[#This Row],[چکهای نزد صندوق]]</f>
        <v>3272000</v>
      </c>
      <c r="G59" s="12">
        <f>IFERROR(INDEX('مانده سوفاله'!F:F,MATCH(Table27[[#This Row],[كد تفصيلي]],'مانده سوفاله'!A:A,0)),0)</f>
        <v>-222</v>
      </c>
    </row>
    <row r="60" spans="1:7" ht="23.25" customHeight="1" x14ac:dyDescent="0.3">
      <c r="A60" s="28">
        <v>10128</v>
      </c>
      <c r="B60" s="24" t="s">
        <v>372</v>
      </c>
      <c r="C60" s="10">
        <f>IFERROR(INDEX('حسابهای دریافتنی'!H:H,MATCH(Table27[[#This Row],[كد تفصيلي]],'حسابهای دریافتنی'!A:A,0)),0)</f>
        <v>-45000</v>
      </c>
      <c r="D60" s="11">
        <f>IFERROR(INDEX('درجریان وصول'!F:F,MATCH(Table27[[#This Row],[كد تفصيلي]],'درجریان وصول'!A:A,0)),0)</f>
        <v>0</v>
      </c>
      <c r="E60" s="11">
        <f>IFERROR(INDEX('چکهای دریافتنی'!F:F,MATCH(Table27[[#This Row],[كد تفصيلي]],'چکهای دریافتنی'!A:A,0)),0)</f>
        <v>0</v>
      </c>
      <c r="F60" s="11">
        <f>Table27[[#This Row],[حسابهای دریافتنی]]+Table27[[#This Row],[چکهای در جریان وصول]]+Table27[[#This Row],[چکهای نزد صندوق]]</f>
        <v>-45000</v>
      </c>
      <c r="G60" s="12">
        <f>IFERROR(INDEX('مانده سوفاله'!F:F,MATCH(Table27[[#This Row],[كد تفصيلي]],'مانده سوفاله'!A:A,0)),0)</f>
        <v>6</v>
      </c>
    </row>
    <row r="61" spans="1:7" ht="23.25" customHeight="1" x14ac:dyDescent="0.3">
      <c r="A61" s="28">
        <v>30001</v>
      </c>
      <c r="B61" s="24" t="s">
        <v>190</v>
      </c>
      <c r="C61" s="10">
        <f>IFERROR(INDEX('حسابهای دریافتنی'!H:H,MATCH(Table27[[#This Row],[كد تفصيلي]],'حسابهای دریافتنی'!A:A,0)),0)</f>
        <v>119647176</v>
      </c>
      <c r="D61" s="11">
        <f>IFERROR(INDEX('درجریان وصول'!F:F,MATCH(Table27[[#This Row],[كد تفصيلي]],'درجریان وصول'!A:A,0)),0)</f>
        <v>0</v>
      </c>
      <c r="E61" s="11">
        <f>IFERROR(INDEX('چکهای دریافتنی'!F:F,MATCH(Table27[[#This Row],[كد تفصيلي]],'چکهای دریافتنی'!A:A,0)),0)</f>
        <v>0</v>
      </c>
      <c r="F61" s="11">
        <f>Table27[[#This Row],[حسابهای دریافتنی]]+Table27[[#This Row],[چکهای در جریان وصول]]+Table27[[#This Row],[چکهای نزد صندوق]]</f>
        <v>119647176</v>
      </c>
      <c r="G61" s="12">
        <f>IFERROR(INDEX('مانده سوفاله'!F:F,MATCH(Table27[[#This Row],[كد تفصيلي]],'مانده سوفاله'!A:A,0)),0)</f>
        <v>123</v>
      </c>
    </row>
    <row r="62" spans="1:7" ht="23.25" customHeight="1" x14ac:dyDescent="0.3">
      <c r="A62" s="28">
        <v>30178</v>
      </c>
      <c r="B62" s="24" t="s">
        <v>335</v>
      </c>
      <c r="C62" s="10">
        <f>IFERROR(INDEX('حسابهای دریافتنی'!H:H,MATCH(Table27[[#This Row],[كد تفصيلي]],'حسابهای دریافتنی'!A:A,0)),0)</f>
        <v>3040000</v>
      </c>
      <c r="D62" s="11">
        <f>IFERROR(INDEX('درجریان وصول'!F:F,MATCH(Table27[[#This Row],[كد تفصيلي]],'درجریان وصول'!A:A,0)),0)</f>
        <v>0</v>
      </c>
      <c r="E62" s="11">
        <f>IFERROR(INDEX('چکهای دریافتنی'!F:F,MATCH(Table27[[#This Row],[كد تفصيلي]],'چکهای دریافتنی'!A:A,0)),0)</f>
        <v>0</v>
      </c>
      <c r="F62" s="11">
        <f>Table27[[#This Row],[حسابهای دریافتنی]]+Table27[[#This Row],[چکهای در جریان وصول]]+Table27[[#This Row],[چکهای نزد صندوق]]</f>
        <v>3040000</v>
      </c>
      <c r="G62" s="12">
        <f>IFERROR(INDEX('مانده سوفاله'!F:F,MATCH(Table27[[#This Row],[كد تفصيلي]],'مانده سوفاله'!A:A,0)),0)</f>
        <v>0</v>
      </c>
    </row>
    <row r="63" spans="1:7" ht="23.25" customHeight="1" x14ac:dyDescent="0.3">
      <c r="A63" s="28">
        <v>30138</v>
      </c>
      <c r="B63" s="24" t="s">
        <v>252</v>
      </c>
      <c r="C63" s="10">
        <f>IFERROR(INDEX('حسابهای دریافتنی'!H:H,MATCH(Table27[[#This Row],[كد تفصيلي]],'حسابهای دریافتنی'!A:A,0)),0)</f>
        <v>0</v>
      </c>
      <c r="D63" s="11">
        <f>IFERROR(INDEX('درجریان وصول'!F:F,MATCH(Table27[[#This Row],[كد تفصيلي]],'درجریان وصول'!A:A,0)),0)</f>
        <v>0</v>
      </c>
      <c r="E63" s="11">
        <f>IFERROR(INDEX('چکهای دریافتنی'!F:F,MATCH(Table27[[#This Row],[كد تفصيلي]],'چکهای دریافتنی'!A:A,0)),0)</f>
        <v>0</v>
      </c>
      <c r="F63" s="11">
        <f>Table27[[#This Row],[حسابهای دریافتنی]]+Table27[[#This Row],[چکهای در جریان وصول]]+Table27[[#This Row],[چکهای نزد صندوق]]</f>
        <v>0</v>
      </c>
      <c r="G63" s="12">
        <f>IFERROR(INDEX('مانده سوفاله'!F:F,MATCH(Table27[[#This Row],[كد تفصيلي]],'مانده سوفاله'!A:A,0)),0)</f>
        <v>0</v>
      </c>
    </row>
    <row r="64" spans="1:7" ht="23.25" customHeight="1" x14ac:dyDescent="0.3">
      <c r="A64" s="29">
        <v>10032</v>
      </c>
      <c r="B64" s="25" t="s">
        <v>38</v>
      </c>
      <c r="C64" s="10">
        <f>IFERROR(INDEX('حسابهای دریافتنی'!H:H,MATCH(Table27[[#This Row],[كد تفصيلي]],'حسابهای دریافتنی'!A:A,0)),0)</f>
        <v>0</v>
      </c>
      <c r="D64" s="11">
        <f>IFERROR(INDEX('درجریان وصول'!F:F,MATCH(Table27[[#This Row],[كد تفصيلي]],'درجریان وصول'!A:A,0)),0)</f>
        <v>0</v>
      </c>
      <c r="E64" s="11">
        <f>IFERROR(INDEX('چکهای دریافتنی'!F:F,MATCH(Table27[[#This Row],[كد تفصيلي]],'چکهای دریافتنی'!A:A,0)),0)</f>
        <v>0</v>
      </c>
      <c r="F64" s="11">
        <f>Table27[[#This Row],[حسابهای دریافتنی]]+Table27[[#This Row],[چکهای در جریان وصول]]+Table27[[#This Row],[چکهای نزد صندوق]]</f>
        <v>0</v>
      </c>
      <c r="G64" s="12">
        <f>IFERROR(INDEX('مانده سوفاله'!F:F,MATCH(Table27[[#This Row],[كد تفصيلي]],'مانده سوفاله'!A:A,0)),0)</f>
        <v>0</v>
      </c>
    </row>
    <row r="65" spans="1:7" ht="23.25" customHeight="1" x14ac:dyDescent="0.3">
      <c r="A65" s="28">
        <v>30084</v>
      </c>
      <c r="B65" s="24" t="s">
        <v>129</v>
      </c>
      <c r="C65" s="10">
        <f>IFERROR(INDEX('حسابهای دریافتنی'!H:H,MATCH(Table27[[#This Row],[كد تفصيلي]],'حسابهای دریافتنی'!A:A,0)),0)</f>
        <v>1220000</v>
      </c>
      <c r="D65" s="11">
        <f>IFERROR(INDEX('درجریان وصول'!F:F,MATCH(Table27[[#This Row],[كد تفصيلي]],'درجریان وصول'!A:A,0)),0)</f>
        <v>0</v>
      </c>
      <c r="E65" s="11">
        <f>IFERROR(INDEX('چکهای دریافتنی'!F:F,MATCH(Table27[[#This Row],[كد تفصيلي]],'چکهای دریافتنی'!A:A,0)),0)</f>
        <v>0</v>
      </c>
      <c r="F65" s="11">
        <f>Table27[[#This Row],[حسابهای دریافتنی]]+Table27[[#This Row],[چکهای در جریان وصول]]+Table27[[#This Row],[چکهای نزد صندوق]]</f>
        <v>1220000</v>
      </c>
      <c r="G65" s="12">
        <f>IFERROR(INDEX('مانده سوفاله'!F:F,MATCH(Table27[[#This Row],[كد تفصيلي]],'مانده سوفاله'!A:A,0)),0)</f>
        <v>0</v>
      </c>
    </row>
    <row r="66" spans="1:7" ht="23.25" customHeight="1" x14ac:dyDescent="0.3">
      <c r="A66" s="29">
        <v>10076</v>
      </c>
      <c r="B66" s="25" t="s">
        <v>182</v>
      </c>
      <c r="C66" s="10">
        <f>IFERROR(INDEX('حسابهای دریافتنی'!H:H,MATCH(Table27[[#This Row],[كد تفصيلي]],'حسابهای دریافتنی'!A:A,0)),0)</f>
        <v>0</v>
      </c>
      <c r="D66" s="11">
        <f>IFERROR(INDEX('درجریان وصول'!F:F,MATCH(Table27[[#This Row],[كد تفصيلي]],'درجریان وصول'!A:A,0)),0)</f>
        <v>0</v>
      </c>
      <c r="E66" s="11">
        <f>IFERROR(INDEX('چکهای دریافتنی'!F:F,MATCH(Table27[[#This Row],[كد تفصيلي]],'چکهای دریافتنی'!A:A,0)),0)</f>
        <v>0</v>
      </c>
      <c r="F66" s="11">
        <f>Table27[[#This Row],[حسابهای دریافتنی]]+Table27[[#This Row],[چکهای در جریان وصول]]+Table27[[#This Row],[چکهای نزد صندوق]]</f>
        <v>0</v>
      </c>
      <c r="G66" s="12">
        <f>IFERROR(INDEX('مانده سوفاله'!F:F,MATCH(Table27[[#This Row],[كد تفصيلي]],'مانده سوفاله'!A:A,0)),0)</f>
        <v>-13</v>
      </c>
    </row>
    <row r="67" spans="1:7" ht="23.25" customHeight="1" x14ac:dyDescent="0.3">
      <c r="A67" s="29">
        <v>79055</v>
      </c>
      <c r="B67" s="25" t="s">
        <v>297</v>
      </c>
      <c r="C67" s="10">
        <f>IFERROR(INDEX('حسابهای دریافتنی'!H:H,MATCH(Table27[[#This Row],[كد تفصيلي]],'حسابهای دریافتنی'!A:A,0)),0)</f>
        <v>896500</v>
      </c>
      <c r="D67" s="11">
        <f>IFERROR(INDEX('درجریان وصول'!F:F,MATCH(Table27[[#This Row],[كد تفصيلي]],'درجریان وصول'!A:A,0)),0)</f>
        <v>0</v>
      </c>
      <c r="E67" s="11">
        <f>IFERROR(INDEX('چکهای دریافتنی'!F:F,MATCH(Table27[[#This Row],[كد تفصيلي]],'چکهای دریافتنی'!A:A,0)),0)</f>
        <v>0</v>
      </c>
      <c r="F67" s="11">
        <f>Table27[[#This Row],[حسابهای دریافتنی]]+Table27[[#This Row],[چکهای در جریان وصول]]+Table27[[#This Row],[چکهای نزد صندوق]]</f>
        <v>896500</v>
      </c>
      <c r="G67" s="12">
        <f>IFERROR(INDEX('مانده سوفاله'!F:F,MATCH(Table27[[#This Row],[كد تفصيلي]],'مانده سوفاله'!A:A,0)),0)</f>
        <v>0</v>
      </c>
    </row>
    <row r="68" spans="1:7" ht="23.25" customHeight="1" x14ac:dyDescent="0.3">
      <c r="A68" s="29">
        <v>10048</v>
      </c>
      <c r="B68" s="25" t="s">
        <v>191</v>
      </c>
      <c r="C68" s="10">
        <f>IFERROR(INDEX('حسابهای دریافتنی'!H:H,MATCH(Table27[[#This Row],[كد تفصيلي]],'حسابهای دریافتنی'!A:A,0)),0)</f>
        <v>0</v>
      </c>
      <c r="D68" s="11">
        <f>IFERROR(INDEX('درجریان وصول'!F:F,MATCH(Table27[[#This Row],[كد تفصيلي]],'درجریان وصول'!A:A,0)),0)</f>
        <v>0</v>
      </c>
      <c r="E68" s="11">
        <f>IFERROR(INDEX('چکهای دریافتنی'!F:F,MATCH(Table27[[#This Row],[كد تفصيلي]],'چکهای دریافتنی'!A:A,0)),0)</f>
        <v>0</v>
      </c>
      <c r="F68" s="11">
        <f>Table27[[#This Row],[حسابهای دریافتنی]]+Table27[[#This Row],[چکهای در جریان وصول]]+Table27[[#This Row],[چکهای نزد صندوق]]</f>
        <v>0</v>
      </c>
      <c r="G68" s="12">
        <f>IFERROR(INDEX('مانده سوفاله'!F:F,MATCH(Table27[[#This Row],[كد تفصيلي]],'مانده سوفاله'!A:A,0)),0)</f>
        <v>-1097</v>
      </c>
    </row>
    <row r="69" spans="1:7" ht="23.25" customHeight="1" x14ac:dyDescent="0.3">
      <c r="A69" s="29">
        <v>30129</v>
      </c>
      <c r="B69" s="25" t="s">
        <v>178</v>
      </c>
      <c r="C69" s="10">
        <f>IFERROR(INDEX('حسابهای دریافتنی'!H:H,MATCH(Table27[[#This Row],[كد تفصيلي]],'حسابهای دریافتنی'!A:A,0)),0)</f>
        <v>783000</v>
      </c>
      <c r="D69" s="11">
        <f>IFERROR(INDEX('درجریان وصول'!F:F,MATCH(Table27[[#This Row],[كد تفصيلي]],'درجریان وصول'!A:A,0)),0)</f>
        <v>0</v>
      </c>
      <c r="E69" s="11">
        <f>IFERROR(INDEX('چکهای دریافتنی'!F:F,MATCH(Table27[[#This Row],[كد تفصيلي]],'چکهای دریافتنی'!A:A,0)),0)</f>
        <v>0</v>
      </c>
      <c r="F69" s="11">
        <f>Table27[[#This Row],[حسابهای دریافتنی]]+Table27[[#This Row],[چکهای در جریان وصول]]+Table27[[#This Row],[چکهای نزد صندوق]]</f>
        <v>783000</v>
      </c>
      <c r="G69" s="12">
        <f>IFERROR(INDEX('مانده سوفاله'!F:F,MATCH(Table27[[#This Row],[كد تفصيلي]],'مانده سوفاله'!A:A,0)),0)</f>
        <v>0</v>
      </c>
    </row>
    <row r="70" spans="1:7" ht="23.25" customHeight="1" x14ac:dyDescent="0.3">
      <c r="A70" s="28">
        <v>30090</v>
      </c>
      <c r="B70" s="24" t="s">
        <v>144</v>
      </c>
      <c r="C70" s="10">
        <f>IFERROR(INDEX('حسابهای دریافتنی'!H:H,MATCH(Table27[[#This Row],[كد تفصيلي]],'حسابهای دریافتنی'!A:A,0)),0)</f>
        <v>640100</v>
      </c>
      <c r="D70" s="11">
        <f>IFERROR(INDEX('درجریان وصول'!F:F,MATCH(Table27[[#This Row],[كد تفصيلي]],'درجریان وصول'!A:A,0)),0)</f>
        <v>0</v>
      </c>
      <c r="E70" s="11">
        <f>IFERROR(INDEX('چکهای دریافتنی'!F:F,MATCH(Table27[[#This Row],[كد تفصيلي]],'چکهای دریافتنی'!A:A,0)),0)</f>
        <v>0</v>
      </c>
      <c r="F70" s="11">
        <f>Table27[[#This Row],[حسابهای دریافتنی]]+Table27[[#This Row],[چکهای در جریان وصول]]+Table27[[#This Row],[چکهای نزد صندوق]]</f>
        <v>640100</v>
      </c>
      <c r="G70" s="12">
        <f>IFERROR(INDEX('مانده سوفاله'!F:F,MATCH(Table27[[#This Row],[كد تفصيلي]],'مانده سوفاله'!A:A,0)),0)</f>
        <v>0</v>
      </c>
    </row>
    <row r="71" spans="1:7" ht="23.25" customHeight="1" x14ac:dyDescent="0.3">
      <c r="A71" s="29">
        <v>30109</v>
      </c>
      <c r="B71" s="25" t="s">
        <v>165</v>
      </c>
      <c r="C71" s="10">
        <f>IFERROR(INDEX('حسابهای دریافتنی'!H:H,MATCH(Table27[[#This Row],[كد تفصيلي]],'حسابهای دریافتنی'!A:A,0)),0)</f>
        <v>607300</v>
      </c>
      <c r="D71" s="11">
        <f>IFERROR(INDEX('درجریان وصول'!F:F,MATCH(Table27[[#This Row],[كد تفصيلي]],'درجریان وصول'!A:A,0)),0)</f>
        <v>0</v>
      </c>
      <c r="E71" s="11">
        <f>IFERROR(INDEX('چکهای دریافتنی'!F:F,MATCH(Table27[[#This Row],[كد تفصيلي]],'چکهای دریافتنی'!A:A,0)),0)</f>
        <v>0</v>
      </c>
      <c r="F71" s="11">
        <f>Table27[[#This Row],[حسابهای دریافتنی]]+Table27[[#This Row],[چکهای در جریان وصول]]+Table27[[#This Row],[چکهای نزد صندوق]]</f>
        <v>607300</v>
      </c>
      <c r="G71" s="12">
        <f>IFERROR(INDEX('مانده سوفاله'!F:F,MATCH(Table27[[#This Row],[كد تفصيلي]],'مانده سوفاله'!A:A,0)),0)</f>
        <v>0</v>
      </c>
    </row>
    <row r="72" spans="1:7" ht="23.25" customHeight="1" x14ac:dyDescent="0.3">
      <c r="A72" s="28">
        <v>10097</v>
      </c>
      <c r="B72" s="24" t="s">
        <v>270</v>
      </c>
      <c r="C72" s="10">
        <f>IFERROR(INDEX('حسابهای دریافتنی'!H:H,MATCH(Table27[[#This Row],[كد تفصيلي]],'حسابهای دریافتنی'!A:A,0)),0)</f>
        <v>270642500</v>
      </c>
      <c r="D72" s="11">
        <f>IFERROR(INDEX('درجریان وصول'!F:F,MATCH(Table27[[#This Row],[كد تفصيلي]],'درجریان وصول'!A:A,0)),0)</f>
        <v>0</v>
      </c>
      <c r="E72" s="11">
        <f>IFERROR(INDEX('چکهای دریافتنی'!F:F,MATCH(Table27[[#This Row],[كد تفصيلي]],'چکهای دریافتنی'!A:A,0)),0)</f>
        <v>287000000</v>
      </c>
      <c r="F72" s="11">
        <f>Table27[[#This Row],[حسابهای دریافتنی]]+Table27[[#This Row],[چکهای در جریان وصول]]+Table27[[#This Row],[چکهای نزد صندوق]]</f>
        <v>557642500</v>
      </c>
      <c r="G72" s="12">
        <f>IFERROR(INDEX('مانده سوفاله'!F:F,MATCH(Table27[[#This Row],[كد تفصيلي]],'مانده سوفاله'!A:A,0)),0)</f>
        <v>0</v>
      </c>
    </row>
    <row r="73" spans="1:7" ht="23.25" customHeight="1" x14ac:dyDescent="0.3">
      <c r="A73" s="29">
        <v>30010</v>
      </c>
      <c r="B73" s="25" t="s">
        <v>59</v>
      </c>
      <c r="C73" s="10">
        <f>IFERROR(INDEX('حسابهای دریافتنی'!H:H,MATCH(Table27[[#This Row],[كد تفصيلي]],'حسابهای دریافتنی'!A:A,0)),0)</f>
        <v>366215</v>
      </c>
      <c r="D73" s="11">
        <f>IFERROR(INDEX('درجریان وصول'!F:F,MATCH(Table27[[#This Row],[كد تفصيلي]],'درجریان وصول'!A:A,0)),0)</f>
        <v>0</v>
      </c>
      <c r="E73" s="11">
        <f>IFERROR(INDEX('چکهای دریافتنی'!F:F,MATCH(Table27[[#This Row],[كد تفصيلي]],'چکهای دریافتنی'!A:A,0)),0)</f>
        <v>0</v>
      </c>
      <c r="F73" s="11">
        <f>Table27[[#This Row],[حسابهای دریافتنی]]+Table27[[#This Row],[چکهای در جریان وصول]]+Table27[[#This Row],[چکهای نزد صندوق]]</f>
        <v>366215</v>
      </c>
      <c r="G73" s="12">
        <f>IFERROR(INDEX('مانده سوفاله'!F:F,MATCH(Table27[[#This Row],[كد تفصيلي]],'مانده سوفاله'!A:A,0)),0)</f>
        <v>8</v>
      </c>
    </row>
    <row r="74" spans="1:7" ht="23.25" customHeight="1" x14ac:dyDescent="0.3">
      <c r="A74" s="28">
        <v>30027</v>
      </c>
      <c r="B74" s="24" t="s">
        <v>75</v>
      </c>
      <c r="C74" s="10">
        <f>IFERROR(INDEX('حسابهای دریافتنی'!H:H,MATCH(Table27[[#This Row],[كد تفصيلي]],'حسابهای دریافتنی'!A:A,0)),0)</f>
        <v>326950</v>
      </c>
      <c r="D74" s="11">
        <f>IFERROR(INDEX('درجریان وصول'!F:F,MATCH(Table27[[#This Row],[كد تفصيلي]],'درجریان وصول'!A:A,0)),0)</f>
        <v>0</v>
      </c>
      <c r="E74" s="11">
        <f>IFERROR(INDEX('چکهای دریافتنی'!F:F,MATCH(Table27[[#This Row],[كد تفصيلي]],'چکهای دریافتنی'!A:A,0)),0)</f>
        <v>0</v>
      </c>
      <c r="F74" s="11">
        <f>Table27[[#This Row],[حسابهای دریافتنی]]+Table27[[#This Row],[چکهای در جریان وصول]]+Table27[[#This Row],[چکهای نزد صندوق]]</f>
        <v>326950</v>
      </c>
      <c r="G74" s="12">
        <f>IFERROR(INDEX('مانده سوفاله'!F:F,MATCH(Table27[[#This Row],[كد تفصيلي]],'مانده سوفاله'!A:A,0)),0)</f>
        <v>0</v>
      </c>
    </row>
    <row r="75" spans="1:7" ht="23.25" customHeight="1" x14ac:dyDescent="0.3">
      <c r="A75" s="28">
        <v>10091</v>
      </c>
      <c r="B75" s="24" t="s">
        <v>258</v>
      </c>
      <c r="C75" s="10">
        <f>IFERROR(INDEX('حسابهای دریافتنی'!H:H,MATCH(Table27[[#This Row],[كد تفصيلي]],'حسابهای دریافتنی'!A:A,0)),0)</f>
        <v>59321500</v>
      </c>
      <c r="D75" s="11">
        <f>IFERROR(INDEX('درجریان وصول'!F:F,MATCH(Table27[[#This Row],[كد تفصيلي]],'درجریان وصول'!A:A,0)),0)</f>
        <v>0</v>
      </c>
      <c r="E75" s="11">
        <f>IFERROR(INDEX('چکهای دریافتنی'!F:F,MATCH(Table27[[#This Row],[كد تفصيلي]],'چکهای دریافتنی'!A:A,0)),0)</f>
        <v>0</v>
      </c>
      <c r="F75" s="11">
        <f>Table27[[#This Row],[حسابهای دریافتنی]]+Table27[[#This Row],[چکهای در جریان وصول]]+Table27[[#This Row],[چکهای نزد صندوق]]</f>
        <v>59321500</v>
      </c>
      <c r="G75" s="12">
        <f>IFERROR(INDEX('مانده سوفاله'!F:F,MATCH(Table27[[#This Row],[كد تفصيلي]],'مانده سوفاله'!A:A,0)),0)</f>
        <v>0</v>
      </c>
    </row>
    <row r="76" spans="1:7" ht="23.25" customHeight="1" x14ac:dyDescent="0.3">
      <c r="A76" s="28">
        <v>10063</v>
      </c>
      <c r="B76" s="24" t="s">
        <v>180</v>
      </c>
      <c r="C76" s="10">
        <f>IFERROR(INDEX('حسابهای دریافتنی'!H:H,MATCH(Table27[[#This Row],[كد تفصيلي]],'حسابهای دریافتنی'!A:A,0)),0)</f>
        <v>0</v>
      </c>
      <c r="D76" s="11">
        <f>IFERROR(INDEX('درجریان وصول'!F:F,MATCH(Table27[[#This Row],[كد تفصيلي]],'درجریان وصول'!A:A,0)),0)</f>
        <v>0</v>
      </c>
      <c r="E76" s="11">
        <f>IFERROR(INDEX('چکهای دریافتنی'!F:F,MATCH(Table27[[#This Row],[كد تفصيلي]],'چکهای دریافتنی'!A:A,0)),0)</f>
        <v>0</v>
      </c>
      <c r="F76" s="11">
        <f>Table27[[#This Row],[حسابهای دریافتنی]]+Table27[[#This Row],[چکهای در جریان وصول]]+Table27[[#This Row],[چکهای نزد صندوق]]</f>
        <v>0</v>
      </c>
      <c r="G76" s="12">
        <f>IFERROR(INDEX('مانده سوفاله'!F:F,MATCH(Table27[[#This Row],[كد تفصيلي]],'مانده سوفاله'!A:A,0)),0)</f>
        <v>0</v>
      </c>
    </row>
    <row r="77" spans="1:7" ht="23.25" customHeight="1" x14ac:dyDescent="0.3">
      <c r="A77" s="29">
        <v>10064</v>
      </c>
      <c r="B77" s="25" t="s">
        <v>181</v>
      </c>
      <c r="C77" s="10">
        <f>IFERROR(INDEX('حسابهای دریافتنی'!H:H,MATCH(Table27[[#This Row],[كد تفصيلي]],'حسابهای دریافتنی'!A:A,0)),0)</f>
        <v>0</v>
      </c>
      <c r="D77" s="11">
        <f>IFERROR(INDEX('درجریان وصول'!F:F,MATCH(Table27[[#This Row],[كد تفصيلي]],'درجریان وصول'!A:A,0)),0)</f>
        <v>0</v>
      </c>
      <c r="E77" s="11">
        <f>IFERROR(INDEX('چکهای دریافتنی'!F:F,MATCH(Table27[[#This Row],[كد تفصيلي]],'چکهای دریافتنی'!A:A,0)),0)</f>
        <v>0</v>
      </c>
      <c r="F77" s="11">
        <f>Table27[[#This Row],[حسابهای دریافتنی]]+Table27[[#This Row],[چکهای در جریان وصول]]+Table27[[#This Row],[چکهای نزد صندوق]]</f>
        <v>0</v>
      </c>
      <c r="G77" s="12">
        <f>IFERROR(INDEX('مانده سوفاله'!F:F,MATCH(Table27[[#This Row],[كد تفصيلي]],'مانده سوفاله'!A:A,0)),0)</f>
        <v>0</v>
      </c>
    </row>
    <row r="78" spans="1:7" ht="23.25" customHeight="1" x14ac:dyDescent="0.3">
      <c r="A78" s="29">
        <v>30135</v>
      </c>
      <c r="B78" s="25" t="s">
        <v>179</v>
      </c>
      <c r="C78" s="10">
        <f>IFERROR(INDEX('حسابهای دریافتنی'!H:H,MATCH(Table27[[#This Row],[كد تفصيلي]],'حسابهای دریافتنی'!A:A,0)),0)</f>
        <v>195000</v>
      </c>
      <c r="D78" s="11">
        <f>IFERROR(INDEX('درجریان وصول'!F:F,MATCH(Table27[[#This Row],[كد تفصيلي]],'درجریان وصول'!A:A,0)),0)</f>
        <v>0</v>
      </c>
      <c r="E78" s="11">
        <f>IFERROR(INDEX('چکهای دریافتنی'!F:F,MATCH(Table27[[#This Row],[كد تفصيلي]],'چکهای دریافتنی'!A:A,0)),0)</f>
        <v>0</v>
      </c>
      <c r="F78" s="11">
        <f>Table27[[#This Row],[حسابهای دریافتنی]]+Table27[[#This Row],[چکهای در جریان وصول]]+Table27[[#This Row],[چکهای نزد صندوق]]</f>
        <v>195000</v>
      </c>
      <c r="G78" s="12">
        <f>IFERROR(INDEX('مانده سوفاله'!F:F,MATCH(Table27[[#This Row],[كد تفصيلي]],'مانده سوفاله'!A:A,0)),0)</f>
        <v>-5</v>
      </c>
    </row>
    <row r="79" spans="1:7" ht="23.25" customHeight="1" x14ac:dyDescent="0.3">
      <c r="A79" s="28">
        <v>10043</v>
      </c>
      <c r="B79" s="24" t="s">
        <v>48</v>
      </c>
      <c r="C79" s="10">
        <f>IFERROR(INDEX('حسابهای دریافتنی'!H:H,MATCH(Table27[[#This Row],[كد تفصيلي]],'حسابهای دریافتنی'!A:A,0)),0)</f>
        <v>0</v>
      </c>
      <c r="D79" s="11">
        <f>IFERROR(INDEX('درجریان وصول'!F:F,MATCH(Table27[[#This Row],[كد تفصيلي]],'درجریان وصول'!A:A,0)),0)</f>
        <v>0</v>
      </c>
      <c r="E79" s="11">
        <f>IFERROR(INDEX('چکهای دریافتنی'!F:F,MATCH(Table27[[#This Row],[كد تفصيلي]],'چکهای دریافتنی'!A:A,0)),0)</f>
        <v>0</v>
      </c>
      <c r="F79" s="11">
        <f>Table27[[#This Row],[حسابهای دریافتنی]]+Table27[[#This Row],[چکهای در جریان وصول]]+Table27[[#This Row],[چکهای نزد صندوق]]</f>
        <v>0</v>
      </c>
      <c r="G79" s="12">
        <f>IFERROR(INDEX('مانده سوفاله'!F:F,MATCH(Table27[[#This Row],[كد تفصيلي]],'مانده سوفاله'!A:A,0)),0)</f>
        <v>0</v>
      </c>
    </row>
    <row r="80" spans="1:7" ht="23.25" customHeight="1" x14ac:dyDescent="0.3">
      <c r="A80" s="29">
        <v>30163</v>
      </c>
      <c r="B80" s="25" t="s">
        <v>302</v>
      </c>
      <c r="C80" s="10">
        <f>IFERROR(INDEX('حسابهای دریافتنی'!H:H,MATCH(Table27[[#This Row],[كد تفصيلي]],'حسابهای دریافتنی'!A:A,0)),0)</f>
        <v>0</v>
      </c>
      <c r="D80" s="11">
        <f>IFERROR(INDEX('درجریان وصول'!F:F,MATCH(Table27[[#This Row],[كد تفصيلي]],'درجریان وصول'!A:A,0)),0)</f>
        <v>0</v>
      </c>
      <c r="E80" s="11">
        <f>IFERROR(INDEX('چکهای دریافتنی'!F:F,MATCH(Table27[[#This Row],[كد تفصيلي]],'چکهای دریافتنی'!A:A,0)),0)</f>
        <v>0</v>
      </c>
      <c r="F80" s="11">
        <f>Table27[[#This Row],[حسابهای دریافتنی]]+Table27[[#This Row],[چکهای در جریان وصول]]+Table27[[#This Row],[چکهای نزد صندوق]]</f>
        <v>0</v>
      </c>
      <c r="G80" s="12">
        <f>IFERROR(INDEX('مانده سوفاله'!F:F,MATCH(Table27[[#This Row],[كد تفصيلي]],'مانده سوفاله'!A:A,0)),0)</f>
        <v>0</v>
      </c>
    </row>
    <row r="81" spans="1:7" ht="23.25" customHeight="1" x14ac:dyDescent="0.3">
      <c r="A81" s="28">
        <v>10075</v>
      </c>
      <c r="B81" s="24" t="s">
        <v>169</v>
      </c>
      <c r="C81" s="10">
        <f>IFERROR(INDEX('حسابهای دریافتنی'!H:H,MATCH(Table27[[#This Row],[كد تفصيلي]],'حسابهای دریافتنی'!A:A,0)),0)</f>
        <v>0</v>
      </c>
      <c r="D81" s="11">
        <f>IFERROR(INDEX('درجریان وصول'!F:F,MATCH(Table27[[#This Row],[كد تفصيلي]],'درجریان وصول'!A:A,0)),0)</f>
        <v>0</v>
      </c>
      <c r="E81" s="11">
        <f>IFERROR(INDEX('چکهای دریافتنی'!F:F,MATCH(Table27[[#This Row],[كد تفصيلي]],'چکهای دریافتنی'!A:A,0)),0)</f>
        <v>0</v>
      </c>
      <c r="F81" s="11">
        <f>Table27[[#This Row],[حسابهای دریافتنی]]+Table27[[#This Row],[چکهای در جریان وصول]]+Table27[[#This Row],[چکهای نزد صندوق]]</f>
        <v>0</v>
      </c>
      <c r="G81" s="12">
        <f>IFERROR(INDEX('مانده سوفاله'!F:F,MATCH(Table27[[#This Row],[كد تفصيلي]],'مانده سوفاله'!A:A,0)),0)</f>
        <v>0</v>
      </c>
    </row>
    <row r="82" spans="1:7" ht="23.25" customHeight="1" x14ac:dyDescent="0.3">
      <c r="A82" s="29">
        <v>30020</v>
      </c>
      <c r="B82" s="25" t="s">
        <v>68</v>
      </c>
      <c r="C82" s="10">
        <f>IFERROR(INDEX('حسابهای دریافتنی'!H:H,MATCH(Table27[[#This Row],[كد تفصيلي]],'حسابهای دریافتنی'!A:A,0)),0)</f>
        <v>2253500</v>
      </c>
      <c r="D82" s="11">
        <f>IFERROR(INDEX('درجریان وصول'!F:F,MATCH(Table27[[#This Row],[كد تفصيلي]],'درجریان وصول'!A:A,0)),0)</f>
        <v>0</v>
      </c>
      <c r="E82" s="11">
        <f>IFERROR(INDEX('چکهای دریافتنی'!F:F,MATCH(Table27[[#This Row],[كد تفصيلي]],'چکهای دریافتنی'!A:A,0)),0)</f>
        <v>0</v>
      </c>
      <c r="F82" s="11">
        <f>Table27[[#This Row],[حسابهای دریافتنی]]+Table27[[#This Row],[چکهای در جریان وصول]]+Table27[[#This Row],[چکهای نزد صندوق]]</f>
        <v>2253500</v>
      </c>
      <c r="G82" s="12">
        <f>IFERROR(INDEX('مانده سوفاله'!F:F,MATCH(Table27[[#This Row],[كد تفصيلي]],'مانده سوفاله'!A:A,0)),0)</f>
        <v>4</v>
      </c>
    </row>
    <row r="83" spans="1:7" ht="23.25" customHeight="1" x14ac:dyDescent="0.3">
      <c r="A83" s="29">
        <v>10072</v>
      </c>
      <c r="B83" s="25" t="s">
        <v>177</v>
      </c>
      <c r="C83" s="10">
        <f>IFERROR(INDEX('حسابهای دریافتنی'!H:H,MATCH(Table27[[#This Row],[كد تفصيلي]],'حسابهای دریافتنی'!A:A,0)),0)</f>
        <v>55880</v>
      </c>
      <c r="D83" s="11">
        <f>IFERROR(INDEX('درجریان وصول'!F:F,MATCH(Table27[[#This Row],[كد تفصيلي]],'درجریان وصول'!A:A,0)),0)</f>
        <v>0</v>
      </c>
      <c r="E83" s="11">
        <f>IFERROR(INDEX('چکهای دریافتنی'!F:F,MATCH(Table27[[#This Row],[كد تفصيلي]],'چکهای دریافتنی'!A:A,0)),0)</f>
        <v>427700000</v>
      </c>
      <c r="F83" s="11">
        <f>Table27[[#This Row],[حسابهای دریافتنی]]+Table27[[#This Row],[چکهای در جریان وصول]]+Table27[[#This Row],[چکهای نزد صندوق]]</f>
        <v>427755880</v>
      </c>
      <c r="G83" s="12">
        <f>IFERROR(INDEX('مانده سوفاله'!F:F,MATCH(Table27[[#This Row],[كد تفصيلي]],'مانده سوفاله'!A:A,0)),0)</f>
        <v>0</v>
      </c>
    </row>
    <row r="84" spans="1:7" ht="23.25" customHeight="1" x14ac:dyDescent="0.3">
      <c r="A84" s="29">
        <v>10010</v>
      </c>
      <c r="B84" s="25" t="s">
        <v>17</v>
      </c>
      <c r="C84" s="10">
        <f>IFERROR(INDEX('حسابهای دریافتنی'!H:H,MATCH(Table27[[#This Row],[كد تفصيلي]],'حسابهای دریافتنی'!A:A,0)),0)</f>
        <v>0</v>
      </c>
      <c r="D84" s="11">
        <f>IFERROR(INDEX('درجریان وصول'!F:F,MATCH(Table27[[#This Row],[كد تفصيلي]],'درجریان وصول'!A:A,0)),0)</f>
        <v>0</v>
      </c>
      <c r="E84" s="11">
        <f>IFERROR(INDEX('چکهای دریافتنی'!F:F,MATCH(Table27[[#This Row],[كد تفصيلي]],'چکهای دریافتنی'!A:A,0)),0)</f>
        <v>0</v>
      </c>
      <c r="F84" s="11">
        <f>Table27[[#This Row],[حسابهای دریافتنی]]+Table27[[#This Row],[چکهای در جریان وصول]]+Table27[[#This Row],[چکهای نزد صندوق]]</f>
        <v>0</v>
      </c>
      <c r="G84" s="12">
        <f>IFERROR(INDEX('مانده سوفاله'!F:F,MATCH(Table27[[#This Row],[كد تفصيلي]],'مانده سوفاله'!A:A,0)),0)</f>
        <v>8</v>
      </c>
    </row>
    <row r="85" spans="1:7" ht="23.25" customHeight="1" x14ac:dyDescent="0.3">
      <c r="A85" s="28">
        <v>10023</v>
      </c>
      <c r="B85" s="24" t="s">
        <v>155</v>
      </c>
      <c r="C85" s="10">
        <f>IFERROR(INDEX('حسابهای دریافتنی'!H:H,MATCH(Table27[[#This Row],[كد تفصيلي]],'حسابهای دریافتنی'!A:A,0)),0)</f>
        <v>0</v>
      </c>
      <c r="D85" s="11">
        <f>IFERROR(INDEX('درجریان وصول'!F:F,MATCH(Table27[[#This Row],[كد تفصيلي]],'درجریان وصول'!A:A,0)),0)</f>
        <v>0</v>
      </c>
      <c r="E85" s="11">
        <f>IFERROR(INDEX('چکهای دریافتنی'!F:F,MATCH(Table27[[#This Row],[كد تفصيلي]],'چکهای دریافتنی'!A:A,0)),0)</f>
        <v>0</v>
      </c>
      <c r="F85" s="11">
        <f>Table27[[#This Row],[حسابهای دریافتنی]]+Table27[[#This Row],[چکهای در جریان وصول]]+Table27[[#This Row],[چکهای نزد صندوق]]</f>
        <v>0</v>
      </c>
      <c r="G85" s="12">
        <f>IFERROR(INDEX('مانده سوفاله'!F:F,MATCH(Table27[[#This Row],[كد تفصيلي]],'مانده سوفاله'!A:A,0)),0)</f>
        <v>6</v>
      </c>
    </row>
    <row r="86" spans="1:7" customFormat="1" ht="23.25" customHeight="1" x14ac:dyDescent="0.35">
      <c r="A86" s="52">
        <v>10039</v>
      </c>
      <c r="B86" s="24" t="s">
        <v>45</v>
      </c>
      <c r="C86" s="10">
        <f>IFERROR(INDEX('حسابهای دریافتنی'!H:H,MATCH(Table27[[#This Row],[كد تفصيلي]],'حسابهای دریافتنی'!A:A,0)),0)</f>
        <v>0</v>
      </c>
      <c r="D86" s="11">
        <f>IFERROR(INDEX('درجریان وصول'!F:F,MATCH(Table27[[#This Row],[كد تفصيلي]],'درجریان وصول'!A:A,0)),0)</f>
        <v>0</v>
      </c>
      <c r="E86" s="11">
        <f>IFERROR(INDEX('چکهای دریافتنی'!F:F,MATCH(Table27[[#This Row],[كد تفصيلي]],'چکهای دریافتنی'!A:A,0)),0)</f>
        <v>0</v>
      </c>
      <c r="F86" s="11">
        <f>Table27[[#This Row],[حسابهای دریافتنی]]+Table27[[#This Row],[چکهای در جریان وصول]]+Table27[[#This Row],[چکهای نزد صندوق]]</f>
        <v>0</v>
      </c>
      <c r="G86" s="12">
        <f>IFERROR(INDEX('مانده سوفاله'!F:F,MATCH(Table27[[#This Row],[كد تفصيلي]],'مانده سوفاله'!A:A,0)),0)</f>
        <v>4</v>
      </c>
    </row>
    <row r="87" spans="1:7" customFormat="1" ht="23.25" customHeight="1" x14ac:dyDescent="0.35">
      <c r="A87" s="51">
        <v>10046</v>
      </c>
      <c r="B87" s="25" t="s">
        <v>51</v>
      </c>
      <c r="C87" s="10">
        <f>IFERROR(INDEX('حسابهای دریافتنی'!H:H,MATCH(Table27[[#This Row],[كد تفصيلي]],'حسابهای دریافتنی'!A:A,0)),0)</f>
        <v>0</v>
      </c>
      <c r="D87" s="11">
        <f>IFERROR(INDEX('درجریان وصول'!F:F,MATCH(Table27[[#This Row],[كد تفصيلي]],'درجریان وصول'!A:A,0)),0)</f>
        <v>0</v>
      </c>
      <c r="E87" s="11">
        <f>IFERROR(INDEX('چکهای دریافتنی'!F:F,MATCH(Table27[[#This Row],[كد تفصيلي]],'چکهای دریافتنی'!A:A,0)),0)</f>
        <v>0</v>
      </c>
      <c r="F87" s="11">
        <f>Table27[[#This Row],[حسابهای دریافتنی]]+Table27[[#This Row],[چکهای در جریان وصول]]+Table27[[#This Row],[چکهای نزد صندوق]]</f>
        <v>0</v>
      </c>
      <c r="G87" s="12">
        <f>IFERROR(INDEX('مانده سوفاله'!F:F,MATCH(Table27[[#This Row],[كد تفصيلي]],'مانده سوفاله'!A:A,0)),0)</f>
        <v>118</v>
      </c>
    </row>
    <row r="88" spans="1:7" customFormat="1" ht="23.25" customHeight="1" x14ac:dyDescent="0.35">
      <c r="A88" s="52">
        <v>10065</v>
      </c>
      <c r="B88" s="24" t="s">
        <v>228</v>
      </c>
      <c r="C88" s="10">
        <f>IFERROR(INDEX('حسابهای دریافتنی'!H:H,MATCH(Table27[[#This Row],[كد تفصيلي]],'حسابهای دریافتنی'!A:A,0)),0)</f>
        <v>0</v>
      </c>
      <c r="D88" s="11">
        <f>IFERROR(INDEX('درجریان وصول'!F:F,MATCH(Table27[[#This Row],[كد تفصيلي]],'درجریان وصول'!A:A,0)),0)</f>
        <v>0</v>
      </c>
      <c r="E88" s="11">
        <f>IFERROR(INDEX('چکهای دریافتنی'!F:F,MATCH(Table27[[#This Row],[كد تفصيلي]],'چکهای دریافتنی'!A:A,0)),0)</f>
        <v>0</v>
      </c>
      <c r="F88" s="11">
        <f>Table27[[#This Row],[حسابهای دریافتنی]]+Table27[[#This Row],[چکهای در جریان وصول]]+Table27[[#This Row],[چکهای نزد صندوق]]</f>
        <v>0</v>
      </c>
      <c r="G88" s="12">
        <f>IFERROR(INDEX('مانده سوفاله'!F:F,MATCH(Table27[[#This Row],[كد تفصيلي]],'مانده سوفاله'!A:A,0)),0)</f>
        <v>127</v>
      </c>
    </row>
    <row r="89" spans="1:7" ht="23.25" customHeight="1" x14ac:dyDescent="0.3">
      <c r="A89" s="28">
        <v>30064</v>
      </c>
      <c r="B89" s="24" t="s">
        <v>109</v>
      </c>
      <c r="C89" s="10">
        <f>IFERROR(INDEX('حسابهای دریافتنی'!H:H,MATCH(Table27[[#This Row],[كد تفصيلي]],'حسابهای دریافتنی'!A:A,0)),0)</f>
        <v>-49679500</v>
      </c>
      <c r="D89" s="11">
        <f>IFERROR(INDEX('درجریان وصول'!F:F,MATCH(Table27[[#This Row],[كد تفصيلي]],'درجریان وصول'!A:A,0)),0)</f>
        <v>0</v>
      </c>
      <c r="E89" s="11">
        <f>IFERROR(INDEX('چکهای دریافتنی'!F:F,MATCH(Table27[[#This Row],[كد تفصيلي]],'چکهای دریافتنی'!A:A,0)),0)</f>
        <v>0</v>
      </c>
      <c r="F89" s="11">
        <f>Table27[[#This Row],[حسابهای دریافتنی]]+Table27[[#This Row],[چکهای در جریان وصول]]+Table27[[#This Row],[چکهای نزد صندوق]]</f>
        <v>-49679500</v>
      </c>
      <c r="G89" s="12">
        <f>IFERROR(INDEX('مانده سوفاله'!F:F,MATCH(Table27[[#This Row],[كد تفصيلي]],'مانده سوفاله'!A:A,0)),0)</f>
        <v>0</v>
      </c>
    </row>
    <row r="90" spans="1:7" ht="23.25" customHeight="1" x14ac:dyDescent="0.3">
      <c r="A90" s="29">
        <v>30065</v>
      </c>
      <c r="B90" s="25" t="s">
        <v>110</v>
      </c>
      <c r="C90" s="10">
        <f>IFERROR(INDEX('حسابهای دریافتنی'!H:H,MATCH(Table27[[#This Row],[كد تفصيلي]],'حسابهای دریافتنی'!A:A,0)),0)</f>
        <v>0</v>
      </c>
      <c r="D90" s="11">
        <f>IFERROR(INDEX('درجریان وصول'!F:F,MATCH(Table27[[#This Row],[كد تفصيلي]],'درجریان وصول'!A:A,0)),0)</f>
        <v>0</v>
      </c>
      <c r="E90" s="11">
        <f>IFERROR(INDEX('چکهای دریافتنی'!F:F,MATCH(Table27[[#This Row],[كد تفصيلي]],'چکهای دریافتنی'!A:A,0)),0)</f>
        <v>0</v>
      </c>
      <c r="F90" s="11">
        <f>Table27[[#This Row],[حسابهای دریافتنی]]+Table27[[#This Row],[چکهای در جریان وصول]]+Table27[[#This Row],[چکهای نزد صندوق]]</f>
        <v>0</v>
      </c>
      <c r="G90" s="12">
        <f>IFERROR(INDEX('مانده سوفاله'!F:F,MATCH(Table27[[#This Row],[كد تفصيلي]],'مانده سوفاله'!A:A,0)),0)</f>
        <v>33</v>
      </c>
    </row>
    <row r="91" spans="1:7" ht="23.25" customHeight="1" x14ac:dyDescent="0.3">
      <c r="A91" s="29">
        <v>30071</v>
      </c>
      <c r="B91" s="25" t="s">
        <v>116</v>
      </c>
      <c r="C91" s="10">
        <f>IFERROR(INDEX('حسابهای دریافتنی'!H:H,MATCH(Table27[[#This Row],[كد تفصيلي]],'حسابهای دریافتنی'!A:A,0)),0)</f>
        <v>0</v>
      </c>
      <c r="D91" s="11">
        <f>IFERROR(INDEX('درجریان وصول'!F:F,MATCH(Table27[[#This Row],[كد تفصيلي]],'درجریان وصول'!A:A,0)),0)</f>
        <v>0</v>
      </c>
      <c r="E91" s="11">
        <f>IFERROR(INDEX('چکهای دریافتنی'!F:F,MATCH(Table27[[#This Row],[كد تفصيلي]],'چکهای دریافتنی'!A:A,0)),0)</f>
        <v>0</v>
      </c>
      <c r="F91" s="11">
        <f>Table27[[#This Row],[حسابهای دریافتنی]]+Table27[[#This Row],[چکهای در جریان وصول]]+Table27[[#This Row],[چکهای نزد صندوق]]</f>
        <v>0</v>
      </c>
      <c r="G91" s="12">
        <f>IFERROR(INDEX('مانده سوفاله'!F:F,MATCH(Table27[[#This Row],[كد تفصيلي]],'مانده سوفاله'!A:A,0)),0)</f>
        <v>3</v>
      </c>
    </row>
    <row r="92" spans="1:7" ht="23.25" customHeight="1" x14ac:dyDescent="0.3">
      <c r="A92" s="29">
        <v>30077</v>
      </c>
      <c r="B92" s="25" t="s">
        <v>122</v>
      </c>
      <c r="C92" s="10">
        <f>IFERROR(INDEX('حسابهای دریافتنی'!H:H,MATCH(Table27[[#This Row],[كد تفصيلي]],'حسابهای دریافتنی'!A:A,0)),0)</f>
        <v>360000</v>
      </c>
      <c r="D92" s="11">
        <f>IFERROR(INDEX('درجریان وصول'!F:F,MATCH(Table27[[#This Row],[كد تفصيلي]],'درجریان وصول'!A:A,0)),0)</f>
        <v>0</v>
      </c>
      <c r="E92" s="11">
        <f>IFERROR(INDEX('چکهای دریافتنی'!F:F,MATCH(Table27[[#This Row],[كد تفصيلي]],'چکهای دریافتنی'!A:A,0)),0)</f>
        <v>0</v>
      </c>
      <c r="F92" s="11">
        <f>Table27[[#This Row],[حسابهای دریافتنی]]+Table27[[#This Row],[چکهای در جریان وصول]]+Table27[[#This Row],[چکهای نزد صندوق]]</f>
        <v>360000</v>
      </c>
      <c r="G92" s="12">
        <f>IFERROR(INDEX('مانده سوفاله'!F:F,MATCH(Table27[[#This Row],[كد تفصيلي]],'مانده سوفاله'!A:A,0)),0)</f>
        <v>-32</v>
      </c>
    </row>
    <row r="93" spans="1:7" ht="23.25" customHeight="1" x14ac:dyDescent="0.3">
      <c r="A93" s="29">
        <v>30079</v>
      </c>
      <c r="B93" s="25" t="s">
        <v>124</v>
      </c>
      <c r="C93" s="10">
        <f>IFERROR(INDEX('حسابهای دریافتنی'!H:H,MATCH(Table27[[#This Row],[كد تفصيلي]],'حسابهای دریافتنی'!A:A,0)),0)</f>
        <v>0</v>
      </c>
      <c r="D93" s="11">
        <f>IFERROR(INDEX('درجریان وصول'!F:F,MATCH(Table27[[#This Row],[كد تفصيلي]],'درجریان وصول'!A:A,0)),0)</f>
        <v>0</v>
      </c>
      <c r="E93" s="11">
        <f>IFERROR(INDEX('چکهای دریافتنی'!F:F,MATCH(Table27[[#This Row],[كد تفصيلي]],'چکهای دریافتنی'!A:A,0)),0)</f>
        <v>0</v>
      </c>
      <c r="F93" s="11">
        <f>Table27[[#This Row],[حسابهای دریافتنی]]+Table27[[#This Row],[چکهای در جریان وصول]]+Table27[[#This Row],[چکهای نزد صندوق]]</f>
        <v>0</v>
      </c>
      <c r="G93" s="12">
        <f>IFERROR(INDEX('مانده سوفاله'!F:F,MATCH(Table27[[#This Row],[كد تفصيلي]],'مانده سوفاله'!A:A,0)),0)</f>
        <v>-85</v>
      </c>
    </row>
    <row r="94" spans="1:7" ht="23.25" customHeight="1" x14ac:dyDescent="0.3">
      <c r="A94" s="29">
        <v>30097</v>
      </c>
      <c r="B94" s="25" t="s">
        <v>188</v>
      </c>
      <c r="C94" s="10">
        <f>IFERROR(INDEX('حسابهای دریافتنی'!H:H,MATCH(Table27[[#This Row],[كد تفصيلي]],'حسابهای دریافتنی'!A:A,0)),0)</f>
        <v>0</v>
      </c>
      <c r="D94" s="11">
        <f>IFERROR(INDEX('درجریان وصول'!F:F,MATCH(Table27[[#This Row],[كد تفصيلي]],'درجریان وصول'!A:A,0)),0)</f>
        <v>0</v>
      </c>
      <c r="E94" s="11">
        <f>IFERROR(INDEX('چکهای دریافتنی'!F:F,MATCH(Table27[[#This Row],[كد تفصيلي]],'چکهای دریافتنی'!A:A,0)),0)</f>
        <v>0</v>
      </c>
      <c r="F94" s="11">
        <f>Table27[[#This Row],[حسابهای دریافتنی]]+Table27[[#This Row],[چکهای در جریان وصول]]+Table27[[#This Row],[چکهای نزد صندوق]]</f>
        <v>0</v>
      </c>
      <c r="G94" s="12">
        <f>IFERROR(INDEX('مانده سوفاله'!F:F,MATCH(Table27[[#This Row],[كد تفصيلي]],'مانده سوفاله'!A:A,0)),0)</f>
        <v>-82</v>
      </c>
    </row>
    <row r="95" spans="1:7" ht="23.25" customHeight="1" x14ac:dyDescent="0.3">
      <c r="A95" s="28">
        <v>30118</v>
      </c>
      <c r="B95" s="24" t="s">
        <v>205</v>
      </c>
      <c r="C95" s="10">
        <f>IFERROR(INDEX('حسابهای دریافتنی'!H:H,MATCH(Table27[[#This Row],[كد تفصيلي]],'حسابهای دریافتنی'!A:A,0)),0)</f>
        <v>0</v>
      </c>
      <c r="D95" s="11">
        <f>IFERROR(INDEX('درجریان وصول'!F:F,MATCH(Table27[[#This Row],[كد تفصيلي]],'درجریان وصول'!A:A,0)),0)</f>
        <v>0</v>
      </c>
      <c r="E95" s="11">
        <f>IFERROR(INDEX('چکهای دریافتنی'!F:F,MATCH(Table27[[#This Row],[كد تفصيلي]],'چکهای دریافتنی'!A:A,0)),0)</f>
        <v>0</v>
      </c>
      <c r="F95" s="11">
        <f>Table27[[#This Row],[حسابهای دریافتنی]]+Table27[[#This Row],[چکهای در جریان وصول]]+Table27[[#This Row],[چکهای نزد صندوق]]</f>
        <v>0</v>
      </c>
      <c r="G95" s="12">
        <f>IFERROR(INDEX('مانده سوفاله'!F:F,MATCH(Table27[[#This Row],[كد تفصيلي]],'مانده سوفاله'!A:A,0)),0)</f>
        <v>-20</v>
      </c>
    </row>
    <row r="96" spans="1:7" ht="23.25" customHeight="1" x14ac:dyDescent="0.3">
      <c r="A96" s="29">
        <v>30131</v>
      </c>
      <c r="B96" s="25" t="s">
        <v>213</v>
      </c>
      <c r="C96" s="10">
        <f>IFERROR(INDEX('حسابهای دریافتنی'!H:H,MATCH(Table27[[#This Row],[كد تفصيلي]],'حسابهای دریافتنی'!A:A,0)),0)</f>
        <v>-6228486500</v>
      </c>
      <c r="D96" s="11">
        <f>IFERROR(INDEX('درجریان وصول'!F:F,MATCH(Table27[[#This Row],[كد تفصيلي]],'درجریان وصول'!A:A,0)),0)</f>
        <v>0</v>
      </c>
      <c r="E96" s="11">
        <f>IFERROR(INDEX('چکهای دریافتنی'!F:F,MATCH(Table27[[#This Row],[كد تفصيلي]],'چکهای دریافتنی'!A:A,0)),0)</f>
        <v>0</v>
      </c>
      <c r="F96" s="11">
        <f>Table27[[#This Row],[حسابهای دریافتنی]]+Table27[[#This Row],[چکهای در جریان وصول]]+Table27[[#This Row],[چکهای نزد صندوق]]</f>
        <v>-6228486500</v>
      </c>
      <c r="G96" s="12">
        <f>IFERROR(INDEX('مانده سوفاله'!F:F,MATCH(Table27[[#This Row],[كد تفصيلي]],'مانده سوفاله'!A:A,0)),0)</f>
        <v>222</v>
      </c>
    </row>
    <row r="97" spans="1:7" ht="23.25" customHeight="1" x14ac:dyDescent="0.3">
      <c r="A97" s="29">
        <v>30137</v>
      </c>
      <c r="B97" s="25" t="s">
        <v>218</v>
      </c>
      <c r="C97" s="10">
        <f>IFERROR(INDEX('حسابهای دریافتنی'!H:H,MATCH(Table27[[#This Row],[كد تفصيلي]],'حسابهای دریافتنی'!A:A,0)),0)</f>
        <v>0</v>
      </c>
      <c r="D97" s="11">
        <f>IFERROR(INDEX('درجریان وصول'!F:F,MATCH(Table27[[#This Row],[كد تفصيلي]],'درجریان وصول'!A:A,0)),0)</f>
        <v>0</v>
      </c>
      <c r="E97" s="11">
        <f>IFERROR(INDEX('چکهای دریافتنی'!F:F,MATCH(Table27[[#This Row],[كد تفصيلي]],'چکهای دریافتنی'!A:A,0)),0)</f>
        <v>213182200</v>
      </c>
      <c r="F97" s="11">
        <f>Table27[[#This Row],[حسابهای دریافتنی]]+Table27[[#This Row],[چکهای در جریان وصول]]+Table27[[#This Row],[چکهای نزد صندوق]]</f>
        <v>213182200</v>
      </c>
      <c r="G97" s="12">
        <f>IFERROR(INDEX('مانده سوفاله'!F:F,MATCH(Table27[[#This Row],[كد تفصيلي]],'مانده سوفاله'!A:A,0)),0)</f>
        <v>0</v>
      </c>
    </row>
    <row r="98" spans="1:7" ht="23.25" customHeight="1" x14ac:dyDescent="0.3">
      <c r="A98" s="29">
        <v>30141</v>
      </c>
      <c r="B98" s="25" t="s">
        <v>261</v>
      </c>
      <c r="C98" s="10">
        <f>IFERROR(INDEX('حسابهای دریافتنی'!H:H,MATCH(Table27[[#This Row],[كد تفصيلي]],'حسابهای دریافتنی'!A:A,0)),0)</f>
        <v>0</v>
      </c>
      <c r="D98" s="11">
        <f>IFERROR(INDEX('درجریان وصول'!F:F,MATCH(Table27[[#This Row],[كد تفصيلي]],'درجریان وصول'!A:A,0)),0)</f>
        <v>0</v>
      </c>
      <c r="E98" s="11">
        <f>IFERROR(INDEX('چکهای دریافتنی'!F:F,MATCH(Table27[[#This Row],[كد تفصيلي]],'چکهای دریافتنی'!A:A,0)),0)</f>
        <v>0</v>
      </c>
      <c r="F98" s="11">
        <f>Table27[[#This Row],[حسابهای دریافتنی]]+Table27[[#This Row],[چکهای در جریان وصول]]+Table27[[#This Row],[چکهای نزد صندوق]]</f>
        <v>0</v>
      </c>
      <c r="G98" s="12">
        <f>IFERROR(INDEX('مانده سوفاله'!F:F,MATCH(Table27[[#This Row],[كد تفصيلي]],'مانده سوفاله'!A:A,0)),0)</f>
        <v>-42</v>
      </c>
    </row>
    <row r="99" spans="1:7" ht="23.25" customHeight="1" x14ac:dyDescent="0.3">
      <c r="A99" s="28">
        <v>30142</v>
      </c>
      <c r="B99" s="24" t="s">
        <v>263</v>
      </c>
      <c r="C99" s="10">
        <f>IFERROR(INDEX('حسابهای دریافتنی'!H:H,MATCH(Table27[[#This Row],[كد تفصيلي]],'حسابهای دریافتنی'!A:A,0)),0)</f>
        <v>0</v>
      </c>
      <c r="D99" s="11">
        <f>IFERROR(INDEX('درجریان وصول'!F:F,MATCH(Table27[[#This Row],[كد تفصيلي]],'درجریان وصول'!A:A,0)),0)</f>
        <v>0</v>
      </c>
      <c r="E99" s="11">
        <f>IFERROR(INDEX('چکهای دریافتنی'!F:F,MATCH(Table27[[#This Row],[كد تفصيلي]],'چکهای دریافتنی'!A:A,0)),0)</f>
        <v>0</v>
      </c>
      <c r="F99" s="11">
        <f>Table27[[#This Row],[حسابهای دریافتنی]]+Table27[[#This Row],[چکهای در جریان وصول]]+Table27[[#This Row],[چکهای نزد صندوق]]</f>
        <v>0</v>
      </c>
      <c r="G99" s="12">
        <f>IFERROR(INDEX('مانده سوفاله'!F:F,MATCH(Table27[[#This Row],[كد تفصيلي]],'مانده سوفاله'!A:A,0)),0)</f>
        <v>13</v>
      </c>
    </row>
    <row r="100" spans="1:7" ht="23.25" customHeight="1" x14ac:dyDescent="0.3">
      <c r="A100" s="29">
        <v>50006</v>
      </c>
      <c r="B100" s="25" t="s">
        <v>168</v>
      </c>
      <c r="C100" s="10">
        <f>IFERROR(INDEX('حسابهای دریافتنی'!H:H,MATCH(Table27[[#This Row],[كد تفصيلي]],'حسابهای دریافتنی'!A:A,0)),0)</f>
        <v>0</v>
      </c>
      <c r="D100" s="11">
        <f>IFERROR(INDEX('درجریان وصول'!F:F,MATCH(Table27[[#This Row],[كد تفصيلي]],'درجریان وصول'!A:A,0)),0)</f>
        <v>0</v>
      </c>
      <c r="E100" s="11">
        <f>IFERROR(INDEX('چکهای دریافتنی'!F:F,MATCH(Table27[[#This Row],[كد تفصيلي]],'چکهای دریافتنی'!A:A,0)),0)</f>
        <v>0</v>
      </c>
      <c r="F100" s="11">
        <f>Table27[[#This Row],[حسابهای دریافتنی]]+Table27[[#This Row],[چکهای در جریان وصول]]+Table27[[#This Row],[چکهای نزد صندوق]]</f>
        <v>0</v>
      </c>
      <c r="G100" s="12">
        <f>IFERROR(INDEX('مانده سوفاله'!F:F,MATCH(Table27[[#This Row],[كد تفصيلي]],'مانده سوفاله'!A:A,0)),0)</f>
        <v>-7581</v>
      </c>
    </row>
    <row r="101" spans="1:7" ht="23.25" customHeight="1" x14ac:dyDescent="0.3">
      <c r="A101" s="29">
        <v>79010</v>
      </c>
      <c r="B101" s="25" t="s">
        <v>176</v>
      </c>
      <c r="C101" s="10">
        <f>IFERROR(INDEX('حسابهای دریافتنی'!H:H,MATCH(Table27[[#This Row],[كد تفصيلي]],'حسابهای دریافتنی'!A:A,0)),0)</f>
        <v>0</v>
      </c>
      <c r="D101" s="11">
        <f>IFERROR(INDEX('درجریان وصول'!F:F,MATCH(Table27[[#This Row],[كد تفصيلي]],'درجریان وصول'!A:A,0)),0)</f>
        <v>0</v>
      </c>
      <c r="E101" s="11">
        <f>IFERROR(INDEX('چکهای دریافتنی'!F:F,MATCH(Table27[[#This Row],[كد تفصيلي]],'چکهای دریافتنی'!A:A,0)),0)</f>
        <v>0</v>
      </c>
      <c r="F101" s="11">
        <f>Table27[[#This Row],[حسابهای دریافتنی]]+Table27[[#This Row],[چکهای در جریان وصول]]+Table27[[#This Row],[چکهای نزد صندوق]]</f>
        <v>0</v>
      </c>
      <c r="G101" s="12">
        <f>IFERROR(INDEX('مانده سوفاله'!F:F,MATCH(Table27[[#This Row],[كد تفصيلي]],'مانده سوفاله'!A:A,0)),0)</f>
        <v>-110</v>
      </c>
    </row>
    <row r="102" spans="1:7" ht="23.25" customHeight="1" x14ac:dyDescent="0.3">
      <c r="A102" s="28">
        <v>50000</v>
      </c>
      <c r="B102" s="24" t="s">
        <v>450</v>
      </c>
      <c r="C102" s="10">
        <f>IFERROR(INDEX('حسابهای دریافتنی'!H:H,MATCH(Table27[[#This Row],[كد تفصيلي]],'حسابهای دریافتنی'!A:A,0)),0)</f>
        <v>0</v>
      </c>
      <c r="D102" s="11">
        <f>IFERROR(INDEX('درجریان وصول'!F:F,MATCH(Table27[[#This Row],[كد تفصيلي]],'درجریان وصول'!A:A,0)),0)</f>
        <v>0</v>
      </c>
      <c r="E102" s="11">
        <f>IFERROR(INDEX('چکهای دریافتنی'!F:F,MATCH(Table27[[#This Row],[كد تفصيلي]],'چکهای دریافتنی'!A:A,0)),0)</f>
        <v>0</v>
      </c>
      <c r="F102" s="11">
        <f>Table27[[#This Row],[حسابهای دریافتنی]]+Table27[[#This Row],[چکهای در جریان وصول]]+Table27[[#This Row],[چکهای نزد صندوق]]</f>
        <v>0</v>
      </c>
      <c r="G102" s="12">
        <f>IFERROR(INDEX('مانده سوفاله'!F:F,MATCH(Table27[[#This Row],[كد تفصيلي]],'مانده سوفاله'!A:A,0)),0)</f>
        <v>0</v>
      </c>
    </row>
    <row r="103" spans="1:7" ht="23.25" customHeight="1" x14ac:dyDescent="0.3">
      <c r="A103" s="28">
        <v>30164</v>
      </c>
      <c r="B103" s="24" t="s">
        <v>304</v>
      </c>
      <c r="C103" s="10">
        <f>IFERROR(INDEX('حسابهای دریافتنی'!H:H,MATCH(Table27[[#This Row],[كد تفصيلي]],'حسابهای دریافتنی'!A:A,0)),0)</f>
        <v>184944000</v>
      </c>
      <c r="D103" s="11">
        <f>IFERROR(INDEX('درجریان وصول'!F:F,MATCH(Table27[[#This Row],[كد تفصيلي]],'درجریان وصول'!A:A,0)),0)</f>
        <v>0</v>
      </c>
      <c r="E103" s="11">
        <f>IFERROR(INDEX('چکهای دریافتنی'!F:F,MATCH(Table27[[#This Row],[كد تفصيلي]],'چکهای دریافتنی'!A:A,0)),0)</f>
        <v>0</v>
      </c>
      <c r="F103" s="11">
        <f>Table27[[#This Row],[حسابهای دریافتنی]]+Table27[[#This Row],[چکهای در جریان وصول]]+Table27[[#This Row],[چکهای نزد صندوق]]</f>
        <v>184944000</v>
      </c>
      <c r="G103" s="12">
        <f>IFERROR(INDEX('مانده سوفاله'!F:F,MATCH(Table27[[#This Row],[كد تفصيلي]],'مانده سوفاله'!A:A,0)),0)</f>
        <v>561</v>
      </c>
    </row>
    <row r="104" spans="1:7" ht="23.25" customHeight="1" x14ac:dyDescent="0.3">
      <c r="A104" s="29">
        <v>10109</v>
      </c>
      <c r="B104" s="25" t="s">
        <v>303</v>
      </c>
      <c r="C104" s="10">
        <f>IFERROR(INDEX('حسابهای دریافتنی'!H:H,MATCH(Table27[[#This Row],[كد تفصيلي]],'حسابهای دریافتنی'!A:A,0)),0)</f>
        <v>-1124737000</v>
      </c>
      <c r="D104" s="11">
        <f>IFERROR(INDEX('درجریان وصول'!F:F,MATCH(Table27[[#This Row],[كد تفصيلي]],'درجریان وصول'!A:A,0)),0)</f>
        <v>0</v>
      </c>
      <c r="E104" s="11">
        <f>IFERROR(INDEX('چکهای دریافتنی'!F:F,MATCH(Table27[[#This Row],[كد تفصيلي]],'چکهای دریافتنی'!A:A,0)),0)</f>
        <v>0</v>
      </c>
      <c r="F104" s="11">
        <f>Table27[[#This Row],[حسابهای دریافتنی]]+Table27[[#This Row],[چکهای در جریان وصول]]+Table27[[#This Row],[چکهای نزد صندوق]]</f>
        <v>-1124737000</v>
      </c>
      <c r="G104" s="12">
        <f>IFERROR(INDEX('مانده سوفاله'!F:F,MATCH(Table27[[#This Row],[كد تفصيلي]],'مانده سوفاله'!A:A,0)),0)</f>
        <v>-241</v>
      </c>
    </row>
    <row r="105" spans="1:7" ht="23.25" customHeight="1" x14ac:dyDescent="0.3">
      <c r="A105" s="28">
        <v>30021</v>
      </c>
      <c r="B105" s="24" t="s">
        <v>69</v>
      </c>
      <c r="C105" s="10">
        <f>IFERROR(INDEX('حسابهای دریافتنی'!H:H,MATCH(Table27[[#This Row],[كد تفصيلي]],'حسابهای دریافتنی'!A:A,0)),0)</f>
        <v>-122000</v>
      </c>
      <c r="D105" s="11">
        <f>IFERROR(INDEX('درجریان وصول'!F:F,MATCH(Table27[[#This Row],[كد تفصيلي]],'درجریان وصول'!A:A,0)),0)</f>
        <v>0</v>
      </c>
      <c r="E105" s="11">
        <f>IFERROR(INDEX('چکهای دریافتنی'!F:F,MATCH(Table27[[#This Row],[كد تفصيلي]],'چکهای دریافتنی'!A:A,0)),0)</f>
        <v>0</v>
      </c>
      <c r="F105" s="11">
        <f>Table27[[#This Row],[حسابهای دریافتنی]]+Table27[[#This Row],[چکهای در جریان وصول]]+Table27[[#This Row],[چکهای نزد صندوق]]</f>
        <v>-122000</v>
      </c>
      <c r="G105" s="12">
        <f>IFERROR(INDEX('مانده سوفاله'!F:F,MATCH(Table27[[#This Row],[كد تفصيلي]],'مانده سوفاله'!A:A,0)),0)</f>
        <v>0</v>
      </c>
    </row>
    <row r="106" spans="1:7" ht="23.25" customHeight="1" x14ac:dyDescent="0.3">
      <c r="A106" s="29">
        <v>10066</v>
      </c>
      <c r="B106" s="25" t="s">
        <v>262</v>
      </c>
      <c r="C106" s="10">
        <f>IFERROR(INDEX('حسابهای دریافتنی'!H:H,MATCH(Table27[[#This Row],[كد تفصيلي]],'حسابهای دریافتنی'!A:A,0)),0)</f>
        <v>-191500</v>
      </c>
      <c r="D106" s="11">
        <f>IFERROR(INDEX('درجریان وصول'!F:F,MATCH(Table27[[#This Row],[كد تفصيلي]],'درجریان وصول'!A:A,0)),0)</f>
        <v>0</v>
      </c>
      <c r="E106" s="11">
        <f>IFERROR(INDEX('چکهای دریافتنی'!F:F,MATCH(Table27[[#This Row],[كد تفصيلي]],'چکهای دریافتنی'!A:A,0)),0)</f>
        <v>0</v>
      </c>
      <c r="F106" s="11">
        <f>Table27[[#This Row],[حسابهای دریافتنی]]+Table27[[#This Row],[چکهای در جریان وصول]]+Table27[[#This Row],[چکهای نزد صندوق]]</f>
        <v>-191500</v>
      </c>
      <c r="G106" s="12">
        <f>IFERROR(INDEX('مانده سوفاله'!F:F,MATCH(Table27[[#This Row],[كد تفصيلي]],'مانده سوفاله'!A:A,0)),0)</f>
        <v>2</v>
      </c>
    </row>
    <row r="107" spans="1:7" ht="23.25" customHeight="1" x14ac:dyDescent="0.3">
      <c r="A107" s="29">
        <v>30167</v>
      </c>
      <c r="B107" s="25" t="s">
        <v>311</v>
      </c>
      <c r="C107" s="10">
        <f>IFERROR(INDEX('حسابهای دریافتنی'!H:H,MATCH(Table27[[#This Row],[كد تفصيلي]],'حسابهای دریافتنی'!A:A,0)),0)</f>
        <v>-221000</v>
      </c>
      <c r="D107" s="11">
        <f>IFERROR(INDEX('درجریان وصول'!F:F,MATCH(Table27[[#This Row],[كد تفصيلي]],'درجریان وصول'!A:A,0)),0)</f>
        <v>0</v>
      </c>
      <c r="E107" s="11">
        <f>IFERROR(INDEX('چکهای دریافتنی'!F:F,MATCH(Table27[[#This Row],[كد تفصيلي]],'چکهای دریافتنی'!A:A,0)),0)</f>
        <v>0</v>
      </c>
      <c r="F107" s="11">
        <f>Table27[[#This Row],[حسابهای دریافتنی]]+Table27[[#This Row],[چکهای در جریان وصول]]+Table27[[#This Row],[چکهای نزد صندوق]]</f>
        <v>-221000</v>
      </c>
      <c r="G107" s="12">
        <f>IFERROR(INDEX('مانده سوفاله'!F:F,MATCH(Table27[[#This Row],[كد تفصيلي]],'مانده سوفاله'!A:A,0)),0)</f>
        <v>6</v>
      </c>
    </row>
    <row r="108" spans="1:7" ht="23.25" customHeight="1" x14ac:dyDescent="0.3">
      <c r="A108" s="28">
        <v>10077</v>
      </c>
      <c r="B108" s="24" t="s">
        <v>210</v>
      </c>
      <c r="C108" s="10">
        <f>IFERROR(INDEX('حسابهای دریافتنی'!H:H,MATCH(Table27[[#This Row],[كد تفصيلي]],'حسابهای دریافتنی'!A:A,0)),0)</f>
        <v>-238500</v>
      </c>
      <c r="D108" s="11">
        <f>IFERROR(INDEX('درجریان وصول'!F:F,MATCH(Table27[[#This Row],[كد تفصيلي]],'درجریان وصول'!A:A,0)),0)</f>
        <v>0</v>
      </c>
      <c r="E108" s="11">
        <f>IFERROR(INDEX('چکهای دریافتنی'!F:F,MATCH(Table27[[#This Row],[كد تفصيلي]],'چکهای دریافتنی'!A:A,0)),0)</f>
        <v>0</v>
      </c>
      <c r="F108" s="11">
        <f>Table27[[#This Row],[حسابهای دریافتنی]]+Table27[[#This Row],[چکهای در جریان وصول]]+Table27[[#This Row],[چکهای نزد صندوق]]</f>
        <v>-238500</v>
      </c>
      <c r="G108" s="12">
        <f>IFERROR(INDEX('مانده سوفاله'!F:F,MATCH(Table27[[#This Row],[كد تفصيلي]],'مانده سوفاله'!A:A,0)),0)</f>
        <v>0</v>
      </c>
    </row>
    <row r="109" spans="1:7" ht="23.25" customHeight="1" x14ac:dyDescent="0.3">
      <c r="A109" s="29">
        <v>10012</v>
      </c>
      <c r="B109" s="25" t="s">
        <v>19</v>
      </c>
      <c r="C109" s="10">
        <f>IFERROR(INDEX('حسابهای دریافتنی'!H:H,MATCH(Table27[[#This Row],[كد تفصيلي]],'حسابهای دریافتنی'!A:A,0)),0)</f>
        <v>-244000</v>
      </c>
      <c r="D109" s="11">
        <f>IFERROR(INDEX('درجریان وصول'!F:F,MATCH(Table27[[#This Row],[كد تفصيلي]],'درجریان وصول'!A:A,0)),0)</f>
        <v>0</v>
      </c>
      <c r="E109" s="11">
        <f>IFERROR(INDEX('چکهای دریافتنی'!F:F,MATCH(Table27[[#This Row],[كد تفصيلي]],'چکهای دریافتنی'!A:A,0)),0)</f>
        <v>0</v>
      </c>
      <c r="F109" s="11">
        <f>Table27[[#This Row],[حسابهای دریافتنی]]+Table27[[#This Row],[چکهای در جریان وصول]]+Table27[[#This Row],[چکهای نزد صندوق]]</f>
        <v>-244000</v>
      </c>
      <c r="G109" s="12">
        <f>IFERROR(INDEX('مانده سوفاله'!F:F,MATCH(Table27[[#This Row],[كد تفصيلي]],'مانده سوفاله'!A:A,0)),0)</f>
        <v>0</v>
      </c>
    </row>
    <row r="110" spans="1:7" ht="23.25" customHeight="1" x14ac:dyDescent="0.3">
      <c r="A110" s="28">
        <v>30088</v>
      </c>
      <c r="B110" s="24" t="s">
        <v>142</v>
      </c>
      <c r="C110" s="10">
        <f>IFERROR(INDEX('حسابهای دریافتنی'!H:H,MATCH(Table27[[#This Row],[كد تفصيلي]],'حسابهای دریافتنی'!A:A,0)),0)</f>
        <v>-252000</v>
      </c>
      <c r="D110" s="11">
        <f>IFERROR(INDEX('درجریان وصول'!F:F,MATCH(Table27[[#This Row],[كد تفصيلي]],'درجریان وصول'!A:A,0)),0)</f>
        <v>0</v>
      </c>
      <c r="E110" s="11">
        <f>IFERROR(INDEX('چکهای دریافتنی'!F:F,MATCH(Table27[[#This Row],[كد تفصيلي]],'چکهای دریافتنی'!A:A,0)),0)</f>
        <v>0</v>
      </c>
      <c r="F110" s="11">
        <f>Table27[[#This Row],[حسابهای دریافتنی]]+Table27[[#This Row],[چکهای در جریان وصول]]+Table27[[#This Row],[چکهای نزد صندوق]]</f>
        <v>-252000</v>
      </c>
      <c r="G110" s="12">
        <f>IFERROR(INDEX('مانده سوفاله'!F:F,MATCH(Table27[[#This Row],[كد تفصيلي]],'مانده سوفاله'!A:A,0)),0)</f>
        <v>0</v>
      </c>
    </row>
    <row r="111" spans="1:7" ht="23.25" customHeight="1" x14ac:dyDescent="0.3">
      <c r="A111" s="29">
        <v>10052</v>
      </c>
      <c r="B111" s="25" t="s">
        <v>192</v>
      </c>
      <c r="C111" s="10">
        <f>IFERROR(INDEX('حسابهای دریافتنی'!H:H,MATCH(Table27[[#This Row],[كد تفصيلي]],'حسابهای دریافتنی'!A:A,0)),0)</f>
        <v>0</v>
      </c>
      <c r="D111" s="11">
        <f>IFERROR(INDEX('درجریان وصول'!F:F,MATCH(Table27[[#This Row],[كد تفصيلي]],'درجریان وصول'!A:A,0)),0)</f>
        <v>0</v>
      </c>
      <c r="E111" s="11">
        <f>IFERROR(INDEX('چکهای دریافتنی'!F:F,MATCH(Table27[[#This Row],[كد تفصيلي]],'چکهای دریافتنی'!A:A,0)),0)</f>
        <v>0</v>
      </c>
      <c r="F111" s="11">
        <f>Table27[[#This Row],[حسابهای دریافتنی]]+Table27[[#This Row],[چکهای در جریان وصول]]+Table27[[#This Row],[چکهای نزد صندوق]]</f>
        <v>0</v>
      </c>
      <c r="G111" s="12">
        <f>IFERROR(INDEX('مانده سوفاله'!F:F,MATCH(Table27[[#This Row],[كد تفصيلي]],'مانده سوفاله'!A:A,0)),0)</f>
        <v>0</v>
      </c>
    </row>
    <row r="112" spans="1:7" ht="23.25" customHeight="1" x14ac:dyDescent="0.3">
      <c r="A112" s="28">
        <v>10045</v>
      </c>
      <c r="B112" s="24" t="s">
        <v>50</v>
      </c>
      <c r="C112" s="10">
        <f>IFERROR(INDEX('حسابهای دریافتنی'!H:H,MATCH(Table27[[#This Row],[كد تفصيلي]],'حسابهای دریافتنی'!A:A,0)),0)</f>
        <v>-383000</v>
      </c>
      <c r="D112" s="11">
        <f>IFERROR(INDEX('درجریان وصول'!F:F,MATCH(Table27[[#This Row],[كد تفصيلي]],'درجریان وصول'!A:A,0)),0)</f>
        <v>0</v>
      </c>
      <c r="E112" s="11">
        <f>IFERROR(INDEX('چکهای دریافتنی'!F:F,MATCH(Table27[[#This Row],[كد تفصيلي]],'چکهای دریافتنی'!A:A,0)),0)</f>
        <v>0</v>
      </c>
      <c r="F112" s="11">
        <f>Table27[[#This Row],[حسابهای دریافتنی]]+Table27[[#This Row],[چکهای در جریان وصول]]+Table27[[#This Row],[چکهای نزد صندوق]]</f>
        <v>-383000</v>
      </c>
      <c r="G112" s="12">
        <f>IFERROR(INDEX('مانده سوفاله'!F:F,MATCH(Table27[[#This Row],[كد تفصيلي]],'مانده سوفاله'!A:A,0)),0)</f>
        <v>-30</v>
      </c>
    </row>
    <row r="113" spans="1:7" ht="23.25" customHeight="1" x14ac:dyDescent="0.3">
      <c r="A113" s="28">
        <v>30051</v>
      </c>
      <c r="B113" s="24" t="s">
        <v>98</v>
      </c>
      <c r="C113" s="10">
        <f>IFERROR(INDEX('حسابهای دریافتنی'!H:H,MATCH(Table27[[#This Row],[كد تفصيلي]],'حسابهای دریافتنی'!A:A,0)),0)</f>
        <v>-384000</v>
      </c>
      <c r="D113" s="11">
        <f>IFERROR(INDEX('درجریان وصول'!F:F,MATCH(Table27[[#This Row],[كد تفصيلي]],'درجریان وصول'!A:A,0)),0)</f>
        <v>0</v>
      </c>
      <c r="E113" s="11">
        <f>IFERROR(INDEX('چکهای دریافتنی'!F:F,MATCH(Table27[[#This Row],[كد تفصيلي]],'چکهای دریافتنی'!A:A,0)),0)</f>
        <v>0</v>
      </c>
      <c r="F113" s="11">
        <f>Table27[[#This Row],[حسابهای دریافتنی]]+Table27[[#This Row],[چکهای در جریان وصول]]+Table27[[#This Row],[چکهای نزد صندوق]]</f>
        <v>-384000</v>
      </c>
      <c r="G113" s="12">
        <f>IFERROR(INDEX('مانده سوفاله'!F:F,MATCH(Table27[[#This Row],[كد تفصيلي]],'مانده سوفاله'!A:A,0)),0)</f>
        <v>0</v>
      </c>
    </row>
    <row r="114" spans="1:7" ht="23.25" customHeight="1" x14ac:dyDescent="0.3">
      <c r="A114" s="29">
        <v>30044</v>
      </c>
      <c r="B114" s="25" t="s">
        <v>91</v>
      </c>
      <c r="C114" s="10">
        <f>IFERROR(INDEX('حسابهای دریافتنی'!H:H,MATCH(Table27[[#This Row],[كد تفصيلي]],'حسابهای دریافتنی'!A:A,0)),0)</f>
        <v>-492500</v>
      </c>
      <c r="D114" s="11">
        <f>IFERROR(INDEX('درجریان وصول'!F:F,MATCH(Table27[[#This Row],[كد تفصيلي]],'درجریان وصول'!A:A,0)),0)</f>
        <v>0</v>
      </c>
      <c r="E114" s="11">
        <f>IFERROR(INDEX('چکهای دریافتنی'!F:F,MATCH(Table27[[#This Row],[كد تفصيلي]],'چکهای دریافتنی'!A:A,0)),0)</f>
        <v>0</v>
      </c>
      <c r="F114" s="11">
        <f>Table27[[#This Row],[حسابهای دریافتنی]]+Table27[[#This Row],[چکهای در جریان وصول]]+Table27[[#This Row],[چکهای نزد صندوق]]</f>
        <v>-492500</v>
      </c>
      <c r="G114" s="12">
        <f>IFERROR(INDEX('مانده سوفاله'!F:F,MATCH(Table27[[#This Row],[كد تفصيلي]],'مانده سوفاله'!A:A,0)),0)</f>
        <v>2</v>
      </c>
    </row>
    <row r="115" spans="1:7" ht="23.25" customHeight="1" x14ac:dyDescent="0.3">
      <c r="A115" s="28">
        <v>10095</v>
      </c>
      <c r="B115" s="24" t="s">
        <v>268</v>
      </c>
      <c r="C115" s="10">
        <f>IFERROR(INDEX('حسابهای دریافتنی'!H:H,MATCH(Table27[[#This Row],[كد تفصيلي]],'حسابهای دریافتنی'!A:A,0)),0)</f>
        <v>-496500</v>
      </c>
      <c r="D115" s="11">
        <f>IFERROR(INDEX('درجریان وصول'!F:F,MATCH(Table27[[#This Row],[كد تفصيلي]],'درجریان وصول'!A:A,0)),0)</f>
        <v>0</v>
      </c>
      <c r="E115" s="11">
        <f>IFERROR(INDEX('چکهای دریافتنی'!F:F,MATCH(Table27[[#This Row],[كد تفصيلي]],'چکهای دریافتنی'!A:A,0)),0)</f>
        <v>0</v>
      </c>
      <c r="F115" s="11">
        <f>Table27[[#This Row],[حسابهای دریافتنی]]+Table27[[#This Row],[چکهای در جریان وصول]]+Table27[[#This Row],[چکهای نزد صندوق]]</f>
        <v>-496500</v>
      </c>
      <c r="G115" s="12">
        <f>IFERROR(INDEX('مانده سوفاله'!F:F,MATCH(Table27[[#This Row],[كد تفصيلي]],'مانده سوفاله'!A:A,0)),0)</f>
        <v>0</v>
      </c>
    </row>
    <row r="116" spans="1:7" ht="23.25" customHeight="1" x14ac:dyDescent="0.3">
      <c r="A116" s="29">
        <v>30052</v>
      </c>
      <c r="B116" s="25" t="s">
        <v>149</v>
      </c>
      <c r="C116" s="10">
        <f>IFERROR(INDEX('حسابهای دریافتنی'!H:H,MATCH(Table27[[#This Row],[كد تفصيلي]],'حسابهای دریافتنی'!A:A,0)),0)</f>
        <v>-539000</v>
      </c>
      <c r="D116" s="11">
        <f>IFERROR(INDEX('درجریان وصول'!F:F,MATCH(Table27[[#This Row],[كد تفصيلي]],'درجریان وصول'!A:A,0)),0)</f>
        <v>0</v>
      </c>
      <c r="E116" s="11">
        <f>IFERROR(INDEX('چکهای دریافتنی'!F:F,MATCH(Table27[[#This Row],[كد تفصيلي]],'چکهای دریافتنی'!A:A,0)),0)</f>
        <v>0</v>
      </c>
      <c r="F116" s="11">
        <f>Table27[[#This Row],[حسابهای دریافتنی]]+Table27[[#This Row],[چکهای در جریان وصول]]+Table27[[#This Row],[چکهای نزد صندوق]]</f>
        <v>-539000</v>
      </c>
      <c r="G116" s="12">
        <f>IFERROR(INDEX('مانده سوفاله'!F:F,MATCH(Table27[[#This Row],[كد تفصيلي]],'مانده سوفاله'!A:A,0)),0)</f>
        <v>0</v>
      </c>
    </row>
    <row r="117" spans="1:7" ht="23.25" customHeight="1" x14ac:dyDescent="0.3">
      <c r="A117" s="28">
        <v>10061</v>
      </c>
      <c r="B117" s="24" t="s">
        <v>194</v>
      </c>
      <c r="C117" s="10">
        <f>IFERROR(INDEX('حسابهای دریافتنی'!H:H,MATCH(Table27[[#This Row],[كد تفصيلي]],'حسابهای دریافتنی'!A:A,0)),0)</f>
        <v>-565500</v>
      </c>
      <c r="D117" s="11">
        <f>IFERROR(INDEX('درجریان وصول'!F:F,MATCH(Table27[[#This Row],[كد تفصيلي]],'درجریان وصول'!A:A,0)),0)</f>
        <v>0</v>
      </c>
      <c r="E117" s="11">
        <f>IFERROR(INDEX('چکهای دریافتنی'!F:F,MATCH(Table27[[#This Row],[كد تفصيلي]],'چکهای دریافتنی'!A:A,0)),0)</f>
        <v>0</v>
      </c>
      <c r="F117" s="11">
        <f>Table27[[#This Row],[حسابهای دریافتنی]]+Table27[[#This Row],[چکهای در جریان وصول]]+Table27[[#This Row],[چکهای نزد صندوق]]</f>
        <v>-565500</v>
      </c>
      <c r="G117" s="12">
        <f>IFERROR(INDEX('مانده سوفاله'!F:F,MATCH(Table27[[#This Row],[كد تفصيلي]],'مانده سوفاله'!A:A,0)),0)</f>
        <v>0</v>
      </c>
    </row>
    <row r="118" spans="1:7" ht="23.25" customHeight="1" x14ac:dyDescent="0.3">
      <c r="A118" s="28">
        <v>10118</v>
      </c>
      <c r="B118" s="24" t="s">
        <v>334</v>
      </c>
      <c r="C118" s="10">
        <f>IFERROR(INDEX('حسابهای دریافتنی'!H:H,MATCH(Table27[[#This Row],[كد تفصيلي]],'حسابهای دریافتنی'!A:A,0)),0)</f>
        <v>-587500</v>
      </c>
      <c r="D118" s="11">
        <f>IFERROR(INDEX('درجریان وصول'!F:F,MATCH(Table27[[#This Row],[كد تفصيلي]],'درجریان وصول'!A:A,0)),0)</f>
        <v>0</v>
      </c>
      <c r="E118" s="11">
        <f>IFERROR(INDEX('چکهای دریافتنی'!F:F,MATCH(Table27[[#This Row],[كد تفصيلي]],'چکهای دریافتنی'!A:A,0)),0)</f>
        <v>0</v>
      </c>
      <c r="F118" s="11">
        <f>Table27[[#This Row],[حسابهای دریافتنی]]+Table27[[#This Row],[چکهای در جریان وصول]]+Table27[[#This Row],[چکهای نزد صندوق]]</f>
        <v>-587500</v>
      </c>
      <c r="G118" s="12">
        <f>IFERROR(INDEX('مانده سوفاله'!F:F,MATCH(Table27[[#This Row],[كد تفصيلي]],'مانده سوفاله'!A:A,0)),0)</f>
        <v>0</v>
      </c>
    </row>
    <row r="119" spans="1:7" ht="23.25" customHeight="1" x14ac:dyDescent="0.3">
      <c r="A119" s="29">
        <v>10018</v>
      </c>
      <c r="B119" s="25" t="s">
        <v>25</v>
      </c>
      <c r="C119" s="10">
        <f>IFERROR(INDEX('حسابهای دریافتنی'!H:H,MATCH(Table27[[#This Row],[كد تفصيلي]],'حسابهای دریافتنی'!A:A,0)),0)</f>
        <v>95282000</v>
      </c>
      <c r="D119" s="11">
        <f>IFERROR(INDEX('درجریان وصول'!F:F,MATCH(Table27[[#This Row],[كد تفصيلي]],'درجریان وصول'!A:A,0)),0)</f>
        <v>0</v>
      </c>
      <c r="E119" s="11">
        <f>IFERROR(INDEX('چکهای دریافتنی'!F:F,MATCH(Table27[[#This Row],[كد تفصيلي]],'چکهای دریافتنی'!A:A,0)),0)</f>
        <v>0</v>
      </c>
      <c r="F119" s="11">
        <f>Table27[[#This Row],[حسابهای دریافتنی]]+Table27[[#This Row],[چکهای در جریان وصول]]+Table27[[#This Row],[چکهای نزد صندوق]]</f>
        <v>95282000</v>
      </c>
      <c r="G119" s="12">
        <f>IFERROR(INDEX('مانده سوفاله'!F:F,MATCH(Table27[[#This Row],[كد تفصيلي]],'مانده سوفاله'!A:A,0)),0)</f>
        <v>-32</v>
      </c>
    </row>
    <row r="120" spans="1:7" ht="23.25" customHeight="1" x14ac:dyDescent="0.3">
      <c r="A120" s="28">
        <v>30112</v>
      </c>
      <c r="B120" s="24" t="s">
        <v>201</v>
      </c>
      <c r="C120" s="10">
        <f>IFERROR(INDEX('حسابهای دریافتنی'!H:H,MATCH(Table27[[#This Row],[كد تفصيلي]],'حسابهای دریافتنی'!A:A,0)),0)</f>
        <v>-720500</v>
      </c>
      <c r="D120" s="11">
        <f>IFERROR(INDEX('درجریان وصول'!F:F,MATCH(Table27[[#This Row],[كد تفصيلي]],'درجریان وصول'!A:A,0)),0)</f>
        <v>0</v>
      </c>
      <c r="E120" s="11">
        <f>IFERROR(INDEX('چکهای دریافتنی'!F:F,MATCH(Table27[[#This Row],[كد تفصيلي]],'چکهای دریافتنی'!A:A,0)),0)</f>
        <v>0</v>
      </c>
      <c r="F120" s="11">
        <f>Table27[[#This Row],[حسابهای دریافتنی]]+Table27[[#This Row],[چکهای در جریان وصول]]+Table27[[#This Row],[چکهای نزد صندوق]]</f>
        <v>-720500</v>
      </c>
      <c r="G120" s="12">
        <f>IFERROR(INDEX('مانده سوفاله'!F:F,MATCH(Table27[[#This Row],[كد تفصيلي]],'مانده سوفاله'!A:A,0)),0)</f>
        <v>36</v>
      </c>
    </row>
    <row r="121" spans="1:7" ht="23.25" customHeight="1" x14ac:dyDescent="0.3">
      <c r="A121" s="28">
        <v>10013</v>
      </c>
      <c r="B121" s="24" t="s">
        <v>20</v>
      </c>
      <c r="C121" s="10">
        <f>IFERROR(INDEX('حسابهای دریافتنی'!H:H,MATCH(Table27[[#This Row],[كد تفصيلي]],'حسابهای دریافتنی'!A:A,0)),0)</f>
        <v>-915000</v>
      </c>
      <c r="D121" s="11">
        <f>IFERROR(INDEX('درجریان وصول'!F:F,MATCH(Table27[[#This Row],[كد تفصيلي]],'درجریان وصول'!A:A,0)),0)</f>
        <v>0</v>
      </c>
      <c r="E121" s="11">
        <f>IFERROR(INDEX('چکهای دریافتنی'!F:F,MATCH(Table27[[#This Row],[كد تفصيلي]],'چکهای دریافتنی'!A:A,0)),0)</f>
        <v>0</v>
      </c>
      <c r="F121" s="11">
        <f>Table27[[#This Row],[حسابهای دریافتنی]]+Table27[[#This Row],[چکهای در جریان وصول]]+Table27[[#This Row],[چکهای نزد صندوق]]</f>
        <v>-915000</v>
      </c>
      <c r="G121" s="12">
        <f>IFERROR(INDEX('مانده سوفاله'!F:F,MATCH(Table27[[#This Row],[كد تفصيلي]],'مانده سوفاله'!A:A,0)),0)</f>
        <v>0</v>
      </c>
    </row>
    <row r="122" spans="1:7" ht="23.25" customHeight="1" x14ac:dyDescent="0.3">
      <c r="A122" s="29">
        <v>10042</v>
      </c>
      <c r="B122" s="25" t="s">
        <v>47</v>
      </c>
      <c r="C122" s="10">
        <f>IFERROR(INDEX('حسابهای دریافتنی'!H:H,MATCH(Table27[[#This Row],[كد تفصيلي]],'حسابهای دریافتنی'!A:A,0)),0)</f>
        <v>-1120000</v>
      </c>
      <c r="D122" s="11">
        <f>IFERROR(INDEX('درجریان وصول'!F:F,MATCH(Table27[[#This Row],[كد تفصيلي]],'درجریان وصول'!A:A,0)),0)</f>
        <v>0</v>
      </c>
      <c r="E122" s="11">
        <f>IFERROR(INDEX('چکهای دریافتنی'!F:F,MATCH(Table27[[#This Row],[كد تفصيلي]],'چکهای دریافتنی'!A:A,0)),0)</f>
        <v>0</v>
      </c>
      <c r="F122" s="11">
        <f>Table27[[#This Row],[حسابهای دریافتنی]]+Table27[[#This Row],[چکهای در جریان وصول]]+Table27[[#This Row],[چکهای نزد صندوق]]</f>
        <v>-1120000</v>
      </c>
      <c r="G122" s="12">
        <f>IFERROR(INDEX('مانده سوفاله'!F:F,MATCH(Table27[[#This Row],[كد تفصيلي]],'مانده سوفاله'!A:A,0)),0)</f>
        <v>2</v>
      </c>
    </row>
    <row r="123" spans="1:7" ht="23.25" customHeight="1" x14ac:dyDescent="0.3">
      <c r="A123" s="29">
        <v>30032</v>
      </c>
      <c r="B123" s="25" t="s">
        <v>79</v>
      </c>
      <c r="C123" s="10">
        <f>IFERROR(INDEX('حسابهای دریافتنی'!H:H,MATCH(Table27[[#This Row],[كد تفصيلي]],'حسابهای دریافتنی'!A:A,0)),0)</f>
        <v>-1347000</v>
      </c>
      <c r="D123" s="11">
        <f>IFERROR(INDEX('درجریان وصول'!F:F,MATCH(Table27[[#This Row],[كد تفصيلي]],'درجریان وصول'!A:A,0)),0)</f>
        <v>0</v>
      </c>
      <c r="E123" s="11">
        <f>IFERROR(INDEX('چکهای دریافتنی'!F:F,MATCH(Table27[[#This Row],[كد تفصيلي]],'چکهای دریافتنی'!A:A,0)),0)</f>
        <v>0</v>
      </c>
      <c r="F123" s="11">
        <f>Table27[[#This Row],[حسابهای دریافتنی]]+Table27[[#This Row],[چکهای در جریان وصول]]+Table27[[#This Row],[چکهای نزد صندوق]]</f>
        <v>-1347000</v>
      </c>
      <c r="G123" s="12">
        <f>IFERROR(INDEX('مانده سوفاله'!F:F,MATCH(Table27[[#This Row],[كد تفصيلي]],'مانده سوفاله'!A:A,0)),0)</f>
        <v>0</v>
      </c>
    </row>
    <row r="124" spans="1:7" ht="23.25" customHeight="1" x14ac:dyDescent="0.3">
      <c r="A124" s="29">
        <v>30171</v>
      </c>
      <c r="B124" s="25" t="s">
        <v>322</v>
      </c>
      <c r="C124" s="10">
        <f>IFERROR(INDEX('حسابهای دریافتنی'!H:H,MATCH(Table27[[#This Row],[كد تفصيلي]],'حسابهای دریافتنی'!A:A,0)),0)</f>
        <v>-1500000</v>
      </c>
      <c r="D124" s="11">
        <f>IFERROR(INDEX('درجریان وصول'!F:F,MATCH(Table27[[#This Row],[كد تفصيلي]],'درجریان وصول'!A:A,0)),0)</f>
        <v>0</v>
      </c>
      <c r="E124" s="11">
        <f>IFERROR(INDEX('چکهای دریافتنی'!F:F,MATCH(Table27[[#This Row],[كد تفصيلي]],'چکهای دریافتنی'!A:A,0)),0)</f>
        <v>0</v>
      </c>
      <c r="F124" s="11">
        <f>Table27[[#This Row],[حسابهای دریافتنی]]+Table27[[#This Row],[چکهای در جریان وصول]]+Table27[[#This Row],[چکهای نزد صندوق]]</f>
        <v>-1500000</v>
      </c>
      <c r="G124" s="12">
        <f>IFERROR(INDEX('مانده سوفاله'!F:F,MATCH(Table27[[#This Row],[كد تفصيلي]],'مانده سوفاله'!A:A,0)),0)</f>
        <v>0</v>
      </c>
    </row>
    <row r="125" spans="1:7" ht="23.25" customHeight="1" x14ac:dyDescent="0.3">
      <c r="A125" s="28">
        <v>10103</v>
      </c>
      <c r="B125" s="24" t="s">
        <v>283</v>
      </c>
      <c r="C125" s="10">
        <f>IFERROR(INDEX('حسابهای دریافتنی'!H:H,MATCH(Table27[[#This Row],[كد تفصيلي]],'حسابهای دریافتنی'!A:A,0)),0)</f>
        <v>-1580000</v>
      </c>
      <c r="D125" s="11">
        <f>IFERROR(INDEX('درجریان وصول'!F:F,MATCH(Table27[[#This Row],[كد تفصيلي]],'درجریان وصول'!A:A,0)),0)</f>
        <v>0</v>
      </c>
      <c r="E125" s="11">
        <f>IFERROR(INDEX('چکهای دریافتنی'!F:F,MATCH(Table27[[#This Row],[كد تفصيلي]],'چکهای دریافتنی'!A:A,0)),0)</f>
        <v>0</v>
      </c>
      <c r="F125" s="11">
        <f>Table27[[#This Row],[حسابهای دریافتنی]]+Table27[[#This Row],[چکهای در جریان وصول]]+Table27[[#This Row],[چکهای نزد صندوق]]</f>
        <v>-1580000</v>
      </c>
      <c r="G125" s="12">
        <f>IFERROR(INDEX('مانده سوفاله'!F:F,MATCH(Table27[[#This Row],[كد تفصيلي]],'مانده سوفاله'!A:A,0)),0)</f>
        <v>0</v>
      </c>
    </row>
    <row r="126" spans="1:7" ht="23.25" customHeight="1" x14ac:dyDescent="0.3">
      <c r="A126" s="29">
        <v>30155</v>
      </c>
      <c r="B126" s="25" t="s">
        <v>289</v>
      </c>
      <c r="C126" s="10">
        <f>IFERROR(INDEX('حسابهای دریافتنی'!H:H,MATCH(Table27[[#This Row],[كد تفصيلي]],'حسابهای دریافتنی'!A:A,0)),0)</f>
        <v>-454985417</v>
      </c>
      <c r="D126" s="11">
        <f>IFERROR(INDEX('درجریان وصول'!F:F,MATCH(Table27[[#This Row],[كد تفصيلي]],'درجریان وصول'!A:A,0)),0)</f>
        <v>0</v>
      </c>
      <c r="E126" s="11">
        <f>IFERROR(INDEX('چکهای دریافتنی'!F:F,MATCH(Table27[[#This Row],[كد تفصيلي]],'چکهای دریافتنی'!A:A,0)),0)</f>
        <v>1379936267</v>
      </c>
      <c r="F126" s="11">
        <f>Table27[[#This Row],[حسابهای دریافتنی]]+Table27[[#This Row],[چکهای در جریان وصول]]+Table27[[#This Row],[چکهای نزد صندوق]]</f>
        <v>924950850</v>
      </c>
      <c r="G126" s="12">
        <f>IFERROR(INDEX('مانده سوفاله'!F:F,MATCH(Table27[[#This Row],[كد تفصيلي]],'مانده سوفاله'!A:A,0)),0)</f>
        <v>0</v>
      </c>
    </row>
    <row r="127" spans="1:7" ht="23.25" customHeight="1" x14ac:dyDescent="0.3">
      <c r="A127" s="29">
        <v>10125</v>
      </c>
      <c r="B127" s="25" t="s">
        <v>345</v>
      </c>
      <c r="C127" s="10">
        <f>IFERROR(INDEX('حسابهای دریافتنی'!H:H,MATCH(Table27[[#This Row],[كد تفصيلي]],'حسابهای دریافتنی'!A:A,0)),0)</f>
        <v>-1650000</v>
      </c>
      <c r="D127" s="11">
        <f>IFERROR(INDEX('درجریان وصول'!F:F,MATCH(Table27[[#This Row],[كد تفصيلي]],'درجریان وصول'!A:A,0)),0)</f>
        <v>0</v>
      </c>
      <c r="E127" s="11">
        <f>IFERROR(INDEX('چکهای دریافتنی'!F:F,MATCH(Table27[[#This Row],[كد تفصيلي]],'چکهای دریافتنی'!A:A,0)),0)</f>
        <v>0</v>
      </c>
      <c r="F127" s="11">
        <f>Table27[[#This Row],[حسابهای دریافتنی]]+Table27[[#This Row],[چکهای در جریان وصول]]+Table27[[#This Row],[چکهای نزد صندوق]]</f>
        <v>-1650000</v>
      </c>
      <c r="G127" s="12">
        <f>IFERROR(INDEX('مانده سوفاله'!F:F,MATCH(Table27[[#This Row],[كد تفصيلي]],'مانده سوفاله'!A:A,0)),0)</f>
        <v>0</v>
      </c>
    </row>
    <row r="128" spans="1:7" ht="23.25" customHeight="1" x14ac:dyDescent="0.3">
      <c r="A128" s="28">
        <v>10110</v>
      </c>
      <c r="B128" s="24" t="s">
        <v>306</v>
      </c>
      <c r="C128" s="10">
        <f>IFERROR(INDEX('حسابهای دریافتنی'!H:H,MATCH(Table27[[#This Row],[كد تفصيلي]],'حسابهای دریافتنی'!A:A,0)),0)</f>
        <v>-1817500</v>
      </c>
      <c r="D128" s="11">
        <f>IFERROR(INDEX('درجریان وصول'!F:F,MATCH(Table27[[#This Row],[كد تفصيلي]],'درجریان وصول'!A:A,0)),0)</f>
        <v>0</v>
      </c>
      <c r="E128" s="11">
        <f>IFERROR(INDEX('چکهای دریافتنی'!F:F,MATCH(Table27[[#This Row],[كد تفصيلي]],'چکهای دریافتنی'!A:A,0)),0)</f>
        <v>0</v>
      </c>
      <c r="F128" s="11">
        <f>Table27[[#This Row],[حسابهای دریافتنی]]+Table27[[#This Row],[چکهای در جریان وصول]]+Table27[[#This Row],[چکهای نزد صندوق]]</f>
        <v>-1817500</v>
      </c>
      <c r="G128" s="12">
        <f>IFERROR(INDEX('مانده سوفاله'!F:F,MATCH(Table27[[#This Row],[كد تفصيلي]],'مانده سوفاله'!A:A,0)),0)</f>
        <v>7</v>
      </c>
    </row>
    <row r="129" spans="1:7" ht="23.25" customHeight="1" x14ac:dyDescent="0.3">
      <c r="A129" s="29">
        <v>30103</v>
      </c>
      <c r="B129" s="25" t="s">
        <v>240</v>
      </c>
      <c r="C129" s="10">
        <f>IFERROR(INDEX('حسابهای دریافتنی'!H:H,MATCH(Table27[[#This Row],[كد تفصيلي]],'حسابهای دریافتنی'!A:A,0)),0)</f>
        <v>-1820000</v>
      </c>
      <c r="D129" s="11">
        <f>IFERROR(INDEX('درجریان وصول'!F:F,MATCH(Table27[[#This Row],[كد تفصيلي]],'درجریان وصول'!A:A,0)),0)</f>
        <v>0</v>
      </c>
      <c r="E129" s="11">
        <f>IFERROR(INDEX('چکهای دریافتنی'!F:F,MATCH(Table27[[#This Row],[كد تفصيلي]],'چکهای دریافتنی'!A:A,0)),0)</f>
        <v>0</v>
      </c>
      <c r="F129" s="11">
        <f>Table27[[#This Row],[حسابهای دریافتنی]]+Table27[[#This Row],[چکهای در جریان وصول]]+Table27[[#This Row],[چکهای نزد صندوق]]</f>
        <v>-1820000</v>
      </c>
      <c r="G129" s="12">
        <f>IFERROR(INDEX('مانده سوفاله'!F:F,MATCH(Table27[[#This Row],[كد تفصيلي]],'مانده سوفاله'!A:A,0)),0)</f>
        <v>0</v>
      </c>
    </row>
    <row r="130" spans="1:7" ht="23.25" customHeight="1" x14ac:dyDescent="0.3">
      <c r="A130" s="28">
        <v>30174</v>
      </c>
      <c r="B130" s="24" t="s">
        <v>327</v>
      </c>
      <c r="C130" s="10">
        <f>IFERROR(INDEX('حسابهای دریافتنی'!H:H,MATCH(Table27[[#This Row],[كد تفصيلي]],'حسابهای دریافتنی'!A:A,0)),0)</f>
        <v>-5000</v>
      </c>
      <c r="D130" s="11">
        <f>IFERROR(INDEX('درجریان وصول'!F:F,MATCH(Table27[[#This Row],[كد تفصيلي]],'درجریان وصول'!A:A,0)),0)</f>
        <v>0</v>
      </c>
      <c r="E130" s="11">
        <f>IFERROR(INDEX('چکهای دریافتنی'!F:F,MATCH(Table27[[#This Row],[كد تفصيلي]],'چکهای دریافتنی'!A:A,0)),0)</f>
        <v>0</v>
      </c>
      <c r="F130" s="11">
        <f>Table27[[#This Row],[حسابهای دریافتنی]]+Table27[[#This Row],[چکهای در جریان وصول]]+Table27[[#This Row],[چکهای نزد صندوق]]</f>
        <v>-5000</v>
      </c>
      <c r="G130" s="12">
        <f>IFERROR(INDEX('مانده سوفاله'!F:F,MATCH(Table27[[#This Row],[كد تفصيلي]],'مانده سوفاله'!A:A,0)),0)</f>
        <v>0</v>
      </c>
    </row>
    <row r="131" spans="1:7" ht="23.25" customHeight="1" x14ac:dyDescent="0.3">
      <c r="A131" s="29">
        <v>10070</v>
      </c>
      <c r="B131" s="25" t="s">
        <v>230</v>
      </c>
      <c r="C131" s="10">
        <f>IFERROR(INDEX('حسابهای دریافتنی'!H:H,MATCH(Table27[[#This Row],[كد تفصيلي]],'حسابهای دریافتنی'!A:A,0)),0)</f>
        <v>508152500</v>
      </c>
      <c r="D131" s="11">
        <f>IFERROR(INDEX('درجریان وصول'!F:F,MATCH(Table27[[#This Row],[كد تفصيلي]],'درجریان وصول'!A:A,0)),0)</f>
        <v>0</v>
      </c>
      <c r="E131" s="11">
        <f>IFERROR(INDEX('چکهای دریافتنی'!F:F,MATCH(Table27[[#This Row],[كد تفصيلي]],'چکهای دریافتنی'!A:A,0)),0)</f>
        <v>570000000</v>
      </c>
      <c r="F131" s="11">
        <f>Table27[[#This Row],[حسابهای دریافتنی]]+Table27[[#This Row],[چکهای در جریان وصول]]+Table27[[#This Row],[چکهای نزد صندوق]]</f>
        <v>1078152500</v>
      </c>
      <c r="G131" s="12">
        <f>IFERROR(INDEX('مانده سوفاله'!F:F,MATCH(Table27[[#This Row],[كد تفصيلي]],'مانده سوفاله'!A:A,0)),0)</f>
        <v>-3170</v>
      </c>
    </row>
    <row r="132" spans="1:7" ht="23.25" customHeight="1" x14ac:dyDescent="0.3">
      <c r="A132" s="28">
        <v>30128</v>
      </c>
      <c r="B132" s="24" t="s">
        <v>212</v>
      </c>
      <c r="C132" s="10">
        <f>IFERROR(INDEX('حسابهای دریافتنی'!H:H,MATCH(Table27[[#This Row],[كد تفصيلي]],'حسابهای دریافتنی'!A:A,0)),0)</f>
        <v>-2451320</v>
      </c>
      <c r="D132" s="11">
        <f>IFERROR(INDEX('درجریان وصول'!F:F,MATCH(Table27[[#This Row],[كد تفصيلي]],'درجریان وصول'!A:A,0)),0)</f>
        <v>0</v>
      </c>
      <c r="E132" s="11">
        <f>IFERROR(INDEX('چکهای دریافتنی'!F:F,MATCH(Table27[[#This Row],[كد تفصيلي]],'چکهای دریافتنی'!A:A,0)),0)</f>
        <v>0</v>
      </c>
      <c r="F132" s="11">
        <f>Table27[[#This Row],[حسابهای دریافتنی]]+Table27[[#This Row],[چکهای در جریان وصول]]+Table27[[#This Row],[چکهای نزد صندوق]]</f>
        <v>-2451320</v>
      </c>
      <c r="G132" s="12">
        <f>IFERROR(INDEX('مانده سوفاله'!F:F,MATCH(Table27[[#This Row],[كد تفصيلي]],'مانده سوفاله'!A:A,0)),0)</f>
        <v>0</v>
      </c>
    </row>
    <row r="133" spans="1:7" customFormat="1" ht="23.25" customHeight="1" x14ac:dyDescent="0.35">
      <c r="A133" s="52">
        <v>30015</v>
      </c>
      <c r="B133" s="24" t="s">
        <v>64</v>
      </c>
      <c r="C133" s="10">
        <f>IFERROR(INDEX('حسابهای دریافتنی'!H:H,MATCH(Table27[[#This Row],[كد تفصيلي]],'حسابهای دریافتنی'!A:A,0)),0)</f>
        <v>-3105895</v>
      </c>
      <c r="D133" s="11">
        <f>IFERROR(INDEX('درجریان وصول'!F:F,MATCH(Table27[[#This Row],[كد تفصيلي]],'درجریان وصول'!A:A,0)),0)</f>
        <v>0</v>
      </c>
      <c r="E133" s="11">
        <f>IFERROR(INDEX('چکهای دریافتنی'!F:F,MATCH(Table27[[#This Row],[كد تفصيلي]],'چکهای دریافتنی'!A:A,0)),0)</f>
        <v>0</v>
      </c>
      <c r="F133" s="11">
        <f>Table27[[#This Row],[حسابهای دریافتنی]]+Table27[[#This Row],[چکهای در جریان وصول]]+Table27[[#This Row],[چکهای نزد صندوق]]</f>
        <v>-3105895</v>
      </c>
      <c r="G133" s="12">
        <f>IFERROR(INDEX('مانده سوفاله'!F:F,MATCH(Table27[[#This Row],[كد تفصيلي]],'مانده سوفاله'!A:A,0)),0)</f>
        <v>0</v>
      </c>
    </row>
    <row r="134" spans="1:7" customFormat="1" ht="23.25" customHeight="1" x14ac:dyDescent="0.35">
      <c r="A134" s="52">
        <v>30110</v>
      </c>
      <c r="B134" s="24" t="s">
        <v>200</v>
      </c>
      <c r="C134" s="10">
        <f>IFERROR(INDEX('حسابهای دریافتنی'!H:H,MATCH(Table27[[#This Row],[كد تفصيلي]],'حسابهای دریافتنی'!A:A,0)),0)</f>
        <v>-3492360</v>
      </c>
      <c r="D134" s="11">
        <f>IFERROR(INDEX('درجریان وصول'!F:F,MATCH(Table27[[#This Row],[كد تفصيلي]],'درجریان وصول'!A:A,0)),0)</f>
        <v>0</v>
      </c>
      <c r="E134" s="11">
        <f>IFERROR(INDEX('چکهای دریافتنی'!F:F,MATCH(Table27[[#This Row],[كد تفصيلي]],'چکهای دریافتنی'!A:A,0)),0)</f>
        <v>0</v>
      </c>
      <c r="F134" s="11">
        <f>Table27[[#This Row],[حسابهای دریافتنی]]+Table27[[#This Row],[چکهای در جریان وصول]]+Table27[[#This Row],[چکهای نزد صندوق]]</f>
        <v>-3492360</v>
      </c>
      <c r="G134" s="12">
        <f>IFERROR(INDEX('مانده سوفاله'!F:F,MATCH(Table27[[#This Row],[كد تفصيلي]],'مانده سوفاله'!A:A,0)),0)</f>
        <v>0</v>
      </c>
    </row>
    <row r="135" spans="1:7" customFormat="1" ht="23.25" customHeight="1" x14ac:dyDescent="0.35">
      <c r="A135" s="52">
        <v>10049</v>
      </c>
      <c r="B135" s="24" t="s">
        <v>157</v>
      </c>
      <c r="C135" s="10">
        <f>IFERROR(INDEX('حسابهای دریافتنی'!H:H,MATCH(Table27[[#This Row],[كد تفصيلي]],'حسابهای دریافتنی'!A:A,0)),0)</f>
        <v>-32909500</v>
      </c>
      <c r="D135" s="11">
        <f>IFERROR(INDEX('درجریان وصول'!F:F,MATCH(Table27[[#This Row],[كد تفصيلي]],'درجریان وصول'!A:A,0)),0)</f>
        <v>0</v>
      </c>
      <c r="E135" s="11">
        <f>IFERROR(INDEX('چکهای دریافتنی'!F:F,MATCH(Table27[[#This Row],[كد تفصيلي]],'چکهای دریافتنی'!A:A,0)),0)</f>
        <v>0</v>
      </c>
      <c r="F135" s="11">
        <f>Table27[[#This Row],[حسابهای دریافتنی]]+Table27[[#This Row],[چکهای در جریان وصول]]+Table27[[#This Row],[چکهای نزد صندوق]]</f>
        <v>-32909500</v>
      </c>
      <c r="G135" s="12">
        <f>IFERROR(INDEX('مانده سوفاله'!F:F,MATCH(Table27[[#This Row],[كد تفصيلي]],'مانده سوفاله'!A:A,0)),0)</f>
        <v>0</v>
      </c>
    </row>
    <row r="136" spans="1:7" customFormat="1" ht="23.25" customHeight="1" x14ac:dyDescent="0.35">
      <c r="A136" s="52">
        <v>30023</v>
      </c>
      <c r="B136" s="24" t="s">
        <v>71</v>
      </c>
      <c r="C136" s="10">
        <f>IFERROR(INDEX('حسابهای دریافتنی'!H:H,MATCH(Table27[[#This Row],[كد تفصيلي]],'حسابهای دریافتنی'!A:A,0)),0)</f>
        <v>-5793600</v>
      </c>
      <c r="D136" s="11">
        <f>IFERROR(INDEX('درجریان وصول'!F:F,MATCH(Table27[[#This Row],[كد تفصيلي]],'درجریان وصول'!A:A,0)),0)</f>
        <v>0</v>
      </c>
      <c r="E136" s="11">
        <f>IFERROR(INDEX('چکهای دریافتنی'!F:F,MATCH(Table27[[#This Row],[كد تفصيلي]],'چکهای دریافتنی'!A:A,0)),0)</f>
        <v>0</v>
      </c>
      <c r="F136" s="11">
        <f>Table27[[#This Row],[حسابهای دریافتنی]]+Table27[[#This Row],[چکهای در جریان وصول]]+Table27[[#This Row],[چکهای نزد صندوق]]</f>
        <v>-5793600</v>
      </c>
      <c r="G136" s="12">
        <f>IFERROR(INDEX('مانده سوفاله'!F:F,MATCH(Table27[[#This Row],[كد تفصيلي]],'مانده سوفاله'!A:A,0)),0)</f>
        <v>0</v>
      </c>
    </row>
    <row r="137" spans="1:7" customFormat="1" ht="23.25" customHeight="1" x14ac:dyDescent="0.35">
      <c r="A137" s="52">
        <v>30176</v>
      </c>
      <c r="B137" s="24" t="s">
        <v>332</v>
      </c>
      <c r="C137" s="10">
        <f>IFERROR(INDEX('حسابهای دریافتنی'!H:H,MATCH(Table27[[#This Row],[كد تفصيلي]],'حسابهای دریافتنی'!A:A,0)),0)</f>
        <v>-7540075</v>
      </c>
      <c r="D137" s="11">
        <f>IFERROR(INDEX('درجریان وصول'!F:F,MATCH(Table27[[#This Row],[كد تفصيلي]],'درجریان وصول'!A:A,0)),0)</f>
        <v>0</v>
      </c>
      <c r="E137" s="11">
        <f>IFERROR(INDEX('چکهای دریافتنی'!F:F,MATCH(Table27[[#This Row],[كد تفصيلي]],'چکهای دریافتنی'!A:A,0)),0)</f>
        <v>0</v>
      </c>
      <c r="F137" s="11">
        <f>Table27[[#This Row],[حسابهای دریافتنی]]+Table27[[#This Row],[چکهای در جریان وصول]]+Table27[[#This Row],[چکهای نزد صندوق]]</f>
        <v>-7540075</v>
      </c>
      <c r="G137" s="12">
        <f>IFERROR(INDEX('مانده سوفاله'!F:F,MATCH(Table27[[#This Row],[كد تفصيلي]],'مانده سوفاله'!A:A,0)),0)</f>
        <v>0</v>
      </c>
    </row>
    <row r="138" spans="1:7" customFormat="1" ht="23.25" customHeight="1" x14ac:dyDescent="0.35">
      <c r="A138" s="52">
        <v>10106</v>
      </c>
      <c r="B138" s="24" t="s">
        <v>298</v>
      </c>
      <c r="C138" s="10">
        <f>IFERROR(INDEX('حسابهای دریافتنی'!H:H,MATCH(Table27[[#This Row],[كد تفصيلي]],'حسابهای دریافتنی'!A:A,0)),0)</f>
        <v>-9134000</v>
      </c>
      <c r="D138" s="11">
        <f>IFERROR(INDEX('درجریان وصول'!F:F,MATCH(Table27[[#This Row],[كد تفصيلي]],'درجریان وصول'!A:A,0)),0)</f>
        <v>0</v>
      </c>
      <c r="E138" s="11">
        <f>IFERROR(INDEX('چکهای دریافتنی'!F:F,MATCH(Table27[[#This Row],[كد تفصيلي]],'چکهای دریافتنی'!A:A,0)),0)</f>
        <v>0</v>
      </c>
      <c r="F138" s="11">
        <f>Table27[[#This Row],[حسابهای دریافتنی]]+Table27[[#This Row],[چکهای در جریان وصول]]+Table27[[#This Row],[چکهای نزد صندوق]]</f>
        <v>-9134000</v>
      </c>
      <c r="G138" s="12">
        <f>IFERROR(INDEX('مانده سوفاله'!F:F,MATCH(Table27[[#This Row],[كد تفصيلي]],'مانده سوفاله'!A:A,0)),0)</f>
        <v>0</v>
      </c>
    </row>
    <row r="139" spans="1:7" customFormat="1" ht="23.25" customHeight="1" x14ac:dyDescent="0.35">
      <c r="A139" s="51">
        <v>10102</v>
      </c>
      <c r="B139" s="25" t="s">
        <v>282</v>
      </c>
      <c r="C139" s="10">
        <f>IFERROR(INDEX('حسابهای دریافتنی'!H:H,MATCH(Table27[[#This Row],[كد تفصيلي]],'حسابهای دریافتنی'!A:A,0)),0)</f>
        <v>-10374000</v>
      </c>
      <c r="D139" s="11">
        <f>IFERROR(INDEX('درجریان وصول'!F:F,MATCH(Table27[[#This Row],[كد تفصيلي]],'درجریان وصول'!A:A,0)),0)</f>
        <v>0</v>
      </c>
      <c r="E139" s="11">
        <f>IFERROR(INDEX('چکهای دریافتنی'!F:F,MATCH(Table27[[#This Row],[كد تفصيلي]],'چکهای دریافتنی'!A:A,0)),0)</f>
        <v>0</v>
      </c>
      <c r="F139" s="11">
        <f>Table27[[#This Row],[حسابهای دریافتنی]]+Table27[[#This Row],[چکهای در جریان وصول]]+Table27[[#This Row],[چکهای نزد صندوق]]</f>
        <v>-10374000</v>
      </c>
      <c r="G139" s="12">
        <f>IFERROR(INDEX('مانده سوفاله'!F:F,MATCH(Table27[[#This Row],[كد تفصيلي]],'مانده سوفاله'!A:A,0)),0)</f>
        <v>0</v>
      </c>
    </row>
    <row r="140" spans="1:7" customFormat="1" ht="23.25" customHeight="1" x14ac:dyDescent="0.35">
      <c r="A140" s="51">
        <v>10058</v>
      </c>
      <c r="B140" s="25" t="s">
        <v>173</v>
      </c>
      <c r="C140" s="10">
        <f>IFERROR(INDEX('حسابهای دریافتنی'!H:H,MATCH(Table27[[#This Row],[كد تفصيلي]],'حسابهای دریافتنی'!A:A,0)),0)</f>
        <v>-13650000</v>
      </c>
      <c r="D140" s="11">
        <f>IFERROR(INDEX('درجریان وصول'!F:F,MATCH(Table27[[#This Row],[كد تفصيلي]],'درجریان وصول'!A:A,0)),0)</f>
        <v>0</v>
      </c>
      <c r="E140" s="11">
        <f>IFERROR(INDEX('چکهای دریافتنی'!F:F,MATCH(Table27[[#This Row],[كد تفصيلي]],'چکهای دریافتنی'!A:A,0)),0)</f>
        <v>0</v>
      </c>
      <c r="F140" s="11">
        <f>Table27[[#This Row],[حسابهای دریافتنی]]+Table27[[#This Row],[چکهای در جریان وصول]]+Table27[[#This Row],[چکهای نزد صندوق]]</f>
        <v>-13650000</v>
      </c>
      <c r="G140" s="12">
        <f>IFERROR(INDEX('مانده سوفاله'!F:F,MATCH(Table27[[#This Row],[كد تفصيلي]],'مانده سوفاله'!A:A,0)),0)</f>
        <v>0</v>
      </c>
    </row>
    <row r="141" spans="1:7" customFormat="1" ht="23.25" customHeight="1" x14ac:dyDescent="0.35">
      <c r="A141" s="52">
        <v>10126</v>
      </c>
      <c r="B141" s="24" t="s">
        <v>370</v>
      </c>
      <c r="C141" s="10">
        <f>IFERROR(INDEX('حسابهای دریافتنی'!H:H,MATCH(Table27[[#This Row],[كد تفصيلي]],'حسابهای دریافتنی'!A:A,0)),0)</f>
        <v>12165000</v>
      </c>
      <c r="D141" s="11">
        <f>IFERROR(INDEX('درجریان وصول'!F:F,MATCH(Table27[[#This Row],[كد تفصيلي]],'درجریان وصول'!A:A,0)),0)</f>
        <v>0</v>
      </c>
      <c r="E141" s="11">
        <f>IFERROR(INDEX('چکهای دریافتنی'!F:F,MATCH(Table27[[#This Row],[كد تفصيلي]],'چکهای دریافتنی'!A:A,0)),0)</f>
        <v>0</v>
      </c>
      <c r="F141" s="11">
        <f>Table27[[#This Row],[حسابهای دریافتنی]]+Table27[[#This Row],[چکهای در جریان وصول]]+Table27[[#This Row],[چکهای نزد صندوق]]</f>
        <v>12165000</v>
      </c>
      <c r="G141" s="12">
        <f>IFERROR(INDEX('مانده سوفاله'!F:F,MATCH(Table27[[#This Row],[كد تفصيلي]],'مانده سوفاله'!A:A,0)),0)</f>
        <v>0</v>
      </c>
    </row>
    <row r="142" spans="1:7" customFormat="1" ht="23.25" customHeight="1" x14ac:dyDescent="0.35">
      <c r="A142" s="52">
        <v>30082</v>
      </c>
      <c r="B142" s="24" t="s">
        <v>127</v>
      </c>
      <c r="C142" s="10">
        <f>IFERROR(INDEX('حسابهای دریافتنی'!H:H,MATCH(Table27[[#This Row],[كد تفصيلي]],'حسابهای دریافتنی'!A:A,0)),0)</f>
        <v>-15037000</v>
      </c>
      <c r="D142" s="11">
        <f>IFERROR(INDEX('درجریان وصول'!F:F,MATCH(Table27[[#This Row],[كد تفصيلي]],'درجریان وصول'!A:A,0)),0)</f>
        <v>0</v>
      </c>
      <c r="E142" s="11">
        <f>IFERROR(INDEX('چکهای دریافتنی'!F:F,MATCH(Table27[[#This Row],[كد تفصيلي]],'چکهای دریافتنی'!A:A,0)),0)</f>
        <v>0</v>
      </c>
      <c r="F142" s="11">
        <f>Table27[[#This Row],[حسابهای دریافتنی]]+Table27[[#This Row],[چکهای در جریان وصول]]+Table27[[#This Row],[چکهای نزد صندوق]]</f>
        <v>-15037000</v>
      </c>
      <c r="G142" s="12">
        <f>IFERROR(INDEX('مانده سوفاله'!F:F,MATCH(Table27[[#This Row],[كد تفصيلي]],'مانده سوفاله'!A:A,0)),0)</f>
        <v>-16</v>
      </c>
    </row>
    <row r="143" spans="1:7" customFormat="1" ht="23.25" customHeight="1" x14ac:dyDescent="0.35">
      <c r="A143" s="51">
        <v>30034</v>
      </c>
      <c r="B143" s="25" t="s">
        <v>81</v>
      </c>
      <c r="C143" s="10">
        <f>IFERROR(INDEX('حسابهای دریافتنی'!H:H,MATCH(Table27[[#This Row],[كد تفصيلي]],'حسابهای دریافتنی'!A:A,0)),0)</f>
        <v>388329200</v>
      </c>
      <c r="D143" s="11">
        <f>IFERROR(INDEX('درجریان وصول'!F:F,MATCH(Table27[[#This Row],[كد تفصيلي]],'درجریان وصول'!A:A,0)),0)</f>
        <v>0</v>
      </c>
      <c r="E143" s="11">
        <f>IFERROR(INDEX('چکهای دریافتنی'!F:F,MATCH(Table27[[#This Row],[كد تفصيلي]],'چکهای دریافتنی'!A:A,0)),0)</f>
        <v>0</v>
      </c>
      <c r="F143" s="11">
        <f>Table27[[#This Row],[حسابهای دریافتنی]]+Table27[[#This Row],[چکهای در جریان وصول]]+Table27[[#This Row],[چکهای نزد صندوق]]</f>
        <v>388329200</v>
      </c>
      <c r="G143" s="12">
        <f>IFERROR(INDEX('مانده سوفاله'!F:F,MATCH(Table27[[#This Row],[كد تفصيلي]],'مانده سوفاله'!A:A,0)),0)</f>
        <v>2886</v>
      </c>
    </row>
    <row r="144" spans="1:7" customFormat="1" ht="23.25" customHeight="1" x14ac:dyDescent="0.35">
      <c r="A144" s="51">
        <v>30042</v>
      </c>
      <c r="B144" s="25" t="s">
        <v>89</v>
      </c>
      <c r="C144" s="10">
        <f>IFERROR(INDEX('حسابهای دریافتنی'!H:H,MATCH(Table27[[#This Row],[كد تفصيلي]],'حسابهای دریافتنی'!A:A,0)),0)</f>
        <v>-18303540</v>
      </c>
      <c r="D144" s="11">
        <f>IFERROR(INDEX('درجریان وصول'!F:F,MATCH(Table27[[#This Row],[كد تفصيلي]],'درجریان وصول'!A:A,0)),0)</f>
        <v>0</v>
      </c>
      <c r="E144" s="11">
        <f>IFERROR(INDEX('چکهای دریافتنی'!F:F,MATCH(Table27[[#This Row],[كد تفصيلي]],'چکهای دریافتنی'!A:A,0)),0)</f>
        <v>0</v>
      </c>
      <c r="F144" s="11">
        <f>Table27[[#This Row],[حسابهای دریافتنی]]+Table27[[#This Row],[چکهای در جریان وصول]]+Table27[[#This Row],[چکهای نزد صندوق]]</f>
        <v>-18303540</v>
      </c>
      <c r="G144" s="12">
        <f>IFERROR(INDEX('مانده سوفاله'!F:F,MATCH(Table27[[#This Row],[كد تفصيلي]],'مانده سوفاله'!A:A,0)),0)</f>
        <v>0</v>
      </c>
    </row>
    <row r="145" spans="1:7" customFormat="1" ht="23.25" customHeight="1" x14ac:dyDescent="0.35">
      <c r="A145" s="51">
        <v>30028</v>
      </c>
      <c r="B145" s="25" t="s">
        <v>76</v>
      </c>
      <c r="C145" s="10">
        <f>IFERROR(INDEX('حسابهای دریافتنی'!H:H,MATCH(Table27[[#This Row],[كد تفصيلي]],'حسابهای دریافتنی'!A:A,0)),0)</f>
        <v>-23665000</v>
      </c>
      <c r="D145" s="11">
        <f>IFERROR(INDEX('درجریان وصول'!F:F,MATCH(Table27[[#This Row],[كد تفصيلي]],'درجریان وصول'!A:A,0)),0)</f>
        <v>0</v>
      </c>
      <c r="E145" s="11">
        <f>IFERROR(INDEX('چکهای دریافتنی'!F:F,MATCH(Table27[[#This Row],[كد تفصيلي]],'چکهای دریافتنی'!A:A,0)),0)</f>
        <v>0</v>
      </c>
      <c r="F145" s="11">
        <f>Table27[[#This Row],[حسابهای دریافتنی]]+Table27[[#This Row],[چکهای در جریان وصول]]+Table27[[#This Row],[چکهای نزد صندوق]]</f>
        <v>-23665000</v>
      </c>
      <c r="G145" s="12">
        <f>IFERROR(INDEX('مانده سوفاله'!F:F,MATCH(Table27[[#This Row],[كد تفصيلي]],'مانده سوفاله'!A:A,0)),0)</f>
        <v>0</v>
      </c>
    </row>
    <row r="146" spans="1:7" customFormat="1" ht="23.25" customHeight="1" x14ac:dyDescent="0.35">
      <c r="A146" s="51">
        <v>30024</v>
      </c>
      <c r="B146" s="25" t="s">
        <v>72</v>
      </c>
      <c r="C146" s="10">
        <f>IFERROR(INDEX('حسابهای دریافتنی'!H:H,MATCH(Table27[[#This Row],[كد تفصيلي]],'حسابهای دریافتنی'!A:A,0)),0)</f>
        <v>16135000</v>
      </c>
      <c r="D146" s="11">
        <f>IFERROR(INDEX('درجریان وصول'!F:F,MATCH(Table27[[#This Row],[كد تفصيلي]],'درجریان وصول'!A:A,0)),0)</f>
        <v>0</v>
      </c>
      <c r="E146" s="11">
        <f>IFERROR(INDEX('چکهای دریافتنی'!F:F,MATCH(Table27[[#This Row],[كد تفصيلي]],'چکهای دریافتنی'!A:A,0)),0)</f>
        <v>0</v>
      </c>
      <c r="F146" s="11">
        <f>Table27[[#This Row],[حسابهای دریافتنی]]+Table27[[#This Row],[چکهای در جریان وصول]]+Table27[[#This Row],[چکهای نزد صندوق]]</f>
        <v>16135000</v>
      </c>
      <c r="G146" s="12">
        <f>IFERROR(INDEX('مانده سوفاله'!F:F,MATCH(Table27[[#This Row],[كد تفصيلي]],'مانده سوفاله'!A:A,0)),0)</f>
        <v>0</v>
      </c>
    </row>
    <row r="147" spans="1:7" customFormat="1" ht="23.25" customHeight="1" x14ac:dyDescent="0.35">
      <c r="A147" s="52">
        <v>30072</v>
      </c>
      <c r="B147" s="24" t="s">
        <v>117</v>
      </c>
      <c r="C147" s="10">
        <f>IFERROR(INDEX('حسابهای دریافتنی'!H:H,MATCH(Table27[[#This Row],[كد تفصيلي]],'حسابهای دریافتنی'!A:A,0)),0)</f>
        <v>-30178900</v>
      </c>
      <c r="D147" s="11">
        <f>IFERROR(INDEX('درجریان وصول'!F:F,MATCH(Table27[[#This Row],[كد تفصيلي]],'درجریان وصول'!A:A,0)),0)</f>
        <v>0</v>
      </c>
      <c r="E147" s="11">
        <f>IFERROR(INDEX('چکهای دریافتنی'!F:F,MATCH(Table27[[#This Row],[كد تفصيلي]],'چکهای دریافتنی'!A:A,0)),0)</f>
        <v>0</v>
      </c>
      <c r="F147" s="11">
        <f>Table27[[#This Row],[حسابهای دریافتنی]]+Table27[[#This Row],[چکهای در جریان وصول]]+Table27[[#This Row],[چکهای نزد صندوق]]</f>
        <v>-30178900</v>
      </c>
      <c r="G147" s="12">
        <f>IFERROR(INDEX('مانده سوفاله'!F:F,MATCH(Table27[[#This Row],[كد تفصيلي]],'مانده سوفاله'!A:A,0)),0)</f>
        <v>-79</v>
      </c>
    </row>
    <row r="148" spans="1:7" customFormat="1" ht="23.25" customHeight="1" x14ac:dyDescent="0.35">
      <c r="A148" s="51">
        <v>10002</v>
      </c>
      <c r="B148" s="25" t="s">
        <v>9</v>
      </c>
      <c r="C148" s="10">
        <f>IFERROR(INDEX('حسابهای دریافتنی'!H:H,MATCH(Table27[[#This Row],[كد تفصيلي]],'حسابهای دریافتنی'!A:A,0)),0)</f>
        <v>-3600000000</v>
      </c>
      <c r="D148" s="11">
        <f>IFERROR(INDEX('درجریان وصول'!F:F,MATCH(Table27[[#This Row],[كد تفصيلي]],'درجریان وصول'!A:A,0)),0)</f>
        <v>0</v>
      </c>
      <c r="E148" s="11">
        <f>IFERROR(INDEX('چکهای دریافتنی'!F:F,MATCH(Table27[[#This Row],[كد تفصيلي]],'چکهای دریافتنی'!A:A,0)),0)</f>
        <v>0</v>
      </c>
      <c r="F148" s="11">
        <f>Table27[[#This Row],[حسابهای دریافتنی]]+Table27[[#This Row],[چکهای در جریان وصول]]+Table27[[#This Row],[چکهای نزد صندوق]]</f>
        <v>-3600000000</v>
      </c>
      <c r="G148" s="12">
        <f>IFERROR(INDEX('مانده سوفاله'!F:F,MATCH(Table27[[#This Row],[كد تفصيلي]],'مانده سوفاله'!A:A,0)),0)</f>
        <v>0</v>
      </c>
    </row>
    <row r="149" spans="1:7" customFormat="1" ht="23.25" customHeight="1" x14ac:dyDescent="0.35">
      <c r="A149" s="51">
        <v>30000</v>
      </c>
      <c r="B149" s="25" t="s">
        <v>189</v>
      </c>
      <c r="C149" s="10">
        <f>IFERROR(INDEX('حسابهای دریافتنی'!H:H,MATCH(Table27[[#This Row],[كد تفصيلي]],'حسابهای دریافتنی'!A:A,0)),0)</f>
        <v>-55440000</v>
      </c>
      <c r="D149" s="11">
        <f>IFERROR(INDEX('درجریان وصول'!F:F,MATCH(Table27[[#This Row],[كد تفصيلي]],'درجریان وصول'!A:A,0)),0)</f>
        <v>0</v>
      </c>
      <c r="E149" s="11">
        <f>IFERROR(INDEX('چکهای دریافتنی'!F:F,MATCH(Table27[[#This Row],[كد تفصيلي]],'چکهای دریافتنی'!A:A,0)),0)</f>
        <v>0</v>
      </c>
      <c r="F149" s="11">
        <f>Table27[[#This Row],[حسابهای دریافتنی]]+Table27[[#This Row],[چکهای در جریان وصول]]+Table27[[#This Row],[چکهای نزد صندوق]]</f>
        <v>-55440000</v>
      </c>
      <c r="G149" s="12">
        <f>IFERROR(INDEX('مانده سوفاله'!F:F,MATCH(Table27[[#This Row],[كد تفصيلي]],'مانده سوفاله'!A:A,0)),0)</f>
        <v>0</v>
      </c>
    </row>
    <row r="150" spans="1:7" customFormat="1" ht="23.25" customHeight="1" x14ac:dyDescent="0.35">
      <c r="A150" s="52">
        <v>30003</v>
      </c>
      <c r="B150" s="24" t="s">
        <v>53</v>
      </c>
      <c r="C150" s="10">
        <f>IFERROR(INDEX('حسابهای دریافتنی'!H:H,MATCH(Table27[[#This Row],[كد تفصيلي]],'حسابهای دریافتنی'!A:A,0)),0)</f>
        <v>754765900</v>
      </c>
      <c r="D150" s="11">
        <f>IFERROR(INDEX('درجریان وصول'!F:F,MATCH(Table27[[#This Row],[كد تفصيلي]],'درجریان وصول'!A:A,0)),0)</f>
        <v>0</v>
      </c>
      <c r="E150" s="11">
        <f>IFERROR(INDEX('چکهای دریافتنی'!F:F,MATCH(Table27[[#This Row],[كد تفصيلي]],'چکهای دریافتنی'!A:A,0)),0)</f>
        <v>571000000</v>
      </c>
      <c r="F150" s="11">
        <f>Table27[[#This Row],[حسابهای دریافتنی]]+Table27[[#This Row],[چکهای در جریان وصول]]+Table27[[#This Row],[چکهای نزد صندوق]]</f>
        <v>1325765900</v>
      </c>
      <c r="G150" s="12">
        <f>IFERROR(INDEX('مانده سوفاله'!F:F,MATCH(Table27[[#This Row],[كد تفصيلي]],'مانده سوفاله'!A:A,0)),0)</f>
        <v>-3538</v>
      </c>
    </row>
    <row r="151" spans="1:7" customFormat="1" ht="23.25" customHeight="1" x14ac:dyDescent="0.35">
      <c r="A151" s="51">
        <v>30133</v>
      </c>
      <c r="B151" s="25" t="s">
        <v>251</v>
      </c>
      <c r="C151" s="10">
        <f>IFERROR(INDEX('حسابهای دریافتنی'!H:H,MATCH(Table27[[#This Row],[كد تفصيلي]],'حسابهای دریافتنی'!A:A,0)),0)</f>
        <v>-66889500</v>
      </c>
      <c r="D151" s="11">
        <f>IFERROR(INDEX('درجریان وصول'!F:F,MATCH(Table27[[#This Row],[كد تفصيلي]],'درجریان وصول'!A:A,0)),0)</f>
        <v>0</v>
      </c>
      <c r="E151" s="11">
        <f>IFERROR(INDEX('چکهای دریافتنی'!F:F,MATCH(Table27[[#This Row],[كد تفصيلي]],'چکهای دریافتنی'!A:A,0)),0)</f>
        <v>0</v>
      </c>
      <c r="F151" s="11">
        <f>Table27[[#This Row],[حسابهای دریافتنی]]+Table27[[#This Row],[چکهای در جریان وصول]]+Table27[[#This Row],[چکهای نزد صندوق]]</f>
        <v>-66889500</v>
      </c>
      <c r="G151" s="12">
        <f>IFERROR(INDEX('مانده سوفاله'!F:F,MATCH(Table27[[#This Row],[كد تفصيلي]],'مانده سوفاله'!A:A,0)),0)</f>
        <v>0</v>
      </c>
    </row>
    <row r="152" spans="1:7" customFormat="1" ht="23.25" customHeight="1" x14ac:dyDescent="0.35">
      <c r="A152" s="52">
        <v>10101</v>
      </c>
      <c r="B152" s="24" t="s">
        <v>281</v>
      </c>
      <c r="C152" s="10">
        <f>IFERROR(INDEX('حسابهای دریافتنی'!H:H,MATCH(Table27[[#This Row],[كد تفصيلي]],'حسابهای دریافتنی'!A:A,0)),0)</f>
        <v>0</v>
      </c>
      <c r="D152" s="11">
        <f>IFERROR(INDEX('درجریان وصول'!F:F,MATCH(Table27[[#This Row],[كد تفصيلي]],'درجریان وصول'!A:A,0)),0)</f>
        <v>0</v>
      </c>
      <c r="E152" s="11">
        <f>IFERROR(INDEX('چکهای دریافتنی'!F:F,MATCH(Table27[[#This Row],[كد تفصيلي]],'چکهای دریافتنی'!A:A,0)),0)</f>
        <v>0</v>
      </c>
      <c r="F152" s="11">
        <f>Table27[[#This Row],[حسابهای دریافتنی]]+Table27[[#This Row],[چکهای در جریان وصول]]+Table27[[#This Row],[چکهای نزد صندوق]]</f>
        <v>0</v>
      </c>
      <c r="G152" s="12">
        <f>IFERROR(INDEX('مانده سوفاله'!F:F,MATCH(Table27[[#This Row],[كد تفصيلي]],'مانده سوفاله'!A:A,0)),0)</f>
        <v>0</v>
      </c>
    </row>
    <row r="153" spans="1:7" customFormat="1" ht="23.25" customHeight="1" x14ac:dyDescent="0.35">
      <c r="A153" s="52">
        <v>10009</v>
      </c>
      <c r="B153" s="24" t="s">
        <v>16</v>
      </c>
      <c r="C153" s="10">
        <f>IFERROR(INDEX('حسابهای دریافتنی'!H:H,MATCH(Table27[[#This Row],[كد تفصيلي]],'حسابهای دریافتنی'!A:A,0)),0)</f>
        <v>-4260580000</v>
      </c>
      <c r="D153" s="11">
        <f>IFERROR(INDEX('درجریان وصول'!F:F,MATCH(Table27[[#This Row],[كد تفصيلي]],'درجریان وصول'!A:A,0)),0)</f>
        <v>0</v>
      </c>
      <c r="E153" s="11">
        <f>IFERROR(INDEX('چکهای دریافتنی'!F:F,MATCH(Table27[[#This Row],[كد تفصيلي]],'چکهای دریافتنی'!A:A,0)),0)</f>
        <v>1600000000</v>
      </c>
      <c r="F153" s="11">
        <f>Table27[[#This Row],[حسابهای دریافتنی]]+Table27[[#This Row],[چکهای در جریان وصول]]+Table27[[#This Row],[چکهای نزد صندوق]]</f>
        <v>-2660580000</v>
      </c>
      <c r="G153" s="12">
        <f>IFERROR(INDEX('مانده سوفاله'!F:F,MATCH(Table27[[#This Row],[كد تفصيلي]],'مانده سوفاله'!A:A,0)),0)</f>
        <v>9952</v>
      </c>
    </row>
    <row r="154" spans="1:7" customFormat="1" ht="23.25" customHeight="1" x14ac:dyDescent="0.35">
      <c r="A154" s="51">
        <v>30016</v>
      </c>
      <c r="B154" s="25" t="s">
        <v>253</v>
      </c>
      <c r="C154" s="10">
        <f>IFERROR(INDEX('حسابهای دریافتنی'!H:H,MATCH(Table27[[#This Row],[كد تفصيلي]],'حسابهای دریافتنی'!A:A,0)),0)</f>
        <v>0</v>
      </c>
      <c r="D154" s="11">
        <f>IFERROR(INDEX('درجریان وصول'!F:F,MATCH(Table27[[#This Row],[كد تفصيلي]],'درجریان وصول'!A:A,0)),0)</f>
        <v>0</v>
      </c>
      <c r="E154" s="11">
        <f>IFERROR(INDEX('چکهای دریافتنی'!F:F,MATCH(Table27[[#This Row],[كد تفصيلي]],'چکهای دریافتنی'!A:A,0)),0)</f>
        <v>0</v>
      </c>
      <c r="F154" s="11">
        <f>Table27[[#This Row],[حسابهای دریافتنی]]+Table27[[#This Row],[چکهای در جریان وصول]]+Table27[[#This Row],[چکهای نزد صندوق]]</f>
        <v>0</v>
      </c>
      <c r="G154" s="12">
        <f>IFERROR(INDEX('مانده سوفاله'!F:F,MATCH(Table27[[#This Row],[كد تفصيلي]],'مانده سوفاله'!A:A,0)),0)</f>
        <v>0</v>
      </c>
    </row>
    <row r="155" spans="1:7" customFormat="1" ht="23.25" customHeight="1" x14ac:dyDescent="0.35">
      <c r="A155" s="51">
        <v>30040</v>
      </c>
      <c r="B155" s="25" t="s">
        <v>87</v>
      </c>
      <c r="C155" s="10">
        <f>IFERROR(INDEX('حسابهای دریافتنی'!H:H,MATCH(Table27[[#This Row],[كد تفصيلي]],'حسابهای دریافتنی'!A:A,0)),0)</f>
        <v>0</v>
      </c>
      <c r="D155" s="11">
        <f>IFERROR(INDEX('درجریان وصول'!F:F,MATCH(Table27[[#This Row],[كد تفصيلي]],'درجریان وصول'!A:A,0)),0)</f>
        <v>0</v>
      </c>
      <c r="E155" s="11">
        <f>IFERROR(INDEX('چکهای دریافتنی'!F:F,MATCH(Table27[[#This Row],[كد تفصيلي]],'چکهای دریافتنی'!A:A,0)),0)</f>
        <v>0</v>
      </c>
      <c r="F155" s="11">
        <f>Table27[[#This Row],[حسابهای دریافتنی]]+Table27[[#This Row],[چکهای در جریان وصول]]+Table27[[#This Row],[چکهای نزد صندوق]]</f>
        <v>0</v>
      </c>
      <c r="G155" s="12">
        <f>IFERROR(INDEX('مانده سوفاله'!F:F,MATCH(Table27[[#This Row],[كد تفصيلي]],'مانده سوفاله'!A:A,0)),0)</f>
        <v>0</v>
      </c>
    </row>
    <row r="156" spans="1:7" customFormat="1" ht="23.25" customHeight="1" x14ac:dyDescent="0.35">
      <c r="A156" s="52">
        <v>10079</v>
      </c>
      <c r="B156" s="24" t="s">
        <v>174</v>
      </c>
      <c r="C156" s="10">
        <f>IFERROR(INDEX('حسابهای دریافتنی'!H:H,MATCH(Table27[[#This Row],[كد تفصيلي]],'حسابهای دریافتنی'!A:A,0)),0)</f>
        <v>-226593500</v>
      </c>
      <c r="D156" s="11">
        <f>IFERROR(INDEX('درجریان وصول'!F:F,MATCH(Table27[[#This Row],[كد تفصيلي]],'درجریان وصول'!A:A,0)),0)</f>
        <v>0</v>
      </c>
      <c r="E156" s="11">
        <f>IFERROR(INDEX('چکهای دریافتنی'!F:F,MATCH(Table27[[#This Row],[كد تفصيلي]],'چکهای دریافتنی'!A:A,0)),0)</f>
        <v>0</v>
      </c>
      <c r="F156" s="11">
        <f>Table27[[#This Row],[حسابهای دریافتنی]]+Table27[[#This Row],[چکهای در جریان وصول]]+Table27[[#This Row],[چکهای نزد صندوق]]</f>
        <v>-226593500</v>
      </c>
      <c r="G156" s="12">
        <f>IFERROR(INDEX('مانده سوفاله'!F:F,MATCH(Table27[[#This Row],[كد تفصيلي]],'مانده سوفاله'!A:A,0)),0)</f>
        <v>0</v>
      </c>
    </row>
    <row r="157" spans="1:7" customFormat="1" ht="23.25" customHeight="1" x14ac:dyDescent="0.35">
      <c r="A157" s="52">
        <v>79120</v>
      </c>
      <c r="B157" s="24" t="s">
        <v>195</v>
      </c>
      <c r="C157" s="10">
        <f>IFERROR(INDEX('حسابهای دریافتنی'!H:H,MATCH(Table27[[#This Row],[كد تفصيلي]],'حسابهای دریافتنی'!A:A,0)),0)</f>
        <v>-15776160000</v>
      </c>
      <c r="D157" s="11">
        <f>IFERROR(INDEX('درجریان وصول'!F:F,MATCH(Table27[[#This Row],[كد تفصيلي]],'درجریان وصول'!A:A,0)),0)</f>
        <v>0</v>
      </c>
      <c r="E157" s="11">
        <f>IFERROR(INDEX('چکهای دریافتنی'!F:F,MATCH(Table27[[#This Row],[كد تفصيلي]],'چکهای دریافتنی'!A:A,0)),0)</f>
        <v>0</v>
      </c>
      <c r="F157" s="11">
        <f>Table27[[#This Row],[حسابهای دریافتنی]]+Table27[[#This Row],[چکهای در جریان وصول]]+Table27[[#This Row],[چکهای نزد صندوق]]</f>
        <v>-15776160000</v>
      </c>
      <c r="G157" s="12">
        <f>IFERROR(INDEX('مانده سوفاله'!F:F,MATCH(Table27[[#This Row],[كد تفصيلي]],'مانده سوفاله'!A:A,0)),0)</f>
        <v>0</v>
      </c>
    </row>
    <row r="158" spans="1:7" ht="23.25" customHeight="1" x14ac:dyDescent="0.3">
      <c r="A158" s="28">
        <v>30156</v>
      </c>
      <c r="B158" s="24" t="s">
        <v>290</v>
      </c>
      <c r="C158" s="10">
        <f>IFERROR(INDEX('حسابهای دریافتنی'!H:H,MATCH(Table27[[#This Row],[كد تفصيلي]],'حسابهای دریافتنی'!A:A,0)),0)</f>
        <v>-180917500</v>
      </c>
      <c r="D158" s="11">
        <f>IFERROR(INDEX('درجریان وصول'!F:F,MATCH(Table27[[#This Row],[كد تفصيلي]],'درجریان وصول'!A:A,0)),0)</f>
        <v>0</v>
      </c>
      <c r="E158" s="11">
        <f>IFERROR(INDEX('چکهای دریافتنی'!F:F,MATCH(Table27[[#This Row],[كد تفصيلي]],'چکهای دریافتنی'!A:A,0)),0)</f>
        <v>0</v>
      </c>
      <c r="F158" s="11">
        <f>Table27[[#This Row],[حسابهای دریافتنی]]+Table27[[#This Row],[چکهای در جریان وصول]]+Table27[[#This Row],[چکهای نزد صندوق]]</f>
        <v>-180917500</v>
      </c>
      <c r="G158" s="12">
        <f>IFERROR(INDEX('مانده سوفاله'!F:F,MATCH(Table27[[#This Row],[كد تفصيلي]],'مانده سوفاله'!A:A,0)),0)</f>
        <v>0</v>
      </c>
    </row>
    <row r="159" spans="1:7" ht="23.25" customHeight="1" x14ac:dyDescent="0.3">
      <c r="A159" s="28">
        <v>10069</v>
      </c>
      <c r="B159" s="24" t="s">
        <v>204</v>
      </c>
      <c r="C159" s="10">
        <f>IFERROR(INDEX('حسابهای دریافتنی'!H:H,MATCH(Table27[[#This Row],[كد تفصيلي]],'حسابهای دریافتنی'!A:A,0)),0)</f>
        <v>952500</v>
      </c>
      <c r="D159" s="11">
        <f>IFERROR(INDEX('درجریان وصول'!F:F,MATCH(Table27[[#This Row],[كد تفصيلي]],'درجریان وصول'!A:A,0)),0)</f>
        <v>0</v>
      </c>
      <c r="E159" s="11">
        <f>IFERROR(INDEX('چکهای دریافتنی'!F:F,MATCH(Table27[[#This Row],[كد تفصيلي]],'چکهای دریافتنی'!A:A,0)),0)</f>
        <v>73000000</v>
      </c>
      <c r="F159" s="11">
        <f>Table27[[#This Row],[حسابهای دریافتنی]]+Table27[[#This Row],[چکهای در جریان وصول]]+Table27[[#This Row],[چکهای نزد صندوق]]</f>
        <v>73952500</v>
      </c>
      <c r="G159" s="12">
        <f>IFERROR(INDEX('مانده سوفاله'!F:F,MATCH(Table27[[#This Row],[كد تفصيلي]],'مانده سوفاله'!A:A,0)),0)</f>
        <v>339</v>
      </c>
    </row>
    <row r="160" spans="1:7" ht="23.25" customHeight="1" x14ac:dyDescent="0.3">
      <c r="A160" s="28">
        <v>10089</v>
      </c>
      <c r="B160" s="24" t="s">
        <v>255</v>
      </c>
      <c r="C160" s="10">
        <f>IFERROR(INDEX('حسابهای دریافتنی'!H:H,MATCH(Table27[[#This Row],[كد تفصيلي]],'حسابهای دریافتنی'!A:A,0)),0)</f>
        <v>-143944000</v>
      </c>
      <c r="D160" s="11">
        <f>IFERROR(INDEX('درجریان وصول'!F:F,MATCH(Table27[[#This Row],[كد تفصيلي]],'درجریان وصول'!A:A,0)),0)</f>
        <v>0</v>
      </c>
      <c r="E160" s="11">
        <f>IFERROR(INDEX('چکهای دریافتنی'!F:F,MATCH(Table27[[#This Row],[كد تفصيلي]],'چکهای دریافتنی'!A:A,0)),0)</f>
        <v>0</v>
      </c>
      <c r="F160" s="11">
        <f>Table27[[#This Row],[حسابهای دریافتنی]]+Table27[[#This Row],[چکهای در جریان وصول]]+Table27[[#This Row],[چکهای نزد صندوق]]</f>
        <v>-143944000</v>
      </c>
      <c r="G160" s="12">
        <f>IFERROR(INDEX('مانده سوفاله'!F:F,MATCH(Table27[[#This Row],[كد تفصيلي]],'مانده سوفاله'!A:A,0)),0)</f>
        <v>-948</v>
      </c>
    </row>
    <row r="161" spans="1:7" ht="23.25" customHeight="1" x14ac:dyDescent="0.3">
      <c r="A161" s="29">
        <v>10119</v>
      </c>
      <c r="B161" s="25" t="s">
        <v>333</v>
      </c>
      <c r="C161" s="10">
        <f>IFERROR(INDEX('حسابهای دریافتنی'!H:H,MATCH(Table27[[#This Row],[كد تفصيلي]],'حسابهای دریافتنی'!A:A,0)),0)</f>
        <v>-2592000</v>
      </c>
      <c r="D161" s="11">
        <f>IFERROR(INDEX('درجریان وصول'!F:F,MATCH(Table27[[#This Row],[كد تفصيلي]],'درجریان وصول'!A:A,0)),0)</f>
        <v>0</v>
      </c>
      <c r="E161" s="11">
        <f>IFERROR(INDEX('چکهای دریافتنی'!F:F,MATCH(Table27[[#This Row],[كد تفصيلي]],'چکهای دریافتنی'!A:A,0)),0)</f>
        <v>0</v>
      </c>
      <c r="F161" s="11">
        <f>Table27[[#This Row],[حسابهای دریافتنی]]+Table27[[#This Row],[چکهای در جریان وصول]]+Table27[[#This Row],[چکهای نزد صندوق]]</f>
        <v>-2592000</v>
      </c>
      <c r="G161" s="12">
        <f>IFERROR(INDEX('مانده سوفاله'!F:F,MATCH(Table27[[#This Row],[كد تفصيلي]],'مانده سوفاله'!A:A,0)),0)</f>
        <v>353</v>
      </c>
    </row>
    <row r="162" spans="1:7" ht="23.25" customHeight="1" x14ac:dyDescent="0.3">
      <c r="A162" s="29">
        <v>10004</v>
      </c>
      <c r="B162" s="25" t="s">
        <v>11</v>
      </c>
      <c r="C162" s="10">
        <f>IFERROR(INDEX('حسابهای دریافتنی'!H:H,MATCH(Table27[[#This Row],[كد تفصيلي]],'حسابهای دریافتنی'!A:A,0)),0)</f>
        <v>853000</v>
      </c>
      <c r="D162" s="11">
        <f>IFERROR(INDEX('درجریان وصول'!F:F,MATCH(Table27[[#This Row],[كد تفصيلي]],'درجریان وصول'!A:A,0)),0)</f>
        <v>0</v>
      </c>
      <c r="E162" s="11">
        <f>IFERROR(INDEX('چکهای دریافتنی'!F:F,MATCH(Table27[[#This Row],[كد تفصيلي]],'چکهای دریافتنی'!A:A,0)),0)</f>
        <v>341000000</v>
      </c>
      <c r="F162" s="11">
        <f>Table27[[#This Row],[حسابهای دریافتنی]]+Table27[[#This Row],[چکهای در جریان وصول]]+Table27[[#This Row],[چکهای نزد صندوق]]</f>
        <v>341853000</v>
      </c>
      <c r="G162" s="12">
        <f>IFERROR(INDEX('مانده سوفاله'!F:F,MATCH(Table27[[#This Row],[كد تفصيلي]],'مانده سوفاله'!A:A,0)),0)</f>
        <v>-12</v>
      </c>
    </row>
    <row r="163" spans="1:7" ht="23.25" customHeight="1" x14ac:dyDescent="0.3">
      <c r="A163" s="29">
        <v>10104</v>
      </c>
      <c r="B163" s="25" t="s">
        <v>293</v>
      </c>
      <c r="C163" s="10">
        <f>IFERROR(INDEX('حسابهای دریافتنی'!H:H,MATCH(Table27[[#This Row],[كد تفصيلي]],'حسابهای دریافتنی'!A:A,0)),0)</f>
        <v>0</v>
      </c>
      <c r="D163" s="11">
        <f>IFERROR(INDEX('درجریان وصول'!F:F,MATCH(Table27[[#This Row],[كد تفصيلي]],'درجریان وصول'!A:A,0)),0)</f>
        <v>0</v>
      </c>
      <c r="E163" s="11">
        <f>IFERROR(INDEX('چکهای دریافتنی'!F:F,MATCH(Table27[[#This Row],[كد تفصيلي]],'چکهای دریافتنی'!A:A,0)),0)</f>
        <v>0</v>
      </c>
      <c r="F163" s="11">
        <f>Table27[[#This Row],[حسابهای دریافتنی]]+Table27[[#This Row],[چکهای در جریان وصول]]+Table27[[#This Row],[چکهای نزد صندوق]]</f>
        <v>0</v>
      </c>
      <c r="G163" s="12">
        <f>IFERROR(INDEX('مانده سوفاله'!F:F,MATCH(Table27[[#This Row],[كد تفصيلي]],'مانده سوفاله'!A:A,0)),0)</f>
        <v>4065</v>
      </c>
    </row>
    <row r="164" spans="1:7" ht="23.25" customHeight="1" x14ac:dyDescent="0.3">
      <c r="A164" s="29">
        <v>30161</v>
      </c>
      <c r="B164" s="25" t="s">
        <v>299</v>
      </c>
      <c r="C164" s="10">
        <f>IFERROR(INDEX('حسابهای دریافتنی'!H:H,MATCH(Table27[[#This Row],[كد تفصيلي]],'حسابهای دریافتنی'!A:A,0)),0)</f>
        <v>0</v>
      </c>
      <c r="D164" s="11">
        <f>IFERROR(INDEX('درجریان وصول'!F:F,MATCH(Table27[[#This Row],[كد تفصيلي]],'درجریان وصول'!A:A,0)),0)</f>
        <v>0</v>
      </c>
      <c r="E164" s="11">
        <f>IFERROR(INDEX('چکهای دریافتنی'!F:F,MATCH(Table27[[#This Row],[كد تفصيلي]],'چکهای دریافتنی'!A:A,0)),0)</f>
        <v>0</v>
      </c>
      <c r="F164" s="11">
        <f>Table27[[#This Row],[حسابهای دریافتنی]]+Table27[[#This Row],[چکهای در جریان وصول]]+Table27[[#This Row],[چکهای نزد صندوق]]</f>
        <v>0</v>
      </c>
      <c r="G164" s="12">
        <f>IFERROR(INDEX('مانده سوفاله'!F:F,MATCH(Table27[[#This Row],[كد تفصيلي]],'مانده سوفاله'!A:A,0)),0)</f>
        <v>0</v>
      </c>
    </row>
    <row r="165" spans="1:7" ht="23.25" customHeight="1" x14ac:dyDescent="0.3">
      <c r="A165" s="28">
        <v>30005</v>
      </c>
      <c r="B165" s="24" t="s">
        <v>55</v>
      </c>
      <c r="C165" s="10">
        <f>IFERROR(INDEX('حسابهای دریافتنی'!H:H,MATCH(Table27[[#This Row],[كد تفصيلي]],'حسابهای دریافتنی'!A:A,0)),0)</f>
        <v>35368209</v>
      </c>
      <c r="D165" s="11">
        <f>IFERROR(INDEX('درجریان وصول'!F:F,MATCH(Table27[[#This Row],[كد تفصيلي]],'درجریان وصول'!A:A,0)),0)</f>
        <v>0</v>
      </c>
      <c r="E165" s="11">
        <f>IFERROR(INDEX('چکهای دریافتنی'!F:F,MATCH(Table27[[#This Row],[كد تفصيلي]],'چکهای دریافتنی'!A:A,0)),0)</f>
        <v>0</v>
      </c>
      <c r="F165" s="11">
        <f>Table27[[#This Row],[حسابهای دریافتنی]]+Table27[[#This Row],[چکهای در جریان وصول]]+Table27[[#This Row],[چکهای نزد صندوق]]</f>
        <v>35368209</v>
      </c>
      <c r="G165" s="12">
        <f>IFERROR(INDEX('مانده سوفاله'!F:F,MATCH(Table27[[#This Row],[كد تفصيلي]],'مانده سوفاله'!A:A,0)),0)</f>
        <v>61</v>
      </c>
    </row>
    <row r="166" spans="1:7" ht="23.25" customHeight="1" x14ac:dyDescent="0.3">
      <c r="A166" s="29">
        <v>10088</v>
      </c>
      <c r="B166" s="25" t="s">
        <v>254</v>
      </c>
      <c r="C166" s="10">
        <f>IFERROR(INDEX('حسابهای دریافتنی'!H:H,MATCH(Table27[[#This Row],[كد تفصيلي]],'حسابهای دریافتنی'!A:A,0)),0)</f>
        <v>113500</v>
      </c>
      <c r="D166" s="11">
        <f>IFERROR(INDEX('درجریان وصول'!F:F,MATCH(Table27[[#This Row],[كد تفصيلي]],'درجریان وصول'!A:A,0)),0)</f>
        <v>0</v>
      </c>
      <c r="E166" s="11">
        <f>IFERROR(INDEX('چکهای دریافتنی'!F:F,MATCH(Table27[[#This Row],[كد تفصيلي]],'چکهای دریافتنی'!A:A,0)),0)</f>
        <v>0</v>
      </c>
      <c r="F166" s="11">
        <f>Table27[[#This Row],[حسابهای دریافتنی]]+Table27[[#This Row],[چکهای در جریان وصول]]+Table27[[#This Row],[چکهای نزد صندوق]]</f>
        <v>113500</v>
      </c>
      <c r="G166" s="12">
        <f>IFERROR(INDEX('مانده سوفاله'!F:F,MATCH(Table27[[#This Row],[كد تفصيلي]],'مانده سوفاله'!A:A,0)),0)</f>
        <v>0</v>
      </c>
    </row>
    <row r="167" spans="1:7" ht="23.25" customHeight="1" x14ac:dyDescent="0.3">
      <c r="A167" s="29">
        <v>30143</v>
      </c>
      <c r="B167" s="25" t="s">
        <v>278</v>
      </c>
      <c r="C167" s="10">
        <f>IFERROR(INDEX('حسابهای دریافتنی'!H:H,MATCH(Table27[[#This Row],[كد تفصيلي]],'حسابهای دریافتنی'!A:A,0)),0)</f>
        <v>0</v>
      </c>
      <c r="D167" s="11">
        <f>IFERROR(INDEX('درجریان وصول'!F:F,MATCH(Table27[[#This Row],[كد تفصيلي]],'درجریان وصول'!A:A,0)),0)</f>
        <v>0</v>
      </c>
      <c r="E167" s="11">
        <f>IFERROR(INDEX('چکهای دریافتنی'!F:F,MATCH(Table27[[#This Row],[كد تفصيلي]],'چکهای دریافتنی'!A:A,0)),0)</f>
        <v>0</v>
      </c>
      <c r="F167" s="11">
        <f>Table27[[#This Row],[حسابهای دریافتنی]]+Table27[[#This Row],[چکهای در جریان وصول]]+Table27[[#This Row],[چکهای نزد صندوق]]</f>
        <v>0</v>
      </c>
      <c r="G167" s="12">
        <f>IFERROR(INDEX('مانده سوفاله'!F:F,MATCH(Table27[[#This Row],[كد تفصيلي]],'مانده سوفاله'!A:A,0)),0)</f>
        <v>0</v>
      </c>
    </row>
    <row r="168" spans="1:7" ht="23.25" customHeight="1" x14ac:dyDescent="0.3">
      <c r="A168" s="28">
        <v>30146</v>
      </c>
      <c r="B168" s="24" t="s">
        <v>266</v>
      </c>
      <c r="C168" s="10">
        <f>IFERROR(INDEX('حسابهای دریافتنی'!H:H,MATCH(Table27[[#This Row],[كد تفصيلي]],'حسابهای دریافتنی'!A:A,0)),0)</f>
        <v>-4146512500</v>
      </c>
      <c r="D168" s="11">
        <f>IFERROR(INDEX('درجریان وصول'!F:F,MATCH(Table27[[#This Row],[كد تفصيلي]],'درجریان وصول'!A:A,0)),0)</f>
        <v>0</v>
      </c>
      <c r="E168" s="11">
        <f>IFERROR(INDEX('چکهای دریافتنی'!F:F,MATCH(Table27[[#This Row],[كد تفصيلي]],'چکهای دریافتنی'!A:A,0)),0)</f>
        <v>0</v>
      </c>
      <c r="F168" s="11">
        <f>Table27[[#This Row],[حسابهای دریافتنی]]+Table27[[#This Row],[چکهای در جریان وصول]]+Table27[[#This Row],[چکهای نزد صندوق]]</f>
        <v>-4146512500</v>
      </c>
      <c r="G168" s="12">
        <f>IFERROR(INDEX('مانده سوفاله'!F:F,MATCH(Table27[[#This Row],[كد تفصيلي]],'مانده سوفاله'!A:A,0)),0)</f>
        <v>2823</v>
      </c>
    </row>
    <row r="169" spans="1:7" ht="23.25" customHeight="1" x14ac:dyDescent="0.3">
      <c r="A169" s="29">
        <v>79043</v>
      </c>
      <c r="B169" s="25" t="s">
        <v>156</v>
      </c>
      <c r="C169" s="10">
        <f>IFERROR(INDEX('حسابهای دریافتنی'!H:H,MATCH(Table27[[#This Row],[كد تفصيلي]],'حسابهای دریافتنی'!A:A,0)),0)</f>
        <v>-16110730000</v>
      </c>
      <c r="D169" s="11">
        <f>IFERROR(INDEX('درجریان وصول'!F:F,MATCH(Table27[[#This Row],[كد تفصيلي]],'درجریان وصول'!A:A,0)),0)</f>
        <v>0</v>
      </c>
      <c r="E169" s="11">
        <f>IFERROR(INDEX('چکهای دریافتنی'!F:F,MATCH(Table27[[#This Row],[كد تفصيلي]],'چکهای دریافتنی'!A:A,0)),0)</f>
        <v>0</v>
      </c>
      <c r="F169" s="11">
        <f>Table27[[#This Row],[حسابهای دریافتنی]]+Table27[[#This Row],[چکهای در جریان وصول]]+Table27[[#This Row],[چکهای نزد صندوق]]</f>
        <v>-16110730000</v>
      </c>
      <c r="G169" s="12">
        <f>IFERROR(INDEX('مانده سوفاله'!F:F,MATCH(Table27[[#This Row],[كد تفصيلي]],'مانده سوفاله'!A:A,0)),0)</f>
        <v>0</v>
      </c>
    </row>
    <row r="170" spans="1:7" ht="23.25" customHeight="1" x14ac:dyDescent="0.35">
      <c r="A170" s="36"/>
      <c r="B170" s="37"/>
      <c r="C170" s="38">
        <f>SUBTOTAL(109,Table27[حسابهای دریافتنی])</f>
        <v>54605811405</v>
      </c>
      <c r="D170" s="38">
        <f>SUBTOTAL(109,Table27[چکهای در جریان وصول])</f>
        <v>0</v>
      </c>
      <c r="E170" s="38">
        <f>SUBTOTAL(109,Table27[چکهای نزد صندوق])</f>
        <v>60422828942</v>
      </c>
      <c r="F170" s="38"/>
      <c r="G170" s="39">
        <f>SUBTOTAL(109,Table27[مانده سوفاله])</f>
        <v>-131499.5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5" orientation="landscape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6"/>
  <sheetViews>
    <sheetView rightToLeft="1" workbookViewId="0">
      <selection activeCell="E50" sqref="E50"/>
    </sheetView>
  </sheetViews>
  <sheetFormatPr defaultColWidth="9.08984375" defaultRowHeight="21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7" customHeight="1" thickBot="1" x14ac:dyDescent="0.4">
      <c r="A1" s="97" t="s">
        <v>456</v>
      </c>
      <c r="B1" s="98"/>
      <c r="C1" s="98"/>
      <c r="D1" s="98"/>
      <c r="E1" s="98"/>
      <c r="F1" s="98"/>
      <c r="G1" s="99"/>
    </row>
    <row r="2" spans="1:7" s="2" customFormat="1" ht="21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1" customHeight="1" x14ac:dyDescent="0.35">
      <c r="A3" s="27">
        <v>30127</v>
      </c>
      <c r="B3" s="55" t="s">
        <v>163</v>
      </c>
      <c r="C3" s="10">
        <f>IFERROR(INDEX('حسابهای دریافتنی'!H:H,MATCH(Table28[[#This Row],[كد تفصيلي]],'حسابهای دریافتنی'!A:A,0)),0)</f>
        <v>31800110000</v>
      </c>
      <c r="D3" s="11">
        <f>IFERROR(INDEX('درجریان وصول'!F:F,MATCH(Table28[[#This Row],[كد تفصيلي]],'درجریان وصول'!A:A,0)),0)</f>
        <v>0</v>
      </c>
      <c r="E3" s="11">
        <f>IFERROR(INDEX('چکهای دریافتنی'!F:F,MATCH(Table28[[#This Row],[كد تفصيلي]],'چکهای دریافتنی'!A:A,0)),0)</f>
        <v>0</v>
      </c>
      <c r="F3" s="11">
        <f>Table28[[#This Row],[حسابهای دریافتنی]]+Table28[[#This Row],[چکهای در جریان وصول]]+Table28[[#This Row],[چکهای نزد صندوق]]</f>
        <v>31800110000</v>
      </c>
      <c r="G3" s="12">
        <f>IFERROR(INDEX('مانده سوفاله'!F:F,MATCH(Table28[[#This Row],[كد تفصيلي]],'مانده سوفاله'!A:A,0)),0)</f>
        <v>-18472</v>
      </c>
    </row>
    <row r="4" spans="1:7" ht="21" customHeight="1" x14ac:dyDescent="0.35">
      <c r="A4" s="26">
        <v>30066</v>
      </c>
      <c r="B4" s="56" t="s">
        <v>111</v>
      </c>
      <c r="C4" s="10">
        <f>IFERROR(INDEX('حسابهای دریافتنی'!H:H,MATCH(Table28[[#This Row],[كد تفصيلي]],'حسابهای دریافتنی'!A:A,0)),0)</f>
        <v>6484147500</v>
      </c>
      <c r="D4" s="11">
        <f>IFERROR(INDEX('درجریان وصول'!F:F,MATCH(Table28[[#This Row],[كد تفصيلي]],'درجریان وصول'!A:A,0)),0)</f>
        <v>0</v>
      </c>
      <c r="E4" s="11">
        <f>IFERROR(INDEX('چکهای دریافتنی'!F:F,MATCH(Table28[[#This Row],[كد تفصيلي]],'چکهای دریافتنی'!A:A,0)),0)</f>
        <v>0</v>
      </c>
      <c r="F4" s="11">
        <f>Table28[[#This Row],[حسابهای دریافتنی]]+Table28[[#This Row],[چکهای در جریان وصول]]+Table28[[#This Row],[چکهای نزد صندوق]]</f>
        <v>6484147500</v>
      </c>
      <c r="G4" s="12">
        <f>IFERROR(INDEX('مانده سوفاله'!F:F,MATCH(Table28[[#This Row],[كد تفصيلي]],'مانده سوفاله'!A:A,0)),0)</f>
        <v>-1320</v>
      </c>
    </row>
    <row r="5" spans="1:7" ht="21" customHeight="1" x14ac:dyDescent="0.35">
      <c r="A5" s="27">
        <v>30022</v>
      </c>
      <c r="B5" s="55" t="s">
        <v>70</v>
      </c>
      <c r="C5" s="10">
        <f>IFERROR(INDEX('حسابهای دریافتنی'!H:H,MATCH(Table28[[#This Row],[كد تفصيلي]],'حسابهای دریافتنی'!A:A,0)),0)</f>
        <v>2933770530</v>
      </c>
      <c r="D5" s="11">
        <f>IFERROR(INDEX('درجریان وصول'!F:F,MATCH(Table28[[#This Row],[كد تفصيلي]],'درجریان وصول'!A:A,0)),0)</f>
        <v>0</v>
      </c>
      <c r="E5" s="11">
        <f>IFERROR(INDEX('چکهای دریافتنی'!F:F,MATCH(Table28[[#This Row],[كد تفصيلي]],'چکهای دریافتنی'!A:A,0)),0)</f>
        <v>0</v>
      </c>
      <c r="F5" s="11">
        <f>Table28[[#This Row],[حسابهای دریافتنی]]+Table28[[#This Row],[چکهای در جریان وصول]]+Table28[[#This Row],[چکهای نزد صندوق]]</f>
        <v>2933770530</v>
      </c>
      <c r="G5" s="12">
        <f>IFERROR(INDEX('مانده سوفاله'!F:F,MATCH(Table28[[#This Row],[كد تفصيلي]],'مانده سوفاله'!A:A,0)),0)</f>
        <v>-14747</v>
      </c>
    </row>
    <row r="6" spans="1:7" ht="21" customHeight="1" x14ac:dyDescent="0.35">
      <c r="A6" s="26">
        <v>10003</v>
      </c>
      <c r="B6" s="56" t="s">
        <v>10</v>
      </c>
      <c r="C6" s="10">
        <f>IFERROR(INDEX('حسابهای دریافتنی'!H:H,MATCH(Table28[[#This Row],[كد تفصيلي]],'حسابهای دریافتنی'!A:A,0)),0)</f>
        <v>10804267992</v>
      </c>
      <c r="D6" s="11">
        <f>IFERROR(INDEX('درجریان وصول'!F:F,MATCH(Table28[[#This Row],[كد تفصيلي]],'درجریان وصول'!A:A,0)),0)</f>
        <v>0</v>
      </c>
      <c r="E6" s="11">
        <f>IFERROR(INDEX('چکهای دریافتنی'!F:F,MATCH(Table28[[#This Row],[كد تفصيلي]],'چکهای دریافتنی'!A:A,0)),0)</f>
        <v>13698001280</v>
      </c>
      <c r="F6" s="11">
        <f>Table28[[#This Row],[حسابهای دریافتنی]]+Table28[[#This Row],[چکهای در جریان وصول]]+Table28[[#This Row],[چکهای نزد صندوق]]</f>
        <v>24502269272</v>
      </c>
      <c r="G6" s="12">
        <f>IFERROR(INDEX('مانده سوفاله'!F:F,MATCH(Table28[[#This Row],[كد تفصيلي]],'مانده سوفاله'!A:A,0)),0)</f>
        <v>-39886</v>
      </c>
    </row>
    <row r="7" spans="1:7" ht="21" customHeight="1" x14ac:dyDescent="0.35">
      <c r="A7" s="26">
        <v>10027</v>
      </c>
      <c r="B7" s="56" t="s">
        <v>33</v>
      </c>
      <c r="C7" s="10">
        <f>IFERROR(INDEX('حسابهای دریافتنی'!H:H,MATCH(Table28[[#This Row],[كد تفصيلي]],'حسابهای دریافتنی'!A:A,0)),0)</f>
        <v>33078340</v>
      </c>
      <c r="D7" s="11">
        <f>IFERROR(INDEX('درجریان وصول'!F:F,MATCH(Table28[[#This Row],[كد تفصيلي]],'درجریان وصول'!A:A,0)),0)</f>
        <v>0</v>
      </c>
      <c r="E7" s="11">
        <f>IFERROR(INDEX('چکهای دریافتنی'!F:F,MATCH(Table28[[#This Row],[كد تفصيلي]],'چکهای دریافتنی'!A:A,0)),0)</f>
        <v>1588359160</v>
      </c>
      <c r="F7" s="11">
        <f>Table28[[#This Row],[حسابهای دریافتنی]]+Table28[[#This Row],[چکهای در جریان وصول]]+Table28[[#This Row],[چکهای نزد صندوق]]</f>
        <v>1621437500</v>
      </c>
      <c r="G7" s="12">
        <f>IFERROR(INDEX('مانده سوفاله'!F:F,MATCH(Table28[[#This Row],[كد تفصيلي]],'مانده سوفاله'!A:A,0)),0)</f>
        <v>-647</v>
      </c>
    </row>
    <row r="8" spans="1:7" ht="21" customHeight="1" x14ac:dyDescent="0.35">
      <c r="A8" s="27">
        <v>30004</v>
      </c>
      <c r="B8" s="55" t="s">
        <v>54</v>
      </c>
      <c r="C8" s="10">
        <f>IFERROR(INDEX('حسابهای دریافتنی'!H:H,MATCH(Table28[[#This Row],[كد تفصيلي]],'حسابهای دریافتنی'!A:A,0)),0)</f>
        <v>7598548260</v>
      </c>
      <c r="D8" s="11">
        <f>IFERROR(INDEX('درجریان وصول'!F:F,MATCH(Table28[[#This Row],[كد تفصيلي]],'درجریان وصول'!A:A,0)),0)</f>
        <v>0</v>
      </c>
      <c r="E8" s="11">
        <f>IFERROR(INDEX('چکهای دریافتنی'!F:F,MATCH(Table28[[#This Row],[كد تفصيلي]],'چکهای دریافتنی'!A:A,0)),0)</f>
        <v>11698760000</v>
      </c>
      <c r="F8" s="11">
        <f>Table28[[#This Row],[حسابهای دریافتنی]]+Table28[[#This Row],[چکهای در جریان وصول]]+Table28[[#This Row],[چکهای نزد صندوق]]</f>
        <v>19297308260</v>
      </c>
      <c r="G8" s="12">
        <f>IFERROR(INDEX('مانده سوفاله'!F:F,MATCH(Table28[[#This Row],[كد تفصيلي]],'مانده سوفاله'!A:A,0)),0)</f>
        <v>-4237</v>
      </c>
    </row>
    <row r="9" spans="1:7" ht="21" customHeight="1" x14ac:dyDescent="0.35">
      <c r="A9" s="27">
        <v>50016</v>
      </c>
      <c r="B9" s="55" t="s">
        <v>160</v>
      </c>
      <c r="C9" s="10">
        <f>IFERROR(INDEX('حسابهای دریافتنی'!H:H,MATCH(Table28[[#This Row],[كد تفصيلي]],'حسابهای دریافتنی'!A:A,0)),0)</f>
        <v>6344545550</v>
      </c>
      <c r="D9" s="11">
        <f>IFERROR(INDEX('درجریان وصول'!F:F,MATCH(Table28[[#This Row],[كد تفصيلي]],'درجریان وصول'!A:A,0)),0)</f>
        <v>0</v>
      </c>
      <c r="E9" s="11">
        <f>IFERROR(INDEX('چکهای دریافتنی'!F:F,MATCH(Table28[[#This Row],[كد تفصيلي]],'چکهای دریافتنی'!A:A,0)),0)</f>
        <v>0</v>
      </c>
      <c r="F9" s="11">
        <f>Table28[[#This Row],[حسابهای دریافتنی]]+Table28[[#This Row],[چکهای در جریان وصول]]+Table28[[#This Row],[چکهای نزد صندوق]]</f>
        <v>6344545550</v>
      </c>
      <c r="G9" s="12">
        <f>IFERROR(INDEX('مانده سوفاله'!F:F,MATCH(Table28[[#This Row],[كد تفصيلي]],'مانده سوفاله'!A:A,0)),0)</f>
        <v>5508</v>
      </c>
    </row>
    <row r="10" spans="1:7" ht="21" customHeight="1" x14ac:dyDescent="0.35">
      <c r="A10" s="26">
        <v>30009</v>
      </c>
      <c r="B10" s="56" t="s">
        <v>164</v>
      </c>
      <c r="C10" s="10">
        <f>IFERROR(INDEX('حسابهای دریافتنی'!H:H,MATCH(Table28[[#This Row],[كد تفصيلي]],'حسابهای دریافتنی'!A:A,0)),0)</f>
        <v>7853844277</v>
      </c>
      <c r="D10" s="11">
        <f>IFERROR(INDEX('درجریان وصول'!F:F,MATCH(Table28[[#This Row],[كد تفصيلي]],'درجریان وصول'!A:A,0)),0)</f>
        <v>0</v>
      </c>
      <c r="E10" s="11">
        <f>IFERROR(INDEX('چکهای دریافتنی'!F:F,MATCH(Table28[[#This Row],[كد تفصيلي]],'چکهای دریافتنی'!A:A,0)),0)</f>
        <v>6474835380</v>
      </c>
      <c r="F10" s="11">
        <f>Table28[[#This Row],[حسابهای دریافتنی]]+Table28[[#This Row],[چکهای در جریان وصول]]+Table28[[#This Row],[چکهای نزد صندوق]]</f>
        <v>14328679657</v>
      </c>
      <c r="G10" s="12">
        <f>IFERROR(INDEX('مانده سوفاله'!F:F,MATCH(Table28[[#This Row],[كد تفصيلي]],'مانده سوفاله'!A:A,0)),0)</f>
        <v>-11452</v>
      </c>
    </row>
    <row r="11" spans="1:7" ht="21" customHeight="1" x14ac:dyDescent="0.35">
      <c r="A11" s="26">
        <v>30058</v>
      </c>
      <c r="B11" s="56" t="s">
        <v>103</v>
      </c>
      <c r="C11" s="10">
        <f>IFERROR(INDEX('حسابهای دریافتنی'!H:H,MATCH(Table28[[#This Row],[كد تفصيلي]],'حسابهای دریافتنی'!A:A,0)),0)</f>
        <v>1700045560</v>
      </c>
      <c r="D11" s="11">
        <f>IFERROR(INDEX('درجریان وصول'!F:F,MATCH(Table28[[#This Row],[كد تفصيلي]],'درجریان وصول'!A:A,0)),0)</f>
        <v>0</v>
      </c>
      <c r="E11" s="11">
        <f>IFERROR(INDEX('چکهای دریافتنی'!F:F,MATCH(Table28[[#This Row],[كد تفصيلي]],'چکهای دریافتنی'!A:A,0)),0)</f>
        <v>0</v>
      </c>
      <c r="F11" s="11">
        <f>Table28[[#This Row],[حسابهای دریافتنی]]+Table28[[#This Row],[چکهای در جریان وصول]]+Table28[[#This Row],[چکهای نزد صندوق]]</f>
        <v>1700045560</v>
      </c>
      <c r="G11" s="12">
        <f>IFERROR(INDEX('مانده سوفاله'!F:F,MATCH(Table28[[#This Row],[كد تفصيلي]],'مانده سوفاله'!A:A,0)),0)</f>
        <v>-225</v>
      </c>
    </row>
    <row r="12" spans="1:7" ht="21" customHeight="1" x14ac:dyDescent="0.35">
      <c r="A12" s="26">
        <v>10055</v>
      </c>
      <c r="B12" s="56" t="s">
        <v>162</v>
      </c>
      <c r="C12" s="10">
        <f>IFERROR(INDEX('حسابهای دریافتنی'!H:H,MATCH(Table28[[#This Row],[كد تفصيلي]],'حسابهای دریافتنی'!A:A,0)),0)</f>
        <v>10460111325</v>
      </c>
      <c r="D12" s="11">
        <f>IFERROR(INDEX('درجریان وصول'!F:F,MATCH(Table28[[#This Row],[كد تفصيلي]],'درجریان وصول'!A:A,0)),0)</f>
        <v>0</v>
      </c>
      <c r="E12" s="11">
        <f>IFERROR(INDEX('چکهای دریافتنی'!F:F,MATCH(Table28[[#This Row],[كد تفصيلي]],'چکهای دریافتنی'!A:A,0)),0)</f>
        <v>2783298655</v>
      </c>
      <c r="F12" s="11">
        <f>Table28[[#This Row],[حسابهای دریافتنی]]+Table28[[#This Row],[چکهای در جریان وصول]]+Table28[[#This Row],[چکهای نزد صندوق]]</f>
        <v>13243409980</v>
      </c>
      <c r="G12" s="12">
        <f>IFERROR(INDEX('مانده سوفاله'!F:F,MATCH(Table28[[#This Row],[كد تفصيلي]],'مانده سوفاله'!A:A,0)),0)</f>
        <v>-12714</v>
      </c>
    </row>
    <row r="13" spans="1:7" ht="21" customHeight="1" x14ac:dyDescent="0.35">
      <c r="A13" s="27">
        <v>30081</v>
      </c>
      <c r="B13" s="55" t="s">
        <v>126</v>
      </c>
      <c r="C13" s="10">
        <f>IFERROR(INDEX('حسابهای دریافتنی'!H:H,MATCH(Table28[[#This Row],[كد تفصيلي]],'حسابهای دریافتنی'!A:A,0)),0)</f>
        <v>1148992373</v>
      </c>
      <c r="D13" s="11">
        <f>IFERROR(INDEX('درجریان وصول'!F:F,MATCH(Table28[[#This Row],[كد تفصيلي]],'درجریان وصول'!A:A,0)),0)</f>
        <v>0</v>
      </c>
      <c r="E13" s="11">
        <f>IFERROR(INDEX('چکهای دریافتنی'!F:F,MATCH(Table28[[#This Row],[كد تفصيلي]],'چکهای دریافتنی'!A:A,0)),0)</f>
        <v>0</v>
      </c>
      <c r="F13" s="11">
        <f>Table28[[#This Row],[حسابهای دریافتنی]]+Table28[[#This Row],[چکهای در جریان وصول]]+Table28[[#This Row],[چکهای نزد صندوق]]</f>
        <v>1148992373</v>
      </c>
      <c r="G13" s="12">
        <f>IFERROR(INDEX('مانده سوفاله'!F:F,MATCH(Table28[[#This Row],[كد تفصيلي]],'مانده سوفاله'!A:A,0)),0)</f>
        <v>-6924</v>
      </c>
    </row>
    <row r="14" spans="1:7" ht="21" customHeight="1" x14ac:dyDescent="0.35">
      <c r="A14" s="27">
        <v>10123</v>
      </c>
      <c r="B14" s="55" t="s">
        <v>340</v>
      </c>
      <c r="C14" s="10">
        <f>IFERROR(INDEX('حسابهای دریافتنی'!H:H,MATCH(Table28[[#This Row],[كد تفصيلي]],'حسابهای دریافتنی'!A:A,0)),0)</f>
        <v>-50813000</v>
      </c>
      <c r="D14" s="11">
        <f>IFERROR(INDEX('درجریان وصول'!F:F,MATCH(Table28[[#This Row],[كد تفصيلي]],'درجریان وصول'!A:A,0)),0)</f>
        <v>0</v>
      </c>
      <c r="E14" s="11">
        <f>IFERROR(INDEX('چکهای دریافتنی'!F:F,MATCH(Table28[[#This Row],[كد تفصيلي]],'چکهای دریافتنی'!A:A,0)),0)</f>
        <v>0</v>
      </c>
      <c r="F14" s="11">
        <f>Table28[[#This Row],[حسابهای دریافتنی]]+Table28[[#This Row],[چکهای در جریان وصول]]+Table28[[#This Row],[چکهای نزد صندوق]]</f>
        <v>-50813000</v>
      </c>
      <c r="G14" s="12">
        <f>IFERROR(INDEX('مانده سوفاله'!F:F,MATCH(Table28[[#This Row],[كد تفصيلي]],'مانده سوفاله'!A:A,0)),0)</f>
        <v>0</v>
      </c>
    </row>
    <row r="15" spans="1:7" ht="21" customHeight="1" x14ac:dyDescent="0.35">
      <c r="A15" s="26">
        <v>30162</v>
      </c>
      <c r="B15" s="56" t="s">
        <v>301</v>
      </c>
      <c r="C15" s="10">
        <f>IFERROR(INDEX('حسابهای دریافتنی'!H:H,MATCH(Table28[[#This Row],[كد تفصيلي]],'حسابهای دریافتنی'!A:A,0)),0)</f>
        <v>204890235</v>
      </c>
      <c r="D15" s="11">
        <f>IFERROR(INDEX('درجریان وصول'!F:F,MATCH(Table28[[#This Row],[كد تفصيلي]],'درجریان وصول'!A:A,0)),0)</f>
        <v>0</v>
      </c>
      <c r="E15" s="11">
        <f>IFERROR(INDEX('چکهای دریافتنی'!F:F,MATCH(Table28[[#This Row],[كد تفصيلي]],'چکهای دریافتنی'!A:A,0)),0)</f>
        <v>0</v>
      </c>
      <c r="F15" s="11">
        <f>Table28[[#This Row],[حسابهای دریافتنی]]+Table28[[#This Row],[چکهای در جریان وصول]]+Table28[[#This Row],[چکهای نزد صندوق]]</f>
        <v>204890235</v>
      </c>
      <c r="G15" s="12">
        <f>IFERROR(INDEX('مانده سوفاله'!F:F,MATCH(Table28[[#This Row],[كد تفصيلي]],'مانده سوفاله'!A:A,0)),0)</f>
        <v>-251</v>
      </c>
    </row>
    <row r="16" spans="1:7" ht="21" customHeight="1" x14ac:dyDescent="0.35">
      <c r="A16" s="26">
        <v>30017</v>
      </c>
      <c r="B16" s="56" t="s">
        <v>65</v>
      </c>
      <c r="C16" s="10">
        <f>IFERROR(INDEX('حسابهای دریافتنی'!H:H,MATCH(Table28[[#This Row],[كد تفصيلي]],'حسابهای دریافتنی'!A:A,0)),0)</f>
        <v>905000830</v>
      </c>
      <c r="D16" s="11">
        <f>IFERROR(INDEX('درجریان وصول'!F:F,MATCH(Table28[[#This Row],[كد تفصيلي]],'درجریان وصول'!A:A,0)),0)</f>
        <v>0</v>
      </c>
      <c r="E16" s="11">
        <f>IFERROR(INDEX('چکهای دریافتنی'!F:F,MATCH(Table28[[#This Row],[كد تفصيلي]],'چکهای دریافتنی'!A:A,0)),0)</f>
        <v>0</v>
      </c>
      <c r="F16" s="11">
        <f>Table28[[#This Row],[حسابهای دریافتنی]]+Table28[[#This Row],[چکهای در جریان وصول]]+Table28[[#This Row],[چکهای نزد صندوق]]</f>
        <v>905000830</v>
      </c>
      <c r="G16" s="12">
        <f>IFERROR(INDEX('مانده سوفاله'!F:F,MATCH(Table28[[#This Row],[كد تفصيلي]],'مانده سوفاله'!A:A,0)),0)</f>
        <v>-2186</v>
      </c>
    </row>
    <row r="17" spans="1:7" ht="21" customHeight="1" x14ac:dyDescent="0.35">
      <c r="A17" s="27">
        <v>30006</v>
      </c>
      <c r="B17" s="55" t="s">
        <v>56</v>
      </c>
      <c r="C17" s="10">
        <f>IFERROR(INDEX('حسابهای دریافتنی'!H:H,MATCH(Table28[[#This Row],[كد تفصيلي]],'حسابهای دریافتنی'!A:A,0)),0)</f>
        <v>-162677545</v>
      </c>
      <c r="D17" s="11">
        <f>IFERROR(INDEX('درجریان وصول'!F:F,MATCH(Table28[[#This Row],[كد تفصيلي]],'درجریان وصول'!A:A,0)),0)</f>
        <v>0</v>
      </c>
      <c r="E17" s="11">
        <f>IFERROR(INDEX('چکهای دریافتنی'!F:F,MATCH(Table28[[#This Row],[كد تفصيلي]],'چکهای دریافتنی'!A:A,0)),0)</f>
        <v>0</v>
      </c>
      <c r="F17" s="11">
        <f>Table28[[#This Row],[حسابهای دریافتنی]]+Table28[[#This Row],[چکهای در جریان وصول]]+Table28[[#This Row],[چکهای نزد صندوق]]</f>
        <v>-162677545</v>
      </c>
      <c r="G17" s="12">
        <f>IFERROR(INDEX('مانده سوفاله'!F:F,MATCH(Table28[[#This Row],[كد تفصيلي]],'مانده سوفاله'!A:A,0)),0)</f>
        <v>-6</v>
      </c>
    </row>
    <row r="18" spans="1:7" ht="21" customHeight="1" x14ac:dyDescent="0.35">
      <c r="A18" s="27">
        <v>10026</v>
      </c>
      <c r="B18" s="55" t="s">
        <v>32</v>
      </c>
      <c r="C18" s="10">
        <f>IFERROR(INDEX('حسابهای دریافتنی'!H:H,MATCH(Table28[[#This Row],[كد تفصيلي]],'حسابهای دریافتنی'!A:A,0)),0)</f>
        <v>3795031844</v>
      </c>
      <c r="D18" s="11">
        <f>IFERROR(INDEX('درجریان وصول'!F:F,MATCH(Table28[[#This Row],[كد تفصيلي]],'درجریان وصول'!A:A,0)),0)</f>
        <v>0</v>
      </c>
      <c r="E18" s="11">
        <f>IFERROR(INDEX('چکهای دریافتنی'!F:F,MATCH(Table28[[#This Row],[كد تفصيلي]],'چکهای دریافتنی'!A:A,0)),0)</f>
        <v>2690000000</v>
      </c>
      <c r="F18" s="11">
        <f>Table28[[#This Row],[حسابهای دریافتنی]]+Table28[[#This Row],[چکهای در جریان وصول]]+Table28[[#This Row],[چکهای نزد صندوق]]</f>
        <v>6485031844</v>
      </c>
      <c r="G18" s="12">
        <f>IFERROR(INDEX('مانده سوفاله'!F:F,MATCH(Table28[[#This Row],[كد تفصيلي]],'مانده سوفاله'!A:A,0)),0)</f>
        <v>-12543</v>
      </c>
    </row>
    <row r="19" spans="1:7" ht="21" customHeight="1" x14ac:dyDescent="0.35">
      <c r="A19" s="27">
        <v>30018</v>
      </c>
      <c r="B19" s="55" t="s">
        <v>66</v>
      </c>
      <c r="C19" s="10">
        <f>IFERROR(INDEX('حسابهای دریافتنی'!H:H,MATCH(Table28[[#This Row],[كد تفصيلي]],'حسابهای دریافتنی'!A:A,0)),0)</f>
        <v>1901077182</v>
      </c>
      <c r="D19" s="11">
        <f>IFERROR(INDEX('درجریان وصول'!F:F,MATCH(Table28[[#This Row],[كد تفصيلي]],'درجریان وصول'!A:A,0)),0)</f>
        <v>0</v>
      </c>
      <c r="E19" s="11">
        <f>IFERROR(INDEX('چکهای دریافتنی'!F:F,MATCH(Table28[[#This Row],[كد تفصيلي]],'چکهای دریافتنی'!A:A,0)),0)</f>
        <v>0</v>
      </c>
      <c r="F19" s="11">
        <f>Table28[[#This Row],[حسابهای دریافتنی]]+Table28[[#This Row],[چکهای در جریان وصول]]+Table28[[#This Row],[چکهای نزد صندوق]]</f>
        <v>1901077182</v>
      </c>
      <c r="G19" s="12">
        <f>IFERROR(INDEX('مانده سوفاله'!F:F,MATCH(Table28[[#This Row],[كد تفصيلي]],'مانده سوفاله'!A:A,0)),0)</f>
        <v>-3024</v>
      </c>
    </row>
    <row r="20" spans="1:7" ht="21" customHeight="1" x14ac:dyDescent="0.35">
      <c r="A20" s="26">
        <v>50011</v>
      </c>
      <c r="B20" s="56" t="s">
        <v>147</v>
      </c>
      <c r="C20" s="10">
        <f>IFERROR(INDEX('حسابهای دریافتنی'!H:H,MATCH(Table28[[#This Row],[كد تفصيلي]],'حسابهای دریافتنی'!A:A,0)),0)</f>
        <v>832182413</v>
      </c>
      <c r="D20" s="11">
        <f>IFERROR(INDEX('درجریان وصول'!F:F,MATCH(Table28[[#This Row],[كد تفصيلي]],'درجریان وصول'!A:A,0)),0)</f>
        <v>0</v>
      </c>
      <c r="E20" s="11">
        <f>IFERROR(INDEX('چکهای دریافتنی'!F:F,MATCH(Table28[[#This Row],[كد تفصيلي]],'چکهای دریافتنی'!A:A,0)),0)</f>
        <v>0</v>
      </c>
      <c r="F20" s="11">
        <f>Table28[[#This Row],[حسابهای دریافتنی]]+Table28[[#This Row],[چکهای در جریان وصول]]+Table28[[#This Row],[چکهای نزد صندوق]]</f>
        <v>832182413</v>
      </c>
      <c r="G20" s="12">
        <f>IFERROR(INDEX('مانده سوفاله'!F:F,MATCH(Table28[[#This Row],[كد تفصيلي]],'مانده سوفاله'!A:A,0)),0)</f>
        <v>30</v>
      </c>
    </row>
    <row r="21" spans="1:7" ht="21" customHeight="1" x14ac:dyDescent="0.35">
      <c r="A21" s="26">
        <v>30184</v>
      </c>
      <c r="B21" s="56" t="s">
        <v>368</v>
      </c>
      <c r="C21" s="10">
        <f>IFERROR(INDEX('حسابهای دریافتنی'!H:H,MATCH(Table28[[#This Row],[كد تفصيلي]],'حسابهای دریافتنی'!A:A,0)),0)</f>
        <v>904890480</v>
      </c>
      <c r="D21" s="11">
        <f>IFERROR(INDEX('درجریان وصول'!F:F,MATCH(Table28[[#This Row],[كد تفصيلي]],'درجریان وصول'!A:A,0)),0)</f>
        <v>0</v>
      </c>
      <c r="E21" s="11">
        <f>IFERROR(INDEX('چکهای دریافتنی'!F:F,MATCH(Table28[[#This Row],[كد تفصيلي]],'چکهای دریافتنی'!A:A,0)),0)</f>
        <v>0</v>
      </c>
      <c r="F21" s="11">
        <f>Table28[[#This Row],[حسابهای دریافتنی]]+Table28[[#This Row],[چکهای در جریان وصول]]+Table28[[#This Row],[چکهای نزد صندوق]]</f>
        <v>904890480</v>
      </c>
      <c r="G21" s="12">
        <f>IFERROR(INDEX('مانده سوفاله'!F:F,MATCH(Table28[[#This Row],[كد تفصيلي]],'مانده سوفاله'!A:A,0)),0)</f>
        <v>-100</v>
      </c>
    </row>
    <row r="22" spans="1:7" ht="21" customHeight="1" x14ac:dyDescent="0.35">
      <c r="A22" s="26">
        <v>10057</v>
      </c>
      <c r="B22" s="56" t="s">
        <v>225</v>
      </c>
      <c r="C22" s="10">
        <f>IFERROR(INDEX('حسابهای دریافتنی'!H:H,MATCH(Table28[[#This Row],[كد تفصيلي]],'حسابهای دریافتنی'!A:A,0)),0)</f>
        <v>1390485500</v>
      </c>
      <c r="D22" s="11">
        <f>IFERROR(INDEX('درجریان وصول'!F:F,MATCH(Table28[[#This Row],[كد تفصيلي]],'درجریان وصول'!A:A,0)),0)</f>
        <v>0</v>
      </c>
      <c r="E22" s="11">
        <f>IFERROR(INDEX('چکهای دریافتنی'!F:F,MATCH(Table28[[#This Row],[كد تفصيلي]],'چکهای دریافتنی'!A:A,0)),0)</f>
        <v>0</v>
      </c>
      <c r="F22" s="11">
        <f>Table28[[#This Row],[حسابهای دریافتنی]]+Table28[[#This Row],[چکهای در جریان وصول]]+Table28[[#This Row],[چکهای نزد صندوق]]</f>
        <v>1390485500</v>
      </c>
      <c r="G22" s="12">
        <f>IFERROR(INDEX('مانده سوفاله'!F:F,MATCH(Table28[[#This Row],[كد تفصيلي]],'مانده سوفاله'!A:A,0)),0)</f>
        <v>-2044</v>
      </c>
    </row>
    <row r="23" spans="1:7" ht="21" customHeight="1" x14ac:dyDescent="0.35">
      <c r="A23" s="26">
        <v>30186</v>
      </c>
      <c r="B23" s="56" t="s">
        <v>367</v>
      </c>
      <c r="C23" s="10">
        <f>IFERROR(INDEX('حسابهای دریافتنی'!H:H,MATCH(Table28[[#This Row],[كد تفصيلي]],'حسابهای دریافتنی'!A:A,0)),0)</f>
        <v>986425000</v>
      </c>
      <c r="D23" s="11">
        <f>IFERROR(INDEX('درجریان وصول'!F:F,MATCH(Table28[[#This Row],[كد تفصيلي]],'درجریان وصول'!A:A,0)),0)</f>
        <v>0</v>
      </c>
      <c r="E23" s="11">
        <f>IFERROR(INDEX('چکهای دریافتنی'!F:F,MATCH(Table28[[#This Row],[كد تفصيلي]],'چکهای دریافتنی'!A:A,0)),0)</f>
        <v>5982430000</v>
      </c>
      <c r="F23" s="11">
        <f>Table28[[#This Row],[حسابهای دریافتنی]]+Table28[[#This Row],[چکهای در جریان وصول]]+Table28[[#This Row],[چکهای نزد صندوق]]</f>
        <v>6968855000</v>
      </c>
      <c r="G23" s="12">
        <f>IFERROR(INDEX('مانده سوفاله'!F:F,MATCH(Table28[[#This Row],[كد تفصيلي]],'مانده سوفاله'!A:A,0)),0)</f>
        <v>-7388</v>
      </c>
    </row>
    <row r="24" spans="1:7" ht="21" customHeight="1" x14ac:dyDescent="0.35">
      <c r="A24" s="27">
        <v>30099</v>
      </c>
      <c r="B24" s="55" t="s">
        <v>167</v>
      </c>
      <c r="C24" s="10">
        <f>IFERROR(INDEX('حسابهای دریافتنی'!H:H,MATCH(Table28[[#This Row],[كد تفصيلي]],'حسابهای دریافتنی'!A:A,0)),0)</f>
        <v>1398393484</v>
      </c>
      <c r="D24" s="11">
        <f>IFERROR(INDEX('درجریان وصول'!F:F,MATCH(Table28[[#This Row],[كد تفصيلي]],'درجریان وصول'!A:A,0)),0)</f>
        <v>0</v>
      </c>
      <c r="E24" s="11">
        <f>IFERROR(INDEX('چکهای دریافتنی'!F:F,MATCH(Table28[[#This Row],[كد تفصيلي]],'چکهای دریافتنی'!A:A,0)),0)</f>
        <v>583000000</v>
      </c>
      <c r="F24" s="11">
        <f>Table28[[#This Row],[حسابهای دریافتنی]]+Table28[[#This Row],[چکهای در جریان وصول]]+Table28[[#This Row],[چکهای نزد صندوق]]</f>
        <v>1981393484</v>
      </c>
      <c r="G24" s="12">
        <f>IFERROR(INDEX('مانده سوفاله'!F:F,MATCH(Table28[[#This Row],[كد تفصيلي]],'مانده سوفاله'!A:A,0)),0)</f>
        <v>-332</v>
      </c>
    </row>
    <row r="25" spans="1:7" ht="21" customHeight="1" x14ac:dyDescent="0.35">
      <c r="A25" s="27">
        <v>10008</v>
      </c>
      <c r="B25" s="55" t="s">
        <v>15</v>
      </c>
      <c r="C25" s="10">
        <f>IFERROR(INDEX('حسابهای دریافتنی'!H:H,MATCH(Table28[[#This Row],[كد تفصيلي]],'حسابهای دریافتنی'!A:A,0)),0)</f>
        <v>597342000</v>
      </c>
      <c r="D25" s="11">
        <f>IFERROR(INDEX('درجریان وصول'!F:F,MATCH(Table28[[#This Row],[كد تفصيلي]],'درجریان وصول'!A:A,0)),0)</f>
        <v>0</v>
      </c>
      <c r="E25" s="11">
        <f>IFERROR(INDEX('چکهای دریافتنی'!F:F,MATCH(Table28[[#This Row],[كد تفصيلي]],'چکهای دریافتنی'!A:A,0)),0)</f>
        <v>0</v>
      </c>
      <c r="F25" s="11">
        <f>Table28[[#This Row],[حسابهای دریافتنی]]+Table28[[#This Row],[چکهای در جریان وصول]]+Table28[[#This Row],[چکهای نزد صندوق]]</f>
        <v>597342000</v>
      </c>
      <c r="G25" s="12">
        <f>IFERROR(INDEX('مانده سوفاله'!F:F,MATCH(Table28[[#This Row],[كد تفصيلي]],'مانده سوفاله'!A:A,0)),0)</f>
        <v>-578</v>
      </c>
    </row>
    <row r="26" spans="1:7" ht="21" customHeight="1" x14ac:dyDescent="0.35">
      <c r="A26" s="27">
        <v>30030</v>
      </c>
      <c r="B26" s="55" t="s">
        <v>77</v>
      </c>
      <c r="C26" s="10">
        <f>IFERROR(INDEX('حسابهای دریافتنی'!H:H,MATCH(Table28[[#This Row],[كد تفصيلي]],'حسابهای دریافتنی'!A:A,0)),0)</f>
        <v>850500</v>
      </c>
      <c r="D26" s="11">
        <f>IFERROR(INDEX('درجریان وصول'!F:F,MATCH(Table28[[#This Row],[كد تفصيلي]],'درجریان وصول'!A:A,0)),0)</f>
        <v>0</v>
      </c>
      <c r="E26" s="11">
        <f>IFERROR(INDEX('چکهای دریافتنی'!F:F,MATCH(Table28[[#This Row],[كد تفصيلي]],'چکهای دریافتنی'!A:A,0)),0)</f>
        <v>0</v>
      </c>
      <c r="F26" s="11">
        <f>Table28[[#This Row],[حسابهای دریافتنی]]+Table28[[#This Row],[چکهای در جریان وصول]]+Table28[[#This Row],[چکهای نزد صندوق]]</f>
        <v>850500</v>
      </c>
      <c r="G26" s="12">
        <f>IFERROR(INDEX('مانده سوفاله'!F:F,MATCH(Table28[[#This Row],[كد تفصيلي]],'مانده سوفاله'!A:A,0)),0)</f>
        <v>-49</v>
      </c>
    </row>
    <row r="27" spans="1:7" ht="21" customHeight="1" x14ac:dyDescent="0.35">
      <c r="A27" s="27">
        <v>10020</v>
      </c>
      <c r="B27" s="55" t="s">
        <v>27</v>
      </c>
      <c r="C27" s="10">
        <f>IFERROR(INDEX('حسابهای دریافتنی'!H:H,MATCH(Table28[[#This Row],[كد تفصيلي]],'حسابهای دریافتنی'!A:A,0)),0)</f>
        <v>57999963</v>
      </c>
      <c r="D27" s="11">
        <f>IFERROR(INDEX('درجریان وصول'!F:F,MATCH(Table28[[#This Row],[كد تفصيلي]],'درجریان وصول'!A:A,0)),0)</f>
        <v>0</v>
      </c>
      <c r="E27" s="11">
        <f>IFERROR(INDEX('چکهای دریافتنی'!F:F,MATCH(Table28[[#This Row],[كد تفصيلي]],'چکهای دریافتنی'!A:A,0)),0)</f>
        <v>728000000</v>
      </c>
      <c r="F27" s="11">
        <f>Table28[[#This Row],[حسابهای دریافتنی]]+Table28[[#This Row],[چکهای در جریان وصول]]+Table28[[#This Row],[چکهای نزد صندوق]]</f>
        <v>785999963</v>
      </c>
      <c r="G27" s="12">
        <f>IFERROR(INDEX('مانده سوفاله'!F:F,MATCH(Table28[[#This Row],[كد تفصيلي]],'مانده سوفاله'!A:A,0)),0)</f>
        <v>-1031</v>
      </c>
    </row>
    <row r="28" spans="1:7" ht="21" customHeight="1" x14ac:dyDescent="0.35">
      <c r="A28" s="26">
        <v>30140</v>
      </c>
      <c r="B28" s="56" t="s">
        <v>259</v>
      </c>
      <c r="C28" s="10">
        <f>IFERROR(INDEX('حسابهای دریافتنی'!H:H,MATCH(Table28[[#This Row],[كد تفصيلي]],'حسابهای دریافتنی'!A:A,0)),0)</f>
        <v>553728200</v>
      </c>
      <c r="D28" s="11">
        <f>IFERROR(INDEX('درجریان وصول'!F:F,MATCH(Table28[[#This Row],[كد تفصيلي]],'درجریان وصول'!A:A,0)),0)</f>
        <v>0</v>
      </c>
      <c r="E28" s="11">
        <f>IFERROR(INDEX('چکهای دریافتنی'!F:F,MATCH(Table28[[#This Row],[كد تفصيلي]],'چکهای دریافتنی'!A:A,0)),0)</f>
        <v>1030000000</v>
      </c>
      <c r="F28" s="11">
        <f>Table28[[#This Row],[حسابهای دریافتنی]]+Table28[[#This Row],[چکهای در جریان وصول]]+Table28[[#This Row],[چکهای نزد صندوق]]</f>
        <v>1583728200</v>
      </c>
      <c r="G28" s="12">
        <f>IFERROR(INDEX('مانده سوفاله'!F:F,MATCH(Table28[[#This Row],[كد تفصيلي]],'مانده سوفاله'!A:A,0)),0)</f>
        <v>-12630</v>
      </c>
    </row>
    <row r="29" spans="1:7" ht="21" customHeight="1" x14ac:dyDescent="0.35">
      <c r="A29" s="27">
        <v>10056</v>
      </c>
      <c r="B29" s="55" t="s">
        <v>166</v>
      </c>
      <c r="C29" s="10">
        <f>IFERROR(INDEX('حسابهای دریافتنی'!H:H,MATCH(Table28[[#This Row],[كد تفصيلي]],'حسابهای دریافتنی'!A:A,0)),0)</f>
        <v>812653500</v>
      </c>
      <c r="D29" s="11">
        <f>IFERROR(INDEX('درجریان وصول'!F:F,MATCH(Table28[[#This Row],[كد تفصيلي]],'درجریان وصول'!A:A,0)),0)</f>
        <v>0</v>
      </c>
      <c r="E29" s="11">
        <f>IFERROR(INDEX('چکهای دریافتنی'!F:F,MATCH(Table28[[#This Row],[كد تفصيلي]],'چکهای دریافتنی'!A:A,0)),0)</f>
        <v>0</v>
      </c>
      <c r="F29" s="11">
        <f>Table28[[#This Row],[حسابهای دریافتنی]]+Table28[[#This Row],[چکهای در جریان وصول]]+Table28[[#This Row],[چکهای نزد صندوق]]</f>
        <v>812653500</v>
      </c>
      <c r="G29" s="12">
        <f>IFERROR(INDEX('مانده سوفاله'!F:F,MATCH(Table28[[#This Row],[كد تفصيلي]],'مانده سوفاله'!A:A,0)),0)</f>
        <v>0</v>
      </c>
    </row>
    <row r="30" spans="1:7" ht="21" customHeight="1" x14ac:dyDescent="0.35">
      <c r="A30" s="27">
        <v>30161</v>
      </c>
      <c r="B30" s="55" t="s">
        <v>299</v>
      </c>
      <c r="C30" s="10">
        <f>IFERROR(INDEX('حسابهای دریافتنی'!H:H,MATCH(Table28[[#This Row],[كد تفصيلي]],'حسابهای دریافتنی'!A:A,0)),0)</f>
        <v>0</v>
      </c>
      <c r="D30" s="11">
        <f>IFERROR(INDEX('درجریان وصول'!F:F,MATCH(Table28[[#This Row],[كد تفصيلي]],'درجریان وصول'!A:A,0)),0)</f>
        <v>0</v>
      </c>
      <c r="E30" s="11">
        <f>IFERROR(INDEX('چکهای دریافتنی'!F:F,MATCH(Table28[[#This Row],[كد تفصيلي]],'چکهای دریافتنی'!A:A,0)),0)</f>
        <v>0</v>
      </c>
      <c r="F30" s="11">
        <f>Table28[[#This Row],[حسابهای دریافتنی]]+Table28[[#This Row],[چکهای در جریان وصول]]+Table28[[#This Row],[چکهای نزد صندوق]]</f>
        <v>0</v>
      </c>
      <c r="G30" s="12">
        <f>IFERROR(INDEX('مانده سوفاله'!F:F,MATCH(Table28[[#This Row],[كد تفصيلي]],'مانده سوفاله'!A:A,0)),0)</f>
        <v>0</v>
      </c>
    </row>
    <row r="31" spans="1:7" ht="21" customHeight="1" x14ac:dyDescent="0.35">
      <c r="A31" s="26">
        <v>30070</v>
      </c>
      <c r="B31" s="56" t="s">
        <v>115</v>
      </c>
      <c r="C31" s="10">
        <f>IFERROR(INDEX('حسابهای دریافتنی'!H:H,MATCH(Table28[[#This Row],[كد تفصيلي]],'حسابهای دریافتنی'!A:A,0)),0)</f>
        <v>2651728820</v>
      </c>
      <c r="D31" s="11">
        <f>IFERROR(INDEX('درجریان وصول'!F:F,MATCH(Table28[[#This Row],[كد تفصيلي]],'درجریان وصول'!A:A,0)),0)</f>
        <v>0</v>
      </c>
      <c r="E31" s="11">
        <f>IFERROR(INDEX('چکهای دریافتنی'!F:F,MATCH(Table28[[#This Row],[كد تفصيلي]],'چکهای دریافتنی'!A:A,0)),0)</f>
        <v>3660000000</v>
      </c>
      <c r="F31" s="11">
        <f>Table28[[#This Row],[حسابهای دریافتنی]]+Table28[[#This Row],[چکهای در جریان وصول]]+Table28[[#This Row],[چکهای نزد صندوق]]</f>
        <v>6311728820</v>
      </c>
      <c r="G31" s="12">
        <f>IFERROR(INDEX('مانده سوفاله'!F:F,MATCH(Table28[[#This Row],[كد تفصيلي]],'مانده سوفاله'!A:A,0)),0)</f>
        <v>4378</v>
      </c>
    </row>
    <row r="32" spans="1:7" ht="21" customHeight="1" x14ac:dyDescent="0.35">
      <c r="A32" s="27">
        <v>30187</v>
      </c>
      <c r="B32" s="55" t="s">
        <v>369</v>
      </c>
      <c r="C32" s="10">
        <f>IFERROR(INDEX('حسابهای دریافتنی'!H:H,MATCH(Table28[[#This Row],[كد تفصيلي]],'حسابهای دریافتنی'!A:A,0)),0)</f>
        <v>337825500</v>
      </c>
      <c r="D32" s="11">
        <f>IFERROR(INDEX('درجریان وصول'!F:F,MATCH(Table28[[#This Row],[كد تفصيلي]],'درجریان وصول'!A:A,0)),0)</f>
        <v>0</v>
      </c>
      <c r="E32" s="11">
        <f>IFERROR(INDEX('چکهای دریافتنی'!F:F,MATCH(Table28[[#This Row],[كد تفصيلي]],'چکهای دریافتنی'!A:A,0)),0)</f>
        <v>0</v>
      </c>
      <c r="F32" s="11">
        <f>Table28[[#This Row],[حسابهای دریافتنی]]+Table28[[#This Row],[چکهای در جریان وصول]]+Table28[[#This Row],[چکهای نزد صندوق]]</f>
        <v>337825500</v>
      </c>
      <c r="G32" s="12">
        <f>IFERROR(INDEX('مانده سوفاله'!F:F,MATCH(Table28[[#This Row],[كد تفصيلي]],'مانده سوفاله'!A:A,0)),0)</f>
        <v>-108</v>
      </c>
    </row>
    <row r="33" spans="1:7" ht="21" customHeight="1" x14ac:dyDescent="0.35">
      <c r="A33" s="27">
        <v>30155</v>
      </c>
      <c r="B33" s="55" t="s">
        <v>289</v>
      </c>
      <c r="C33" s="10">
        <f>IFERROR(INDEX('حسابهای دریافتنی'!H:H,MATCH(Table28[[#This Row],[كد تفصيلي]],'حسابهای دریافتنی'!A:A,0)),0)</f>
        <v>-454985417</v>
      </c>
      <c r="D33" s="11">
        <f>IFERROR(INDEX('درجریان وصول'!F:F,MATCH(Table28[[#This Row],[كد تفصيلي]],'درجریان وصول'!A:A,0)),0)</f>
        <v>0</v>
      </c>
      <c r="E33" s="11">
        <f>IFERROR(INDEX('چکهای دریافتنی'!F:F,MATCH(Table28[[#This Row],[كد تفصيلي]],'چکهای دریافتنی'!A:A,0)),0)</f>
        <v>1379936267</v>
      </c>
      <c r="F33" s="11">
        <f>Table28[[#This Row],[حسابهای دریافتنی]]+Table28[[#This Row],[چکهای در جریان وصول]]+Table28[[#This Row],[چکهای نزد صندوق]]</f>
        <v>924950850</v>
      </c>
      <c r="G33" s="12">
        <f>IFERROR(INDEX('مانده سوفاله'!F:F,MATCH(Table28[[#This Row],[كد تفصيلي]],'مانده سوفاله'!A:A,0)),0)</f>
        <v>0</v>
      </c>
    </row>
    <row r="34" spans="1:7" ht="21" customHeight="1" x14ac:dyDescent="0.35">
      <c r="A34" s="27">
        <v>30069</v>
      </c>
      <c r="B34" s="55" t="s">
        <v>114</v>
      </c>
      <c r="C34" s="10">
        <f>IFERROR(INDEX('حسابهای دریافتنی'!H:H,MATCH(Table28[[#This Row],[كد تفصيلي]],'حسابهای دریافتنی'!A:A,0)),0)</f>
        <v>377909400</v>
      </c>
      <c r="D34" s="11">
        <f>IFERROR(INDEX('درجریان وصول'!F:F,MATCH(Table28[[#This Row],[كد تفصيلي]],'درجریان وصول'!A:A,0)),0)</f>
        <v>0</v>
      </c>
      <c r="E34" s="11">
        <f>IFERROR(INDEX('چکهای دریافتنی'!F:F,MATCH(Table28[[#This Row],[كد تفصيلي]],'چکهای دریافتنی'!A:A,0)),0)</f>
        <v>0</v>
      </c>
      <c r="F34" s="11">
        <f>Table28[[#This Row],[حسابهای دریافتنی]]+Table28[[#This Row],[چکهای در جریان وصول]]+Table28[[#This Row],[چکهای نزد صندوق]]</f>
        <v>377909400</v>
      </c>
      <c r="G34" s="12">
        <f>IFERROR(INDEX('مانده سوفاله'!F:F,MATCH(Table28[[#This Row],[كد تفصيلي]],'مانده سوفاله'!A:A,0)),0)</f>
        <v>66</v>
      </c>
    </row>
    <row r="35" spans="1:7" ht="21" customHeight="1" x14ac:dyDescent="0.35">
      <c r="A35" s="27">
        <v>10084</v>
      </c>
      <c r="B35" s="55" t="s">
        <v>217</v>
      </c>
      <c r="C35" s="10">
        <f>IFERROR(INDEX('حسابهای دریافتنی'!H:H,MATCH(Table28[[#This Row],[كد تفصيلي]],'حسابهای دریافتنی'!A:A,0)),0)</f>
        <v>358092810</v>
      </c>
      <c r="D35" s="11">
        <f>IFERROR(INDEX('درجریان وصول'!F:F,MATCH(Table28[[#This Row],[كد تفصيلي]],'درجریان وصول'!A:A,0)),0)</f>
        <v>0</v>
      </c>
      <c r="E35" s="11">
        <f>IFERROR(INDEX('چکهای دریافتنی'!F:F,MATCH(Table28[[#This Row],[كد تفصيلي]],'چکهای دریافتنی'!A:A,0)),0)</f>
        <v>870000000</v>
      </c>
      <c r="F35" s="11">
        <f>Table28[[#This Row],[حسابهای دریافتنی]]+Table28[[#This Row],[چکهای در جریان وصول]]+Table28[[#This Row],[چکهای نزد صندوق]]</f>
        <v>1228092810</v>
      </c>
      <c r="G35" s="12">
        <f>IFERROR(INDEX('مانده سوفاله'!F:F,MATCH(Table28[[#This Row],[كد تفصيلي]],'مانده سوفاله'!A:A,0)),0)</f>
        <v>-1656</v>
      </c>
    </row>
    <row r="36" spans="1:7" ht="21" customHeight="1" x14ac:dyDescent="0.35">
      <c r="A36" s="26">
        <v>30124</v>
      </c>
      <c r="B36" s="56" t="s">
        <v>246</v>
      </c>
      <c r="C36" s="10">
        <f>IFERROR(INDEX('حسابهای دریافتنی'!H:H,MATCH(Table28[[#This Row],[كد تفصيلي]],'حسابهای دریافتنی'!A:A,0)),0)</f>
        <v>0</v>
      </c>
      <c r="D36" s="11">
        <f>IFERROR(INDEX('درجریان وصول'!F:F,MATCH(Table28[[#This Row],[كد تفصيلي]],'درجریان وصول'!A:A,0)),0)</f>
        <v>0</v>
      </c>
      <c r="E36" s="11">
        <f>IFERROR(INDEX('چکهای دریافتنی'!F:F,MATCH(Table28[[#This Row],[كد تفصيلي]],'چکهای دریافتنی'!A:A,0)),0)</f>
        <v>505676000</v>
      </c>
      <c r="F36" s="11">
        <f>Table28[[#This Row],[حسابهای دریافتنی]]+Table28[[#This Row],[چکهای در جریان وصول]]+Table28[[#This Row],[چکهای نزد صندوق]]</f>
        <v>505676000</v>
      </c>
      <c r="G36" s="12">
        <f>IFERROR(INDEX('مانده سوفاله'!F:F,MATCH(Table28[[#This Row],[كد تفصيلي]],'مانده سوفاله'!A:A,0)),0)</f>
        <v>1498</v>
      </c>
    </row>
    <row r="37" spans="1:7" ht="21" customHeight="1" x14ac:dyDescent="0.35">
      <c r="A37" s="27">
        <v>30055</v>
      </c>
      <c r="B37" s="55" t="s">
        <v>100</v>
      </c>
      <c r="C37" s="10">
        <f>IFERROR(INDEX('حسابهای دریافتنی'!H:H,MATCH(Table28[[#This Row],[كد تفصيلي]],'حسابهای دریافتنی'!A:A,0)),0)</f>
        <v>0</v>
      </c>
      <c r="D37" s="11">
        <f>IFERROR(INDEX('درجریان وصول'!F:F,MATCH(Table28[[#This Row],[كد تفصيلي]],'درجریان وصول'!A:A,0)),0)</f>
        <v>0</v>
      </c>
      <c r="E37" s="11">
        <f>IFERROR(INDEX('چکهای دریافتنی'!F:F,MATCH(Table28[[#This Row],[كد تفصيلي]],'چکهای دریافتنی'!A:A,0)),0)</f>
        <v>0</v>
      </c>
      <c r="F37" s="11">
        <f>Table28[[#This Row],[حسابهای دریافتنی]]+Table28[[#This Row],[چکهای در جریان وصول]]+Table28[[#This Row],[چکهای نزد صندوق]]</f>
        <v>0</v>
      </c>
      <c r="G37" s="12">
        <f>IFERROR(INDEX('مانده سوفاله'!F:F,MATCH(Table28[[#This Row],[كد تفصيلي]],'مانده سوفاله'!A:A,0)),0)</f>
        <v>48</v>
      </c>
    </row>
    <row r="38" spans="1:7" ht="21" customHeight="1" x14ac:dyDescent="0.35">
      <c r="A38" s="27">
        <v>30101</v>
      </c>
      <c r="B38" s="55" t="s">
        <v>196</v>
      </c>
      <c r="C38" s="10">
        <f>IFERROR(INDEX('حسابهای دریافتنی'!H:H,MATCH(Table28[[#This Row],[كد تفصيلي]],'حسابهای دریافتنی'!A:A,0)),0)</f>
        <v>203336095</v>
      </c>
      <c r="D38" s="11">
        <f>IFERROR(INDEX('درجریان وصول'!F:F,MATCH(Table28[[#This Row],[كد تفصيلي]],'درجریان وصول'!A:A,0)),0)</f>
        <v>0</v>
      </c>
      <c r="E38" s="11">
        <f>IFERROR(INDEX('چکهای دریافتنی'!F:F,MATCH(Table28[[#This Row],[كد تفصيلي]],'چکهای دریافتنی'!A:A,0)),0)</f>
        <v>0</v>
      </c>
      <c r="F38" s="11">
        <f>Table28[[#This Row],[حسابهای دریافتنی]]+Table28[[#This Row],[چکهای در جریان وصول]]+Table28[[#This Row],[چکهای نزد صندوق]]</f>
        <v>203336095</v>
      </c>
      <c r="G38" s="12">
        <f>IFERROR(INDEX('مانده سوفاله'!F:F,MATCH(Table28[[#This Row],[كد تفصيلي]],'مانده سوفاله'!A:A,0)),0)</f>
        <v>15</v>
      </c>
    </row>
    <row r="39" spans="1:7" ht="21" customHeight="1" x14ac:dyDescent="0.35">
      <c r="A39" s="26">
        <v>30086</v>
      </c>
      <c r="B39" s="56" t="s">
        <v>131</v>
      </c>
      <c r="C39" s="10">
        <f>IFERROR(INDEX('حسابهای دریافتنی'!H:H,MATCH(Table28[[#This Row],[كد تفصيلي]],'حسابهای دریافتنی'!A:A,0)),0)</f>
        <v>187376603</v>
      </c>
      <c r="D39" s="11">
        <f>IFERROR(INDEX('درجریان وصول'!F:F,MATCH(Table28[[#This Row],[كد تفصيلي]],'درجریان وصول'!A:A,0)),0)</f>
        <v>0</v>
      </c>
      <c r="E39" s="11">
        <f>IFERROR(INDEX('چکهای دریافتنی'!F:F,MATCH(Table28[[#This Row],[كد تفصيلي]],'چکهای دریافتنی'!A:A,0)),0)</f>
        <v>0</v>
      </c>
      <c r="F39" s="11">
        <f>Table28[[#This Row],[حسابهای دریافتنی]]+Table28[[#This Row],[چکهای در جریان وصول]]+Table28[[#This Row],[چکهای نزد صندوق]]</f>
        <v>187376603</v>
      </c>
      <c r="G39" s="12">
        <f>IFERROR(INDEX('مانده سوفاله'!F:F,MATCH(Table28[[#This Row],[كد تفصيلي]],'مانده سوفاله'!A:A,0)),0)</f>
        <v>1549</v>
      </c>
    </row>
    <row r="40" spans="1:7" ht="21" customHeight="1" x14ac:dyDescent="0.35">
      <c r="A40" s="27">
        <v>30137</v>
      </c>
      <c r="B40" s="55" t="s">
        <v>218</v>
      </c>
      <c r="C40" s="10">
        <f>IFERROR(INDEX('حسابهای دریافتنی'!H:H,MATCH(Table28[[#This Row],[كد تفصيلي]],'حسابهای دریافتنی'!A:A,0)),0)</f>
        <v>0</v>
      </c>
      <c r="D40" s="11">
        <f>IFERROR(INDEX('درجریان وصول'!F:F,MATCH(Table28[[#This Row],[كد تفصيلي]],'درجریان وصول'!A:A,0)),0)</f>
        <v>0</v>
      </c>
      <c r="E40" s="11">
        <f>IFERROR(INDEX('چکهای دریافتنی'!F:F,MATCH(Table28[[#This Row],[كد تفصيلي]],'چکهای دریافتنی'!A:A,0)),0)</f>
        <v>213182200</v>
      </c>
      <c r="F40" s="11">
        <f>Table28[[#This Row],[حسابهای دریافتنی]]+Table28[[#This Row],[چکهای در جریان وصول]]+Table28[[#This Row],[چکهای نزد صندوق]]</f>
        <v>213182200</v>
      </c>
      <c r="G40" s="12">
        <f>IFERROR(INDEX('مانده سوفاله'!F:F,MATCH(Table28[[#This Row],[كد تفصيلي]],'مانده سوفاله'!A:A,0)),0)</f>
        <v>0</v>
      </c>
    </row>
    <row r="41" spans="1:7" ht="21" customHeight="1" x14ac:dyDescent="0.35">
      <c r="A41" s="26">
        <v>30005</v>
      </c>
      <c r="B41" s="56" t="s">
        <v>55</v>
      </c>
      <c r="C41" s="10">
        <f>IFERROR(INDEX('حسابهای دریافتنی'!H:H,MATCH(Table28[[#This Row],[كد تفصيلي]],'حسابهای دریافتنی'!A:A,0)),0)</f>
        <v>35368209</v>
      </c>
      <c r="D41" s="11">
        <f>IFERROR(INDEX('درجریان وصول'!F:F,MATCH(Table28[[#This Row],[كد تفصيلي]],'درجریان وصول'!A:A,0)),0)</f>
        <v>0</v>
      </c>
      <c r="E41" s="11">
        <f>IFERROR(INDEX('چکهای دریافتنی'!F:F,MATCH(Table28[[#This Row],[كد تفصيلي]],'چکهای دریافتنی'!A:A,0)),0)</f>
        <v>0</v>
      </c>
      <c r="F41" s="11">
        <f>Table28[[#This Row],[حسابهای دریافتنی]]+Table28[[#This Row],[چکهای در جریان وصول]]+Table28[[#This Row],[چکهای نزد صندوق]]</f>
        <v>35368209</v>
      </c>
      <c r="G41" s="12">
        <f>IFERROR(INDEX('مانده سوفاله'!F:F,MATCH(Table28[[#This Row],[كد تفصيلي]],'مانده سوفاله'!A:A,0)),0)</f>
        <v>61</v>
      </c>
    </row>
    <row r="42" spans="1:7" ht="21" customHeight="1" x14ac:dyDescent="0.35">
      <c r="A42" s="27">
        <v>30190</v>
      </c>
      <c r="B42" s="55" t="s">
        <v>459</v>
      </c>
      <c r="C42" s="10">
        <f>IFERROR(INDEX('حسابهای دریافتنی'!H:H,MATCH(Table28[[#This Row],[كد تفصيلي]],'حسابهای دریافتنی'!A:A,0)),0)</f>
        <v>328477520</v>
      </c>
      <c r="D42" s="11">
        <f>IFERROR(INDEX('درجریان وصول'!F:F,MATCH(Table28[[#This Row],[كد تفصيلي]],'درجریان وصول'!A:A,0)),0)</f>
        <v>0</v>
      </c>
      <c r="E42" s="11">
        <f>IFERROR(INDEX('چکهای دریافتنی'!F:F,MATCH(Table28[[#This Row],[كد تفصيلي]],'چکهای دریافتنی'!A:A,0)),0)</f>
        <v>0</v>
      </c>
      <c r="F42" s="11">
        <f>Table28[[#This Row],[حسابهای دریافتنی]]+Table28[[#This Row],[چکهای در جریان وصول]]+Table28[[#This Row],[چکهای نزد صندوق]]</f>
        <v>328477520</v>
      </c>
      <c r="G42" s="12">
        <f>IFERROR(INDEX('مانده سوفاله'!F:F,MATCH(Table28[[#This Row],[كد تفصيلي]],'مانده سوفاله'!A:A,0)),0)</f>
        <v>1790</v>
      </c>
    </row>
    <row r="43" spans="1:7" ht="21" customHeight="1" x14ac:dyDescent="0.35">
      <c r="A43" s="27">
        <v>30026</v>
      </c>
      <c r="B43" s="55" t="s">
        <v>74</v>
      </c>
      <c r="C43" s="10">
        <f>IFERROR(INDEX('حسابهای دریافتنی'!H:H,MATCH(Table28[[#This Row],[كد تفصيلي]],'حسابهای دریافتنی'!A:A,0)),0)</f>
        <v>5689439</v>
      </c>
      <c r="D43" s="11">
        <f>IFERROR(INDEX('درجریان وصول'!F:F,MATCH(Table28[[#This Row],[كد تفصيلي]],'درجریان وصول'!A:A,0)),0)</f>
        <v>0</v>
      </c>
      <c r="E43" s="11">
        <f>IFERROR(INDEX('چکهای دریافتنی'!F:F,MATCH(Table28[[#This Row],[كد تفصيلي]],'چکهای دریافتنی'!A:A,0)),0)</f>
        <v>0</v>
      </c>
      <c r="F43" s="11">
        <f>Table28[[#This Row],[حسابهای دریافتنی]]+Table28[[#This Row],[چکهای در جریان وصول]]+Table28[[#This Row],[چکهای نزد صندوق]]</f>
        <v>5689439</v>
      </c>
      <c r="G43" s="12">
        <f>IFERROR(INDEX('مانده سوفاله'!F:F,MATCH(Table28[[#This Row],[كد تفصيلي]],'مانده سوفاله'!A:A,0)),0)</f>
        <v>764</v>
      </c>
    </row>
    <row r="44" spans="1:7" ht="21" customHeight="1" x14ac:dyDescent="0.35">
      <c r="A44" s="26">
        <v>30191</v>
      </c>
      <c r="B44" s="56" t="s">
        <v>460</v>
      </c>
      <c r="C44" s="10">
        <f>IFERROR(INDEX('حسابهای دریافتنی'!H:H,MATCH(Table28[[#This Row],[كد تفصيلي]],'حسابهای دریافتنی'!A:A,0)),0)</f>
        <v>792933000</v>
      </c>
      <c r="D44" s="11">
        <f>IFERROR(INDEX('درجریان وصول'!F:F,MATCH(Table28[[#This Row],[كد تفصيلي]],'درجریان وصول'!A:A,0)),0)</f>
        <v>0</v>
      </c>
      <c r="E44" s="11">
        <f>IFERROR(INDEX('چکهای دریافتنی'!F:F,MATCH(Table28[[#This Row],[كد تفصيلي]],'چکهای دریافتنی'!A:A,0)),0)</f>
        <v>0</v>
      </c>
      <c r="F44" s="11">
        <f>Table28[[#This Row],[حسابهای دریافتنی]]+Table28[[#This Row],[چکهای در جریان وصول]]+Table28[[#This Row],[چکهای نزد صندوق]]</f>
        <v>792933000</v>
      </c>
      <c r="G44" s="12">
        <f>IFERROR(INDEX('مانده سوفاله'!F:F,MATCH(Table28[[#This Row],[كد تفصيلي]],'مانده سوفاله'!A:A,0)),0)</f>
        <v>134</v>
      </c>
    </row>
    <row r="45" spans="1:7" ht="21" customHeight="1" x14ac:dyDescent="0.35">
      <c r="A45" s="26">
        <v>30003</v>
      </c>
      <c r="B45" s="56" t="s">
        <v>53</v>
      </c>
      <c r="C45" s="10">
        <f>IFERROR(INDEX('حسابهای دریافتنی'!H:H,MATCH(Table28[[#This Row],[كد تفصيلي]],'حسابهای دریافتنی'!A:A,0)),0)</f>
        <v>754765900</v>
      </c>
      <c r="D45" s="11">
        <f>IFERROR(INDEX('درجریان وصول'!F:F,MATCH(Table28[[#This Row],[كد تفصيلي]],'درجریان وصول'!A:A,0)),0)</f>
        <v>0</v>
      </c>
      <c r="E45" s="11">
        <f>IFERROR(INDEX('چکهای دریافتنی'!F:F,MATCH(Table28[[#This Row],[كد تفصيلي]],'چکهای دریافتنی'!A:A,0)),0)</f>
        <v>571000000</v>
      </c>
      <c r="F45" s="11">
        <f>Table28[[#This Row],[حسابهای دریافتنی]]+Table28[[#This Row],[چکهای در جریان وصول]]+Table28[[#This Row],[چکهای نزد صندوق]]</f>
        <v>1325765900</v>
      </c>
      <c r="G45" s="12">
        <f>IFERROR(INDEX('مانده سوفاله'!F:F,MATCH(Table28[[#This Row],[كد تفصيلي]],'مانده سوفاله'!A:A,0)),0)</f>
        <v>-3538</v>
      </c>
    </row>
    <row r="46" spans="1:7" ht="21" customHeight="1" x14ac:dyDescent="0.35">
      <c r="A46" s="26">
        <v>30019</v>
      </c>
      <c r="B46" s="56" t="s">
        <v>67</v>
      </c>
      <c r="C46" s="10">
        <f>IFERROR(INDEX('حسابهای دریافتنی'!H:H,MATCH(Table28[[#This Row],[كد تفصيلي]],'حسابهای دریافتنی'!A:A,0)),0)</f>
        <v>823484840</v>
      </c>
      <c r="D46" s="11">
        <f>IFERROR(INDEX('درجریان وصول'!F:F,MATCH(Table28[[#This Row],[كد تفصيلي]],'درجریان وصول'!A:A,0)),0)</f>
        <v>0</v>
      </c>
      <c r="E46" s="11">
        <f>IFERROR(INDEX('چکهای دریافتنی'!F:F,MATCH(Table28[[#This Row],[كد تفصيلي]],'چکهای دریافتنی'!A:A,0)),0)</f>
        <v>0</v>
      </c>
      <c r="F46" s="11">
        <f>Table28[[#This Row],[حسابهای دریافتنی]]+Table28[[#This Row],[چکهای در جریان وصول]]+Table28[[#This Row],[چکهای نزد صندوق]]</f>
        <v>823484840</v>
      </c>
      <c r="G46" s="12">
        <f>IFERROR(INDEX('مانده سوفاله'!F:F,MATCH(Table28[[#This Row],[كد تفصيلي]],'مانده سوفاله'!A:A,0)),0)</f>
        <v>612</v>
      </c>
    </row>
    <row r="47" spans="1:7" ht="21" customHeight="1" x14ac:dyDescent="0.35">
      <c r="A47" s="27">
        <v>10092</v>
      </c>
      <c r="B47" s="55" t="s">
        <v>260</v>
      </c>
      <c r="C47" s="10">
        <f>IFERROR(INDEX('حسابهای دریافتنی'!H:H,MATCH(Table28[[#This Row],[كد تفصيلي]],'حسابهای دریافتنی'!A:A,0)),0)</f>
        <v>-1749946500</v>
      </c>
      <c r="D47" s="11">
        <f>IFERROR(INDEX('درجریان وصول'!F:F,MATCH(Table28[[#This Row],[كد تفصيلي]],'درجریان وصول'!A:A,0)),0)</f>
        <v>0</v>
      </c>
      <c r="E47" s="11">
        <f>IFERROR(INDEX('چکهای دریافتنی'!F:F,MATCH(Table28[[#This Row],[كد تفصيلي]],'چکهای دریافتنی'!A:A,0)),0)</f>
        <v>300000000</v>
      </c>
      <c r="F47" s="11">
        <f>Table28[[#This Row],[حسابهای دریافتنی]]+Table28[[#This Row],[چکهای در جریان وصول]]+Table28[[#This Row],[چکهای نزد صندوق]]</f>
        <v>-1449946500</v>
      </c>
      <c r="G47" s="12">
        <f>IFERROR(INDEX('مانده سوفاله'!F:F,MATCH(Table28[[#This Row],[كد تفصيلي]],'مانده سوفاله'!A:A,0)),0)</f>
        <v>0</v>
      </c>
    </row>
    <row r="48" spans="1:7" ht="21" customHeight="1" x14ac:dyDescent="0.35">
      <c r="A48" s="27">
        <v>10096</v>
      </c>
      <c r="B48" s="55" t="s">
        <v>271</v>
      </c>
      <c r="C48" s="10">
        <f>IFERROR(INDEX('حسابهای دریافتنی'!H:H,MATCH(Table28[[#This Row],[كد تفصيلي]],'حسابهای دریافتنی'!A:A,0)),0)</f>
        <v>36455500</v>
      </c>
      <c r="D48" s="11">
        <f>IFERROR(INDEX('درجریان وصول'!F:F,MATCH(Table28[[#This Row],[كد تفصيلي]],'درجریان وصول'!A:A,0)),0)</f>
        <v>0</v>
      </c>
      <c r="E48" s="11">
        <f>IFERROR(INDEX('چکهای دریافتنی'!F:F,MATCH(Table28[[#This Row],[كد تفصيلي]],'چکهای دریافتنی'!A:A,0)),0)</f>
        <v>0</v>
      </c>
      <c r="F48" s="11">
        <f>Table28[[#This Row],[حسابهای دریافتنی]]+Table28[[#This Row],[چکهای در جریان وصول]]+Table28[[#This Row],[چکهای نزد صندوق]]</f>
        <v>36455500</v>
      </c>
      <c r="G48" s="12">
        <f>IFERROR(INDEX('مانده سوفاله'!F:F,MATCH(Table28[[#This Row],[كد تفصيلي]],'مانده سوفاله'!A:A,0)),0)</f>
        <v>0</v>
      </c>
    </row>
    <row r="49" spans="1:7" ht="21" customHeight="1" x14ac:dyDescent="0.35">
      <c r="A49" s="26">
        <v>30025</v>
      </c>
      <c r="B49" s="56" t="s">
        <v>73</v>
      </c>
      <c r="C49" s="10">
        <f>IFERROR(INDEX('حسابهای دریافتنی'!H:H,MATCH(Table28[[#This Row],[كد تفصيلي]],'حسابهای دریافتنی'!A:A,0)),0)</f>
        <v>35598920</v>
      </c>
      <c r="D49" s="11">
        <f>IFERROR(INDEX('درجریان وصول'!F:F,MATCH(Table28[[#This Row],[كد تفصيلي]],'درجریان وصول'!A:A,0)),0)</f>
        <v>0</v>
      </c>
      <c r="E49" s="11">
        <f>IFERROR(INDEX('چکهای دریافتنی'!F:F,MATCH(Table28[[#This Row],[كد تفصيلي]],'چکهای دریافتنی'!A:A,0)),0)</f>
        <v>0</v>
      </c>
      <c r="F49" s="11">
        <f>Table28[[#This Row],[حسابهای دریافتنی]]+Table28[[#This Row],[چکهای در جریان وصول]]+Table28[[#This Row],[چکهای نزد صندوق]]</f>
        <v>35598920</v>
      </c>
      <c r="G49" s="12">
        <f>IFERROR(INDEX('مانده سوفاله'!F:F,MATCH(Table28[[#This Row],[كد تفصيلي]],'مانده سوفاله'!A:A,0)),0)</f>
        <v>-165</v>
      </c>
    </row>
    <row r="50" spans="1:7" ht="21" customHeight="1" x14ac:dyDescent="0.35">
      <c r="A50" s="27">
        <v>30093</v>
      </c>
      <c r="B50" s="55" t="s">
        <v>151</v>
      </c>
      <c r="C50" s="10">
        <f>IFERROR(INDEX('حسابهای دریافتنی'!H:H,MATCH(Table28[[#This Row],[كد تفصيلي]],'حسابهای دریافتنی'!A:A,0)),0)</f>
        <v>0</v>
      </c>
      <c r="D50" s="11">
        <f>IFERROR(INDEX('درجریان وصول'!F:F,MATCH(Table28[[#This Row],[كد تفصيلي]],'درجریان وصول'!A:A,0)),0)</f>
        <v>0</v>
      </c>
      <c r="E50" s="11">
        <f>IFERROR(INDEX('چکهای دریافتنی'!F:F,MATCH(Table28[[#This Row],[كد تفصيلي]],'چکهای دریافتنی'!A:A,0)),0)</f>
        <v>0</v>
      </c>
      <c r="F50" s="11">
        <f>Table28[[#This Row],[حسابهای دریافتنی]]+Table28[[#This Row],[چکهای در جریان وصول]]+Table28[[#This Row],[چکهای نزد صندوق]]</f>
        <v>0</v>
      </c>
      <c r="G50" s="12">
        <v>77</v>
      </c>
    </row>
    <row r="51" spans="1:7" ht="21" customHeight="1" x14ac:dyDescent="0.35">
      <c r="A51" s="26">
        <v>30172</v>
      </c>
      <c r="B51" s="56" t="s">
        <v>323</v>
      </c>
      <c r="C51" s="10">
        <f>IFERROR(INDEX('حسابهای دریافتنی'!H:H,MATCH(Table28[[#This Row],[كد تفصيلي]],'حسابهای دریافتنی'!A:A,0)),0)</f>
        <v>0</v>
      </c>
      <c r="D51" s="11">
        <f>IFERROR(INDEX('درجریان وصول'!F:F,MATCH(Table28[[#This Row],[كد تفصيلي]],'درجریان وصول'!A:A,0)),0)</f>
        <v>0</v>
      </c>
      <c r="E51" s="11">
        <f>IFERROR(INDEX('چکهای دریافتنی'!F:F,MATCH(Table28[[#This Row],[كد تفصيلي]],'چکهای دریافتنی'!A:A,0)),0)</f>
        <v>0</v>
      </c>
      <c r="F51" s="11">
        <f>Table28[[#This Row],[حسابهای دریافتنی]]+Table28[[#This Row],[چکهای در جریان وصول]]+Table28[[#This Row],[چکهای نزد صندوق]]</f>
        <v>0</v>
      </c>
      <c r="G51" s="12">
        <f>IFERROR(INDEX('مانده سوفاله'!F:F,MATCH(Table28[[#This Row],[كد تفصيلي]],'مانده سوفاله'!A:A,0)),0)</f>
        <v>0</v>
      </c>
    </row>
    <row r="52" spans="1:7" ht="21" customHeight="1" x14ac:dyDescent="0.35">
      <c r="A52" s="27">
        <v>30008</v>
      </c>
      <c r="B52" s="55" t="s">
        <v>58</v>
      </c>
      <c r="C52" s="10">
        <f>IFERROR(INDEX('حسابهای دریافتنی'!H:H,MATCH(Table28[[#This Row],[كد تفصيلي]],'حسابهای دریافتنی'!A:A,0)),0)</f>
        <v>15520000</v>
      </c>
      <c r="D52" s="11">
        <f>IFERROR(INDEX('درجریان وصول'!F:F,MATCH(Table28[[#This Row],[كد تفصيلي]],'درجریان وصول'!A:A,0)),0)</f>
        <v>0</v>
      </c>
      <c r="E52" s="11">
        <f>IFERROR(INDEX('چکهای دریافتنی'!F:F,MATCH(Table28[[#This Row],[كد تفصيلي]],'چکهای دریافتنی'!A:A,0)),0)</f>
        <v>0</v>
      </c>
      <c r="F52" s="11">
        <f>Table28[[#This Row],[حسابهای دریافتنی]]+Table28[[#This Row],[چکهای در جریان وصول]]+Table28[[#This Row],[چکهای نزد صندوق]]</f>
        <v>15520000</v>
      </c>
      <c r="G52" s="12">
        <f>IFERROR(INDEX('مانده سوفاله'!F:F,MATCH(Table28[[#This Row],[كد تفصيلي]],'مانده سوفاله'!A:A,0)),0)</f>
        <v>0</v>
      </c>
    </row>
    <row r="53" spans="1:7" ht="21" customHeight="1" x14ac:dyDescent="0.35">
      <c r="A53" s="26">
        <v>10007</v>
      </c>
      <c r="B53" s="56" t="s">
        <v>14</v>
      </c>
      <c r="C53" s="10">
        <f>IFERROR(INDEX('حسابهای دریافتنی'!H:H,MATCH(Table28[[#This Row],[كد تفصيلي]],'حسابهای دریافتنی'!A:A,0)),0)</f>
        <v>12770000</v>
      </c>
      <c r="D53" s="11">
        <f>IFERROR(INDEX('درجریان وصول'!F:F,MATCH(Table28[[#This Row],[كد تفصيلي]],'درجریان وصول'!A:A,0)),0)</f>
        <v>0</v>
      </c>
      <c r="E53" s="11">
        <f>IFERROR(INDEX('چکهای دریافتنی'!F:F,MATCH(Table28[[#This Row],[كد تفصيلي]],'چکهای دریافتنی'!A:A,0)),0)</f>
        <v>0</v>
      </c>
      <c r="F53" s="11">
        <f>Table28[[#This Row],[حسابهای دریافتنی]]+Table28[[#This Row],[چکهای در جریان وصول]]+Table28[[#This Row],[چکهای نزد صندوق]]</f>
        <v>12770000</v>
      </c>
      <c r="G53" s="12">
        <f>IFERROR(INDEX('مانده سوفاله'!F:F,MATCH(Table28[[#This Row],[كد تفصيلي]],'مانده سوفاله'!A:A,0)),0)</f>
        <v>-52.5</v>
      </c>
    </row>
    <row r="54" spans="1:7" ht="21" customHeight="1" x14ac:dyDescent="0.35">
      <c r="A54" s="27">
        <v>30012</v>
      </c>
      <c r="B54" s="55" t="s">
        <v>61</v>
      </c>
      <c r="C54" s="10">
        <f>IFERROR(INDEX('حسابهای دریافتنی'!H:H,MATCH(Table28[[#This Row],[كد تفصيلي]],'حسابهای دریافتنی'!A:A,0)),0)</f>
        <v>-46099000</v>
      </c>
      <c r="D54" s="11">
        <f>IFERROR(INDEX('درجریان وصول'!F:F,MATCH(Table28[[#This Row],[كد تفصيلي]],'درجریان وصول'!A:A,0)),0)</f>
        <v>0</v>
      </c>
      <c r="E54" s="11">
        <f>IFERROR(INDEX('چکهای دریافتنی'!F:F,MATCH(Table28[[#This Row],[كد تفصيلي]],'چکهای دریافتنی'!A:A,0)),0)</f>
        <v>348650000</v>
      </c>
      <c r="F54" s="11">
        <f>Table28[[#This Row],[حسابهای دریافتنی]]+Table28[[#This Row],[چکهای در جریان وصول]]+Table28[[#This Row],[چکهای نزد صندوق]]</f>
        <v>302551000</v>
      </c>
      <c r="G54" s="12">
        <f>IFERROR(INDEX('مانده سوفاله'!F:F,MATCH(Table28[[#This Row],[كد تفصيلي]],'مانده سوفاله'!A:A,0)),0)</f>
        <v>141</v>
      </c>
    </row>
    <row r="55" spans="1:7" ht="21" customHeight="1" x14ac:dyDescent="0.35">
      <c r="A55" s="26">
        <v>50000</v>
      </c>
      <c r="B55" s="56" t="s">
        <v>447</v>
      </c>
      <c r="C55" s="10">
        <f>IFERROR(INDEX('حسابهای دریافتنی'!H:H,MATCH(Table28[[#This Row],[كد تفصيلي]],'حسابهای دریافتنی'!A:A,0)),0)</f>
        <v>0</v>
      </c>
      <c r="D55" s="11">
        <f>IFERROR(INDEX('درجریان وصول'!F:F,MATCH(Table28[[#This Row],[كد تفصيلي]],'درجریان وصول'!A:A,0)),0)</f>
        <v>0</v>
      </c>
      <c r="E55" s="11">
        <f>IFERROR(INDEX('چکهای دریافتنی'!F:F,MATCH(Table28[[#This Row],[كد تفصيلي]],'چکهای دریافتنی'!A:A,0)),0)</f>
        <v>0</v>
      </c>
      <c r="F55" s="11">
        <f>Table28[[#This Row],[حسابهای دریافتنی]]+Table28[[#This Row],[چکهای در جریان وصول]]+Table28[[#This Row],[چکهای نزد صندوق]]</f>
        <v>0</v>
      </c>
      <c r="G55" s="12">
        <f>IFERROR(INDEX('مانده سوفاله'!F:F,MATCH(Table28[[#This Row],[كد تفصيلي]],'مانده سوفاله'!A:A,0)),0)</f>
        <v>0</v>
      </c>
    </row>
    <row r="56" spans="1:7" ht="21" customHeight="1" x14ac:dyDescent="0.35">
      <c r="A56" s="26">
        <v>10101</v>
      </c>
      <c r="B56" s="56" t="s">
        <v>281</v>
      </c>
      <c r="C56" s="10">
        <f>IFERROR(INDEX('حسابهای دریافتنی'!H:H,MATCH(Table28[[#This Row],[كد تفصيلي]],'حسابهای دریافتنی'!A:A,0)),0)</f>
        <v>0</v>
      </c>
      <c r="D56" s="11">
        <f>IFERROR(INDEX('درجریان وصول'!F:F,MATCH(Table28[[#This Row],[كد تفصيلي]],'درجریان وصول'!A:A,0)),0)</f>
        <v>0</v>
      </c>
      <c r="E56" s="11">
        <f>IFERROR(INDEX('چکهای دریافتنی'!F:F,MATCH(Table28[[#This Row],[كد تفصيلي]],'چکهای دریافتنی'!A:A,0)),0)</f>
        <v>0</v>
      </c>
      <c r="F56" s="11">
        <f>Table28[[#This Row],[حسابهای دریافتنی]]+Table28[[#This Row],[چکهای در جریان وصول]]+Table28[[#This Row],[چکهای نزد صندوق]]</f>
        <v>0</v>
      </c>
      <c r="G56" s="12">
        <f>IFERROR(INDEX('مانده سوفاله'!F:F,MATCH(Table28[[#This Row],[كد تفصيلي]],'مانده سوفاله'!A:A,0)),0)</f>
        <v>0</v>
      </c>
    </row>
    <row r="57" spans="1:7" ht="21" customHeight="1" x14ac:dyDescent="0.35">
      <c r="A57" s="27">
        <v>30145</v>
      </c>
      <c r="B57" s="55" t="s">
        <v>265</v>
      </c>
      <c r="C57" s="10">
        <f>IFERROR(INDEX('حسابهای دریافتنی'!H:H,MATCH(Table28[[#This Row],[كد تفصيلي]],'حسابهای دریافتنی'!A:A,0)),0)</f>
        <v>6442500</v>
      </c>
      <c r="D57" s="11">
        <f>IFERROR(INDEX('درجریان وصول'!F:F,MATCH(Table28[[#This Row],[كد تفصيلي]],'درجریان وصول'!A:A,0)),0)</f>
        <v>0</v>
      </c>
      <c r="E57" s="11">
        <f>IFERROR(INDEX('چکهای دریافتنی'!F:F,MATCH(Table28[[#This Row],[كد تفصيلي]],'چکهای دریافتنی'!A:A,0)),0)</f>
        <v>0</v>
      </c>
      <c r="F57" s="11">
        <f>Table28[[#This Row],[حسابهای دریافتنی]]+Table28[[#This Row],[چکهای در جریان وصول]]+Table28[[#This Row],[چکهای نزد صندوق]]</f>
        <v>6442500</v>
      </c>
      <c r="G57" s="12">
        <f>IFERROR(INDEX('مانده سوفاله'!F:F,MATCH(Table28[[#This Row],[كد تفصيلي]],'مانده سوفاله'!A:A,0)),0)</f>
        <v>0</v>
      </c>
    </row>
    <row r="58" spans="1:7" ht="21" customHeight="1" x14ac:dyDescent="0.35">
      <c r="A58" s="26">
        <v>30047</v>
      </c>
      <c r="B58" s="56" t="s">
        <v>94</v>
      </c>
      <c r="C58" s="10">
        <f>IFERROR(INDEX('حسابهای دریافتنی'!H:H,MATCH(Table28[[#This Row],[كد تفصيلي]],'حسابهای دریافتنی'!A:A,0)),0)</f>
        <v>5794900</v>
      </c>
      <c r="D58" s="11">
        <f>IFERROR(INDEX('درجریان وصول'!F:F,MATCH(Table28[[#This Row],[كد تفصيلي]],'درجریان وصول'!A:A,0)),0)</f>
        <v>0</v>
      </c>
      <c r="E58" s="11">
        <f>IFERROR(INDEX('چکهای دریافتنی'!F:F,MATCH(Table28[[#This Row],[كد تفصيلي]],'چکهای دریافتنی'!A:A,0)),0)</f>
        <v>0</v>
      </c>
      <c r="F58" s="11">
        <f>Table28[[#This Row],[حسابهای دریافتنی]]+Table28[[#This Row],[چکهای در جریان وصول]]+Table28[[#This Row],[چکهای نزد صندوق]]</f>
        <v>5794900</v>
      </c>
      <c r="G58" s="12">
        <f>IFERROR(INDEX('مانده سوفاله'!F:F,MATCH(Table28[[#This Row],[كد تفصيلي]],'مانده سوفاله'!A:A,0)),0)</f>
        <v>-630</v>
      </c>
    </row>
    <row r="59" spans="1:7" ht="21" customHeight="1" x14ac:dyDescent="0.35">
      <c r="A59" s="26">
        <v>30011</v>
      </c>
      <c r="B59" s="56" t="s">
        <v>60</v>
      </c>
      <c r="C59" s="10">
        <f>IFERROR(INDEX('حسابهای دریافتنی'!H:H,MATCH(Table28[[#This Row],[كد تفصيلي]],'حسابهای دریافتنی'!A:A,0)),0)</f>
        <v>5595200</v>
      </c>
      <c r="D59" s="11">
        <f>IFERROR(INDEX('درجریان وصول'!F:F,MATCH(Table28[[#This Row],[كد تفصيلي]],'درجریان وصول'!A:A,0)),0)</f>
        <v>0</v>
      </c>
      <c r="E59" s="11">
        <f>IFERROR(INDEX('چکهای دریافتنی'!F:F,MATCH(Table28[[#This Row],[كد تفصيلي]],'چکهای دریافتنی'!A:A,0)),0)</f>
        <v>0</v>
      </c>
      <c r="F59" s="11">
        <f>Table28[[#This Row],[حسابهای دریافتنی]]+Table28[[#This Row],[چکهای در جریان وصول]]+Table28[[#This Row],[چکهای نزد صندوق]]</f>
        <v>5595200</v>
      </c>
      <c r="G59" s="12">
        <f>IFERROR(INDEX('مانده سوفاله'!F:F,MATCH(Table28[[#This Row],[كد تفصيلي]],'مانده سوفاله'!A:A,0)),0)</f>
        <v>-5</v>
      </c>
    </row>
    <row r="60" spans="1:7" ht="21" customHeight="1" x14ac:dyDescent="0.35">
      <c r="A60" s="27">
        <v>10080</v>
      </c>
      <c r="B60" s="55" t="s">
        <v>214</v>
      </c>
      <c r="C60" s="10">
        <f>IFERROR(INDEX('حسابهای دریافتنی'!H:H,MATCH(Table28[[#This Row],[كد تفصيلي]],'حسابهای دریافتنی'!A:A,0)),0)</f>
        <v>5395000</v>
      </c>
      <c r="D60" s="11">
        <f>IFERROR(INDEX('درجریان وصول'!F:F,MATCH(Table28[[#This Row],[كد تفصيلي]],'درجریان وصول'!A:A,0)),0)</f>
        <v>0</v>
      </c>
      <c r="E60" s="11">
        <f>IFERROR(INDEX('چکهای دریافتنی'!F:F,MATCH(Table28[[#This Row],[كد تفصيلي]],'چکهای دریافتنی'!A:A,0)),0)</f>
        <v>0</v>
      </c>
      <c r="F60" s="11">
        <f>Table28[[#This Row],[حسابهای دریافتنی]]+Table28[[#This Row],[چکهای در جریان وصول]]+Table28[[#This Row],[چکهای نزد صندوق]]</f>
        <v>5395000</v>
      </c>
      <c r="G60" s="12">
        <f>IFERROR(INDEX('مانده سوفاله'!F:F,MATCH(Table28[[#This Row],[كد تفصيلي]],'مانده سوفاله'!A:A,0)),0)</f>
        <v>0</v>
      </c>
    </row>
    <row r="61" spans="1:7" ht="21" customHeight="1" x14ac:dyDescent="0.35">
      <c r="A61" s="26">
        <v>30114</v>
      </c>
      <c r="B61" s="56" t="s">
        <v>175</v>
      </c>
      <c r="C61" s="10">
        <f>IFERROR(INDEX('حسابهای دریافتنی'!H:H,MATCH(Table28[[#This Row],[كد تفصيلي]],'حسابهای دریافتنی'!A:A,0)),0)</f>
        <v>5385600</v>
      </c>
      <c r="D61" s="11">
        <f>IFERROR(INDEX('درجریان وصول'!F:F,MATCH(Table28[[#This Row],[كد تفصيلي]],'درجریان وصول'!A:A,0)),0)</f>
        <v>0</v>
      </c>
      <c r="E61" s="11">
        <f>IFERROR(INDEX('چکهای دریافتنی'!F:F,MATCH(Table28[[#This Row],[كد تفصيلي]],'چکهای دریافتنی'!A:A,0)),0)</f>
        <v>0</v>
      </c>
      <c r="F61" s="11">
        <f>Table28[[#This Row],[حسابهای دریافتنی]]+Table28[[#This Row],[چکهای در جریان وصول]]+Table28[[#This Row],[چکهای نزد صندوق]]</f>
        <v>5385600</v>
      </c>
      <c r="G61" s="12">
        <f>IFERROR(INDEX('مانده سوفاله'!F:F,MATCH(Table28[[#This Row],[كد تفصيلي]],'مانده سوفاله'!A:A,0)),0)</f>
        <v>0</v>
      </c>
    </row>
    <row r="62" spans="1:7" ht="21" customHeight="1" x14ac:dyDescent="0.35">
      <c r="A62" s="27">
        <v>30123</v>
      </c>
      <c r="B62" s="55" t="s">
        <v>208</v>
      </c>
      <c r="C62" s="10">
        <f>IFERROR(INDEX('حسابهای دریافتنی'!H:H,MATCH(Table28[[#This Row],[كد تفصيلي]],'حسابهای دریافتنی'!A:A,0)),0)</f>
        <v>4138250</v>
      </c>
      <c r="D62" s="11">
        <f>IFERROR(INDEX('درجریان وصول'!F:F,MATCH(Table28[[#This Row],[كد تفصيلي]],'درجریان وصول'!A:A,0)),0)</f>
        <v>0</v>
      </c>
      <c r="E62" s="11">
        <f>IFERROR(INDEX('چکهای دریافتنی'!F:F,MATCH(Table28[[#This Row],[كد تفصيلي]],'چکهای دریافتنی'!A:A,0)),0)</f>
        <v>0</v>
      </c>
      <c r="F62" s="11">
        <f>Table28[[#This Row],[حسابهای دریافتنی]]+Table28[[#This Row],[چکهای در جریان وصول]]+Table28[[#This Row],[چکهای نزد صندوق]]</f>
        <v>4138250</v>
      </c>
      <c r="G62" s="12">
        <f>IFERROR(INDEX('مانده سوفاله'!F:F,MATCH(Table28[[#This Row],[كد تفصيلي]],'مانده سوفاله'!A:A,0)),0)</f>
        <v>-20</v>
      </c>
    </row>
    <row r="63" spans="1:7" ht="21" customHeight="1" x14ac:dyDescent="0.35">
      <c r="A63" s="26">
        <v>10116</v>
      </c>
      <c r="B63" s="56" t="s">
        <v>321</v>
      </c>
      <c r="C63" s="10">
        <f>IFERROR(INDEX('حسابهای دریافتنی'!H:H,MATCH(Table28[[#This Row],[كد تفصيلي]],'حسابهای دریافتنی'!A:A,0)),0)</f>
        <v>3892500</v>
      </c>
      <c r="D63" s="11">
        <f>IFERROR(INDEX('درجریان وصول'!F:F,MATCH(Table28[[#This Row],[كد تفصيلي]],'درجریان وصول'!A:A,0)),0)</f>
        <v>0</v>
      </c>
      <c r="E63" s="11">
        <f>IFERROR(INDEX('چکهای دریافتنی'!F:F,MATCH(Table28[[#This Row],[كد تفصيلي]],'چکهای دریافتنی'!A:A,0)),0)</f>
        <v>0</v>
      </c>
      <c r="F63" s="11">
        <f>Table28[[#This Row],[حسابهای دریافتنی]]+Table28[[#This Row],[چکهای در جریان وصول]]+Table28[[#This Row],[چکهای نزد صندوق]]</f>
        <v>3892500</v>
      </c>
      <c r="G63" s="12">
        <f>IFERROR(INDEX('مانده سوفاله'!F:F,MATCH(Table28[[#This Row],[كد تفصيلي]],'مانده سوفاله'!A:A,0)),0)</f>
        <v>0</v>
      </c>
    </row>
    <row r="64" spans="1:7" ht="21" customHeight="1" x14ac:dyDescent="0.35">
      <c r="A64" s="27">
        <v>10030</v>
      </c>
      <c r="B64" s="55" t="s">
        <v>36</v>
      </c>
      <c r="C64" s="10">
        <f>IFERROR(INDEX('حسابهای دریافتنی'!H:H,MATCH(Table28[[#This Row],[كد تفصيلي]],'حسابهای دریافتنی'!A:A,0)),0)</f>
        <v>3272000</v>
      </c>
      <c r="D64" s="11">
        <f>IFERROR(INDEX('درجریان وصول'!F:F,MATCH(Table28[[#This Row],[كد تفصيلي]],'درجریان وصول'!A:A,0)),0)</f>
        <v>0</v>
      </c>
      <c r="E64" s="11">
        <f>IFERROR(INDEX('چکهای دریافتنی'!F:F,MATCH(Table28[[#This Row],[كد تفصيلي]],'چکهای دریافتنی'!A:A,0)),0)</f>
        <v>0</v>
      </c>
      <c r="F64" s="11">
        <f>Table28[[#This Row],[حسابهای دریافتنی]]+Table28[[#This Row],[چکهای در جریان وصول]]+Table28[[#This Row],[چکهای نزد صندوق]]</f>
        <v>3272000</v>
      </c>
      <c r="G64" s="12">
        <f>IFERROR(INDEX('مانده سوفاله'!F:F,MATCH(Table28[[#This Row],[كد تفصيلي]],'مانده سوفاله'!A:A,0)),0)</f>
        <v>-222</v>
      </c>
    </row>
    <row r="65" spans="1:7" ht="21" customHeight="1" x14ac:dyDescent="0.35">
      <c r="A65" s="26">
        <v>30001</v>
      </c>
      <c r="B65" s="56" t="s">
        <v>190</v>
      </c>
      <c r="C65" s="10">
        <f>IFERROR(INDEX('حسابهای دریافتنی'!H:H,MATCH(Table28[[#This Row],[كد تفصيلي]],'حسابهای دریافتنی'!A:A,0)),0)</f>
        <v>119647176</v>
      </c>
      <c r="D65" s="11">
        <f>IFERROR(INDEX('درجریان وصول'!F:F,MATCH(Table28[[#This Row],[كد تفصيلي]],'درجریان وصول'!A:A,0)),0)</f>
        <v>0</v>
      </c>
      <c r="E65" s="11">
        <f>IFERROR(INDEX('چکهای دریافتنی'!F:F,MATCH(Table28[[#This Row],[كد تفصيلي]],'چکهای دریافتنی'!A:A,0)),0)</f>
        <v>0</v>
      </c>
      <c r="F65" s="11">
        <f>Table28[[#This Row],[حسابهای دریافتنی]]+Table28[[#This Row],[چکهای در جریان وصول]]+Table28[[#This Row],[چکهای نزد صندوق]]</f>
        <v>119647176</v>
      </c>
      <c r="G65" s="12">
        <f>IFERROR(INDEX('مانده سوفاله'!F:F,MATCH(Table28[[#This Row],[كد تفصيلي]],'مانده سوفاله'!A:A,0)),0)</f>
        <v>123</v>
      </c>
    </row>
    <row r="66" spans="1:7" ht="21" customHeight="1" x14ac:dyDescent="0.35">
      <c r="A66" s="26">
        <v>30178</v>
      </c>
      <c r="B66" s="56" t="s">
        <v>335</v>
      </c>
      <c r="C66" s="10">
        <f>IFERROR(INDEX('حسابهای دریافتنی'!H:H,MATCH(Table28[[#This Row],[كد تفصيلي]],'حسابهای دریافتنی'!A:A,0)),0)</f>
        <v>3040000</v>
      </c>
      <c r="D66" s="11">
        <f>IFERROR(INDEX('درجریان وصول'!F:F,MATCH(Table28[[#This Row],[كد تفصيلي]],'درجریان وصول'!A:A,0)),0)</f>
        <v>0</v>
      </c>
      <c r="E66" s="11">
        <f>IFERROR(INDEX('چکهای دریافتنی'!F:F,MATCH(Table28[[#This Row],[كد تفصيلي]],'چکهای دریافتنی'!A:A,0)),0)</f>
        <v>0</v>
      </c>
      <c r="F66" s="11">
        <f>Table28[[#This Row],[حسابهای دریافتنی]]+Table28[[#This Row],[چکهای در جریان وصول]]+Table28[[#This Row],[چکهای نزد صندوق]]</f>
        <v>3040000</v>
      </c>
      <c r="G66" s="12">
        <f>IFERROR(INDEX('مانده سوفاله'!F:F,MATCH(Table28[[#This Row],[كد تفصيلي]],'مانده سوفاله'!A:A,0)),0)</f>
        <v>0</v>
      </c>
    </row>
    <row r="67" spans="1:7" ht="21" customHeight="1" x14ac:dyDescent="0.35">
      <c r="A67" s="26">
        <v>30138</v>
      </c>
      <c r="B67" s="56" t="s">
        <v>252</v>
      </c>
      <c r="C67" s="10">
        <f>IFERROR(INDEX('حسابهای دریافتنی'!H:H,MATCH(Table28[[#This Row],[كد تفصيلي]],'حسابهای دریافتنی'!A:A,0)),0)</f>
        <v>0</v>
      </c>
      <c r="D67" s="11">
        <f>IFERROR(INDEX('درجریان وصول'!F:F,MATCH(Table28[[#This Row],[كد تفصيلي]],'درجریان وصول'!A:A,0)),0)</f>
        <v>0</v>
      </c>
      <c r="E67" s="11">
        <f>IFERROR(INDEX('چکهای دریافتنی'!F:F,MATCH(Table28[[#This Row],[كد تفصيلي]],'چکهای دریافتنی'!A:A,0)),0)</f>
        <v>0</v>
      </c>
      <c r="F67" s="11">
        <f>Table28[[#This Row],[حسابهای دریافتنی]]+Table28[[#This Row],[چکهای در جریان وصول]]+Table28[[#This Row],[چکهای نزد صندوق]]</f>
        <v>0</v>
      </c>
      <c r="G67" s="12">
        <f>IFERROR(INDEX('مانده سوفاله'!F:F,MATCH(Table28[[#This Row],[كد تفصيلي]],'مانده سوفاله'!A:A,0)),0)</f>
        <v>0</v>
      </c>
    </row>
    <row r="68" spans="1:7" ht="21" customHeight="1" x14ac:dyDescent="0.35">
      <c r="A68" s="27">
        <v>10032</v>
      </c>
      <c r="B68" s="55" t="s">
        <v>38</v>
      </c>
      <c r="C68" s="10">
        <f>IFERROR(INDEX('حسابهای دریافتنی'!H:H,MATCH(Table28[[#This Row],[كد تفصيلي]],'حسابهای دریافتنی'!A:A,0)),0)</f>
        <v>0</v>
      </c>
      <c r="D68" s="11">
        <f>IFERROR(INDEX('درجریان وصول'!F:F,MATCH(Table28[[#This Row],[كد تفصيلي]],'درجریان وصول'!A:A,0)),0)</f>
        <v>0</v>
      </c>
      <c r="E68" s="11">
        <f>IFERROR(INDEX('چکهای دریافتنی'!F:F,MATCH(Table28[[#This Row],[كد تفصيلي]],'چکهای دریافتنی'!A:A,0)),0)</f>
        <v>0</v>
      </c>
      <c r="F68" s="11">
        <f>Table28[[#This Row],[حسابهای دریافتنی]]+Table28[[#This Row],[چکهای در جریان وصول]]+Table28[[#This Row],[چکهای نزد صندوق]]</f>
        <v>0</v>
      </c>
      <c r="G68" s="12">
        <f>IFERROR(INDEX('مانده سوفاله'!F:F,MATCH(Table28[[#This Row],[كد تفصيلي]],'مانده سوفاله'!A:A,0)),0)</f>
        <v>0</v>
      </c>
    </row>
    <row r="69" spans="1:7" ht="21" customHeight="1" x14ac:dyDescent="0.35">
      <c r="A69" s="27">
        <v>10004</v>
      </c>
      <c r="B69" s="55" t="s">
        <v>11</v>
      </c>
      <c r="C69" s="10">
        <f>IFERROR(INDEX('حسابهای دریافتنی'!H:H,MATCH(Table28[[#This Row],[كد تفصيلي]],'حسابهای دریافتنی'!A:A,0)),0)</f>
        <v>853000</v>
      </c>
      <c r="D69" s="11">
        <f>IFERROR(INDEX('درجریان وصول'!F:F,MATCH(Table28[[#This Row],[كد تفصيلي]],'درجریان وصول'!A:A,0)),0)</f>
        <v>0</v>
      </c>
      <c r="E69" s="11">
        <f>IFERROR(INDEX('چکهای دریافتنی'!F:F,MATCH(Table28[[#This Row],[كد تفصيلي]],'چکهای دریافتنی'!A:A,0)),0)</f>
        <v>341000000</v>
      </c>
      <c r="F69" s="11">
        <f>Table28[[#This Row],[حسابهای دریافتنی]]+Table28[[#This Row],[چکهای در جریان وصول]]+Table28[[#This Row],[چکهای نزد صندوق]]</f>
        <v>341853000</v>
      </c>
      <c r="G69" s="12">
        <f>IFERROR(INDEX('مانده سوفاله'!F:F,MATCH(Table28[[#This Row],[كد تفصيلي]],'مانده سوفاله'!A:A,0)),0)</f>
        <v>-12</v>
      </c>
    </row>
    <row r="70" spans="1:7" ht="21" customHeight="1" x14ac:dyDescent="0.35">
      <c r="A70" s="26">
        <v>30084</v>
      </c>
      <c r="B70" s="56" t="s">
        <v>129</v>
      </c>
      <c r="C70" s="10">
        <f>IFERROR(INDEX('حسابهای دریافتنی'!H:H,MATCH(Table28[[#This Row],[كد تفصيلي]],'حسابهای دریافتنی'!A:A,0)),0)</f>
        <v>1220000</v>
      </c>
      <c r="D70" s="11">
        <f>IFERROR(INDEX('درجریان وصول'!F:F,MATCH(Table28[[#This Row],[كد تفصيلي]],'درجریان وصول'!A:A,0)),0)</f>
        <v>0</v>
      </c>
      <c r="E70" s="11">
        <f>IFERROR(INDEX('چکهای دریافتنی'!F:F,MATCH(Table28[[#This Row],[كد تفصيلي]],'چکهای دریافتنی'!A:A,0)),0)</f>
        <v>0</v>
      </c>
      <c r="F70" s="11">
        <f>Table28[[#This Row],[حسابهای دریافتنی]]+Table28[[#This Row],[چکهای در جریان وصول]]+Table28[[#This Row],[چکهای نزد صندوق]]</f>
        <v>1220000</v>
      </c>
      <c r="G70" s="12">
        <f>IFERROR(INDEX('مانده سوفاله'!F:F,MATCH(Table28[[#This Row],[كد تفصيلي]],'مانده سوفاله'!A:A,0)),0)</f>
        <v>0</v>
      </c>
    </row>
    <row r="71" spans="1:7" ht="21" customHeight="1" x14ac:dyDescent="0.35">
      <c r="A71" s="27">
        <v>10076</v>
      </c>
      <c r="B71" s="55" t="s">
        <v>182</v>
      </c>
      <c r="C71" s="10">
        <f>IFERROR(INDEX('حسابهای دریافتنی'!H:H,MATCH(Table28[[#This Row],[كد تفصيلي]],'حسابهای دریافتنی'!A:A,0)),0)</f>
        <v>0</v>
      </c>
      <c r="D71" s="11">
        <f>IFERROR(INDEX('درجریان وصول'!F:F,MATCH(Table28[[#This Row],[كد تفصيلي]],'درجریان وصول'!A:A,0)),0)</f>
        <v>0</v>
      </c>
      <c r="E71" s="11">
        <f>IFERROR(INDEX('چکهای دریافتنی'!F:F,MATCH(Table28[[#This Row],[كد تفصيلي]],'چکهای دریافتنی'!A:A,0)),0)</f>
        <v>0</v>
      </c>
      <c r="F71" s="11">
        <f>Table28[[#This Row],[حسابهای دریافتنی]]+Table28[[#This Row],[چکهای در جریان وصول]]+Table28[[#This Row],[چکهای نزد صندوق]]</f>
        <v>0</v>
      </c>
      <c r="G71" s="12">
        <f>IFERROR(INDEX('مانده سوفاله'!F:F,MATCH(Table28[[#This Row],[كد تفصيلي]],'مانده سوفاله'!A:A,0)),0)</f>
        <v>-13</v>
      </c>
    </row>
    <row r="72" spans="1:7" ht="21" customHeight="1" x14ac:dyDescent="0.35">
      <c r="A72" s="27">
        <v>79055</v>
      </c>
      <c r="B72" s="55" t="s">
        <v>297</v>
      </c>
      <c r="C72" s="10">
        <f>IFERROR(INDEX('حسابهای دریافتنی'!H:H,MATCH(Table28[[#This Row],[كد تفصيلي]],'حسابهای دریافتنی'!A:A,0)),0)</f>
        <v>896500</v>
      </c>
      <c r="D72" s="11">
        <f>IFERROR(INDEX('درجریان وصول'!F:F,MATCH(Table28[[#This Row],[كد تفصيلي]],'درجریان وصول'!A:A,0)),0)</f>
        <v>0</v>
      </c>
      <c r="E72" s="11">
        <f>IFERROR(INDEX('چکهای دریافتنی'!F:F,MATCH(Table28[[#This Row],[كد تفصيلي]],'چکهای دریافتنی'!A:A,0)),0)</f>
        <v>0</v>
      </c>
      <c r="F72" s="11">
        <f>Table28[[#This Row],[حسابهای دریافتنی]]+Table28[[#This Row],[چکهای در جریان وصول]]+Table28[[#This Row],[چکهای نزد صندوق]]</f>
        <v>896500</v>
      </c>
      <c r="G72" s="12">
        <f>IFERROR(INDEX('مانده سوفاله'!F:F,MATCH(Table28[[#This Row],[كد تفصيلي]],'مانده سوفاله'!A:A,0)),0)</f>
        <v>0</v>
      </c>
    </row>
    <row r="73" spans="1:7" ht="21" customHeight="1" x14ac:dyDescent="0.35">
      <c r="A73" s="27">
        <v>30129</v>
      </c>
      <c r="B73" s="55" t="s">
        <v>178</v>
      </c>
      <c r="C73" s="10">
        <f>IFERROR(INDEX('حسابهای دریافتنی'!H:H,MATCH(Table28[[#This Row],[كد تفصيلي]],'حسابهای دریافتنی'!A:A,0)),0)</f>
        <v>783000</v>
      </c>
      <c r="D73" s="11">
        <f>IFERROR(INDEX('درجریان وصول'!F:F,MATCH(Table28[[#This Row],[كد تفصيلي]],'درجریان وصول'!A:A,0)),0)</f>
        <v>0</v>
      </c>
      <c r="E73" s="11">
        <f>IFERROR(INDEX('چکهای دریافتنی'!F:F,MATCH(Table28[[#This Row],[كد تفصيلي]],'چکهای دریافتنی'!A:A,0)),0)</f>
        <v>0</v>
      </c>
      <c r="F73" s="11">
        <f>Table28[[#This Row],[حسابهای دریافتنی]]+Table28[[#This Row],[چکهای در جریان وصول]]+Table28[[#This Row],[چکهای نزد صندوق]]</f>
        <v>783000</v>
      </c>
      <c r="G73" s="12">
        <f>IFERROR(INDEX('مانده سوفاله'!F:F,MATCH(Table28[[#This Row],[كد تفصيلي]],'مانده سوفاله'!A:A,0)),0)</f>
        <v>0</v>
      </c>
    </row>
    <row r="74" spans="1:7" ht="21" customHeight="1" x14ac:dyDescent="0.35">
      <c r="A74" s="26">
        <v>30090</v>
      </c>
      <c r="B74" s="56" t="s">
        <v>144</v>
      </c>
      <c r="C74" s="10">
        <f>IFERROR(INDEX('حسابهای دریافتنی'!H:H,MATCH(Table28[[#This Row],[كد تفصيلي]],'حسابهای دریافتنی'!A:A,0)),0)</f>
        <v>640100</v>
      </c>
      <c r="D74" s="11">
        <f>IFERROR(INDEX('درجریان وصول'!F:F,MATCH(Table28[[#This Row],[كد تفصيلي]],'درجریان وصول'!A:A,0)),0)</f>
        <v>0</v>
      </c>
      <c r="E74" s="11">
        <f>IFERROR(INDEX('چکهای دریافتنی'!F:F,MATCH(Table28[[#This Row],[كد تفصيلي]],'چکهای دریافتنی'!A:A,0)),0)</f>
        <v>0</v>
      </c>
      <c r="F74" s="11">
        <f>Table28[[#This Row],[حسابهای دریافتنی]]+Table28[[#This Row],[چکهای در جریان وصول]]+Table28[[#This Row],[چکهای نزد صندوق]]</f>
        <v>640100</v>
      </c>
      <c r="G74" s="12">
        <f>IFERROR(INDEX('مانده سوفاله'!F:F,MATCH(Table28[[#This Row],[كد تفصيلي]],'مانده سوفاله'!A:A,0)),0)</f>
        <v>0</v>
      </c>
    </row>
    <row r="75" spans="1:7" ht="21" customHeight="1" x14ac:dyDescent="0.35">
      <c r="A75" s="27">
        <v>30109</v>
      </c>
      <c r="B75" s="55" t="s">
        <v>165</v>
      </c>
      <c r="C75" s="10">
        <f>IFERROR(INDEX('حسابهای دریافتنی'!H:H,MATCH(Table28[[#This Row],[كد تفصيلي]],'حسابهای دریافتنی'!A:A,0)),0)</f>
        <v>607300</v>
      </c>
      <c r="D75" s="11">
        <f>IFERROR(INDEX('درجریان وصول'!F:F,MATCH(Table28[[#This Row],[كد تفصيلي]],'درجریان وصول'!A:A,0)),0)</f>
        <v>0</v>
      </c>
      <c r="E75" s="11">
        <f>IFERROR(INDEX('چکهای دریافتنی'!F:F,MATCH(Table28[[#This Row],[كد تفصيلي]],'چکهای دریافتنی'!A:A,0)),0)</f>
        <v>0</v>
      </c>
      <c r="F75" s="11">
        <f>Table28[[#This Row],[حسابهای دریافتنی]]+Table28[[#This Row],[چکهای در جریان وصول]]+Table28[[#This Row],[چکهای نزد صندوق]]</f>
        <v>607300</v>
      </c>
      <c r="G75" s="12">
        <f>IFERROR(INDEX('مانده سوفاله'!F:F,MATCH(Table28[[#This Row],[كد تفصيلي]],'مانده سوفاله'!A:A,0)),0)</f>
        <v>0</v>
      </c>
    </row>
    <row r="76" spans="1:7" ht="21" customHeight="1" x14ac:dyDescent="0.35">
      <c r="A76" s="27">
        <v>10072</v>
      </c>
      <c r="B76" s="55" t="s">
        <v>177</v>
      </c>
      <c r="C76" s="10">
        <f>IFERROR(INDEX('حسابهای دریافتنی'!H:H,MATCH(Table28[[#This Row],[كد تفصيلي]],'حسابهای دریافتنی'!A:A,0)),0)</f>
        <v>55880</v>
      </c>
      <c r="D76" s="11">
        <f>IFERROR(INDEX('درجریان وصول'!F:F,MATCH(Table28[[#This Row],[كد تفصيلي]],'درجریان وصول'!A:A,0)),0)</f>
        <v>0</v>
      </c>
      <c r="E76" s="11">
        <f>IFERROR(INDEX('چکهای دریافتنی'!F:F,MATCH(Table28[[#This Row],[كد تفصيلي]],'چکهای دریافتنی'!A:A,0)),0)</f>
        <v>427700000</v>
      </c>
      <c r="F76" s="11">
        <f>Table28[[#This Row],[حسابهای دریافتنی]]+Table28[[#This Row],[چکهای در جریان وصول]]+Table28[[#This Row],[چکهای نزد صندوق]]</f>
        <v>427755880</v>
      </c>
      <c r="G76" s="12">
        <f>IFERROR(INDEX('مانده سوفاله'!F:F,MATCH(Table28[[#This Row],[كد تفصيلي]],'مانده سوفاله'!A:A,0)),0)</f>
        <v>0</v>
      </c>
    </row>
    <row r="77" spans="1:7" ht="21" customHeight="1" x14ac:dyDescent="0.35">
      <c r="A77" s="27">
        <v>10048</v>
      </c>
      <c r="B77" s="55" t="s">
        <v>191</v>
      </c>
      <c r="C77" s="10">
        <f>IFERROR(INDEX('حسابهای دریافتنی'!H:H,MATCH(Table28[[#This Row],[كد تفصيلي]],'حسابهای دریافتنی'!A:A,0)),0)</f>
        <v>0</v>
      </c>
      <c r="D77" s="11">
        <f>IFERROR(INDEX('درجریان وصول'!F:F,MATCH(Table28[[#This Row],[كد تفصيلي]],'درجریان وصول'!A:A,0)),0)</f>
        <v>0</v>
      </c>
      <c r="E77" s="11">
        <f>IFERROR(INDEX('چکهای دریافتنی'!F:F,MATCH(Table28[[#This Row],[كد تفصيلي]],'چکهای دریافتنی'!A:A,0)),0)</f>
        <v>0</v>
      </c>
      <c r="F77" s="11">
        <f>Table28[[#This Row],[حسابهای دریافتنی]]+Table28[[#This Row],[چکهای در جریان وصول]]+Table28[[#This Row],[چکهای نزد صندوق]]</f>
        <v>0</v>
      </c>
      <c r="G77" s="12">
        <f>IFERROR(INDEX('مانده سوفاله'!F:F,MATCH(Table28[[#This Row],[كد تفصيلي]],'مانده سوفاله'!A:A,0)),0)</f>
        <v>-1097</v>
      </c>
    </row>
    <row r="78" spans="1:7" ht="21" customHeight="1" x14ac:dyDescent="0.35">
      <c r="A78" s="26">
        <v>10097</v>
      </c>
      <c r="B78" s="56" t="s">
        <v>270</v>
      </c>
      <c r="C78" s="10">
        <f>IFERROR(INDEX('حسابهای دریافتنی'!H:H,MATCH(Table28[[#This Row],[كد تفصيلي]],'حسابهای دریافتنی'!A:A,0)),0)</f>
        <v>270642500</v>
      </c>
      <c r="D78" s="11">
        <f>IFERROR(INDEX('درجریان وصول'!F:F,MATCH(Table28[[#This Row],[كد تفصيلي]],'درجریان وصول'!A:A,0)),0)</f>
        <v>0</v>
      </c>
      <c r="E78" s="11">
        <f>IFERROR(INDEX('چکهای دریافتنی'!F:F,MATCH(Table28[[#This Row],[كد تفصيلي]],'چکهای دریافتنی'!A:A,0)),0)</f>
        <v>287000000</v>
      </c>
      <c r="F78" s="11">
        <f>Table28[[#This Row],[حسابهای دریافتنی]]+Table28[[#This Row],[چکهای در جریان وصول]]+Table28[[#This Row],[چکهای نزد صندوق]]</f>
        <v>557642500</v>
      </c>
      <c r="G78" s="12">
        <f>IFERROR(INDEX('مانده سوفاله'!F:F,MATCH(Table28[[#This Row],[كد تفصيلي]],'مانده سوفاله'!A:A,0)),0)</f>
        <v>0</v>
      </c>
    </row>
    <row r="79" spans="1:7" ht="21" customHeight="1" x14ac:dyDescent="0.35">
      <c r="A79" s="27">
        <v>30010</v>
      </c>
      <c r="B79" s="55" t="s">
        <v>59</v>
      </c>
      <c r="C79" s="10">
        <f>IFERROR(INDEX('حسابهای دریافتنی'!H:H,MATCH(Table28[[#This Row],[كد تفصيلي]],'حسابهای دریافتنی'!A:A,0)),0)</f>
        <v>366215</v>
      </c>
      <c r="D79" s="11">
        <f>IFERROR(INDEX('درجریان وصول'!F:F,MATCH(Table28[[#This Row],[كد تفصيلي]],'درجریان وصول'!A:A,0)),0)</f>
        <v>0</v>
      </c>
      <c r="E79" s="11">
        <f>IFERROR(INDEX('چکهای دریافتنی'!F:F,MATCH(Table28[[#This Row],[كد تفصيلي]],'چکهای دریافتنی'!A:A,0)),0)</f>
        <v>0</v>
      </c>
      <c r="F79" s="11">
        <f>Table28[[#This Row],[حسابهای دریافتنی]]+Table28[[#This Row],[چکهای در جریان وصول]]+Table28[[#This Row],[چکهای نزد صندوق]]</f>
        <v>366215</v>
      </c>
      <c r="G79" s="12">
        <f>IFERROR(INDEX('مانده سوفاله'!F:F,MATCH(Table28[[#This Row],[كد تفصيلي]],'مانده سوفاله'!A:A,0)),0)</f>
        <v>8</v>
      </c>
    </row>
    <row r="80" spans="1:7" ht="21" customHeight="1" x14ac:dyDescent="0.35">
      <c r="A80" s="26">
        <v>30027</v>
      </c>
      <c r="B80" s="56" t="s">
        <v>75</v>
      </c>
      <c r="C80" s="10">
        <f>IFERROR(INDEX('حسابهای دریافتنی'!H:H,MATCH(Table28[[#This Row],[كد تفصيلي]],'حسابهای دریافتنی'!A:A,0)),0)</f>
        <v>326950</v>
      </c>
      <c r="D80" s="11">
        <f>IFERROR(INDEX('درجریان وصول'!F:F,MATCH(Table28[[#This Row],[كد تفصيلي]],'درجریان وصول'!A:A,0)),0)</f>
        <v>0</v>
      </c>
      <c r="E80" s="11">
        <f>IFERROR(INDEX('چکهای دریافتنی'!F:F,MATCH(Table28[[#This Row],[كد تفصيلي]],'چکهای دریافتنی'!A:A,0)),0)</f>
        <v>0</v>
      </c>
      <c r="F80" s="11">
        <f>Table28[[#This Row],[حسابهای دریافتنی]]+Table28[[#This Row],[چکهای در جریان وصول]]+Table28[[#This Row],[چکهای نزد صندوق]]</f>
        <v>326950</v>
      </c>
      <c r="G80" s="12">
        <f>IFERROR(INDEX('مانده سوفاله'!F:F,MATCH(Table28[[#This Row],[كد تفصيلي]],'مانده سوفاله'!A:A,0)),0)</f>
        <v>0</v>
      </c>
    </row>
    <row r="81" spans="1:7" ht="21" customHeight="1" x14ac:dyDescent="0.35">
      <c r="A81" s="26">
        <v>10063</v>
      </c>
      <c r="B81" s="56" t="s">
        <v>180</v>
      </c>
      <c r="C81" s="10">
        <f>IFERROR(INDEX('حسابهای دریافتنی'!H:H,MATCH(Table28[[#This Row],[كد تفصيلي]],'حسابهای دریافتنی'!A:A,0)),0)</f>
        <v>0</v>
      </c>
      <c r="D81" s="11">
        <f>IFERROR(INDEX('درجریان وصول'!F:F,MATCH(Table28[[#This Row],[كد تفصيلي]],'درجریان وصول'!A:A,0)),0)</f>
        <v>0</v>
      </c>
      <c r="E81" s="11">
        <f>IFERROR(INDEX('چکهای دریافتنی'!F:F,MATCH(Table28[[#This Row],[كد تفصيلي]],'چکهای دریافتنی'!A:A,0)),0)</f>
        <v>0</v>
      </c>
      <c r="F81" s="11">
        <f>Table28[[#This Row],[حسابهای دریافتنی]]+Table28[[#This Row],[چکهای در جریان وصول]]+Table28[[#This Row],[چکهای نزد صندوق]]</f>
        <v>0</v>
      </c>
      <c r="G81" s="12">
        <f>IFERROR(INDEX('مانده سوفاله'!F:F,MATCH(Table28[[#This Row],[كد تفصيلي]],'مانده سوفاله'!A:A,0)),0)</f>
        <v>0</v>
      </c>
    </row>
    <row r="82" spans="1:7" ht="21" customHeight="1" x14ac:dyDescent="0.35">
      <c r="A82" s="27">
        <v>10064</v>
      </c>
      <c r="B82" s="55" t="s">
        <v>181</v>
      </c>
      <c r="C82" s="10">
        <f>IFERROR(INDEX('حسابهای دریافتنی'!H:H,MATCH(Table28[[#This Row],[كد تفصيلي]],'حسابهای دریافتنی'!A:A,0)),0)</f>
        <v>0</v>
      </c>
      <c r="D82" s="11">
        <f>IFERROR(INDEX('درجریان وصول'!F:F,MATCH(Table28[[#This Row],[كد تفصيلي]],'درجریان وصول'!A:A,0)),0)</f>
        <v>0</v>
      </c>
      <c r="E82" s="11">
        <f>IFERROR(INDEX('چکهای دریافتنی'!F:F,MATCH(Table28[[#This Row],[كد تفصيلي]],'چکهای دریافتنی'!A:A,0)),0)</f>
        <v>0</v>
      </c>
      <c r="F82" s="11">
        <f>Table28[[#This Row],[حسابهای دریافتنی]]+Table28[[#This Row],[چکهای در جریان وصول]]+Table28[[#This Row],[چکهای نزد صندوق]]</f>
        <v>0</v>
      </c>
      <c r="G82" s="12">
        <f>IFERROR(INDEX('مانده سوفاله'!F:F,MATCH(Table28[[#This Row],[كد تفصيلي]],'مانده سوفاله'!A:A,0)),0)</f>
        <v>0</v>
      </c>
    </row>
    <row r="83" spans="1:7" ht="21" customHeight="1" x14ac:dyDescent="0.35">
      <c r="A83" s="27">
        <v>30135</v>
      </c>
      <c r="B83" s="55" t="s">
        <v>179</v>
      </c>
      <c r="C83" s="10">
        <f>IFERROR(INDEX('حسابهای دریافتنی'!H:H,MATCH(Table28[[#This Row],[كد تفصيلي]],'حسابهای دریافتنی'!A:A,0)),0)</f>
        <v>195000</v>
      </c>
      <c r="D83" s="11">
        <f>IFERROR(INDEX('درجریان وصول'!F:F,MATCH(Table28[[#This Row],[كد تفصيلي]],'درجریان وصول'!A:A,0)),0)</f>
        <v>0</v>
      </c>
      <c r="E83" s="11">
        <f>IFERROR(INDEX('چکهای دریافتنی'!F:F,MATCH(Table28[[#This Row],[كد تفصيلي]],'چکهای دریافتنی'!A:A,0)),0)</f>
        <v>0</v>
      </c>
      <c r="F83" s="11">
        <f>Table28[[#This Row],[حسابهای دریافتنی]]+Table28[[#This Row],[چکهای در جریان وصول]]+Table28[[#This Row],[چکهای نزد صندوق]]</f>
        <v>195000</v>
      </c>
      <c r="G83" s="12">
        <f>IFERROR(INDEX('مانده سوفاله'!F:F,MATCH(Table28[[#This Row],[كد تفصيلي]],'مانده سوفاله'!A:A,0)),0)</f>
        <v>-5</v>
      </c>
    </row>
    <row r="84" spans="1:7" ht="21" customHeight="1" x14ac:dyDescent="0.35">
      <c r="A84" s="26">
        <v>10043</v>
      </c>
      <c r="B84" s="56" t="s">
        <v>48</v>
      </c>
      <c r="C84" s="10">
        <f>IFERROR(INDEX('حسابهای دریافتنی'!H:H,MATCH(Table28[[#This Row],[كد تفصيلي]],'حسابهای دریافتنی'!A:A,0)),0)</f>
        <v>0</v>
      </c>
      <c r="D84" s="11">
        <f>IFERROR(INDEX('درجریان وصول'!F:F,MATCH(Table28[[#This Row],[كد تفصيلي]],'درجریان وصول'!A:A,0)),0)</f>
        <v>0</v>
      </c>
      <c r="E84" s="11">
        <f>IFERROR(INDEX('چکهای دریافتنی'!F:F,MATCH(Table28[[#This Row],[كد تفصيلي]],'چکهای دریافتنی'!A:A,0)),0)</f>
        <v>0</v>
      </c>
      <c r="F84" s="11">
        <f>Table28[[#This Row],[حسابهای دریافتنی]]+Table28[[#This Row],[چکهای در جریان وصول]]+Table28[[#This Row],[چکهای نزد صندوق]]</f>
        <v>0</v>
      </c>
      <c r="G84" s="12">
        <f>IFERROR(INDEX('مانده سوفاله'!F:F,MATCH(Table28[[#This Row],[كد تفصيلي]],'مانده سوفاله'!A:A,0)),0)</f>
        <v>0</v>
      </c>
    </row>
    <row r="85" spans="1:7" ht="21" customHeight="1" x14ac:dyDescent="0.35">
      <c r="A85" s="27">
        <v>30163</v>
      </c>
      <c r="B85" s="55" t="s">
        <v>302</v>
      </c>
      <c r="C85" s="10">
        <f>IFERROR(INDEX('حسابهای دریافتنی'!H:H,MATCH(Table28[[#This Row],[كد تفصيلي]],'حسابهای دریافتنی'!A:A,0)),0)</f>
        <v>0</v>
      </c>
      <c r="D85" s="11">
        <f>IFERROR(INDEX('درجریان وصول'!F:F,MATCH(Table28[[#This Row],[كد تفصيلي]],'درجریان وصول'!A:A,0)),0)</f>
        <v>0</v>
      </c>
      <c r="E85" s="11">
        <f>IFERROR(INDEX('چکهای دریافتنی'!F:F,MATCH(Table28[[#This Row],[كد تفصيلي]],'چکهای دریافتنی'!A:A,0)),0)</f>
        <v>0</v>
      </c>
      <c r="F85" s="11">
        <f>Table28[[#This Row],[حسابهای دریافتنی]]+Table28[[#This Row],[چکهای در جریان وصول]]+Table28[[#This Row],[چکهای نزد صندوق]]</f>
        <v>0</v>
      </c>
      <c r="G85" s="12">
        <f>IFERROR(INDEX('مانده سوفاله'!F:F,MATCH(Table28[[#This Row],[كد تفصيلي]],'مانده سوفاله'!A:A,0)),0)</f>
        <v>0</v>
      </c>
    </row>
    <row r="86" spans="1:7" ht="21" customHeight="1" x14ac:dyDescent="0.35">
      <c r="A86" s="26">
        <v>10075</v>
      </c>
      <c r="B86" s="56" t="s">
        <v>169</v>
      </c>
      <c r="C86" s="10">
        <f>IFERROR(INDEX('حسابهای دریافتنی'!H:H,MATCH(Table28[[#This Row],[كد تفصيلي]],'حسابهای دریافتنی'!A:A,0)),0)</f>
        <v>0</v>
      </c>
      <c r="D86" s="11">
        <f>IFERROR(INDEX('درجریان وصول'!F:F,MATCH(Table28[[#This Row],[كد تفصيلي]],'درجریان وصول'!A:A,0)),0)</f>
        <v>0</v>
      </c>
      <c r="E86" s="11">
        <f>IFERROR(INDEX('چکهای دریافتنی'!F:F,MATCH(Table28[[#This Row],[كد تفصيلي]],'چکهای دریافتنی'!A:A,0)),0)</f>
        <v>0</v>
      </c>
      <c r="F86" s="11">
        <f>Table28[[#This Row],[حسابهای دریافتنی]]+Table28[[#This Row],[چکهای در جریان وصول]]+Table28[[#This Row],[چکهای نزد صندوق]]</f>
        <v>0</v>
      </c>
      <c r="G86" s="12">
        <f>IFERROR(INDEX('مانده سوفاله'!F:F,MATCH(Table28[[#This Row],[كد تفصيلي]],'مانده سوفاله'!A:A,0)),0)</f>
        <v>0</v>
      </c>
    </row>
    <row r="87" spans="1:7" ht="21" customHeight="1" x14ac:dyDescent="0.35">
      <c r="A87" s="27">
        <v>30020</v>
      </c>
      <c r="B87" s="55" t="s">
        <v>68</v>
      </c>
      <c r="C87" s="10">
        <f>IFERROR(INDEX('حسابهای دریافتنی'!H:H,MATCH(Table28[[#This Row],[كد تفصيلي]],'حسابهای دریافتنی'!A:A,0)),0)</f>
        <v>2253500</v>
      </c>
      <c r="D87" s="11">
        <f>IFERROR(INDEX('درجریان وصول'!F:F,MATCH(Table28[[#This Row],[كد تفصيلي]],'درجریان وصول'!A:A,0)),0)</f>
        <v>0</v>
      </c>
      <c r="E87" s="11">
        <f>IFERROR(INDEX('چکهای دریافتنی'!F:F,MATCH(Table28[[#This Row],[كد تفصيلي]],'چکهای دریافتنی'!A:A,0)),0)</f>
        <v>0</v>
      </c>
      <c r="F87" s="11">
        <f>Table28[[#This Row],[حسابهای دریافتنی]]+Table28[[#This Row],[چکهای در جریان وصول]]+Table28[[#This Row],[چکهای نزد صندوق]]</f>
        <v>2253500</v>
      </c>
      <c r="G87" s="12">
        <f>IFERROR(INDEX('مانده سوفاله'!F:F,MATCH(Table28[[#This Row],[كد تفصيلي]],'مانده سوفاله'!A:A,0)),0)</f>
        <v>4</v>
      </c>
    </row>
    <row r="88" spans="1:7" ht="21" customHeight="1" x14ac:dyDescent="0.35">
      <c r="A88" s="27">
        <v>10010</v>
      </c>
      <c r="B88" s="55" t="s">
        <v>17</v>
      </c>
      <c r="C88" s="10">
        <f>IFERROR(INDEX('حسابهای دریافتنی'!H:H,MATCH(Table28[[#This Row],[كد تفصيلي]],'حسابهای دریافتنی'!A:A,0)),0)</f>
        <v>0</v>
      </c>
      <c r="D88" s="11">
        <f>IFERROR(INDEX('درجریان وصول'!F:F,MATCH(Table28[[#This Row],[كد تفصيلي]],'درجریان وصول'!A:A,0)),0)</f>
        <v>0</v>
      </c>
      <c r="E88" s="11">
        <f>IFERROR(INDEX('چکهای دریافتنی'!F:F,MATCH(Table28[[#This Row],[كد تفصيلي]],'چکهای دریافتنی'!A:A,0)),0)</f>
        <v>0</v>
      </c>
      <c r="F88" s="11">
        <f>Table28[[#This Row],[حسابهای دریافتنی]]+Table28[[#This Row],[چکهای در جریان وصول]]+Table28[[#This Row],[چکهای نزد صندوق]]</f>
        <v>0</v>
      </c>
      <c r="G88" s="12">
        <f>IFERROR(INDEX('مانده سوفاله'!F:F,MATCH(Table28[[#This Row],[كد تفصيلي]],'مانده سوفاله'!A:A,0)),0)</f>
        <v>8</v>
      </c>
    </row>
    <row r="89" spans="1:7" ht="21" customHeight="1" x14ac:dyDescent="0.35">
      <c r="A89" s="26">
        <v>10023</v>
      </c>
      <c r="B89" s="56" t="s">
        <v>155</v>
      </c>
      <c r="C89" s="10">
        <f>IFERROR(INDEX('حسابهای دریافتنی'!H:H,MATCH(Table28[[#This Row],[كد تفصيلي]],'حسابهای دریافتنی'!A:A,0)),0)</f>
        <v>0</v>
      </c>
      <c r="D89" s="11">
        <f>IFERROR(INDEX('درجریان وصول'!F:F,MATCH(Table28[[#This Row],[كد تفصيلي]],'درجریان وصول'!A:A,0)),0)</f>
        <v>0</v>
      </c>
      <c r="E89" s="11">
        <f>IFERROR(INDEX('چکهای دریافتنی'!F:F,MATCH(Table28[[#This Row],[كد تفصيلي]],'چکهای دریافتنی'!A:A,0)),0)</f>
        <v>0</v>
      </c>
      <c r="F89" s="11">
        <f>Table28[[#This Row],[حسابهای دریافتنی]]+Table28[[#This Row],[چکهای در جریان وصول]]+Table28[[#This Row],[چکهای نزد صندوق]]</f>
        <v>0</v>
      </c>
      <c r="G89" s="12">
        <f>IFERROR(INDEX('مانده سوفاله'!F:F,MATCH(Table28[[#This Row],[كد تفصيلي]],'مانده سوفاله'!A:A,0)),0)</f>
        <v>6</v>
      </c>
    </row>
    <row r="90" spans="1:7" customFormat="1" ht="21" customHeight="1" x14ac:dyDescent="0.35">
      <c r="A90" s="53">
        <v>10039</v>
      </c>
      <c r="B90" s="56" t="s">
        <v>45</v>
      </c>
      <c r="C90" s="10">
        <f>IFERROR(INDEX('حسابهای دریافتنی'!H:H,MATCH(Table28[[#This Row],[كد تفصيلي]],'حسابهای دریافتنی'!A:A,0)),0)</f>
        <v>0</v>
      </c>
      <c r="D90" s="11">
        <f>IFERROR(INDEX('درجریان وصول'!F:F,MATCH(Table28[[#This Row],[كد تفصيلي]],'درجریان وصول'!A:A,0)),0)</f>
        <v>0</v>
      </c>
      <c r="E90" s="11">
        <f>IFERROR(INDEX('چکهای دریافتنی'!F:F,MATCH(Table28[[#This Row],[كد تفصيلي]],'چکهای دریافتنی'!A:A,0)),0)</f>
        <v>0</v>
      </c>
      <c r="F90" s="11">
        <f>Table28[[#This Row],[حسابهای دریافتنی]]+Table28[[#This Row],[چکهای در جریان وصول]]+Table28[[#This Row],[چکهای نزد صندوق]]</f>
        <v>0</v>
      </c>
      <c r="G90" s="12">
        <f>IFERROR(INDEX('مانده سوفاله'!F:F,MATCH(Table28[[#This Row],[كد تفصيلي]],'مانده سوفاله'!A:A,0)),0)</f>
        <v>4</v>
      </c>
    </row>
    <row r="91" spans="1:7" customFormat="1" ht="21" customHeight="1" x14ac:dyDescent="0.35">
      <c r="A91" s="54">
        <v>10046</v>
      </c>
      <c r="B91" s="55" t="s">
        <v>51</v>
      </c>
      <c r="C91" s="10">
        <f>IFERROR(INDEX('حسابهای دریافتنی'!H:H,MATCH(Table28[[#This Row],[كد تفصيلي]],'حسابهای دریافتنی'!A:A,0)),0)</f>
        <v>0</v>
      </c>
      <c r="D91" s="11">
        <f>IFERROR(INDEX('درجریان وصول'!F:F,MATCH(Table28[[#This Row],[كد تفصيلي]],'درجریان وصول'!A:A,0)),0)</f>
        <v>0</v>
      </c>
      <c r="E91" s="11">
        <f>IFERROR(INDEX('چکهای دریافتنی'!F:F,MATCH(Table28[[#This Row],[كد تفصيلي]],'چکهای دریافتنی'!A:A,0)),0)</f>
        <v>0</v>
      </c>
      <c r="F91" s="11">
        <f>Table28[[#This Row],[حسابهای دریافتنی]]+Table28[[#This Row],[چکهای در جریان وصول]]+Table28[[#This Row],[چکهای نزد صندوق]]</f>
        <v>0</v>
      </c>
      <c r="G91" s="12">
        <f>IFERROR(INDEX('مانده سوفاله'!F:F,MATCH(Table28[[#This Row],[كد تفصيلي]],'مانده سوفاله'!A:A,0)),0)</f>
        <v>118</v>
      </c>
    </row>
    <row r="92" spans="1:7" customFormat="1" ht="21" customHeight="1" x14ac:dyDescent="0.35">
      <c r="A92" s="53">
        <v>10065</v>
      </c>
      <c r="B92" s="56" t="s">
        <v>228</v>
      </c>
      <c r="C92" s="10">
        <f>IFERROR(INDEX('حسابهای دریافتنی'!H:H,MATCH(Table28[[#This Row],[كد تفصيلي]],'حسابهای دریافتنی'!A:A,0)),0)</f>
        <v>0</v>
      </c>
      <c r="D92" s="11">
        <f>IFERROR(INDEX('درجریان وصول'!F:F,MATCH(Table28[[#This Row],[كد تفصيلي]],'درجریان وصول'!A:A,0)),0)</f>
        <v>0</v>
      </c>
      <c r="E92" s="11">
        <f>IFERROR(INDEX('چکهای دریافتنی'!F:F,MATCH(Table28[[#This Row],[كد تفصيلي]],'چکهای دریافتنی'!A:A,0)),0)</f>
        <v>0</v>
      </c>
      <c r="F92" s="11">
        <f>Table28[[#This Row],[حسابهای دریافتنی]]+Table28[[#This Row],[چکهای در جریان وصول]]+Table28[[#This Row],[چکهای نزد صندوق]]</f>
        <v>0</v>
      </c>
      <c r="G92" s="12">
        <f>IFERROR(INDEX('مانده سوفاله'!F:F,MATCH(Table28[[#This Row],[كد تفصيلي]],'مانده سوفاله'!A:A,0)),0)</f>
        <v>127</v>
      </c>
    </row>
    <row r="93" spans="1:7" customFormat="1" ht="21" customHeight="1" x14ac:dyDescent="0.35">
      <c r="A93" s="53">
        <v>10069</v>
      </c>
      <c r="B93" s="56" t="s">
        <v>204</v>
      </c>
      <c r="C93" s="10">
        <f>IFERROR(INDEX('حسابهای دریافتنی'!H:H,MATCH(Table28[[#This Row],[كد تفصيلي]],'حسابهای دریافتنی'!A:A,0)),0)</f>
        <v>952500</v>
      </c>
      <c r="D93" s="11">
        <f>IFERROR(INDEX('درجریان وصول'!F:F,MATCH(Table28[[#This Row],[كد تفصيلي]],'درجریان وصول'!A:A,0)),0)</f>
        <v>0</v>
      </c>
      <c r="E93" s="11">
        <f>IFERROR(INDEX('چکهای دریافتنی'!F:F,MATCH(Table28[[#This Row],[كد تفصيلي]],'چکهای دریافتنی'!A:A,0)),0)</f>
        <v>73000000</v>
      </c>
      <c r="F93" s="11">
        <f>Table28[[#This Row],[حسابهای دریافتنی]]+Table28[[#This Row],[چکهای در جریان وصول]]+Table28[[#This Row],[چکهای نزد صندوق]]</f>
        <v>73952500</v>
      </c>
      <c r="G93" s="12">
        <f>IFERROR(INDEX('مانده سوفاله'!F:F,MATCH(Table28[[#This Row],[كد تفصيلي]],'مانده سوفاله'!A:A,0)),0)</f>
        <v>339</v>
      </c>
    </row>
    <row r="94" spans="1:7" ht="21" customHeight="1" x14ac:dyDescent="0.35">
      <c r="A94" s="26">
        <v>30013</v>
      </c>
      <c r="B94" s="56" t="s">
        <v>62</v>
      </c>
      <c r="C94" s="10">
        <f>IFERROR(INDEX('حسابهای دریافتنی'!H:H,MATCH(Table28[[#This Row],[كد تفصيلي]],'حسابهای دریافتنی'!A:A,0)),0)</f>
        <v>-2744620</v>
      </c>
      <c r="D94" s="11">
        <f>IFERROR(INDEX('درجریان وصول'!F:F,MATCH(Table28[[#This Row],[كد تفصيلي]],'درجریان وصول'!A:A,0)),0)</f>
        <v>0</v>
      </c>
      <c r="E94" s="11">
        <f>IFERROR(INDEX('چکهای دریافتنی'!F:F,MATCH(Table28[[#This Row],[كد تفصيلي]],'چکهای دریافتنی'!A:A,0)),0)</f>
        <v>0</v>
      </c>
      <c r="F94" s="11">
        <f>Table28[[#This Row],[حسابهای دریافتنی]]+Table28[[#This Row],[چکهای در جریان وصول]]+Table28[[#This Row],[چکهای نزد صندوق]]</f>
        <v>-2744620</v>
      </c>
      <c r="G94" s="12">
        <f>IFERROR(INDEX('مانده سوفاله'!F:F,MATCH(Table28[[#This Row],[كد تفصيلي]],'مانده سوفاله'!A:A,0)),0)</f>
        <v>0</v>
      </c>
    </row>
    <row r="95" spans="1:7" ht="21" customHeight="1" x14ac:dyDescent="0.35">
      <c r="A95" s="26">
        <v>30064</v>
      </c>
      <c r="B95" s="56" t="s">
        <v>109</v>
      </c>
      <c r="C95" s="10">
        <f>IFERROR(INDEX('حسابهای دریافتنی'!H:H,MATCH(Table28[[#This Row],[كد تفصيلي]],'حسابهای دریافتنی'!A:A,0)),0)</f>
        <v>-49679500</v>
      </c>
      <c r="D95" s="11">
        <f>IFERROR(INDEX('درجریان وصول'!F:F,MATCH(Table28[[#This Row],[كد تفصيلي]],'درجریان وصول'!A:A,0)),0)</f>
        <v>0</v>
      </c>
      <c r="E95" s="11">
        <f>IFERROR(INDEX('چکهای دریافتنی'!F:F,MATCH(Table28[[#This Row],[كد تفصيلي]],'چکهای دریافتنی'!A:A,0)),0)</f>
        <v>0</v>
      </c>
      <c r="F95" s="11">
        <f>Table28[[#This Row],[حسابهای دریافتنی]]+Table28[[#This Row],[چکهای در جریان وصول]]+Table28[[#This Row],[چکهای نزد صندوق]]</f>
        <v>-49679500</v>
      </c>
      <c r="G95" s="12">
        <f>IFERROR(INDEX('مانده سوفاله'!F:F,MATCH(Table28[[#This Row],[كد تفصيلي]],'مانده سوفاله'!A:A,0)),0)</f>
        <v>0</v>
      </c>
    </row>
    <row r="96" spans="1:7" ht="21" customHeight="1" x14ac:dyDescent="0.35">
      <c r="A96" s="27">
        <v>30065</v>
      </c>
      <c r="B96" s="55" t="s">
        <v>110</v>
      </c>
      <c r="C96" s="10">
        <f>IFERROR(INDEX('حسابهای دریافتنی'!H:H,MATCH(Table28[[#This Row],[كد تفصيلي]],'حسابهای دریافتنی'!A:A,0)),0)</f>
        <v>0</v>
      </c>
      <c r="D96" s="11">
        <f>IFERROR(INDEX('درجریان وصول'!F:F,MATCH(Table28[[#This Row],[كد تفصيلي]],'درجریان وصول'!A:A,0)),0)</f>
        <v>0</v>
      </c>
      <c r="E96" s="11">
        <f>IFERROR(INDEX('چکهای دریافتنی'!F:F,MATCH(Table28[[#This Row],[كد تفصيلي]],'چکهای دریافتنی'!A:A,0)),0)</f>
        <v>0</v>
      </c>
      <c r="F96" s="11">
        <f>Table28[[#This Row],[حسابهای دریافتنی]]+Table28[[#This Row],[چکهای در جریان وصول]]+Table28[[#This Row],[چکهای نزد صندوق]]</f>
        <v>0</v>
      </c>
      <c r="G96" s="12">
        <f>IFERROR(INDEX('مانده سوفاله'!F:F,MATCH(Table28[[#This Row],[كد تفصيلي]],'مانده سوفاله'!A:A,0)),0)</f>
        <v>33</v>
      </c>
    </row>
    <row r="97" spans="1:7" ht="21" customHeight="1" x14ac:dyDescent="0.35">
      <c r="A97" s="27">
        <v>30071</v>
      </c>
      <c r="B97" s="55" t="s">
        <v>116</v>
      </c>
      <c r="C97" s="10">
        <f>IFERROR(INDEX('حسابهای دریافتنی'!H:H,MATCH(Table28[[#This Row],[كد تفصيلي]],'حسابهای دریافتنی'!A:A,0)),0)</f>
        <v>0</v>
      </c>
      <c r="D97" s="11">
        <f>IFERROR(INDEX('درجریان وصول'!F:F,MATCH(Table28[[#This Row],[كد تفصيلي]],'درجریان وصول'!A:A,0)),0)</f>
        <v>0</v>
      </c>
      <c r="E97" s="11">
        <f>IFERROR(INDEX('چکهای دریافتنی'!F:F,MATCH(Table28[[#This Row],[كد تفصيلي]],'چکهای دریافتنی'!A:A,0)),0)</f>
        <v>0</v>
      </c>
      <c r="F97" s="11">
        <f>Table28[[#This Row],[حسابهای دریافتنی]]+Table28[[#This Row],[چکهای در جریان وصول]]+Table28[[#This Row],[چکهای نزد صندوق]]</f>
        <v>0</v>
      </c>
      <c r="G97" s="12">
        <f>IFERROR(INDEX('مانده سوفاله'!F:F,MATCH(Table28[[#This Row],[كد تفصيلي]],'مانده سوفاله'!A:A,0)),0)</f>
        <v>3</v>
      </c>
    </row>
    <row r="98" spans="1:7" ht="21" customHeight="1" x14ac:dyDescent="0.35">
      <c r="A98" s="27">
        <v>30077</v>
      </c>
      <c r="B98" s="55" t="s">
        <v>122</v>
      </c>
      <c r="C98" s="10">
        <f>IFERROR(INDEX('حسابهای دریافتنی'!H:H,MATCH(Table28[[#This Row],[كد تفصيلي]],'حسابهای دریافتنی'!A:A,0)),0)</f>
        <v>360000</v>
      </c>
      <c r="D98" s="11">
        <f>IFERROR(INDEX('درجریان وصول'!F:F,MATCH(Table28[[#This Row],[كد تفصيلي]],'درجریان وصول'!A:A,0)),0)</f>
        <v>0</v>
      </c>
      <c r="E98" s="11">
        <f>IFERROR(INDEX('چکهای دریافتنی'!F:F,MATCH(Table28[[#This Row],[كد تفصيلي]],'چکهای دریافتنی'!A:A,0)),0)</f>
        <v>0</v>
      </c>
      <c r="F98" s="11">
        <f>Table28[[#This Row],[حسابهای دریافتنی]]+Table28[[#This Row],[چکهای در جریان وصول]]+Table28[[#This Row],[چکهای نزد صندوق]]</f>
        <v>360000</v>
      </c>
      <c r="G98" s="12">
        <f>IFERROR(INDEX('مانده سوفاله'!F:F,MATCH(Table28[[#This Row],[كد تفصيلي]],'مانده سوفاله'!A:A,0)),0)</f>
        <v>-32</v>
      </c>
    </row>
    <row r="99" spans="1:7" ht="21" customHeight="1" x14ac:dyDescent="0.35">
      <c r="A99" s="27">
        <v>30079</v>
      </c>
      <c r="B99" s="55" t="s">
        <v>124</v>
      </c>
      <c r="C99" s="10">
        <f>IFERROR(INDEX('حسابهای دریافتنی'!H:H,MATCH(Table28[[#This Row],[كد تفصيلي]],'حسابهای دریافتنی'!A:A,0)),0)</f>
        <v>0</v>
      </c>
      <c r="D99" s="11">
        <f>IFERROR(INDEX('درجریان وصول'!F:F,MATCH(Table28[[#This Row],[كد تفصيلي]],'درجریان وصول'!A:A,0)),0)</f>
        <v>0</v>
      </c>
      <c r="E99" s="11">
        <f>IFERROR(INDEX('چکهای دریافتنی'!F:F,MATCH(Table28[[#This Row],[كد تفصيلي]],'چکهای دریافتنی'!A:A,0)),0)</f>
        <v>0</v>
      </c>
      <c r="F99" s="11">
        <f>Table28[[#This Row],[حسابهای دریافتنی]]+Table28[[#This Row],[چکهای در جریان وصول]]+Table28[[#This Row],[چکهای نزد صندوق]]</f>
        <v>0</v>
      </c>
      <c r="G99" s="12">
        <f>IFERROR(INDEX('مانده سوفاله'!F:F,MATCH(Table28[[#This Row],[كد تفصيلي]],'مانده سوفاله'!A:A,0)),0)</f>
        <v>-85</v>
      </c>
    </row>
    <row r="100" spans="1:7" ht="21" customHeight="1" x14ac:dyDescent="0.35">
      <c r="A100" s="27">
        <v>30097</v>
      </c>
      <c r="B100" s="55" t="s">
        <v>188</v>
      </c>
      <c r="C100" s="10">
        <f>IFERROR(INDEX('حسابهای دریافتنی'!H:H,MATCH(Table28[[#This Row],[كد تفصيلي]],'حسابهای دریافتنی'!A:A,0)),0)</f>
        <v>0</v>
      </c>
      <c r="D100" s="11">
        <f>IFERROR(INDEX('درجریان وصول'!F:F,MATCH(Table28[[#This Row],[كد تفصيلي]],'درجریان وصول'!A:A,0)),0)</f>
        <v>0</v>
      </c>
      <c r="E100" s="11">
        <f>IFERROR(INDEX('چکهای دریافتنی'!F:F,MATCH(Table28[[#This Row],[كد تفصيلي]],'چکهای دریافتنی'!A:A,0)),0)</f>
        <v>0</v>
      </c>
      <c r="F100" s="11">
        <f>Table28[[#This Row],[حسابهای دریافتنی]]+Table28[[#This Row],[چکهای در جریان وصول]]+Table28[[#This Row],[چکهای نزد صندوق]]</f>
        <v>0</v>
      </c>
      <c r="G100" s="12">
        <f>IFERROR(INDEX('مانده سوفاله'!F:F,MATCH(Table28[[#This Row],[كد تفصيلي]],'مانده سوفاله'!A:A,0)),0)</f>
        <v>-82</v>
      </c>
    </row>
    <row r="101" spans="1:7" ht="21" customHeight="1" x14ac:dyDescent="0.35">
      <c r="A101" s="26">
        <v>30118</v>
      </c>
      <c r="B101" s="56" t="s">
        <v>205</v>
      </c>
      <c r="C101" s="10">
        <f>IFERROR(INDEX('حسابهای دریافتنی'!H:H,MATCH(Table28[[#This Row],[كد تفصيلي]],'حسابهای دریافتنی'!A:A,0)),0)</f>
        <v>0</v>
      </c>
      <c r="D101" s="11">
        <f>IFERROR(INDEX('درجریان وصول'!F:F,MATCH(Table28[[#This Row],[كد تفصيلي]],'درجریان وصول'!A:A,0)),0)</f>
        <v>0</v>
      </c>
      <c r="E101" s="11">
        <f>IFERROR(INDEX('چکهای دریافتنی'!F:F,MATCH(Table28[[#This Row],[كد تفصيلي]],'چکهای دریافتنی'!A:A,0)),0)</f>
        <v>0</v>
      </c>
      <c r="F101" s="11">
        <f>Table28[[#This Row],[حسابهای دریافتنی]]+Table28[[#This Row],[چکهای در جریان وصول]]+Table28[[#This Row],[چکهای نزد صندوق]]</f>
        <v>0</v>
      </c>
      <c r="G101" s="12">
        <f>IFERROR(INDEX('مانده سوفاله'!F:F,MATCH(Table28[[#This Row],[كد تفصيلي]],'مانده سوفاله'!A:A,0)),0)</f>
        <v>-20</v>
      </c>
    </row>
    <row r="102" spans="1:7" ht="21" customHeight="1" x14ac:dyDescent="0.35">
      <c r="A102" s="27">
        <v>30131</v>
      </c>
      <c r="B102" s="55" t="s">
        <v>213</v>
      </c>
      <c r="C102" s="10">
        <f>IFERROR(INDEX('حسابهای دریافتنی'!H:H,MATCH(Table28[[#This Row],[كد تفصيلي]],'حسابهای دریافتنی'!A:A,0)),0)</f>
        <v>-6228486500</v>
      </c>
      <c r="D102" s="11">
        <f>IFERROR(INDEX('درجریان وصول'!F:F,MATCH(Table28[[#This Row],[كد تفصيلي]],'درجریان وصول'!A:A,0)),0)</f>
        <v>0</v>
      </c>
      <c r="E102" s="11">
        <f>IFERROR(INDEX('چکهای دریافتنی'!F:F,MATCH(Table28[[#This Row],[كد تفصيلي]],'چکهای دریافتنی'!A:A,0)),0)</f>
        <v>0</v>
      </c>
      <c r="F102" s="11">
        <f>Table28[[#This Row],[حسابهای دریافتنی]]+Table28[[#This Row],[چکهای در جریان وصول]]+Table28[[#This Row],[چکهای نزد صندوق]]</f>
        <v>-6228486500</v>
      </c>
      <c r="G102" s="12">
        <f>IFERROR(INDEX('مانده سوفاله'!F:F,MATCH(Table28[[#This Row],[كد تفصيلي]],'مانده سوفاله'!A:A,0)),0)</f>
        <v>222</v>
      </c>
    </row>
    <row r="103" spans="1:7" ht="21" customHeight="1" x14ac:dyDescent="0.35">
      <c r="A103" s="27">
        <v>30141</v>
      </c>
      <c r="B103" s="55" t="s">
        <v>261</v>
      </c>
      <c r="C103" s="10">
        <f>IFERROR(INDEX('حسابهای دریافتنی'!H:H,MATCH(Table28[[#This Row],[كد تفصيلي]],'حسابهای دریافتنی'!A:A,0)),0)</f>
        <v>0</v>
      </c>
      <c r="D103" s="11">
        <f>IFERROR(INDEX('درجریان وصول'!F:F,MATCH(Table28[[#This Row],[كد تفصيلي]],'درجریان وصول'!A:A,0)),0)</f>
        <v>0</v>
      </c>
      <c r="E103" s="11">
        <f>IFERROR(INDEX('چکهای دریافتنی'!F:F,MATCH(Table28[[#This Row],[كد تفصيلي]],'چکهای دریافتنی'!A:A,0)),0)</f>
        <v>0</v>
      </c>
      <c r="F103" s="11">
        <f>Table28[[#This Row],[حسابهای دریافتنی]]+Table28[[#This Row],[چکهای در جریان وصول]]+Table28[[#This Row],[چکهای نزد صندوق]]</f>
        <v>0</v>
      </c>
      <c r="G103" s="12">
        <f>IFERROR(INDEX('مانده سوفاله'!F:F,MATCH(Table28[[#This Row],[كد تفصيلي]],'مانده سوفاله'!A:A,0)),0)</f>
        <v>-42</v>
      </c>
    </row>
    <row r="104" spans="1:7" ht="21" customHeight="1" x14ac:dyDescent="0.35">
      <c r="A104" s="26">
        <v>30142</v>
      </c>
      <c r="B104" s="56" t="s">
        <v>263</v>
      </c>
      <c r="C104" s="10">
        <f>IFERROR(INDEX('حسابهای دریافتنی'!H:H,MATCH(Table28[[#This Row],[كد تفصيلي]],'حسابهای دریافتنی'!A:A,0)),0)</f>
        <v>0</v>
      </c>
      <c r="D104" s="11">
        <f>IFERROR(INDEX('درجریان وصول'!F:F,MATCH(Table28[[#This Row],[كد تفصيلي]],'درجریان وصول'!A:A,0)),0)</f>
        <v>0</v>
      </c>
      <c r="E104" s="11">
        <f>IFERROR(INDEX('چکهای دریافتنی'!F:F,MATCH(Table28[[#This Row],[كد تفصيلي]],'چکهای دریافتنی'!A:A,0)),0)</f>
        <v>0</v>
      </c>
      <c r="F104" s="11">
        <f>Table28[[#This Row],[حسابهای دریافتنی]]+Table28[[#This Row],[چکهای در جریان وصول]]+Table28[[#This Row],[چکهای نزد صندوق]]</f>
        <v>0</v>
      </c>
      <c r="G104" s="12">
        <f>IFERROR(INDEX('مانده سوفاله'!F:F,MATCH(Table28[[#This Row],[كد تفصيلي]],'مانده سوفاله'!A:A,0)),0)</f>
        <v>13</v>
      </c>
    </row>
    <row r="105" spans="1:7" ht="21" customHeight="1" x14ac:dyDescent="0.35">
      <c r="A105" s="27">
        <v>50006</v>
      </c>
      <c r="B105" s="55" t="s">
        <v>168</v>
      </c>
      <c r="C105" s="10">
        <f>IFERROR(INDEX('حسابهای دریافتنی'!H:H,MATCH(Table28[[#This Row],[كد تفصيلي]],'حسابهای دریافتنی'!A:A,0)),0)</f>
        <v>0</v>
      </c>
      <c r="D105" s="11">
        <f>IFERROR(INDEX('درجریان وصول'!F:F,MATCH(Table28[[#This Row],[كد تفصيلي]],'درجریان وصول'!A:A,0)),0)</f>
        <v>0</v>
      </c>
      <c r="E105" s="11">
        <f>IFERROR(INDEX('چکهای دریافتنی'!F:F,MATCH(Table28[[#This Row],[كد تفصيلي]],'چکهای دریافتنی'!A:A,0)),0)</f>
        <v>0</v>
      </c>
      <c r="F105" s="11">
        <f>Table28[[#This Row],[حسابهای دریافتنی]]+Table28[[#This Row],[چکهای در جریان وصول]]+Table28[[#This Row],[چکهای نزد صندوق]]</f>
        <v>0</v>
      </c>
      <c r="G105" s="12">
        <f>IFERROR(INDEX('مانده سوفاله'!F:F,MATCH(Table28[[#This Row],[كد تفصيلي]],'مانده سوفاله'!A:A,0)),0)</f>
        <v>-7581</v>
      </c>
    </row>
    <row r="106" spans="1:7" ht="21" customHeight="1" x14ac:dyDescent="0.35">
      <c r="A106" s="27">
        <v>79010</v>
      </c>
      <c r="B106" s="55" t="s">
        <v>176</v>
      </c>
      <c r="C106" s="10">
        <f>IFERROR(INDEX('حسابهای دریافتنی'!H:H,MATCH(Table28[[#This Row],[كد تفصيلي]],'حسابهای دریافتنی'!A:A,0)),0)</f>
        <v>0</v>
      </c>
      <c r="D106" s="11">
        <f>IFERROR(INDEX('درجریان وصول'!F:F,MATCH(Table28[[#This Row],[كد تفصيلي]],'درجریان وصول'!A:A,0)),0)</f>
        <v>0</v>
      </c>
      <c r="E106" s="11">
        <f>IFERROR(INDEX('چکهای دریافتنی'!F:F,MATCH(Table28[[#This Row],[كد تفصيلي]],'چکهای دریافتنی'!A:A,0)),0)</f>
        <v>0</v>
      </c>
      <c r="F106" s="11">
        <f>Table28[[#This Row],[حسابهای دریافتنی]]+Table28[[#This Row],[چکهای در جریان وصول]]+Table28[[#This Row],[چکهای نزد صندوق]]</f>
        <v>0</v>
      </c>
      <c r="G106" s="12">
        <f>IFERROR(INDEX('مانده سوفاله'!F:F,MATCH(Table28[[#This Row],[كد تفصيلي]],'مانده سوفاله'!A:A,0)),0)</f>
        <v>-110</v>
      </c>
    </row>
    <row r="107" spans="1:7" ht="21" customHeight="1" x14ac:dyDescent="0.35">
      <c r="A107" s="27">
        <v>10191</v>
      </c>
      <c r="B107" s="55" t="s">
        <v>457</v>
      </c>
      <c r="C107" s="10">
        <f>IFERROR(INDEX('حسابهای دریافتنی'!H:H,MATCH(Table28[[#This Row],[كد تفصيلي]],'حسابهای دریافتنی'!A:A,0)),0)</f>
        <v>0</v>
      </c>
      <c r="D107" s="11">
        <f>IFERROR(INDEX('درجریان وصول'!F:F,MATCH(Table28[[#This Row],[كد تفصيلي]],'درجریان وصول'!A:A,0)),0)</f>
        <v>0</v>
      </c>
      <c r="E107" s="11">
        <f>IFERROR(INDEX('چکهای دریافتنی'!F:F,MATCH(Table28[[#This Row],[كد تفصيلي]],'چکهای دریافتنی'!A:A,0)),0)</f>
        <v>0</v>
      </c>
      <c r="F107" s="11">
        <f>Table28[[#This Row],[حسابهای دریافتنی]]+Table28[[#This Row],[چکهای در جریان وصول]]+Table28[[#This Row],[چکهای نزد صندوق]]</f>
        <v>0</v>
      </c>
      <c r="G107" s="12">
        <f>IFERROR(INDEX('مانده سوفاله'!F:F,MATCH(Table28[[#This Row],[كد تفصيلي]],'مانده سوفاله'!A:A,0)),0)</f>
        <v>0</v>
      </c>
    </row>
    <row r="108" spans="1:7" ht="21" customHeight="1" x14ac:dyDescent="0.35">
      <c r="A108" s="26">
        <v>30164</v>
      </c>
      <c r="B108" s="56" t="s">
        <v>304</v>
      </c>
      <c r="C108" s="10">
        <f>IFERROR(INDEX('حسابهای دریافتنی'!H:H,MATCH(Table28[[#This Row],[كد تفصيلي]],'حسابهای دریافتنی'!A:A,0)),0)</f>
        <v>184944000</v>
      </c>
      <c r="D108" s="11">
        <f>IFERROR(INDEX('درجریان وصول'!F:F,MATCH(Table28[[#This Row],[كد تفصيلي]],'درجریان وصول'!A:A,0)),0)</f>
        <v>0</v>
      </c>
      <c r="E108" s="11">
        <f>IFERROR(INDEX('چکهای دریافتنی'!F:F,MATCH(Table28[[#This Row],[كد تفصيلي]],'چکهای دریافتنی'!A:A,0)),0)</f>
        <v>0</v>
      </c>
      <c r="F108" s="11">
        <f>Table28[[#This Row],[حسابهای دریافتنی]]+Table28[[#This Row],[چکهای در جریان وصول]]+Table28[[#This Row],[چکهای نزد صندوق]]</f>
        <v>184944000</v>
      </c>
      <c r="G108" s="12">
        <f>IFERROR(INDEX('مانده سوفاله'!F:F,MATCH(Table28[[#This Row],[كد تفصيلي]],'مانده سوفاله'!A:A,0)),0)</f>
        <v>561</v>
      </c>
    </row>
    <row r="109" spans="1:7" ht="21" customHeight="1" x14ac:dyDescent="0.35">
      <c r="A109" s="27">
        <v>10109</v>
      </c>
      <c r="B109" s="55" t="s">
        <v>303</v>
      </c>
      <c r="C109" s="10">
        <f>IFERROR(INDEX('حسابهای دریافتنی'!H:H,MATCH(Table28[[#This Row],[كد تفصيلي]],'حسابهای دریافتنی'!A:A,0)),0)</f>
        <v>-1124737000</v>
      </c>
      <c r="D109" s="11">
        <f>IFERROR(INDEX('درجریان وصول'!F:F,MATCH(Table28[[#This Row],[كد تفصيلي]],'درجریان وصول'!A:A,0)),0)</f>
        <v>0</v>
      </c>
      <c r="E109" s="11">
        <f>IFERROR(INDEX('چکهای دریافتنی'!F:F,MATCH(Table28[[#This Row],[كد تفصيلي]],'چکهای دریافتنی'!A:A,0)),0)</f>
        <v>0</v>
      </c>
      <c r="F109" s="11">
        <f>Table28[[#This Row],[حسابهای دریافتنی]]+Table28[[#This Row],[چکهای در جریان وصول]]+Table28[[#This Row],[چکهای نزد صندوق]]</f>
        <v>-1124737000</v>
      </c>
      <c r="G109" s="12">
        <f>IFERROR(INDEX('مانده سوفاله'!F:F,MATCH(Table28[[#This Row],[كد تفصيلي]],'مانده سوفاله'!A:A,0)),0)</f>
        <v>-241</v>
      </c>
    </row>
    <row r="110" spans="1:7" ht="21" customHeight="1" x14ac:dyDescent="0.35">
      <c r="A110" s="26">
        <v>30021</v>
      </c>
      <c r="B110" s="56" t="s">
        <v>69</v>
      </c>
      <c r="C110" s="10">
        <f>IFERROR(INDEX('حسابهای دریافتنی'!H:H,MATCH(Table28[[#This Row],[كد تفصيلي]],'حسابهای دریافتنی'!A:A,0)),0)</f>
        <v>-122000</v>
      </c>
      <c r="D110" s="11">
        <f>IFERROR(INDEX('درجریان وصول'!F:F,MATCH(Table28[[#This Row],[كد تفصيلي]],'درجریان وصول'!A:A,0)),0)</f>
        <v>0</v>
      </c>
      <c r="E110" s="11">
        <f>IFERROR(INDEX('چکهای دریافتنی'!F:F,MATCH(Table28[[#This Row],[كد تفصيلي]],'چکهای دریافتنی'!A:A,0)),0)</f>
        <v>0</v>
      </c>
      <c r="F110" s="11">
        <f>Table28[[#This Row],[حسابهای دریافتنی]]+Table28[[#This Row],[چکهای در جریان وصول]]+Table28[[#This Row],[چکهای نزد صندوق]]</f>
        <v>-122000</v>
      </c>
      <c r="G110" s="12">
        <f>IFERROR(INDEX('مانده سوفاله'!F:F,MATCH(Table28[[#This Row],[كد تفصيلي]],'مانده سوفاله'!A:A,0)),0)</f>
        <v>0</v>
      </c>
    </row>
    <row r="111" spans="1:7" ht="21" customHeight="1" x14ac:dyDescent="0.35">
      <c r="A111" s="27">
        <v>10066</v>
      </c>
      <c r="B111" s="55" t="s">
        <v>262</v>
      </c>
      <c r="C111" s="10">
        <f>IFERROR(INDEX('حسابهای دریافتنی'!H:H,MATCH(Table28[[#This Row],[كد تفصيلي]],'حسابهای دریافتنی'!A:A,0)),0)</f>
        <v>-191500</v>
      </c>
      <c r="D111" s="11">
        <f>IFERROR(INDEX('درجریان وصول'!F:F,MATCH(Table28[[#This Row],[كد تفصيلي]],'درجریان وصول'!A:A,0)),0)</f>
        <v>0</v>
      </c>
      <c r="E111" s="11">
        <f>IFERROR(INDEX('چکهای دریافتنی'!F:F,MATCH(Table28[[#This Row],[كد تفصيلي]],'چکهای دریافتنی'!A:A,0)),0)</f>
        <v>0</v>
      </c>
      <c r="F111" s="11">
        <f>Table28[[#This Row],[حسابهای دریافتنی]]+Table28[[#This Row],[چکهای در جریان وصول]]+Table28[[#This Row],[چکهای نزد صندوق]]</f>
        <v>-191500</v>
      </c>
      <c r="G111" s="12">
        <f>IFERROR(INDEX('مانده سوفاله'!F:F,MATCH(Table28[[#This Row],[كد تفصيلي]],'مانده سوفاله'!A:A,0)),0)</f>
        <v>2</v>
      </c>
    </row>
    <row r="112" spans="1:7" ht="21" customHeight="1" x14ac:dyDescent="0.35">
      <c r="A112" s="27">
        <v>30167</v>
      </c>
      <c r="B112" s="55" t="s">
        <v>311</v>
      </c>
      <c r="C112" s="10">
        <f>IFERROR(INDEX('حسابهای دریافتنی'!H:H,MATCH(Table28[[#This Row],[كد تفصيلي]],'حسابهای دریافتنی'!A:A,0)),0)</f>
        <v>-221000</v>
      </c>
      <c r="D112" s="11">
        <f>IFERROR(INDEX('درجریان وصول'!F:F,MATCH(Table28[[#This Row],[كد تفصيلي]],'درجریان وصول'!A:A,0)),0)</f>
        <v>0</v>
      </c>
      <c r="E112" s="11">
        <f>IFERROR(INDEX('چکهای دریافتنی'!F:F,MATCH(Table28[[#This Row],[كد تفصيلي]],'چکهای دریافتنی'!A:A,0)),0)</f>
        <v>0</v>
      </c>
      <c r="F112" s="11">
        <f>Table28[[#This Row],[حسابهای دریافتنی]]+Table28[[#This Row],[چکهای در جریان وصول]]+Table28[[#This Row],[چکهای نزد صندوق]]</f>
        <v>-221000</v>
      </c>
      <c r="G112" s="12">
        <f>IFERROR(INDEX('مانده سوفاله'!F:F,MATCH(Table28[[#This Row],[كد تفصيلي]],'مانده سوفاله'!A:A,0)),0)</f>
        <v>6</v>
      </c>
    </row>
    <row r="113" spans="1:7" ht="21" customHeight="1" x14ac:dyDescent="0.35">
      <c r="A113" s="26">
        <v>10077</v>
      </c>
      <c r="B113" s="56" t="s">
        <v>210</v>
      </c>
      <c r="C113" s="10">
        <f>IFERROR(INDEX('حسابهای دریافتنی'!H:H,MATCH(Table28[[#This Row],[كد تفصيلي]],'حسابهای دریافتنی'!A:A,0)),0)</f>
        <v>-238500</v>
      </c>
      <c r="D113" s="11">
        <f>IFERROR(INDEX('درجریان وصول'!F:F,MATCH(Table28[[#This Row],[كد تفصيلي]],'درجریان وصول'!A:A,0)),0)</f>
        <v>0</v>
      </c>
      <c r="E113" s="11">
        <f>IFERROR(INDEX('چکهای دریافتنی'!F:F,MATCH(Table28[[#This Row],[كد تفصيلي]],'چکهای دریافتنی'!A:A,0)),0)</f>
        <v>0</v>
      </c>
      <c r="F113" s="11">
        <f>Table28[[#This Row],[حسابهای دریافتنی]]+Table28[[#This Row],[چکهای در جریان وصول]]+Table28[[#This Row],[چکهای نزد صندوق]]</f>
        <v>-238500</v>
      </c>
      <c r="G113" s="12">
        <f>IFERROR(INDEX('مانده سوفاله'!F:F,MATCH(Table28[[#This Row],[كد تفصيلي]],'مانده سوفاله'!A:A,0)),0)</f>
        <v>0</v>
      </c>
    </row>
    <row r="114" spans="1:7" ht="21" customHeight="1" x14ac:dyDescent="0.35">
      <c r="A114" s="27">
        <v>10012</v>
      </c>
      <c r="B114" s="55" t="s">
        <v>19</v>
      </c>
      <c r="C114" s="10">
        <f>IFERROR(INDEX('حسابهای دریافتنی'!H:H,MATCH(Table28[[#This Row],[كد تفصيلي]],'حسابهای دریافتنی'!A:A,0)),0)</f>
        <v>-244000</v>
      </c>
      <c r="D114" s="11">
        <f>IFERROR(INDEX('درجریان وصول'!F:F,MATCH(Table28[[#This Row],[كد تفصيلي]],'درجریان وصول'!A:A,0)),0)</f>
        <v>0</v>
      </c>
      <c r="E114" s="11">
        <f>IFERROR(INDEX('چکهای دریافتنی'!F:F,MATCH(Table28[[#This Row],[كد تفصيلي]],'چکهای دریافتنی'!A:A,0)),0)</f>
        <v>0</v>
      </c>
      <c r="F114" s="11">
        <f>Table28[[#This Row],[حسابهای دریافتنی]]+Table28[[#This Row],[چکهای در جریان وصول]]+Table28[[#This Row],[چکهای نزد صندوق]]</f>
        <v>-244000</v>
      </c>
      <c r="G114" s="12">
        <f>IFERROR(INDEX('مانده سوفاله'!F:F,MATCH(Table28[[#This Row],[كد تفصيلي]],'مانده سوفاله'!A:A,0)),0)</f>
        <v>0</v>
      </c>
    </row>
    <row r="115" spans="1:7" ht="21" customHeight="1" x14ac:dyDescent="0.35">
      <c r="A115" s="26">
        <v>30088</v>
      </c>
      <c r="B115" s="56" t="s">
        <v>142</v>
      </c>
      <c r="C115" s="10">
        <f>IFERROR(INDEX('حسابهای دریافتنی'!H:H,MATCH(Table28[[#This Row],[كد تفصيلي]],'حسابهای دریافتنی'!A:A,0)),0)</f>
        <v>-252000</v>
      </c>
      <c r="D115" s="11">
        <f>IFERROR(INDEX('درجریان وصول'!F:F,MATCH(Table28[[#This Row],[كد تفصيلي]],'درجریان وصول'!A:A,0)),0)</f>
        <v>0</v>
      </c>
      <c r="E115" s="11">
        <f>IFERROR(INDEX('چکهای دریافتنی'!F:F,MATCH(Table28[[#This Row],[كد تفصيلي]],'چکهای دریافتنی'!A:A,0)),0)</f>
        <v>0</v>
      </c>
      <c r="F115" s="11">
        <f>Table28[[#This Row],[حسابهای دریافتنی]]+Table28[[#This Row],[چکهای در جریان وصول]]+Table28[[#This Row],[چکهای نزد صندوق]]</f>
        <v>-252000</v>
      </c>
      <c r="G115" s="12">
        <f>IFERROR(INDEX('مانده سوفاله'!F:F,MATCH(Table28[[#This Row],[كد تفصيلي]],'مانده سوفاله'!A:A,0)),0)</f>
        <v>0</v>
      </c>
    </row>
    <row r="116" spans="1:7" ht="21" customHeight="1" x14ac:dyDescent="0.35">
      <c r="A116" s="26">
        <v>10128</v>
      </c>
      <c r="B116" s="56" t="s">
        <v>372</v>
      </c>
      <c r="C116" s="10">
        <f>IFERROR(INDEX('حسابهای دریافتنی'!H:H,MATCH(Table28[[#This Row],[كد تفصيلي]],'حسابهای دریافتنی'!A:A,0)),0)</f>
        <v>-45000</v>
      </c>
      <c r="D116" s="11">
        <f>IFERROR(INDEX('درجریان وصول'!F:F,MATCH(Table28[[#This Row],[كد تفصيلي]],'درجریان وصول'!A:A,0)),0)</f>
        <v>0</v>
      </c>
      <c r="E116" s="11">
        <f>IFERROR(INDEX('چکهای دریافتنی'!F:F,MATCH(Table28[[#This Row],[كد تفصيلي]],'چکهای دریافتنی'!A:A,0)),0)</f>
        <v>0</v>
      </c>
      <c r="F116" s="11">
        <f>Table28[[#This Row],[حسابهای دریافتنی]]+Table28[[#This Row],[چکهای در جریان وصول]]+Table28[[#This Row],[چکهای نزد صندوق]]</f>
        <v>-45000</v>
      </c>
      <c r="G116" s="12">
        <f>IFERROR(INDEX('مانده سوفاله'!F:F,MATCH(Table28[[#This Row],[كد تفصيلي]],'مانده سوفاله'!A:A,0)),0)</f>
        <v>6</v>
      </c>
    </row>
    <row r="117" spans="1:7" ht="21" customHeight="1" x14ac:dyDescent="0.35">
      <c r="A117" s="27">
        <v>10052</v>
      </c>
      <c r="B117" s="55" t="s">
        <v>192</v>
      </c>
      <c r="C117" s="10">
        <f>IFERROR(INDEX('حسابهای دریافتنی'!H:H,MATCH(Table28[[#This Row],[كد تفصيلي]],'حسابهای دریافتنی'!A:A,0)),0)</f>
        <v>0</v>
      </c>
      <c r="D117" s="11">
        <f>IFERROR(INDEX('درجریان وصول'!F:F,MATCH(Table28[[#This Row],[كد تفصيلي]],'درجریان وصول'!A:A,0)),0)</f>
        <v>0</v>
      </c>
      <c r="E117" s="11">
        <f>IFERROR(INDEX('چکهای دریافتنی'!F:F,MATCH(Table28[[#This Row],[كد تفصيلي]],'چکهای دریافتنی'!A:A,0)),0)</f>
        <v>0</v>
      </c>
      <c r="F117" s="11">
        <f>Table28[[#This Row],[حسابهای دریافتنی]]+Table28[[#This Row],[چکهای در جریان وصول]]+Table28[[#This Row],[چکهای نزد صندوق]]</f>
        <v>0</v>
      </c>
      <c r="G117" s="12">
        <f>IFERROR(INDEX('مانده سوفاله'!F:F,MATCH(Table28[[#This Row],[كد تفصيلي]],'مانده سوفاله'!A:A,0)),0)</f>
        <v>0</v>
      </c>
    </row>
    <row r="118" spans="1:7" ht="21" customHeight="1" x14ac:dyDescent="0.35">
      <c r="A118" s="26">
        <v>10045</v>
      </c>
      <c r="B118" s="56" t="s">
        <v>50</v>
      </c>
      <c r="C118" s="10">
        <f>IFERROR(INDEX('حسابهای دریافتنی'!H:H,MATCH(Table28[[#This Row],[كد تفصيلي]],'حسابهای دریافتنی'!A:A,0)),0)</f>
        <v>-383000</v>
      </c>
      <c r="D118" s="11">
        <f>IFERROR(INDEX('درجریان وصول'!F:F,MATCH(Table28[[#This Row],[كد تفصيلي]],'درجریان وصول'!A:A,0)),0)</f>
        <v>0</v>
      </c>
      <c r="E118" s="11">
        <f>IFERROR(INDEX('چکهای دریافتنی'!F:F,MATCH(Table28[[#This Row],[كد تفصيلي]],'چکهای دریافتنی'!A:A,0)),0)</f>
        <v>0</v>
      </c>
      <c r="F118" s="11">
        <f>Table28[[#This Row],[حسابهای دریافتنی]]+Table28[[#This Row],[چکهای در جریان وصول]]+Table28[[#This Row],[چکهای نزد صندوق]]</f>
        <v>-383000</v>
      </c>
      <c r="G118" s="12">
        <f>IFERROR(INDEX('مانده سوفاله'!F:F,MATCH(Table28[[#This Row],[كد تفصيلي]],'مانده سوفاله'!A:A,0)),0)</f>
        <v>-30</v>
      </c>
    </row>
    <row r="119" spans="1:7" ht="21" customHeight="1" x14ac:dyDescent="0.35">
      <c r="A119" s="26">
        <v>30051</v>
      </c>
      <c r="B119" s="56" t="s">
        <v>98</v>
      </c>
      <c r="C119" s="10">
        <f>IFERROR(INDEX('حسابهای دریافتنی'!H:H,MATCH(Table28[[#This Row],[كد تفصيلي]],'حسابهای دریافتنی'!A:A,0)),0)</f>
        <v>-384000</v>
      </c>
      <c r="D119" s="11">
        <f>IFERROR(INDEX('درجریان وصول'!F:F,MATCH(Table28[[#This Row],[كد تفصيلي]],'درجریان وصول'!A:A,0)),0)</f>
        <v>0</v>
      </c>
      <c r="E119" s="11">
        <f>IFERROR(INDEX('چکهای دریافتنی'!F:F,MATCH(Table28[[#This Row],[كد تفصيلي]],'چکهای دریافتنی'!A:A,0)),0)</f>
        <v>0</v>
      </c>
      <c r="F119" s="11">
        <f>Table28[[#This Row],[حسابهای دریافتنی]]+Table28[[#This Row],[چکهای در جریان وصول]]+Table28[[#This Row],[چکهای نزد صندوق]]</f>
        <v>-384000</v>
      </c>
      <c r="G119" s="12">
        <f>IFERROR(INDEX('مانده سوفاله'!F:F,MATCH(Table28[[#This Row],[كد تفصيلي]],'مانده سوفاله'!A:A,0)),0)</f>
        <v>0</v>
      </c>
    </row>
    <row r="120" spans="1:7" ht="21" customHeight="1" x14ac:dyDescent="0.35">
      <c r="A120" s="27">
        <v>30044</v>
      </c>
      <c r="B120" s="55" t="s">
        <v>91</v>
      </c>
      <c r="C120" s="10">
        <f>IFERROR(INDEX('حسابهای دریافتنی'!H:H,MATCH(Table28[[#This Row],[كد تفصيلي]],'حسابهای دریافتنی'!A:A,0)),0)</f>
        <v>-492500</v>
      </c>
      <c r="D120" s="11">
        <f>IFERROR(INDEX('درجریان وصول'!F:F,MATCH(Table28[[#This Row],[كد تفصيلي]],'درجریان وصول'!A:A,0)),0)</f>
        <v>0</v>
      </c>
      <c r="E120" s="11">
        <f>IFERROR(INDEX('چکهای دریافتنی'!F:F,MATCH(Table28[[#This Row],[كد تفصيلي]],'چکهای دریافتنی'!A:A,0)),0)</f>
        <v>0</v>
      </c>
      <c r="F120" s="11">
        <f>Table28[[#This Row],[حسابهای دریافتنی]]+Table28[[#This Row],[چکهای در جریان وصول]]+Table28[[#This Row],[چکهای نزد صندوق]]</f>
        <v>-492500</v>
      </c>
      <c r="G120" s="12">
        <f>IFERROR(INDEX('مانده سوفاله'!F:F,MATCH(Table28[[#This Row],[كد تفصيلي]],'مانده سوفاله'!A:A,0)),0)</f>
        <v>2</v>
      </c>
    </row>
    <row r="121" spans="1:7" ht="21" customHeight="1" x14ac:dyDescent="0.35">
      <c r="A121" s="26">
        <v>10095</v>
      </c>
      <c r="B121" s="56" t="s">
        <v>268</v>
      </c>
      <c r="C121" s="10">
        <f>IFERROR(INDEX('حسابهای دریافتنی'!H:H,MATCH(Table28[[#This Row],[كد تفصيلي]],'حسابهای دریافتنی'!A:A,0)),0)</f>
        <v>-496500</v>
      </c>
      <c r="D121" s="11">
        <f>IFERROR(INDEX('درجریان وصول'!F:F,MATCH(Table28[[#This Row],[كد تفصيلي]],'درجریان وصول'!A:A,0)),0)</f>
        <v>0</v>
      </c>
      <c r="E121" s="11">
        <f>IFERROR(INDEX('چکهای دریافتنی'!F:F,MATCH(Table28[[#This Row],[كد تفصيلي]],'چکهای دریافتنی'!A:A,0)),0)</f>
        <v>0</v>
      </c>
      <c r="F121" s="11">
        <f>Table28[[#This Row],[حسابهای دریافتنی]]+Table28[[#This Row],[چکهای در جریان وصول]]+Table28[[#This Row],[چکهای نزد صندوق]]</f>
        <v>-496500</v>
      </c>
      <c r="G121" s="12">
        <f>IFERROR(INDEX('مانده سوفاله'!F:F,MATCH(Table28[[#This Row],[كد تفصيلي]],'مانده سوفاله'!A:A,0)),0)</f>
        <v>0</v>
      </c>
    </row>
    <row r="122" spans="1:7" ht="21" customHeight="1" x14ac:dyDescent="0.35">
      <c r="A122" s="27">
        <v>30052</v>
      </c>
      <c r="B122" s="55" t="s">
        <v>149</v>
      </c>
      <c r="C122" s="10">
        <f>IFERROR(INDEX('حسابهای دریافتنی'!H:H,MATCH(Table28[[#This Row],[كد تفصيلي]],'حسابهای دریافتنی'!A:A,0)),0)</f>
        <v>-539000</v>
      </c>
      <c r="D122" s="11">
        <f>IFERROR(INDEX('درجریان وصول'!F:F,MATCH(Table28[[#This Row],[كد تفصيلي]],'درجریان وصول'!A:A,0)),0)</f>
        <v>0</v>
      </c>
      <c r="E122" s="11">
        <f>IFERROR(INDEX('چکهای دریافتنی'!F:F,MATCH(Table28[[#This Row],[كد تفصيلي]],'چکهای دریافتنی'!A:A,0)),0)</f>
        <v>0</v>
      </c>
      <c r="F122" s="11">
        <f>Table28[[#This Row],[حسابهای دریافتنی]]+Table28[[#This Row],[چکهای در جریان وصول]]+Table28[[#This Row],[چکهای نزد صندوق]]</f>
        <v>-539000</v>
      </c>
      <c r="G122" s="12">
        <f>IFERROR(INDEX('مانده سوفاله'!F:F,MATCH(Table28[[#This Row],[كد تفصيلي]],'مانده سوفاله'!A:A,0)),0)</f>
        <v>0</v>
      </c>
    </row>
    <row r="123" spans="1:7" ht="21" customHeight="1" x14ac:dyDescent="0.35">
      <c r="A123" s="26">
        <v>10061</v>
      </c>
      <c r="B123" s="56" t="s">
        <v>194</v>
      </c>
      <c r="C123" s="10">
        <f>IFERROR(INDEX('حسابهای دریافتنی'!H:H,MATCH(Table28[[#This Row],[كد تفصيلي]],'حسابهای دریافتنی'!A:A,0)),0)</f>
        <v>-565500</v>
      </c>
      <c r="D123" s="11">
        <f>IFERROR(INDEX('درجریان وصول'!F:F,MATCH(Table28[[#This Row],[كد تفصيلي]],'درجریان وصول'!A:A,0)),0)</f>
        <v>0</v>
      </c>
      <c r="E123" s="11">
        <f>IFERROR(INDEX('چکهای دریافتنی'!F:F,MATCH(Table28[[#This Row],[كد تفصيلي]],'چکهای دریافتنی'!A:A,0)),0)</f>
        <v>0</v>
      </c>
      <c r="F123" s="11">
        <f>Table28[[#This Row],[حسابهای دریافتنی]]+Table28[[#This Row],[چکهای در جریان وصول]]+Table28[[#This Row],[چکهای نزد صندوق]]</f>
        <v>-565500</v>
      </c>
      <c r="G123" s="12">
        <f>IFERROR(INDEX('مانده سوفاله'!F:F,MATCH(Table28[[#This Row],[كد تفصيلي]],'مانده سوفاله'!A:A,0)),0)</f>
        <v>0</v>
      </c>
    </row>
    <row r="124" spans="1:7" ht="21" customHeight="1" x14ac:dyDescent="0.35">
      <c r="A124" s="26">
        <v>10118</v>
      </c>
      <c r="B124" s="56" t="s">
        <v>334</v>
      </c>
      <c r="C124" s="10">
        <f>IFERROR(INDEX('حسابهای دریافتنی'!H:H,MATCH(Table28[[#This Row],[كد تفصيلي]],'حسابهای دریافتنی'!A:A,0)),0)</f>
        <v>-587500</v>
      </c>
      <c r="D124" s="11">
        <f>IFERROR(INDEX('درجریان وصول'!F:F,MATCH(Table28[[#This Row],[كد تفصيلي]],'درجریان وصول'!A:A,0)),0)</f>
        <v>0</v>
      </c>
      <c r="E124" s="11">
        <f>IFERROR(INDEX('چکهای دریافتنی'!F:F,MATCH(Table28[[#This Row],[كد تفصيلي]],'چکهای دریافتنی'!A:A,0)),0)</f>
        <v>0</v>
      </c>
      <c r="F124" s="11">
        <f>Table28[[#This Row],[حسابهای دریافتنی]]+Table28[[#This Row],[چکهای در جریان وصول]]+Table28[[#This Row],[چکهای نزد صندوق]]</f>
        <v>-587500</v>
      </c>
      <c r="G124" s="12">
        <f>IFERROR(INDEX('مانده سوفاله'!F:F,MATCH(Table28[[#This Row],[كد تفصيلي]],'مانده سوفاله'!A:A,0)),0)</f>
        <v>0</v>
      </c>
    </row>
    <row r="125" spans="1:7" ht="21" customHeight="1" x14ac:dyDescent="0.35">
      <c r="A125" s="27">
        <v>10018</v>
      </c>
      <c r="B125" s="55" t="s">
        <v>25</v>
      </c>
      <c r="C125" s="10">
        <f>IFERROR(INDEX('حسابهای دریافتنی'!H:H,MATCH(Table28[[#This Row],[كد تفصيلي]],'حسابهای دریافتنی'!A:A,0)),0)</f>
        <v>95282000</v>
      </c>
      <c r="D125" s="11">
        <f>IFERROR(INDEX('درجریان وصول'!F:F,MATCH(Table28[[#This Row],[كد تفصيلي]],'درجریان وصول'!A:A,0)),0)</f>
        <v>0</v>
      </c>
      <c r="E125" s="11">
        <f>IFERROR(INDEX('چکهای دریافتنی'!F:F,MATCH(Table28[[#This Row],[كد تفصيلي]],'چکهای دریافتنی'!A:A,0)),0)</f>
        <v>0</v>
      </c>
      <c r="F125" s="11">
        <f>Table28[[#This Row],[حسابهای دریافتنی]]+Table28[[#This Row],[چکهای در جریان وصول]]+Table28[[#This Row],[چکهای نزد صندوق]]</f>
        <v>95282000</v>
      </c>
      <c r="G125" s="12">
        <f>IFERROR(INDEX('مانده سوفاله'!F:F,MATCH(Table28[[#This Row],[كد تفصيلي]],'مانده سوفاله'!A:A,0)),0)</f>
        <v>-32</v>
      </c>
    </row>
    <row r="126" spans="1:7" ht="21" customHeight="1" x14ac:dyDescent="0.35">
      <c r="A126" s="26">
        <v>30112</v>
      </c>
      <c r="B126" s="56" t="s">
        <v>201</v>
      </c>
      <c r="C126" s="10">
        <f>IFERROR(INDEX('حسابهای دریافتنی'!H:H,MATCH(Table28[[#This Row],[كد تفصيلي]],'حسابهای دریافتنی'!A:A,0)),0)</f>
        <v>-720500</v>
      </c>
      <c r="D126" s="11">
        <f>IFERROR(INDEX('درجریان وصول'!F:F,MATCH(Table28[[#This Row],[كد تفصيلي]],'درجریان وصول'!A:A,0)),0)</f>
        <v>0</v>
      </c>
      <c r="E126" s="11">
        <f>IFERROR(INDEX('چکهای دریافتنی'!F:F,MATCH(Table28[[#This Row],[كد تفصيلي]],'چکهای دریافتنی'!A:A,0)),0)</f>
        <v>0</v>
      </c>
      <c r="F126" s="11">
        <f>Table28[[#This Row],[حسابهای دریافتنی]]+Table28[[#This Row],[چکهای در جریان وصول]]+Table28[[#This Row],[چکهای نزد صندوق]]</f>
        <v>-720500</v>
      </c>
      <c r="G126" s="12">
        <f>IFERROR(INDEX('مانده سوفاله'!F:F,MATCH(Table28[[#This Row],[كد تفصيلي]],'مانده سوفاله'!A:A,0)),0)</f>
        <v>36</v>
      </c>
    </row>
    <row r="127" spans="1:7" ht="21" customHeight="1" x14ac:dyDescent="0.35">
      <c r="A127" s="26">
        <v>10013</v>
      </c>
      <c r="B127" s="56" t="s">
        <v>20</v>
      </c>
      <c r="C127" s="10">
        <f>IFERROR(INDEX('حسابهای دریافتنی'!H:H,MATCH(Table28[[#This Row],[كد تفصيلي]],'حسابهای دریافتنی'!A:A,0)),0)</f>
        <v>-915000</v>
      </c>
      <c r="D127" s="11">
        <f>IFERROR(INDEX('درجریان وصول'!F:F,MATCH(Table28[[#This Row],[كد تفصيلي]],'درجریان وصول'!A:A,0)),0)</f>
        <v>0</v>
      </c>
      <c r="E127" s="11">
        <f>IFERROR(INDEX('چکهای دریافتنی'!F:F,MATCH(Table28[[#This Row],[كد تفصيلي]],'چکهای دریافتنی'!A:A,0)),0)</f>
        <v>0</v>
      </c>
      <c r="F127" s="11">
        <f>Table28[[#This Row],[حسابهای دریافتنی]]+Table28[[#This Row],[چکهای در جریان وصول]]+Table28[[#This Row],[چکهای نزد صندوق]]</f>
        <v>-915000</v>
      </c>
      <c r="G127" s="12">
        <f>IFERROR(INDEX('مانده سوفاله'!F:F,MATCH(Table28[[#This Row],[كد تفصيلي]],'مانده سوفاله'!A:A,0)),0)</f>
        <v>0</v>
      </c>
    </row>
    <row r="128" spans="1:7" ht="21" customHeight="1" x14ac:dyDescent="0.35">
      <c r="A128" s="27">
        <v>10042</v>
      </c>
      <c r="B128" s="55" t="s">
        <v>47</v>
      </c>
      <c r="C128" s="10">
        <f>IFERROR(INDEX('حسابهای دریافتنی'!H:H,MATCH(Table28[[#This Row],[كد تفصيلي]],'حسابهای دریافتنی'!A:A,0)),0)</f>
        <v>-1120000</v>
      </c>
      <c r="D128" s="11">
        <f>IFERROR(INDEX('درجریان وصول'!F:F,MATCH(Table28[[#This Row],[كد تفصيلي]],'درجریان وصول'!A:A,0)),0)</f>
        <v>0</v>
      </c>
      <c r="E128" s="11">
        <f>IFERROR(INDEX('چکهای دریافتنی'!F:F,MATCH(Table28[[#This Row],[كد تفصيلي]],'چکهای دریافتنی'!A:A,0)),0)</f>
        <v>0</v>
      </c>
      <c r="F128" s="11">
        <f>Table28[[#This Row],[حسابهای دریافتنی]]+Table28[[#This Row],[چکهای در جریان وصول]]+Table28[[#This Row],[چکهای نزد صندوق]]</f>
        <v>-1120000</v>
      </c>
      <c r="G128" s="12">
        <f>IFERROR(INDEX('مانده سوفاله'!F:F,MATCH(Table28[[#This Row],[كد تفصيلي]],'مانده سوفاله'!A:A,0)),0)</f>
        <v>2</v>
      </c>
    </row>
    <row r="129" spans="1:7" ht="21" customHeight="1" x14ac:dyDescent="0.35">
      <c r="A129" s="27">
        <v>30032</v>
      </c>
      <c r="B129" s="55" t="s">
        <v>79</v>
      </c>
      <c r="C129" s="10">
        <f>IFERROR(INDEX('حسابهای دریافتنی'!H:H,MATCH(Table28[[#This Row],[كد تفصيلي]],'حسابهای دریافتنی'!A:A,0)),0)</f>
        <v>-1347000</v>
      </c>
      <c r="D129" s="11">
        <f>IFERROR(INDEX('درجریان وصول'!F:F,MATCH(Table28[[#This Row],[كد تفصيلي]],'درجریان وصول'!A:A,0)),0)</f>
        <v>0</v>
      </c>
      <c r="E129" s="11">
        <f>IFERROR(INDEX('چکهای دریافتنی'!F:F,MATCH(Table28[[#This Row],[كد تفصيلي]],'چکهای دریافتنی'!A:A,0)),0)</f>
        <v>0</v>
      </c>
      <c r="F129" s="11">
        <f>Table28[[#This Row],[حسابهای دریافتنی]]+Table28[[#This Row],[چکهای در جریان وصول]]+Table28[[#This Row],[چکهای نزد صندوق]]</f>
        <v>-1347000</v>
      </c>
      <c r="G129" s="12">
        <f>IFERROR(INDEX('مانده سوفاله'!F:F,MATCH(Table28[[#This Row],[كد تفصيلي]],'مانده سوفاله'!A:A,0)),0)</f>
        <v>0</v>
      </c>
    </row>
    <row r="130" spans="1:7" ht="21" customHeight="1" x14ac:dyDescent="0.35">
      <c r="A130" s="27">
        <v>30171</v>
      </c>
      <c r="B130" s="55" t="s">
        <v>322</v>
      </c>
      <c r="C130" s="10">
        <f>IFERROR(INDEX('حسابهای دریافتنی'!H:H,MATCH(Table28[[#This Row],[كد تفصيلي]],'حسابهای دریافتنی'!A:A,0)),0)</f>
        <v>-1500000</v>
      </c>
      <c r="D130" s="11">
        <f>IFERROR(INDEX('درجریان وصول'!F:F,MATCH(Table28[[#This Row],[كد تفصيلي]],'درجریان وصول'!A:A,0)),0)</f>
        <v>0</v>
      </c>
      <c r="E130" s="11">
        <f>IFERROR(INDEX('چکهای دریافتنی'!F:F,MATCH(Table28[[#This Row],[كد تفصيلي]],'چکهای دریافتنی'!A:A,0)),0)</f>
        <v>0</v>
      </c>
      <c r="F130" s="11">
        <f>Table28[[#This Row],[حسابهای دریافتنی]]+Table28[[#This Row],[چکهای در جریان وصول]]+Table28[[#This Row],[چکهای نزد صندوق]]</f>
        <v>-1500000</v>
      </c>
      <c r="G130" s="12">
        <f>IFERROR(INDEX('مانده سوفاله'!F:F,MATCH(Table28[[#This Row],[كد تفصيلي]],'مانده سوفاله'!A:A,0)),0)</f>
        <v>0</v>
      </c>
    </row>
    <row r="131" spans="1:7" ht="21" customHeight="1" x14ac:dyDescent="0.35">
      <c r="A131" s="26">
        <v>10103</v>
      </c>
      <c r="B131" s="56" t="s">
        <v>283</v>
      </c>
      <c r="C131" s="10">
        <f>IFERROR(INDEX('حسابهای دریافتنی'!H:H,MATCH(Table28[[#This Row],[كد تفصيلي]],'حسابهای دریافتنی'!A:A,0)),0)</f>
        <v>-1580000</v>
      </c>
      <c r="D131" s="11">
        <f>IFERROR(INDEX('درجریان وصول'!F:F,MATCH(Table28[[#This Row],[كد تفصيلي]],'درجریان وصول'!A:A,0)),0)</f>
        <v>0</v>
      </c>
      <c r="E131" s="11">
        <f>IFERROR(INDEX('چکهای دریافتنی'!F:F,MATCH(Table28[[#This Row],[كد تفصيلي]],'چکهای دریافتنی'!A:A,0)),0)</f>
        <v>0</v>
      </c>
      <c r="F131" s="11">
        <f>Table28[[#This Row],[حسابهای دریافتنی]]+Table28[[#This Row],[چکهای در جریان وصول]]+Table28[[#This Row],[چکهای نزد صندوق]]</f>
        <v>-1580000</v>
      </c>
      <c r="G131" s="12">
        <f>IFERROR(INDEX('مانده سوفاله'!F:F,MATCH(Table28[[#This Row],[كد تفصيلي]],'مانده سوفاله'!A:A,0)),0)</f>
        <v>0</v>
      </c>
    </row>
    <row r="132" spans="1:7" ht="21" customHeight="1" x14ac:dyDescent="0.35">
      <c r="A132" s="27">
        <v>10125</v>
      </c>
      <c r="B132" s="55" t="s">
        <v>345</v>
      </c>
      <c r="C132" s="10">
        <f>IFERROR(INDEX('حسابهای دریافتنی'!H:H,MATCH(Table28[[#This Row],[كد تفصيلي]],'حسابهای دریافتنی'!A:A,0)),0)</f>
        <v>-1650000</v>
      </c>
      <c r="D132" s="11">
        <f>IFERROR(INDEX('درجریان وصول'!F:F,MATCH(Table28[[#This Row],[كد تفصيلي]],'درجریان وصول'!A:A,0)),0)</f>
        <v>0</v>
      </c>
      <c r="E132" s="11">
        <f>IFERROR(INDEX('چکهای دریافتنی'!F:F,MATCH(Table28[[#This Row],[كد تفصيلي]],'چکهای دریافتنی'!A:A,0)),0)</f>
        <v>0</v>
      </c>
      <c r="F132" s="11">
        <f>Table28[[#This Row],[حسابهای دریافتنی]]+Table28[[#This Row],[چکهای در جریان وصول]]+Table28[[#This Row],[چکهای نزد صندوق]]</f>
        <v>-1650000</v>
      </c>
      <c r="G132" s="12">
        <f>IFERROR(INDEX('مانده سوفاله'!F:F,MATCH(Table28[[#This Row],[كد تفصيلي]],'مانده سوفاله'!A:A,0)),0)</f>
        <v>0</v>
      </c>
    </row>
    <row r="133" spans="1:7" ht="21" customHeight="1" x14ac:dyDescent="0.35">
      <c r="A133" s="26">
        <v>10110</v>
      </c>
      <c r="B133" s="56" t="s">
        <v>306</v>
      </c>
      <c r="C133" s="10">
        <f>IFERROR(INDEX('حسابهای دریافتنی'!H:H,MATCH(Table28[[#This Row],[كد تفصيلي]],'حسابهای دریافتنی'!A:A,0)),0)</f>
        <v>-1817500</v>
      </c>
      <c r="D133" s="11">
        <f>IFERROR(INDEX('درجریان وصول'!F:F,MATCH(Table28[[#This Row],[كد تفصيلي]],'درجریان وصول'!A:A,0)),0)</f>
        <v>0</v>
      </c>
      <c r="E133" s="11">
        <f>IFERROR(INDEX('چکهای دریافتنی'!F:F,MATCH(Table28[[#This Row],[كد تفصيلي]],'چکهای دریافتنی'!A:A,0)),0)</f>
        <v>0</v>
      </c>
      <c r="F133" s="11">
        <f>Table28[[#This Row],[حسابهای دریافتنی]]+Table28[[#This Row],[چکهای در جریان وصول]]+Table28[[#This Row],[چکهای نزد صندوق]]</f>
        <v>-1817500</v>
      </c>
      <c r="G133" s="12">
        <f>IFERROR(INDEX('مانده سوفاله'!F:F,MATCH(Table28[[#This Row],[كد تفصيلي]],'مانده سوفاله'!A:A,0)),0)</f>
        <v>7</v>
      </c>
    </row>
    <row r="134" spans="1:7" ht="21" customHeight="1" x14ac:dyDescent="0.35">
      <c r="A134" s="27">
        <v>30103</v>
      </c>
      <c r="B134" s="55" t="s">
        <v>240</v>
      </c>
      <c r="C134" s="10">
        <f>IFERROR(INDEX('حسابهای دریافتنی'!H:H,MATCH(Table28[[#This Row],[كد تفصيلي]],'حسابهای دریافتنی'!A:A,0)),0)</f>
        <v>-1820000</v>
      </c>
      <c r="D134" s="11">
        <f>IFERROR(INDEX('درجریان وصول'!F:F,MATCH(Table28[[#This Row],[كد تفصيلي]],'درجریان وصول'!A:A,0)),0)</f>
        <v>0</v>
      </c>
      <c r="E134" s="11">
        <f>IFERROR(INDEX('چکهای دریافتنی'!F:F,MATCH(Table28[[#This Row],[كد تفصيلي]],'چکهای دریافتنی'!A:A,0)),0)</f>
        <v>0</v>
      </c>
      <c r="F134" s="11">
        <f>Table28[[#This Row],[حسابهای دریافتنی]]+Table28[[#This Row],[چکهای در جریان وصول]]+Table28[[#This Row],[چکهای نزد صندوق]]</f>
        <v>-1820000</v>
      </c>
      <c r="G134" s="12">
        <f>IFERROR(INDEX('مانده سوفاله'!F:F,MATCH(Table28[[#This Row],[كد تفصيلي]],'مانده سوفاله'!A:A,0)),0)</f>
        <v>0</v>
      </c>
    </row>
    <row r="135" spans="1:7" ht="21" customHeight="1" x14ac:dyDescent="0.35">
      <c r="A135" s="26">
        <v>30174</v>
      </c>
      <c r="B135" s="56" t="s">
        <v>327</v>
      </c>
      <c r="C135" s="10">
        <f>IFERROR(INDEX('حسابهای دریافتنی'!H:H,MATCH(Table28[[#This Row],[كد تفصيلي]],'حسابهای دریافتنی'!A:A,0)),0)</f>
        <v>-5000</v>
      </c>
      <c r="D135" s="11">
        <f>IFERROR(INDEX('درجریان وصول'!F:F,MATCH(Table28[[#This Row],[كد تفصيلي]],'درجریان وصول'!A:A,0)),0)</f>
        <v>0</v>
      </c>
      <c r="E135" s="11">
        <f>IFERROR(INDEX('چکهای دریافتنی'!F:F,MATCH(Table28[[#This Row],[كد تفصيلي]],'چکهای دریافتنی'!A:A,0)),0)</f>
        <v>0</v>
      </c>
      <c r="F135" s="11">
        <f>Table28[[#This Row],[حسابهای دریافتنی]]+Table28[[#This Row],[چکهای در جریان وصول]]+Table28[[#This Row],[چکهای نزد صندوق]]</f>
        <v>-5000</v>
      </c>
      <c r="G135" s="12">
        <f>IFERROR(INDEX('مانده سوفاله'!F:F,MATCH(Table28[[#This Row],[كد تفصيلي]],'مانده سوفاله'!A:A,0)),0)</f>
        <v>0</v>
      </c>
    </row>
    <row r="136" spans="1:7" ht="21" customHeight="1" x14ac:dyDescent="0.35">
      <c r="A136" s="27">
        <v>10070</v>
      </c>
      <c r="B136" s="55" t="s">
        <v>230</v>
      </c>
      <c r="C136" s="10">
        <f>IFERROR(INDEX('حسابهای دریافتنی'!H:H,MATCH(Table28[[#This Row],[كد تفصيلي]],'حسابهای دریافتنی'!A:A,0)),0)</f>
        <v>508152500</v>
      </c>
      <c r="D136" s="11">
        <f>IFERROR(INDEX('درجریان وصول'!F:F,MATCH(Table28[[#This Row],[كد تفصيلي]],'درجریان وصول'!A:A,0)),0)</f>
        <v>0</v>
      </c>
      <c r="E136" s="11">
        <f>IFERROR(INDEX('چکهای دریافتنی'!F:F,MATCH(Table28[[#This Row],[كد تفصيلي]],'چکهای دریافتنی'!A:A,0)),0)</f>
        <v>570000000</v>
      </c>
      <c r="F136" s="11">
        <f>Table28[[#This Row],[حسابهای دریافتنی]]+Table28[[#This Row],[چکهای در جریان وصول]]+Table28[[#This Row],[چکهای نزد صندوق]]</f>
        <v>1078152500</v>
      </c>
      <c r="G136" s="12">
        <f>IFERROR(INDEX('مانده سوفاله'!F:F,MATCH(Table28[[#This Row],[كد تفصيلي]],'مانده سوفاله'!A:A,0)),0)</f>
        <v>-3170</v>
      </c>
    </row>
    <row r="137" spans="1:7" ht="21" customHeight="1" x14ac:dyDescent="0.35">
      <c r="A137" s="26">
        <v>30128</v>
      </c>
      <c r="B137" s="56" t="s">
        <v>212</v>
      </c>
      <c r="C137" s="10">
        <f>IFERROR(INDEX('حسابهای دریافتنی'!H:H,MATCH(Table28[[#This Row],[كد تفصيلي]],'حسابهای دریافتنی'!A:A,0)),0)</f>
        <v>-2451320</v>
      </c>
      <c r="D137" s="11">
        <f>IFERROR(INDEX('درجریان وصول'!F:F,MATCH(Table28[[#This Row],[كد تفصيلي]],'درجریان وصول'!A:A,0)),0)</f>
        <v>0</v>
      </c>
      <c r="E137" s="11">
        <f>IFERROR(INDEX('چکهای دریافتنی'!F:F,MATCH(Table28[[#This Row],[كد تفصيلي]],'چکهای دریافتنی'!A:A,0)),0)</f>
        <v>0</v>
      </c>
      <c r="F137" s="11">
        <f>Table28[[#This Row],[حسابهای دریافتنی]]+Table28[[#This Row],[چکهای در جریان وصول]]+Table28[[#This Row],[چکهای نزد صندوق]]</f>
        <v>-2451320</v>
      </c>
      <c r="G137" s="12">
        <f>IFERROR(INDEX('مانده سوفاله'!F:F,MATCH(Table28[[#This Row],[كد تفصيلي]],'مانده سوفاله'!A:A,0)),0)</f>
        <v>0</v>
      </c>
    </row>
    <row r="138" spans="1:7" ht="21" customHeight="1" x14ac:dyDescent="0.35">
      <c r="A138" s="26">
        <v>30015</v>
      </c>
      <c r="B138" s="56" t="s">
        <v>64</v>
      </c>
      <c r="C138" s="10">
        <f>IFERROR(INDEX('حسابهای دریافتنی'!H:H,MATCH(Table28[[#This Row],[كد تفصيلي]],'حسابهای دریافتنی'!A:A,0)),0)</f>
        <v>-3105895</v>
      </c>
      <c r="D138" s="11">
        <f>IFERROR(INDEX('درجریان وصول'!F:F,MATCH(Table28[[#This Row],[كد تفصيلي]],'درجریان وصول'!A:A,0)),0)</f>
        <v>0</v>
      </c>
      <c r="E138" s="11">
        <f>IFERROR(INDEX('چکهای دریافتنی'!F:F,MATCH(Table28[[#This Row],[كد تفصيلي]],'چکهای دریافتنی'!A:A,0)),0)</f>
        <v>0</v>
      </c>
      <c r="F138" s="11">
        <f>Table28[[#This Row],[حسابهای دریافتنی]]+Table28[[#This Row],[چکهای در جریان وصول]]+Table28[[#This Row],[چکهای نزد صندوق]]</f>
        <v>-3105895</v>
      </c>
      <c r="G138" s="12">
        <f>IFERROR(INDEX('مانده سوفاله'!F:F,MATCH(Table28[[#This Row],[كد تفصيلي]],'مانده سوفاله'!A:A,0)),0)</f>
        <v>0</v>
      </c>
    </row>
    <row r="139" spans="1:7" customFormat="1" ht="21" customHeight="1" x14ac:dyDescent="0.35">
      <c r="A139" s="53">
        <v>30110</v>
      </c>
      <c r="B139" s="56" t="s">
        <v>200</v>
      </c>
      <c r="C139" s="10">
        <f>IFERROR(INDEX('حسابهای دریافتنی'!H:H,MATCH(Table28[[#This Row],[كد تفصيلي]],'حسابهای دریافتنی'!A:A,0)),0)</f>
        <v>-3492360</v>
      </c>
      <c r="D139" s="11">
        <f>IFERROR(INDEX('درجریان وصول'!F:F,MATCH(Table28[[#This Row],[كد تفصيلي]],'درجریان وصول'!A:A,0)),0)</f>
        <v>0</v>
      </c>
      <c r="E139" s="11">
        <f>IFERROR(INDEX('چکهای دریافتنی'!F:F,MATCH(Table28[[#This Row],[كد تفصيلي]],'چکهای دریافتنی'!A:A,0)),0)</f>
        <v>0</v>
      </c>
      <c r="F139" s="11">
        <f>Table28[[#This Row],[حسابهای دریافتنی]]+Table28[[#This Row],[چکهای در جریان وصول]]+Table28[[#This Row],[چکهای نزد صندوق]]</f>
        <v>-3492360</v>
      </c>
      <c r="G139" s="12">
        <f>IFERROR(INDEX('مانده سوفاله'!F:F,MATCH(Table28[[#This Row],[كد تفصيلي]],'مانده سوفاله'!A:A,0)),0)</f>
        <v>0</v>
      </c>
    </row>
    <row r="140" spans="1:7" customFormat="1" ht="21" customHeight="1" x14ac:dyDescent="0.35">
      <c r="A140" s="53">
        <v>10049</v>
      </c>
      <c r="B140" s="56" t="s">
        <v>157</v>
      </c>
      <c r="C140" s="10">
        <f>IFERROR(INDEX('حسابهای دریافتنی'!H:H,MATCH(Table28[[#This Row],[كد تفصيلي]],'حسابهای دریافتنی'!A:A,0)),0)</f>
        <v>-32909500</v>
      </c>
      <c r="D140" s="11">
        <f>IFERROR(INDEX('درجریان وصول'!F:F,MATCH(Table28[[#This Row],[كد تفصيلي]],'درجریان وصول'!A:A,0)),0)</f>
        <v>0</v>
      </c>
      <c r="E140" s="11">
        <f>IFERROR(INDEX('چکهای دریافتنی'!F:F,MATCH(Table28[[#This Row],[كد تفصيلي]],'چکهای دریافتنی'!A:A,0)),0)</f>
        <v>0</v>
      </c>
      <c r="F140" s="11">
        <f>Table28[[#This Row],[حسابهای دریافتنی]]+Table28[[#This Row],[چکهای در جریان وصول]]+Table28[[#This Row],[چکهای نزد صندوق]]</f>
        <v>-32909500</v>
      </c>
      <c r="G140" s="12">
        <f>IFERROR(INDEX('مانده سوفاله'!F:F,MATCH(Table28[[#This Row],[كد تفصيلي]],'مانده سوفاله'!A:A,0)),0)</f>
        <v>0</v>
      </c>
    </row>
    <row r="141" spans="1:7" customFormat="1" ht="21" customHeight="1" x14ac:dyDescent="0.35">
      <c r="A141" s="53">
        <v>10015</v>
      </c>
      <c r="B141" s="56" t="s">
        <v>22</v>
      </c>
      <c r="C141" s="10">
        <f>IFERROR(INDEX('حسابهای دریافتنی'!H:H,MATCH(Table28[[#This Row],[كد تفصيلي]],'حسابهای دریافتنی'!A:A,0)),0)</f>
        <v>-4735000</v>
      </c>
      <c r="D141" s="11">
        <f>IFERROR(INDEX('درجریان وصول'!F:F,MATCH(Table28[[#This Row],[كد تفصيلي]],'درجریان وصول'!A:A,0)),0)</f>
        <v>0</v>
      </c>
      <c r="E141" s="11">
        <f>IFERROR(INDEX('چکهای دریافتنی'!F:F,MATCH(Table28[[#This Row],[كد تفصيلي]],'چکهای دریافتنی'!A:A,0)),0)</f>
        <v>0</v>
      </c>
      <c r="F141" s="11">
        <f>Table28[[#This Row],[حسابهای دریافتنی]]+Table28[[#This Row],[چکهای در جریان وصول]]+Table28[[#This Row],[چکهای نزد صندوق]]</f>
        <v>-4735000</v>
      </c>
      <c r="G141" s="12">
        <f>IFERROR(INDEX('مانده سوفاله'!F:F,MATCH(Table28[[#This Row],[كد تفصيلي]],'مانده سوفاله'!A:A,0)),0)</f>
        <v>12</v>
      </c>
    </row>
    <row r="142" spans="1:7" customFormat="1" ht="21" customHeight="1" x14ac:dyDescent="0.35">
      <c r="A142" s="53">
        <v>30023</v>
      </c>
      <c r="B142" s="56" t="s">
        <v>71</v>
      </c>
      <c r="C142" s="10">
        <f>IFERROR(INDEX('حسابهای دریافتنی'!H:H,MATCH(Table28[[#This Row],[كد تفصيلي]],'حسابهای دریافتنی'!A:A,0)),0)</f>
        <v>-5793600</v>
      </c>
      <c r="D142" s="11">
        <f>IFERROR(INDEX('درجریان وصول'!F:F,MATCH(Table28[[#This Row],[كد تفصيلي]],'درجریان وصول'!A:A,0)),0)</f>
        <v>0</v>
      </c>
      <c r="E142" s="11">
        <f>IFERROR(INDEX('چکهای دریافتنی'!F:F,MATCH(Table28[[#This Row],[كد تفصيلي]],'چکهای دریافتنی'!A:A,0)),0)</f>
        <v>0</v>
      </c>
      <c r="F142" s="11">
        <f>Table28[[#This Row],[حسابهای دریافتنی]]+Table28[[#This Row],[چکهای در جریان وصول]]+Table28[[#This Row],[چکهای نزد صندوق]]</f>
        <v>-5793600</v>
      </c>
      <c r="G142" s="12">
        <f>IFERROR(INDEX('مانده سوفاله'!F:F,MATCH(Table28[[#This Row],[كد تفصيلي]],'مانده سوفاله'!A:A,0)),0)</f>
        <v>0</v>
      </c>
    </row>
    <row r="143" spans="1:7" customFormat="1" ht="21" customHeight="1" x14ac:dyDescent="0.35">
      <c r="A143" s="53">
        <v>30176</v>
      </c>
      <c r="B143" s="56" t="s">
        <v>332</v>
      </c>
      <c r="C143" s="10">
        <f>IFERROR(INDEX('حسابهای دریافتنی'!H:H,MATCH(Table28[[#This Row],[كد تفصيلي]],'حسابهای دریافتنی'!A:A,0)),0)</f>
        <v>-7540075</v>
      </c>
      <c r="D143" s="11">
        <f>IFERROR(INDEX('درجریان وصول'!F:F,MATCH(Table28[[#This Row],[كد تفصيلي]],'درجریان وصول'!A:A,0)),0)</f>
        <v>0</v>
      </c>
      <c r="E143" s="11">
        <f>IFERROR(INDEX('چکهای دریافتنی'!F:F,MATCH(Table28[[#This Row],[كد تفصيلي]],'چکهای دریافتنی'!A:A,0)),0)</f>
        <v>0</v>
      </c>
      <c r="F143" s="11">
        <f>Table28[[#This Row],[حسابهای دریافتنی]]+Table28[[#This Row],[چکهای در جریان وصول]]+Table28[[#This Row],[چکهای نزد صندوق]]</f>
        <v>-7540075</v>
      </c>
      <c r="G143" s="12">
        <f>IFERROR(INDEX('مانده سوفاله'!F:F,MATCH(Table28[[#This Row],[كد تفصيلي]],'مانده سوفاله'!A:A,0)),0)</f>
        <v>0</v>
      </c>
    </row>
    <row r="144" spans="1:7" customFormat="1" ht="21" customHeight="1" x14ac:dyDescent="0.35">
      <c r="A144" s="53">
        <v>10106</v>
      </c>
      <c r="B144" s="56" t="s">
        <v>298</v>
      </c>
      <c r="C144" s="10">
        <f>IFERROR(INDEX('حسابهای دریافتنی'!H:H,MATCH(Table28[[#This Row],[كد تفصيلي]],'حسابهای دریافتنی'!A:A,0)),0)</f>
        <v>-9134000</v>
      </c>
      <c r="D144" s="11">
        <f>IFERROR(INDEX('درجریان وصول'!F:F,MATCH(Table28[[#This Row],[كد تفصيلي]],'درجریان وصول'!A:A,0)),0)</f>
        <v>0</v>
      </c>
      <c r="E144" s="11">
        <f>IFERROR(INDEX('چکهای دریافتنی'!F:F,MATCH(Table28[[#This Row],[كد تفصيلي]],'چکهای دریافتنی'!A:A,0)),0)</f>
        <v>0</v>
      </c>
      <c r="F144" s="11">
        <f>Table28[[#This Row],[حسابهای دریافتنی]]+Table28[[#This Row],[چکهای در جریان وصول]]+Table28[[#This Row],[چکهای نزد صندوق]]</f>
        <v>-9134000</v>
      </c>
      <c r="G144" s="12">
        <f>IFERROR(INDEX('مانده سوفاله'!F:F,MATCH(Table28[[#This Row],[كد تفصيلي]],'مانده سوفاله'!A:A,0)),0)</f>
        <v>0</v>
      </c>
    </row>
    <row r="145" spans="1:7" customFormat="1" ht="21" customHeight="1" x14ac:dyDescent="0.35">
      <c r="A145" s="54">
        <v>10102</v>
      </c>
      <c r="B145" s="55" t="s">
        <v>282</v>
      </c>
      <c r="C145" s="10">
        <f>IFERROR(INDEX('حسابهای دریافتنی'!H:H,MATCH(Table28[[#This Row],[كد تفصيلي]],'حسابهای دریافتنی'!A:A,0)),0)</f>
        <v>-10374000</v>
      </c>
      <c r="D145" s="11">
        <f>IFERROR(INDEX('درجریان وصول'!F:F,MATCH(Table28[[#This Row],[كد تفصيلي]],'درجریان وصول'!A:A,0)),0)</f>
        <v>0</v>
      </c>
      <c r="E145" s="11">
        <f>IFERROR(INDEX('چکهای دریافتنی'!F:F,MATCH(Table28[[#This Row],[كد تفصيلي]],'چکهای دریافتنی'!A:A,0)),0)</f>
        <v>0</v>
      </c>
      <c r="F145" s="11">
        <f>Table28[[#This Row],[حسابهای دریافتنی]]+Table28[[#This Row],[چکهای در جریان وصول]]+Table28[[#This Row],[چکهای نزد صندوق]]</f>
        <v>-10374000</v>
      </c>
      <c r="G145" s="12">
        <f>IFERROR(INDEX('مانده سوفاله'!F:F,MATCH(Table28[[#This Row],[كد تفصيلي]],'مانده سوفاله'!A:A,0)),0)</f>
        <v>0</v>
      </c>
    </row>
    <row r="146" spans="1:7" customFormat="1" ht="21" customHeight="1" x14ac:dyDescent="0.35">
      <c r="A146" s="54">
        <v>10058</v>
      </c>
      <c r="B146" s="55" t="s">
        <v>173</v>
      </c>
      <c r="C146" s="10">
        <f>IFERROR(INDEX('حسابهای دریافتنی'!H:H,MATCH(Table28[[#This Row],[كد تفصيلي]],'حسابهای دریافتنی'!A:A,0)),0)</f>
        <v>-13650000</v>
      </c>
      <c r="D146" s="11">
        <f>IFERROR(INDEX('درجریان وصول'!F:F,MATCH(Table28[[#This Row],[كد تفصيلي]],'درجریان وصول'!A:A,0)),0)</f>
        <v>0</v>
      </c>
      <c r="E146" s="11">
        <f>IFERROR(INDEX('چکهای دریافتنی'!F:F,MATCH(Table28[[#This Row],[كد تفصيلي]],'چکهای دریافتنی'!A:A,0)),0)</f>
        <v>0</v>
      </c>
      <c r="F146" s="11">
        <f>Table28[[#This Row],[حسابهای دریافتنی]]+Table28[[#This Row],[چکهای در جریان وصول]]+Table28[[#This Row],[چکهای نزد صندوق]]</f>
        <v>-13650000</v>
      </c>
      <c r="G146" s="12">
        <f>IFERROR(INDEX('مانده سوفاله'!F:F,MATCH(Table28[[#This Row],[كد تفصيلي]],'مانده سوفاله'!A:A,0)),0)</f>
        <v>0</v>
      </c>
    </row>
    <row r="147" spans="1:7" customFormat="1" ht="21" customHeight="1" x14ac:dyDescent="0.35">
      <c r="A147" s="53">
        <v>10126</v>
      </c>
      <c r="B147" s="56" t="s">
        <v>370</v>
      </c>
      <c r="C147" s="10">
        <f>IFERROR(INDEX('حسابهای دریافتنی'!H:H,MATCH(Table28[[#This Row],[كد تفصيلي]],'حسابهای دریافتنی'!A:A,0)),0)</f>
        <v>12165000</v>
      </c>
      <c r="D147" s="11">
        <f>IFERROR(INDEX('درجریان وصول'!F:F,MATCH(Table28[[#This Row],[كد تفصيلي]],'درجریان وصول'!A:A,0)),0)</f>
        <v>0</v>
      </c>
      <c r="E147" s="11">
        <f>IFERROR(INDEX('چکهای دریافتنی'!F:F,MATCH(Table28[[#This Row],[كد تفصيلي]],'چکهای دریافتنی'!A:A,0)),0)</f>
        <v>0</v>
      </c>
      <c r="F147" s="11">
        <f>Table28[[#This Row],[حسابهای دریافتنی]]+Table28[[#This Row],[چکهای در جریان وصول]]+Table28[[#This Row],[چکهای نزد صندوق]]</f>
        <v>12165000</v>
      </c>
      <c r="G147" s="12">
        <f>IFERROR(INDEX('مانده سوفاله'!F:F,MATCH(Table28[[#This Row],[كد تفصيلي]],'مانده سوفاله'!A:A,0)),0)</f>
        <v>0</v>
      </c>
    </row>
    <row r="148" spans="1:7" customFormat="1" ht="21" customHeight="1" x14ac:dyDescent="0.35">
      <c r="A148" s="53">
        <v>30082</v>
      </c>
      <c r="B148" s="56" t="s">
        <v>127</v>
      </c>
      <c r="C148" s="10">
        <f>IFERROR(INDEX('حسابهای دریافتنی'!H:H,MATCH(Table28[[#This Row],[كد تفصيلي]],'حسابهای دریافتنی'!A:A,0)),0)</f>
        <v>-15037000</v>
      </c>
      <c r="D148" s="11">
        <f>IFERROR(INDEX('درجریان وصول'!F:F,MATCH(Table28[[#This Row],[كد تفصيلي]],'درجریان وصول'!A:A,0)),0)</f>
        <v>0</v>
      </c>
      <c r="E148" s="11">
        <f>IFERROR(INDEX('چکهای دریافتنی'!F:F,MATCH(Table28[[#This Row],[كد تفصيلي]],'چکهای دریافتنی'!A:A,0)),0)</f>
        <v>0</v>
      </c>
      <c r="F148" s="11">
        <f>Table28[[#This Row],[حسابهای دریافتنی]]+Table28[[#This Row],[چکهای در جریان وصول]]+Table28[[#This Row],[چکهای نزد صندوق]]</f>
        <v>-15037000</v>
      </c>
      <c r="G148" s="12">
        <f>IFERROR(INDEX('مانده سوفاله'!F:F,MATCH(Table28[[#This Row],[كد تفصيلي]],'مانده سوفاله'!A:A,0)),0)</f>
        <v>-16</v>
      </c>
    </row>
    <row r="149" spans="1:7" customFormat="1" ht="21" customHeight="1" x14ac:dyDescent="0.35">
      <c r="A149" s="54">
        <v>30034</v>
      </c>
      <c r="B149" s="55" t="s">
        <v>81</v>
      </c>
      <c r="C149" s="10">
        <f>IFERROR(INDEX('حسابهای دریافتنی'!H:H,MATCH(Table28[[#This Row],[كد تفصيلي]],'حسابهای دریافتنی'!A:A,0)),0)</f>
        <v>388329200</v>
      </c>
      <c r="D149" s="11">
        <f>IFERROR(INDEX('درجریان وصول'!F:F,MATCH(Table28[[#This Row],[كد تفصيلي]],'درجریان وصول'!A:A,0)),0)</f>
        <v>0</v>
      </c>
      <c r="E149" s="11">
        <f>IFERROR(INDEX('چکهای دریافتنی'!F:F,MATCH(Table28[[#This Row],[كد تفصيلي]],'چکهای دریافتنی'!A:A,0)),0)</f>
        <v>0</v>
      </c>
      <c r="F149" s="11">
        <f>Table28[[#This Row],[حسابهای دریافتنی]]+Table28[[#This Row],[چکهای در جریان وصول]]+Table28[[#This Row],[چکهای نزد صندوق]]</f>
        <v>388329200</v>
      </c>
      <c r="G149" s="12">
        <f>IFERROR(INDEX('مانده سوفاله'!F:F,MATCH(Table28[[#This Row],[كد تفصيلي]],'مانده سوفاله'!A:A,0)),0)</f>
        <v>2886</v>
      </c>
    </row>
    <row r="150" spans="1:7" customFormat="1" ht="21" customHeight="1" x14ac:dyDescent="0.35">
      <c r="A150" s="54">
        <v>30042</v>
      </c>
      <c r="B150" s="55" t="s">
        <v>89</v>
      </c>
      <c r="C150" s="10">
        <f>IFERROR(INDEX('حسابهای دریافتنی'!H:H,MATCH(Table28[[#This Row],[كد تفصيلي]],'حسابهای دریافتنی'!A:A,0)),0)</f>
        <v>-18303540</v>
      </c>
      <c r="D150" s="11">
        <f>IFERROR(INDEX('درجریان وصول'!F:F,MATCH(Table28[[#This Row],[كد تفصيلي]],'درجریان وصول'!A:A,0)),0)</f>
        <v>0</v>
      </c>
      <c r="E150" s="11">
        <f>IFERROR(INDEX('چکهای دریافتنی'!F:F,MATCH(Table28[[#This Row],[كد تفصيلي]],'چکهای دریافتنی'!A:A,0)),0)</f>
        <v>0</v>
      </c>
      <c r="F150" s="11">
        <f>Table28[[#This Row],[حسابهای دریافتنی]]+Table28[[#This Row],[چکهای در جریان وصول]]+Table28[[#This Row],[چکهای نزد صندوق]]</f>
        <v>-18303540</v>
      </c>
      <c r="G150" s="12">
        <f>IFERROR(INDEX('مانده سوفاله'!F:F,MATCH(Table28[[#This Row],[كد تفصيلي]],'مانده سوفاله'!A:A,0)),0)</f>
        <v>0</v>
      </c>
    </row>
    <row r="151" spans="1:7" customFormat="1" ht="21" customHeight="1" x14ac:dyDescent="0.35">
      <c r="A151" s="54">
        <v>10119</v>
      </c>
      <c r="B151" s="55" t="s">
        <v>333</v>
      </c>
      <c r="C151" s="10">
        <f>IFERROR(INDEX('حسابهای دریافتنی'!H:H,MATCH(Table28[[#This Row],[كد تفصيلي]],'حسابهای دریافتنی'!A:A,0)),0)</f>
        <v>-2592000</v>
      </c>
      <c r="D151" s="11">
        <f>IFERROR(INDEX('درجریان وصول'!F:F,MATCH(Table28[[#This Row],[كد تفصيلي]],'درجریان وصول'!A:A,0)),0)</f>
        <v>0</v>
      </c>
      <c r="E151" s="11">
        <f>IFERROR(INDEX('چکهای دریافتنی'!F:F,MATCH(Table28[[#This Row],[كد تفصيلي]],'چکهای دریافتنی'!A:A,0)),0)</f>
        <v>0</v>
      </c>
      <c r="F151" s="11">
        <f>Table28[[#This Row],[حسابهای دریافتنی]]+Table28[[#This Row],[چکهای در جریان وصول]]+Table28[[#This Row],[چکهای نزد صندوق]]</f>
        <v>-2592000</v>
      </c>
      <c r="G151" s="12">
        <f>IFERROR(INDEX('مانده سوفاله'!F:F,MATCH(Table28[[#This Row],[كد تفصيلي]],'مانده سوفاله'!A:A,0)),0)</f>
        <v>353</v>
      </c>
    </row>
    <row r="152" spans="1:7" customFormat="1" ht="21" customHeight="1" x14ac:dyDescent="0.35">
      <c r="A152" s="54">
        <v>30028</v>
      </c>
      <c r="B152" s="55" t="s">
        <v>76</v>
      </c>
      <c r="C152" s="10">
        <f>IFERROR(INDEX('حسابهای دریافتنی'!H:H,MATCH(Table28[[#This Row],[كد تفصيلي]],'حسابهای دریافتنی'!A:A,0)),0)</f>
        <v>-23665000</v>
      </c>
      <c r="D152" s="11">
        <f>IFERROR(INDEX('درجریان وصول'!F:F,MATCH(Table28[[#This Row],[كد تفصيلي]],'درجریان وصول'!A:A,0)),0)</f>
        <v>0</v>
      </c>
      <c r="E152" s="11">
        <f>IFERROR(INDEX('چکهای دریافتنی'!F:F,MATCH(Table28[[#This Row],[كد تفصيلي]],'چکهای دریافتنی'!A:A,0)),0)</f>
        <v>0</v>
      </c>
      <c r="F152" s="11">
        <f>Table28[[#This Row],[حسابهای دریافتنی]]+Table28[[#This Row],[چکهای در جریان وصول]]+Table28[[#This Row],[چکهای نزد صندوق]]</f>
        <v>-23665000</v>
      </c>
      <c r="G152" s="12">
        <f>IFERROR(INDEX('مانده سوفاله'!F:F,MATCH(Table28[[#This Row],[كد تفصيلي]],'مانده سوفاله'!A:A,0)),0)</f>
        <v>0</v>
      </c>
    </row>
    <row r="153" spans="1:7" customFormat="1" ht="21" customHeight="1" x14ac:dyDescent="0.35">
      <c r="A153" s="53">
        <v>30072</v>
      </c>
      <c r="B153" s="56" t="s">
        <v>117</v>
      </c>
      <c r="C153" s="10">
        <f>IFERROR(INDEX('حسابهای دریافتنی'!H:H,MATCH(Table28[[#This Row],[كد تفصيلي]],'حسابهای دریافتنی'!A:A,0)),0)</f>
        <v>-30178900</v>
      </c>
      <c r="D153" s="11">
        <f>IFERROR(INDEX('درجریان وصول'!F:F,MATCH(Table28[[#This Row],[كد تفصيلي]],'درجریان وصول'!A:A,0)),0)</f>
        <v>0</v>
      </c>
      <c r="E153" s="11">
        <f>IFERROR(INDEX('چکهای دریافتنی'!F:F,MATCH(Table28[[#This Row],[كد تفصيلي]],'چکهای دریافتنی'!A:A,0)),0)</f>
        <v>0</v>
      </c>
      <c r="F153" s="11">
        <f>Table28[[#This Row],[حسابهای دریافتنی]]+Table28[[#This Row],[چکهای در جریان وصول]]+Table28[[#This Row],[چکهای نزد صندوق]]</f>
        <v>-30178900</v>
      </c>
      <c r="G153" s="12">
        <f>IFERROR(INDEX('مانده سوفاله'!F:F,MATCH(Table28[[#This Row],[كد تفصيلي]],'مانده سوفاله'!A:A,0)),0)</f>
        <v>-79</v>
      </c>
    </row>
    <row r="154" spans="1:7" customFormat="1" ht="21" customHeight="1" x14ac:dyDescent="0.35">
      <c r="A154" s="54">
        <v>10002</v>
      </c>
      <c r="B154" s="55" t="s">
        <v>9</v>
      </c>
      <c r="C154" s="10">
        <f>IFERROR(INDEX('حسابهای دریافتنی'!H:H,MATCH(Table28[[#This Row],[كد تفصيلي]],'حسابهای دریافتنی'!A:A,0)),0)</f>
        <v>-3600000000</v>
      </c>
      <c r="D154" s="11">
        <f>IFERROR(INDEX('درجریان وصول'!F:F,MATCH(Table28[[#This Row],[كد تفصيلي]],'درجریان وصول'!A:A,0)),0)</f>
        <v>0</v>
      </c>
      <c r="E154" s="11">
        <f>IFERROR(INDEX('چکهای دریافتنی'!F:F,MATCH(Table28[[#This Row],[كد تفصيلي]],'چکهای دریافتنی'!A:A,0)),0)</f>
        <v>0</v>
      </c>
      <c r="F154" s="11">
        <f>Table28[[#This Row],[حسابهای دریافتنی]]+Table28[[#This Row],[چکهای در جریان وصول]]+Table28[[#This Row],[چکهای نزد صندوق]]</f>
        <v>-3600000000</v>
      </c>
      <c r="G154" s="12">
        <f>IFERROR(INDEX('مانده سوفاله'!F:F,MATCH(Table28[[#This Row],[كد تفصيلي]],'مانده سوفاله'!A:A,0)),0)</f>
        <v>0</v>
      </c>
    </row>
    <row r="155" spans="1:7" customFormat="1" ht="21" customHeight="1" x14ac:dyDescent="0.35">
      <c r="A155" s="54">
        <v>30000</v>
      </c>
      <c r="B155" s="55" t="s">
        <v>189</v>
      </c>
      <c r="C155" s="10">
        <f>IFERROR(INDEX('حسابهای دریافتنی'!H:H,MATCH(Table28[[#This Row],[كد تفصيلي]],'حسابهای دریافتنی'!A:A,0)),0)</f>
        <v>-55440000</v>
      </c>
      <c r="D155" s="11">
        <f>IFERROR(INDEX('درجریان وصول'!F:F,MATCH(Table28[[#This Row],[كد تفصيلي]],'درجریان وصول'!A:A,0)),0)</f>
        <v>0</v>
      </c>
      <c r="E155" s="11">
        <f>IFERROR(INDEX('چکهای دریافتنی'!F:F,MATCH(Table28[[#This Row],[كد تفصيلي]],'چکهای دریافتنی'!A:A,0)),0)</f>
        <v>0</v>
      </c>
      <c r="F155" s="11">
        <f>Table28[[#This Row],[حسابهای دریافتنی]]+Table28[[#This Row],[چکهای در جریان وصول]]+Table28[[#This Row],[چکهای نزد صندوق]]</f>
        <v>-55440000</v>
      </c>
      <c r="G155" s="12">
        <f>IFERROR(INDEX('مانده سوفاله'!F:F,MATCH(Table28[[#This Row],[كد تفصيلي]],'مانده سوفاله'!A:A,0)),0)</f>
        <v>0</v>
      </c>
    </row>
    <row r="156" spans="1:7" customFormat="1" ht="21" customHeight="1" x14ac:dyDescent="0.35">
      <c r="A156" s="54">
        <v>30133</v>
      </c>
      <c r="B156" s="55" t="s">
        <v>251</v>
      </c>
      <c r="C156" s="10">
        <f>IFERROR(INDEX('حسابهای دریافتنی'!H:H,MATCH(Table28[[#This Row],[كد تفصيلي]],'حسابهای دریافتنی'!A:A,0)),0)</f>
        <v>-66889500</v>
      </c>
      <c r="D156" s="11">
        <f>IFERROR(INDEX('درجریان وصول'!F:F,MATCH(Table28[[#This Row],[كد تفصيلي]],'درجریان وصول'!A:A,0)),0)</f>
        <v>0</v>
      </c>
      <c r="E156" s="11">
        <f>IFERROR(INDEX('چکهای دریافتنی'!F:F,MATCH(Table28[[#This Row],[كد تفصيلي]],'چکهای دریافتنی'!A:A,0)),0)</f>
        <v>0</v>
      </c>
      <c r="F156" s="11">
        <f>Table28[[#This Row],[حسابهای دریافتنی]]+Table28[[#This Row],[چکهای در جریان وصول]]+Table28[[#This Row],[چکهای نزد صندوق]]</f>
        <v>-66889500</v>
      </c>
      <c r="G156" s="12">
        <f>IFERROR(INDEX('مانده سوفاله'!F:F,MATCH(Table28[[#This Row],[كد تفصيلي]],'مانده سوفاله'!A:A,0)),0)</f>
        <v>0</v>
      </c>
    </row>
    <row r="157" spans="1:7" customFormat="1" ht="21" customHeight="1" x14ac:dyDescent="0.35">
      <c r="A157" s="53">
        <v>30160</v>
      </c>
      <c r="B157" s="56" t="s">
        <v>296</v>
      </c>
      <c r="C157" s="10">
        <f>IFERROR(INDEX('حسابهای دریافتنی'!H:H,MATCH(Table28[[#This Row],[كد تفصيلي]],'حسابهای دریافتنی'!A:A,0)),0)</f>
        <v>0</v>
      </c>
      <c r="D157" s="11">
        <f>IFERROR(INDEX('درجریان وصول'!F:F,MATCH(Table28[[#This Row],[كد تفصيلي]],'درجریان وصول'!A:A,0)),0)</f>
        <v>0</v>
      </c>
      <c r="E157" s="11">
        <f>IFERROR(INDEX('چکهای دریافتنی'!F:F,MATCH(Table28[[#This Row],[كد تفصيلي]],'چکهای دریافتنی'!A:A,0)),0)</f>
        <v>0</v>
      </c>
      <c r="F157" s="11">
        <f>Table28[[#This Row],[حسابهای دریافتنی]]+Table28[[#This Row],[چکهای در جریان وصول]]+Table28[[#This Row],[چکهای نزد صندوق]]</f>
        <v>0</v>
      </c>
      <c r="G157" s="12">
        <f>IFERROR(INDEX('مانده سوفاله'!F:F,MATCH(Table28[[#This Row],[كد تفصيلي]],'مانده سوفاله'!A:A,0)),0)</f>
        <v>-425</v>
      </c>
    </row>
    <row r="158" spans="1:7" customFormat="1" ht="21" customHeight="1" x14ac:dyDescent="0.35">
      <c r="A158" s="53">
        <v>10089</v>
      </c>
      <c r="B158" s="56" t="s">
        <v>255</v>
      </c>
      <c r="C158" s="10">
        <f>IFERROR(INDEX('حسابهای دریافتنی'!H:H,MATCH(Table28[[#This Row],[كد تفصيلي]],'حسابهای دریافتنی'!A:A,0)),0)</f>
        <v>-143944000</v>
      </c>
      <c r="D158" s="11">
        <f>IFERROR(INDEX('درجریان وصول'!F:F,MATCH(Table28[[#This Row],[كد تفصيلي]],'درجریان وصول'!A:A,0)),0)</f>
        <v>0</v>
      </c>
      <c r="E158" s="11">
        <f>IFERROR(INDEX('چکهای دریافتنی'!F:F,MATCH(Table28[[#This Row],[كد تفصيلي]],'چکهای دریافتنی'!A:A,0)),0)</f>
        <v>0</v>
      </c>
      <c r="F158" s="11">
        <f>Table28[[#This Row],[حسابهای دریافتنی]]+Table28[[#This Row],[چکهای در جریان وصول]]+Table28[[#This Row],[چکهای نزد صندوق]]</f>
        <v>-143944000</v>
      </c>
      <c r="G158" s="12">
        <f>IFERROR(INDEX('مانده سوفاله'!F:F,MATCH(Table28[[#This Row],[كد تفصيلي]],'مانده سوفاله'!A:A,0)),0)</f>
        <v>-948</v>
      </c>
    </row>
    <row r="159" spans="1:7" customFormat="1" ht="21" customHeight="1" x14ac:dyDescent="0.35">
      <c r="A159" s="54">
        <v>30016</v>
      </c>
      <c r="B159" s="55" t="s">
        <v>253</v>
      </c>
      <c r="C159" s="10">
        <f>IFERROR(INDEX('حسابهای دریافتنی'!H:H,MATCH(Table28[[#This Row],[كد تفصيلي]],'حسابهای دریافتنی'!A:A,0)),0)</f>
        <v>0</v>
      </c>
      <c r="D159" s="11">
        <f>IFERROR(INDEX('درجریان وصول'!F:F,MATCH(Table28[[#This Row],[كد تفصيلي]],'درجریان وصول'!A:A,0)),0)</f>
        <v>0</v>
      </c>
      <c r="E159" s="11">
        <f>IFERROR(INDEX('چکهای دریافتنی'!F:F,MATCH(Table28[[#This Row],[كد تفصيلي]],'چکهای دریافتنی'!A:A,0)),0)</f>
        <v>0</v>
      </c>
      <c r="F159" s="11">
        <f>Table28[[#This Row],[حسابهای دریافتنی]]+Table28[[#This Row],[چکهای در جریان وصول]]+Table28[[#This Row],[چکهای نزد صندوق]]</f>
        <v>0</v>
      </c>
      <c r="G159" s="12">
        <f>IFERROR(INDEX('مانده سوفاله'!F:F,MATCH(Table28[[#This Row],[كد تفصيلي]],'مانده سوفاله'!A:A,0)),0)</f>
        <v>0</v>
      </c>
    </row>
    <row r="160" spans="1:7" customFormat="1" ht="21" customHeight="1" x14ac:dyDescent="0.35">
      <c r="A160" s="54">
        <v>30040</v>
      </c>
      <c r="B160" s="55" t="s">
        <v>87</v>
      </c>
      <c r="C160" s="10">
        <f>IFERROR(INDEX('حسابهای دریافتنی'!H:H,MATCH(Table28[[#This Row],[كد تفصيلي]],'حسابهای دریافتنی'!A:A,0)),0)</f>
        <v>0</v>
      </c>
      <c r="D160" s="11">
        <f>IFERROR(INDEX('درجریان وصول'!F:F,MATCH(Table28[[#This Row],[كد تفصيلي]],'درجریان وصول'!A:A,0)),0)</f>
        <v>0</v>
      </c>
      <c r="E160" s="11">
        <f>IFERROR(INDEX('چکهای دریافتنی'!F:F,MATCH(Table28[[#This Row],[كد تفصيلي]],'چکهای دریافتنی'!A:A,0)),0)</f>
        <v>0</v>
      </c>
      <c r="F160" s="11">
        <f>Table28[[#This Row],[حسابهای دریافتنی]]+Table28[[#This Row],[چکهای در جریان وصول]]+Table28[[#This Row],[چکهای نزد صندوق]]</f>
        <v>0</v>
      </c>
      <c r="G160" s="12">
        <f>IFERROR(INDEX('مانده سوفاله'!F:F,MATCH(Table28[[#This Row],[كد تفصيلي]],'مانده سوفاله'!A:A,0)),0)</f>
        <v>0</v>
      </c>
    </row>
    <row r="161" spans="1:7" customFormat="1" ht="21" customHeight="1" x14ac:dyDescent="0.35">
      <c r="A161" s="53">
        <v>10079</v>
      </c>
      <c r="B161" s="56" t="s">
        <v>174</v>
      </c>
      <c r="C161" s="10">
        <f>IFERROR(INDEX('حسابهای دریافتنی'!H:H,MATCH(Table28[[#This Row],[كد تفصيلي]],'حسابهای دریافتنی'!A:A,0)),0)</f>
        <v>-226593500</v>
      </c>
      <c r="D161" s="11">
        <f>IFERROR(INDEX('درجریان وصول'!F:F,MATCH(Table28[[#This Row],[كد تفصيلي]],'درجریان وصول'!A:A,0)),0)</f>
        <v>0</v>
      </c>
      <c r="E161" s="11">
        <f>IFERROR(INDEX('چکهای دریافتنی'!F:F,MATCH(Table28[[#This Row],[كد تفصيلي]],'چکهای دریافتنی'!A:A,0)),0)</f>
        <v>0</v>
      </c>
      <c r="F161" s="11">
        <f>Table28[[#This Row],[حسابهای دریافتنی]]+Table28[[#This Row],[چکهای در جریان وصول]]+Table28[[#This Row],[چکهای نزد صندوق]]</f>
        <v>-226593500</v>
      </c>
      <c r="G161" s="12">
        <f>IFERROR(INDEX('مانده سوفاله'!F:F,MATCH(Table28[[#This Row],[كد تفصيلي]],'مانده سوفاله'!A:A,0)),0)</f>
        <v>0</v>
      </c>
    </row>
    <row r="162" spans="1:7" customFormat="1" ht="21" customHeight="1" x14ac:dyDescent="0.35">
      <c r="A162" s="53">
        <v>10009</v>
      </c>
      <c r="B162" s="56" t="s">
        <v>16</v>
      </c>
      <c r="C162" s="10">
        <f>IFERROR(INDEX('حسابهای دریافتنی'!H:H,MATCH(Table28[[#This Row],[كد تفصيلي]],'حسابهای دریافتنی'!A:A,0)),0)</f>
        <v>-4260580000</v>
      </c>
      <c r="D162" s="11">
        <f>IFERROR(INDEX('درجریان وصول'!F:F,MATCH(Table28[[#This Row],[كد تفصيلي]],'درجریان وصول'!A:A,0)),0)</f>
        <v>0</v>
      </c>
      <c r="E162" s="11">
        <f>IFERROR(INDEX('چکهای دریافتنی'!F:F,MATCH(Table28[[#This Row],[كد تفصيلي]],'چکهای دریافتنی'!A:A,0)),0)</f>
        <v>1600000000</v>
      </c>
      <c r="F162" s="11">
        <f>Table28[[#This Row],[حسابهای دریافتنی]]+Table28[[#This Row],[چکهای در جریان وصول]]+Table28[[#This Row],[چکهای نزد صندوق]]</f>
        <v>-2660580000</v>
      </c>
      <c r="G162" s="12">
        <f>IFERROR(INDEX('مانده سوفاله'!F:F,MATCH(Table28[[#This Row],[كد تفصيلي]],'مانده سوفاله'!A:A,0)),0)</f>
        <v>9952</v>
      </c>
    </row>
    <row r="163" spans="1:7" customFormat="1" ht="21" customHeight="1" x14ac:dyDescent="0.35">
      <c r="A163" s="53">
        <v>30156</v>
      </c>
      <c r="B163" s="56" t="s">
        <v>290</v>
      </c>
      <c r="C163" s="10">
        <f>IFERROR(INDEX('حسابهای دریافتنی'!H:H,MATCH(Table28[[#This Row],[كد تفصيلي]],'حسابهای دریافتنی'!A:A,0)),0)</f>
        <v>-180917500</v>
      </c>
      <c r="D163" s="11">
        <f>IFERROR(INDEX('درجریان وصول'!F:F,MATCH(Table28[[#This Row],[كد تفصيلي]],'درجریان وصول'!A:A,0)),0)</f>
        <v>0</v>
      </c>
      <c r="E163" s="11">
        <f>IFERROR(INDEX('چکهای دریافتنی'!F:F,MATCH(Table28[[#This Row],[كد تفصيلي]],'چکهای دریافتنی'!A:A,0)),0)</f>
        <v>0</v>
      </c>
      <c r="F163" s="11">
        <f>Table28[[#This Row],[حسابهای دریافتنی]]+Table28[[#This Row],[چکهای در جریان وصول]]+Table28[[#This Row],[چکهای نزد صندوق]]</f>
        <v>-180917500</v>
      </c>
      <c r="G163" s="12">
        <f>IFERROR(INDEX('مانده سوفاله'!F:F,MATCH(Table28[[#This Row],[كد تفصيلي]],'مانده سوفاله'!A:A,0)),0)</f>
        <v>0</v>
      </c>
    </row>
    <row r="164" spans="1:7" ht="21" customHeight="1" x14ac:dyDescent="0.35">
      <c r="A164" s="26">
        <v>10029</v>
      </c>
      <c r="B164" s="56" t="s">
        <v>35</v>
      </c>
      <c r="C164" s="10">
        <f>IFERROR(INDEX('حسابهای دریافتنی'!H:H,MATCH(Table28[[#This Row],[كد تفصيلي]],'حسابهای دریافتنی'!A:A,0)),0)</f>
        <v>-1038298620</v>
      </c>
      <c r="D164" s="11">
        <f>IFERROR(INDEX('درجریان وصول'!F:F,MATCH(Table28[[#This Row],[كد تفصيلي]],'درجریان وصول'!A:A,0)),0)</f>
        <v>0</v>
      </c>
      <c r="E164" s="11">
        <f>IFERROR(INDEX('چکهای دریافتنی'!F:F,MATCH(Table28[[#This Row],[كد تفصيلي]],'چکهای دریافتنی'!A:A,0)),0)</f>
        <v>2019000000</v>
      </c>
      <c r="F164" s="11">
        <f>Table28[[#This Row],[حسابهای دریافتنی]]+Table28[[#This Row],[چکهای در جریان وصول]]+Table28[[#This Row],[چکهای نزد صندوق]]</f>
        <v>980701380</v>
      </c>
      <c r="G164" s="12">
        <f>IFERROR(INDEX('مانده سوفاله'!F:F,MATCH(Table28[[#This Row],[كد تفصيلي]],'مانده سوفاله'!A:A,0)),0)</f>
        <v>6603</v>
      </c>
    </row>
    <row r="165" spans="1:7" ht="21" customHeight="1" x14ac:dyDescent="0.35">
      <c r="A165" s="26">
        <v>10091</v>
      </c>
      <c r="B165" s="56" t="s">
        <v>258</v>
      </c>
      <c r="C165" s="10">
        <f>IFERROR(INDEX('حسابهای دریافتنی'!H:H,MATCH(Table28[[#This Row],[كد تفصيلي]],'حسابهای دریافتنی'!A:A,0)),0)</f>
        <v>59321500</v>
      </c>
      <c r="D165" s="11">
        <f>IFERROR(INDEX('درجریان وصول'!F:F,MATCH(Table28[[#This Row],[كد تفصيلي]],'درجریان وصول'!A:A,0)),0)</f>
        <v>0</v>
      </c>
      <c r="E165" s="11">
        <f>IFERROR(INDEX('چکهای دریافتنی'!F:F,MATCH(Table28[[#This Row],[كد تفصيلي]],'چکهای دریافتنی'!A:A,0)),0)</f>
        <v>0</v>
      </c>
      <c r="F165" s="11">
        <f>Table28[[#This Row],[حسابهای دریافتنی]]+Table28[[#This Row],[چکهای در جریان وصول]]+Table28[[#This Row],[چکهای نزد صندوق]]</f>
        <v>59321500</v>
      </c>
      <c r="G165" s="12">
        <f>IFERROR(INDEX('مانده سوفاله'!F:F,MATCH(Table28[[#This Row],[كد تفصيلي]],'مانده سوفاله'!A:A,0)),0)</f>
        <v>0</v>
      </c>
    </row>
    <row r="166" spans="1:7" ht="21" customHeight="1" x14ac:dyDescent="0.35">
      <c r="A166" s="27">
        <v>30189</v>
      </c>
      <c r="B166" s="55" t="s">
        <v>458</v>
      </c>
      <c r="C166" s="10">
        <f>IFERROR(INDEX('حسابهای دریافتنی'!H:H,MATCH(Table28[[#This Row],[كد تفصيلي]],'حسابهای دریافتنی'!A:A,0)),0)</f>
        <v>20776490</v>
      </c>
      <c r="D166" s="11">
        <f>IFERROR(INDEX('درجریان وصول'!F:F,MATCH(Table28[[#This Row],[كد تفصيلي]],'درجریان وصول'!A:A,0)),0)</f>
        <v>0</v>
      </c>
      <c r="E166" s="11">
        <f>IFERROR(INDEX('چکهای دریافتنی'!F:F,MATCH(Table28[[#This Row],[كد تفصيلي]],'چکهای دریافتنی'!A:A,0)),0)</f>
        <v>0</v>
      </c>
      <c r="F166" s="11">
        <f>Table28[[#This Row],[حسابهای دریافتنی]]+Table28[[#This Row],[چکهای در جریان وصول]]+Table28[[#This Row],[چکهای نزد صندوق]]</f>
        <v>20776490</v>
      </c>
      <c r="G166" s="12">
        <f>IFERROR(INDEX('مانده سوفاله'!F:F,MATCH(Table28[[#This Row],[كد تفصيلي]],'مانده سوفاله'!A:A,0)),0)</f>
        <v>0</v>
      </c>
    </row>
    <row r="167" spans="1:7" ht="21" customHeight="1" x14ac:dyDescent="0.35">
      <c r="A167" s="27">
        <v>30014</v>
      </c>
      <c r="B167" s="55" t="s">
        <v>63</v>
      </c>
      <c r="C167" s="10">
        <f>IFERROR(INDEX('حسابهای دریافتنی'!H:H,MATCH(Table28[[#This Row],[كد تفصيلي]],'حسابهای دریافتنی'!A:A,0)),0)</f>
        <v>1762223932</v>
      </c>
      <c r="D167" s="11">
        <f>IFERROR(INDEX('درجریان وصول'!F:F,MATCH(Table28[[#This Row],[كد تفصيلي]],'درجریان وصول'!A:A,0)),0)</f>
        <v>0</v>
      </c>
      <c r="E167" s="11">
        <f>IFERROR(INDEX('چکهای دریافتنی'!F:F,MATCH(Table28[[#This Row],[كد تفصيلي]],'چکهای دریافتنی'!A:A,0)),0)</f>
        <v>0</v>
      </c>
      <c r="F167" s="11">
        <f>Table28[[#This Row],[حسابهای دریافتنی]]+Table28[[#This Row],[چکهای در جریان وصول]]+Table28[[#This Row],[چکهای نزد صندوق]]</f>
        <v>1762223932</v>
      </c>
      <c r="G167" s="12">
        <f>IFERROR(INDEX('مانده سوفاله'!F:F,MATCH(Table28[[#This Row],[كد تفصيلي]],'مانده سوفاله'!A:A,0)),0)</f>
        <v>-1368</v>
      </c>
    </row>
    <row r="168" spans="1:7" ht="21" customHeight="1" x14ac:dyDescent="0.35">
      <c r="A168" s="27">
        <v>10104</v>
      </c>
      <c r="B168" s="55" t="s">
        <v>293</v>
      </c>
      <c r="C168" s="10">
        <f>IFERROR(INDEX('حسابهای دریافتنی'!H:H,MATCH(Table28[[#This Row],[كد تفصيلي]],'حسابهای دریافتنی'!A:A,0)),0)</f>
        <v>0</v>
      </c>
      <c r="D168" s="11">
        <f>IFERROR(INDEX('درجریان وصول'!F:F,MATCH(Table28[[#This Row],[كد تفصيلي]],'درجریان وصول'!A:A,0)),0)</f>
        <v>0</v>
      </c>
      <c r="E168" s="11">
        <f>IFERROR(INDEX('چکهای دریافتنی'!F:F,MATCH(Table28[[#This Row],[كد تفصيلي]],'چکهای دریافتنی'!A:A,0)),0)</f>
        <v>0</v>
      </c>
      <c r="F168" s="11">
        <f>Table28[[#This Row],[حسابهای دریافتنی]]+Table28[[#This Row],[چکهای در جریان وصول]]+Table28[[#This Row],[چکهای نزد صندوق]]</f>
        <v>0</v>
      </c>
      <c r="G168" s="12">
        <f>IFERROR(INDEX('مانده سوفاله'!F:F,MATCH(Table28[[#This Row],[كد تفصيلي]],'مانده سوفاله'!A:A,0)),0)</f>
        <v>4065</v>
      </c>
    </row>
    <row r="169" spans="1:7" ht="21" customHeight="1" x14ac:dyDescent="0.35">
      <c r="A169" s="27">
        <v>30169</v>
      </c>
      <c r="B169" s="55" t="s">
        <v>318</v>
      </c>
      <c r="C169" s="10">
        <f>IFERROR(INDEX('حسابهای دریافتنی'!H:H,MATCH(Table28[[#This Row],[كد تفصيلي]],'حسابهای دریافتنی'!A:A,0)),0)</f>
        <v>-658993316</v>
      </c>
      <c r="D169" s="11">
        <f>IFERROR(INDEX('درجریان وصول'!F:F,MATCH(Table28[[#This Row],[كد تفصيلي]],'درجریان وصول'!A:A,0)),0)</f>
        <v>0</v>
      </c>
      <c r="E169" s="11">
        <f>IFERROR(INDEX('چکهای دریافتنی'!F:F,MATCH(Table28[[#This Row],[كد تفصيلي]],'چکهای دریافتنی'!A:A,0)),0)</f>
        <v>2085000000</v>
      </c>
      <c r="F169" s="11">
        <f>Table28[[#This Row],[حسابهای دریافتنی]]+Table28[[#This Row],[چکهای در جریان وصول]]+Table28[[#This Row],[چکهای نزد صندوق]]</f>
        <v>1426006684</v>
      </c>
      <c r="G169" s="12">
        <f>IFERROR(INDEX('مانده سوفاله'!F:F,MATCH(Table28[[#This Row],[كد تفصيلي]],'مانده سوفاله'!A:A,0)),0)</f>
        <v>0</v>
      </c>
    </row>
    <row r="170" spans="1:7" ht="21" customHeight="1" x14ac:dyDescent="0.35">
      <c r="A170" s="26">
        <v>30182</v>
      </c>
      <c r="B170" s="56" t="s">
        <v>342</v>
      </c>
      <c r="C170" s="10">
        <f>IFERROR(INDEX('حسابهای دریافتنی'!H:H,MATCH(Table28[[#This Row],[كد تفصيلي]],'حسابهای دریافتنی'!A:A,0)),0)</f>
        <v>-528256400</v>
      </c>
      <c r="D170" s="11">
        <f>IFERROR(INDEX('درجریان وصول'!F:F,MATCH(Table28[[#This Row],[كد تفصيلي]],'درجریان وصول'!A:A,0)),0)</f>
        <v>0</v>
      </c>
      <c r="E170" s="11">
        <f>IFERROR(INDEX('چکهای دریافتنی'!F:F,MATCH(Table28[[#This Row],[كد تفصيلي]],'چکهای دریافتنی'!A:A,0)),0)</f>
        <v>0</v>
      </c>
      <c r="F170" s="11">
        <f>Table28[[#This Row],[حسابهای دریافتنی]]+Table28[[#This Row],[چکهای در جریان وصول]]+Table28[[#This Row],[چکهای نزد صندوق]]</f>
        <v>-528256400</v>
      </c>
      <c r="G170" s="12">
        <f>IFERROR(INDEX('مانده سوفاله'!F:F,MATCH(Table28[[#This Row],[كد تفصيلي]],'مانده سوفاله'!A:A,0)),0)</f>
        <v>0</v>
      </c>
    </row>
    <row r="171" spans="1:7" ht="21" customHeight="1" x14ac:dyDescent="0.35">
      <c r="A171" s="27">
        <v>30143</v>
      </c>
      <c r="B171" s="55" t="s">
        <v>278</v>
      </c>
      <c r="C171" s="10">
        <f>IFERROR(INDEX('حسابهای دریافتنی'!H:H,MATCH(Table28[[#This Row],[كد تفصيلي]],'حسابهای دریافتنی'!A:A,0)),0)</f>
        <v>0</v>
      </c>
      <c r="D171" s="11">
        <f>IFERROR(INDEX('درجریان وصول'!F:F,MATCH(Table28[[#This Row],[كد تفصيلي]],'درجریان وصول'!A:A,0)),0)</f>
        <v>0</v>
      </c>
      <c r="E171" s="11">
        <f>IFERROR(INDEX('چکهای دریافتنی'!F:F,MATCH(Table28[[#This Row],[كد تفصيلي]],'چکهای دریافتنی'!A:A,0)),0)</f>
        <v>0</v>
      </c>
      <c r="F171" s="11">
        <f>Table28[[#This Row],[حسابهای دریافتنی]]+Table28[[#This Row],[چکهای در جریان وصول]]+Table28[[#This Row],[چکهای نزد صندوق]]</f>
        <v>0</v>
      </c>
      <c r="G171" s="12">
        <f>IFERROR(INDEX('مانده سوفاله'!F:F,MATCH(Table28[[#This Row],[كد تفصيلي]],'مانده سوفاله'!A:A,0)),0)</f>
        <v>0</v>
      </c>
    </row>
    <row r="172" spans="1:7" ht="21" customHeight="1" x14ac:dyDescent="0.35">
      <c r="A172" s="26">
        <v>79120</v>
      </c>
      <c r="B172" s="56" t="s">
        <v>195</v>
      </c>
      <c r="C172" s="10">
        <f>IFERROR(INDEX('حسابهای دریافتنی'!H:H,MATCH(Table28[[#This Row],[كد تفصيلي]],'حسابهای دریافتنی'!A:A,0)),0)</f>
        <v>-15776160000</v>
      </c>
      <c r="D172" s="11">
        <f>IFERROR(INDEX('درجریان وصول'!F:F,MATCH(Table28[[#This Row],[كد تفصيلي]],'درجریان وصول'!A:A,0)),0)</f>
        <v>0</v>
      </c>
      <c r="E172" s="11">
        <f>IFERROR(INDEX('چکهای دریافتنی'!F:F,MATCH(Table28[[#This Row],[كد تفصيلي]],'چکهای دریافتنی'!A:A,0)),0)</f>
        <v>0</v>
      </c>
      <c r="F172" s="11">
        <f>Table28[[#This Row],[حسابهای دریافتنی]]+Table28[[#This Row],[چکهای در جریان وصول]]+Table28[[#This Row],[چکهای نزد صندوق]]</f>
        <v>-15776160000</v>
      </c>
      <c r="G172" s="12">
        <f>IFERROR(INDEX('مانده سوفاله'!F:F,MATCH(Table28[[#This Row],[كد تفصيلي]],'مانده سوفاله'!A:A,0)),0)</f>
        <v>0</v>
      </c>
    </row>
    <row r="173" spans="1:7" ht="21" customHeight="1" x14ac:dyDescent="0.35">
      <c r="A173" s="26">
        <v>30146</v>
      </c>
      <c r="B173" s="56" t="s">
        <v>266</v>
      </c>
      <c r="C173" s="10">
        <f>IFERROR(INDEX('حسابهای دریافتنی'!H:H,MATCH(Table28[[#This Row],[كد تفصيلي]],'حسابهای دریافتنی'!A:A,0)),0)</f>
        <v>-4146512500</v>
      </c>
      <c r="D173" s="11">
        <f>IFERROR(INDEX('درجریان وصول'!F:F,MATCH(Table28[[#This Row],[كد تفصيلي]],'درجریان وصول'!A:A,0)),0)</f>
        <v>0</v>
      </c>
      <c r="E173" s="11">
        <f>IFERROR(INDEX('چکهای دریافتنی'!F:F,MATCH(Table28[[#This Row],[كد تفصيلي]],'چکهای دریافتنی'!A:A,0)),0)</f>
        <v>0</v>
      </c>
      <c r="F173" s="11">
        <f>Table28[[#This Row],[حسابهای دریافتنی]]+Table28[[#This Row],[چکهای در جریان وصول]]+Table28[[#This Row],[چکهای نزد صندوق]]</f>
        <v>-4146512500</v>
      </c>
      <c r="G173" s="12">
        <f>IFERROR(INDEX('مانده سوفاله'!F:F,MATCH(Table28[[#This Row],[كد تفصيلي]],'مانده سوفاله'!A:A,0)),0)</f>
        <v>2823</v>
      </c>
    </row>
    <row r="174" spans="1:7" ht="21" customHeight="1" x14ac:dyDescent="0.35">
      <c r="A174" s="27">
        <v>10088</v>
      </c>
      <c r="B174" s="55" t="s">
        <v>254</v>
      </c>
      <c r="C174" s="10">
        <f>IFERROR(INDEX('حسابهای دریافتنی'!H:H,MATCH(Table28[[#This Row],[كد تفصيلي]],'حسابهای دریافتنی'!A:A,0)),0)</f>
        <v>113500</v>
      </c>
      <c r="D174" s="11">
        <f>IFERROR(INDEX('درجریان وصول'!F:F,MATCH(Table28[[#This Row],[كد تفصيلي]],'درجریان وصول'!A:A,0)),0)</f>
        <v>0</v>
      </c>
      <c r="E174" s="11">
        <f>IFERROR(INDEX('چکهای دریافتنی'!F:F,MATCH(Table28[[#This Row],[كد تفصيلي]],'چکهای دریافتنی'!A:A,0)),0)</f>
        <v>0</v>
      </c>
      <c r="F174" s="11">
        <f>Table28[[#This Row],[حسابهای دریافتنی]]+Table28[[#This Row],[چکهای در جریان وصول]]+Table28[[#This Row],[چکهای نزد صندوق]]</f>
        <v>113500</v>
      </c>
      <c r="G174" s="12">
        <f>IFERROR(INDEX('مانده سوفاله'!F:F,MATCH(Table28[[#This Row],[كد تفصيلي]],'مانده سوفاله'!A:A,0)),0)</f>
        <v>0</v>
      </c>
    </row>
    <row r="175" spans="1:7" ht="21" customHeight="1" x14ac:dyDescent="0.35">
      <c r="A175" s="27">
        <v>79043</v>
      </c>
      <c r="B175" s="55" t="s">
        <v>156</v>
      </c>
      <c r="C175" s="10">
        <f>IFERROR(INDEX('حسابهای دریافتنی'!H:H,MATCH(Table28[[#This Row],[كد تفصيلي]],'حسابهای دریافتنی'!A:A,0)),0)</f>
        <v>-16110730000</v>
      </c>
      <c r="D175" s="11">
        <f>IFERROR(INDEX('درجریان وصول'!F:F,MATCH(Table28[[#This Row],[كد تفصيلي]],'درجریان وصول'!A:A,0)),0)</f>
        <v>0</v>
      </c>
      <c r="E175" s="11">
        <f>IFERROR(INDEX('چکهای دریافتنی'!F:F,MATCH(Table28[[#This Row],[كد تفصيلي]],'چکهای دریافتنی'!A:A,0)),0)</f>
        <v>0</v>
      </c>
      <c r="F175" s="11">
        <f>Table28[[#This Row],[حسابهای دریافتنی]]+Table28[[#This Row],[چکهای در جریان وصول]]+Table28[[#This Row],[چکهای نزد صندوق]]</f>
        <v>-16110730000</v>
      </c>
      <c r="G175" s="12">
        <f>IFERROR(INDEX('مانده سوفاله'!F:F,MATCH(Table28[[#This Row],[كد تفصيلي]],'مانده سوفاله'!A:A,0)),0)</f>
        <v>0</v>
      </c>
    </row>
    <row r="176" spans="1:7" ht="21" customHeight="1" x14ac:dyDescent="0.35">
      <c r="A176" s="36"/>
      <c r="B176" s="37"/>
      <c r="C176" s="38">
        <f>SUBTOTAL(109,Table28[حسابهای دریافتنی])</f>
        <v>55070125479</v>
      </c>
      <c r="D176" s="38">
        <f>SUBTOTAL(109,Table28[چکهای در جریان وصول])</f>
        <v>0</v>
      </c>
      <c r="E176" s="38">
        <f>SUBTOTAL(109,Table28[چکهای نزد صندوق])</f>
        <v>62507828942</v>
      </c>
      <c r="F176" s="38"/>
      <c r="G176" s="39">
        <f>SUBTOTAL(109,Table28[مانده سوفاله])</f>
        <v>-129575.5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6"/>
  <sheetViews>
    <sheetView rightToLeft="1" workbookViewId="0">
      <selection activeCell="B16" sqref="B16"/>
    </sheetView>
  </sheetViews>
  <sheetFormatPr defaultColWidth="9.08984375" defaultRowHeight="24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0.5" customHeight="1" thickBot="1" x14ac:dyDescent="0.4">
      <c r="A1" s="97" t="s">
        <v>464</v>
      </c>
      <c r="B1" s="98"/>
      <c r="C1" s="98"/>
      <c r="D1" s="98"/>
      <c r="E1" s="98"/>
      <c r="F1" s="98"/>
      <c r="G1" s="99"/>
    </row>
    <row r="2" spans="1:7" s="2" customFormat="1" ht="24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" customHeight="1" x14ac:dyDescent="0.35">
      <c r="A3" s="27">
        <v>30127</v>
      </c>
      <c r="B3" s="55" t="s">
        <v>163</v>
      </c>
      <c r="C3" s="10">
        <f>IFERROR(INDEX('حسابهای دریافتنی'!H:H,MATCH(Table29[[#This Row],[كد تفصيلي]],'حسابهای دریافتنی'!A:A,0)),0)</f>
        <v>31800110000</v>
      </c>
      <c r="D3" s="11">
        <f>IFERROR(INDEX('درجریان وصول'!F:F,MATCH(Table29[[#This Row],[كد تفصيلي]],'درجریان وصول'!A:A,0)),0)</f>
        <v>0</v>
      </c>
      <c r="E3" s="11">
        <f>IFERROR(INDEX('چکهای دریافتنی'!F:F,MATCH(Table29[[#This Row],[كد تفصيلي]],'چکهای دریافتنی'!A:A,0)),0)</f>
        <v>0</v>
      </c>
      <c r="F3" s="11">
        <f>Table29[[#This Row],[حسابهای دریافتنی]]+Table29[[#This Row],[چکهای در جریان وصول]]+Table29[[#This Row],[چکهای نزد صندوق]]</f>
        <v>31800110000</v>
      </c>
      <c r="G3" s="12">
        <f>IFERROR(INDEX('مانده سوفاله'!F:F,MATCH(Table29[[#This Row],[كد تفصيلي]],'مانده سوفاله'!A:A,0)),0)</f>
        <v>-18472</v>
      </c>
    </row>
    <row r="4" spans="1:7" ht="24" customHeight="1" x14ac:dyDescent="0.35">
      <c r="A4" s="26">
        <v>30066</v>
      </c>
      <c r="B4" s="56" t="s">
        <v>111</v>
      </c>
      <c r="C4" s="10">
        <f>IFERROR(INDEX('حسابهای دریافتنی'!H:H,MATCH(Table29[[#This Row],[كد تفصيلي]],'حسابهای دریافتنی'!A:A,0)),0)</f>
        <v>6484147500</v>
      </c>
      <c r="D4" s="11">
        <f>IFERROR(INDEX('درجریان وصول'!F:F,MATCH(Table29[[#This Row],[كد تفصيلي]],'درجریان وصول'!A:A,0)),0)</f>
        <v>0</v>
      </c>
      <c r="E4" s="11">
        <f>IFERROR(INDEX('چکهای دریافتنی'!F:F,MATCH(Table29[[#This Row],[كد تفصيلي]],'چکهای دریافتنی'!A:A,0)),0)</f>
        <v>0</v>
      </c>
      <c r="F4" s="11">
        <f>Table29[[#This Row],[حسابهای دریافتنی]]+Table29[[#This Row],[چکهای در جریان وصول]]+Table29[[#This Row],[چکهای نزد صندوق]]</f>
        <v>6484147500</v>
      </c>
      <c r="G4" s="12">
        <f>IFERROR(INDEX('مانده سوفاله'!F:F,MATCH(Table29[[#This Row],[كد تفصيلي]],'مانده سوفاله'!A:A,0)),0)</f>
        <v>-1320</v>
      </c>
    </row>
    <row r="5" spans="1:7" ht="24" customHeight="1" x14ac:dyDescent="0.35">
      <c r="A5" s="27">
        <v>30022</v>
      </c>
      <c r="B5" s="55" t="s">
        <v>70</v>
      </c>
      <c r="C5" s="10">
        <f>IFERROR(INDEX('حسابهای دریافتنی'!H:H,MATCH(Table29[[#This Row],[كد تفصيلي]],'حسابهای دریافتنی'!A:A,0)),0)</f>
        <v>2933770530</v>
      </c>
      <c r="D5" s="11">
        <f>IFERROR(INDEX('درجریان وصول'!F:F,MATCH(Table29[[#This Row],[كد تفصيلي]],'درجریان وصول'!A:A,0)),0)</f>
        <v>0</v>
      </c>
      <c r="E5" s="11">
        <f>IFERROR(INDEX('چکهای دریافتنی'!F:F,MATCH(Table29[[#This Row],[كد تفصيلي]],'چکهای دریافتنی'!A:A,0)),0)</f>
        <v>0</v>
      </c>
      <c r="F5" s="11">
        <f>Table29[[#This Row],[حسابهای دریافتنی]]+Table29[[#This Row],[چکهای در جریان وصول]]+Table29[[#This Row],[چکهای نزد صندوق]]</f>
        <v>2933770530</v>
      </c>
      <c r="G5" s="12">
        <f>IFERROR(INDEX('مانده سوفاله'!F:F,MATCH(Table29[[#This Row],[كد تفصيلي]],'مانده سوفاله'!A:A,0)),0)</f>
        <v>-14747</v>
      </c>
    </row>
    <row r="6" spans="1:7" ht="24" customHeight="1" x14ac:dyDescent="0.35">
      <c r="A6" s="26">
        <v>10003</v>
      </c>
      <c r="B6" s="56" t="s">
        <v>10</v>
      </c>
      <c r="C6" s="10">
        <f>IFERROR(INDEX('حسابهای دریافتنی'!H:H,MATCH(Table29[[#This Row],[كد تفصيلي]],'حسابهای دریافتنی'!A:A,0)),0)</f>
        <v>10804267992</v>
      </c>
      <c r="D6" s="11">
        <f>IFERROR(INDEX('درجریان وصول'!F:F,MATCH(Table29[[#This Row],[كد تفصيلي]],'درجریان وصول'!A:A,0)),0)</f>
        <v>0</v>
      </c>
      <c r="E6" s="11">
        <f>IFERROR(INDEX('چکهای دریافتنی'!F:F,MATCH(Table29[[#This Row],[كد تفصيلي]],'چکهای دریافتنی'!A:A,0)),0)</f>
        <v>13698001280</v>
      </c>
      <c r="F6" s="11">
        <f>Table29[[#This Row],[حسابهای دریافتنی]]+Table29[[#This Row],[چکهای در جریان وصول]]+Table29[[#This Row],[چکهای نزد صندوق]]</f>
        <v>24502269272</v>
      </c>
      <c r="G6" s="12">
        <f>IFERROR(INDEX('مانده سوفاله'!F:F,MATCH(Table29[[#This Row],[كد تفصيلي]],'مانده سوفاله'!A:A,0)),0)</f>
        <v>-39886</v>
      </c>
    </row>
    <row r="7" spans="1:7" ht="24" customHeight="1" x14ac:dyDescent="0.35">
      <c r="A7" s="27">
        <v>30004</v>
      </c>
      <c r="B7" s="55" t="s">
        <v>54</v>
      </c>
      <c r="C7" s="10">
        <f>IFERROR(INDEX('حسابهای دریافتنی'!H:H,MATCH(Table29[[#This Row],[كد تفصيلي]],'حسابهای دریافتنی'!A:A,0)),0)</f>
        <v>7598548260</v>
      </c>
      <c r="D7" s="11">
        <f>IFERROR(INDEX('درجریان وصول'!F:F,MATCH(Table29[[#This Row],[كد تفصيلي]],'درجریان وصول'!A:A,0)),0)</f>
        <v>0</v>
      </c>
      <c r="E7" s="11">
        <f>IFERROR(INDEX('چکهای دریافتنی'!F:F,MATCH(Table29[[#This Row],[كد تفصيلي]],'چکهای دریافتنی'!A:A,0)),0)</f>
        <v>11698760000</v>
      </c>
      <c r="F7" s="11">
        <f>Table29[[#This Row],[حسابهای دریافتنی]]+Table29[[#This Row],[چکهای در جریان وصول]]+Table29[[#This Row],[چکهای نزد صندوق]]</f>
        <v>19297308260</v>
      </c>
      <c r="G7" s="12">
        <f>IFERROR(INDEX('مانده سوفاله'!F:F,MATCH(Table29[[#This Row],[كد تفصيلي]],'مانده سوفاله'!A:A,0)),0)</f>
        <v>-4237</v>
      </c>
    </row>
    <row r="8" spans="1:7" ht="24" customHeight="1" x14ac:dyDescent="0.35">
      <c r="A8" s="26">
        <v>30058</v>
      </c>
      <c r="B8" s="56" t="s">
        <v>103</v>
      </c>
      <c r="C8" s="10">
        <f>IFERROR(INDEX('حسابهای دریافتنی'!H:H,MATCH(Table29[[#This Row],[كد تفصيلي]],'حسابهای دریافتنی'!A:A,0)),0)</f>
        <v>1700045560</v>
      </c>
      <c r="D8" s="11">
        <f>IFERROR(INDEX('درجریان وصول'!F:F,MATCH(Table29[[#This Row],[كد تفصيلي]],'درجریان وصول'!A:A,0)),0)</f>
        <v>0</v>
      </c>
      <c r="E8" s="11">
        <f>IFERROR(INDEX('چکهای دریافتنی'!F:F,MATCH(Table29[[#This Row],[كد تفصيلي]],'چکهای دریافتنی'!A:A,0)),0)</f>
        <v>0</v>
      </c>
      <c r="F8" s="11">
        <f>Table29[[#This Row],[حسابهای دریافتنی]]+Table29[[#This Row],[چکهای در جریان وصول]]+Table29[[#This Row],[چکهای نزد صندوق]]</f>
        <v>1700045560</v>
      </c>
      <c r="G8" s="12">
        <f>IFERROR(INDEX('مانده سوفاله'!F:F,MATCH(Table29[[#This Row],[كد تفصيلي]],'مانده سوفاله'!A:A,0)),0)</f>
        <v>-225</v>
      </c>
    </row>
    <row r="9" spans="1:7" ht="24" customHeight="1" x14ac:dyDescent="0.35">
      <c r="A9" s="27">
        <v>50016</v>
      </c>
      <c r="B9" s="55" t="s">
        <v>160</v>
      </c>
      <c r="C9" s="10">
        <f>IFERROR(INDEX('حسابهای دریافتنی'!H:H,MATCH(Table29[[#This Row],[كد تفصيلي]],'حسابهای دریافتنی'!A:A,0)),0)</f>
        <v>6344545550</v>
      </c>
      <c r="D9" s="11">
        <f>IFERROR(INDEX('درجریان وصول'!F:F,MATCH(Table29[[#This Row],[كد تفصيلي]],'درجریان وصول'!A:A,0)),0)</f>
        <v>0</v>
      </c>
      <c r="E9" s="11">
        <f>IFERROR(INDEX('چکهای دریافتنی'!F:F,MATCH(Table29[[#This Row],[كد تفصيلي]],'چکهای دریافتنی'!A:A,0)),0)</f>
        <v>0</v>
      </c>
      <c r="F9" s="11">
        <f>Table29[[#This Row],[حسابهای دریافتنی]]+Table29[[#This Row],[چکهای در جریان وصول]]+Table29[[#This Row],[چکهای نزد صندوق]]</f>
        <v>6344545550</v>
      </c>
      <c r="G9" s="12">
        <f>IFERROR(INDEX('مانده سوفاله'!F:F,MATCH(Table29[[#This Row],[كد تفصيلي]],'مانده سوفاله'!A:A,0)),0)</f>
        <v>5508</v>
      </c>
    </row>
    <row r="10" spans="1:7" ht="24" customHeight="1" x14ac:dyDescent="0.35">
      <c r="A10" s="26">
        <v>30009</v>
      </c>
      <c r="B10" s="56" t="s">
        <v>164</v>
      </c>
      <c r="C10" s="10">
        <f>IFERROR(INDEX('حسابهای دریافتنی'!H:H,MATCH(Table29[[#This Row],[كد تفصيلي]],'حسابهای دریافتنی'!A:A,0)),0)</f>
        <v>7853844277</v>
      </c>
      <c r="D10" s="11">
        <f>IFERROR(INDEX('درجریان وصول'!F:F,MATCH(Table29[[#This Row],[كد تفصيلي]],'درجریان وصول'!A:A,0)),0)</f>
        <v>0</v>
      </c>
      <c r="E10" s="11">
        <f>IFERROR(INDEX('چکهای دریافتنی'!F:F,MATCH(Table29[[#This Row],[كد تفصيلي]],'چکهای دریافتنی'!A:A,0)),0)</f>
        <v>6474835380</v>
      </c>
      <c r="F10" s="11">
        <f>Table29[[#This Row],[حسابهای دریافتنی]]+Table29[[#This Row],[چکهای در جریان وصول]]+Table29[[#This Row],[چکهای نزد صندوق]]</f>
        <v>14328679657</v>
      </c>
      <c r="G10" s="12">
        <f>IFERROR(INDEX('مانده سوفاله'!F:F,MATCH(Table29[[#This Row],[كد تفصيلي]],'مانده سوفاله'!A:A,0)),0)</f>
        <v>-11452</v>
      </c>
    </row>
    <row r="11" spans="1:7" ht="24" customHeight="1" x14ac:dyDescent="0.35">
      <c r="A11" s="26">
        <v>10055</v>
      </c>
      <c r="B11" s="56" t="s">
        <v>162</v>
      </c>
      <c r="C11" s="10">
        <f>IFERROR(INDEX('حسابهای دریافتنی'!H:H,MATCH(Table29[[#This Row],[كد تفصيلي]],'حسابهای دریافتنی'!A:A,0)),0)</f>
        <v>10460111325</v>
      </c>
      <c r="D11" s="11">
        <f>IFERROR(INDEX('درجریان وصول'!F:F,MATCH(Table29[[#This Row],[كد تفصيلي]],'درجریان وصول'!A:A,0)),0)</f>
        <v>0</v>
      </c>
      <c r="E11" s="11">
        <f>IFERROR(INDEX('چکهای دریافتنی'!F:F,MATCH(Table29[[#This Row],[كد تفصيلي]],'چکهای دریافتنی'!A:A,0)),0)</f>
        <v>2783298655</v>
      </c>
      <c r="F11" s="11">
        <f>Table29[[#This Row],[حسابهای دریافتنی]]+Table29[[#This Row],[چکهای در جریان وصول]]+Table29[[#This Row],[چکهای نزد صندوق]]</f>
        <v>13243409980</v>
      </c>
      <c r="G11" s="12">
        <f>IFERROR(INDEX('مانده سوفاله'!F:F,MATCH(Table29[[#This Row],[كد تفصيلي]],'مانده سوفاله'!A:A,0)),0)</f>
        <v>-12714</v>
      </c>
    </row>
    <row r="12" spans="1:7" ht="24" customHeight="1" x14ac:dyDescent="0.35">
      <c r="A12" s="27">
        <v>30081</v>
      </c>
      <c r="B12" s="55" t="s">
        <v>126</v>
      </c>
      <c r="C12" s="10">
        <f>IFERROR(INDEX('حسابهای دریافتنی'!H:H,MATCH(Table29[[#This Row],[كد تفصيلي]],'حسابهای دریافتنی'!A:A,0)),0)</f>
        <v>1148992373</v>
      </c>
      <c r="D12" s="11">
        <f>IFERROR(INDEX('درجریان وصول'!F:F,MATCH(Table29[[#This Row],[كد تفصيلي]],'درجریان وصول'!A:A,0)),0)</f>
        <v>0</v>
      </c>
      <c r="E12" s="11">
        <f>IFERROR(INDEX('چکهای دریافتنی'!F:F,MATCH(Table29[[#This Row],[كد تفصيلي]],'چکهای دریافتنی'!A:A,0)),0)</f>
        <v>0</v>
      </c>
      <c r="F12" s="11">
        <f>Table29[[#This Row],[حسابهای دریافتنی]]+Table29[[#This Row],[چکهای در جریان وصول]]+Table29[[#This Row],[چکهای نزد صندوق]]</f>
        <v>1148992373</v>
      </c>
      <c r="G12" s="12">
        <f>IFERROR(INDEX('مانده سوفاله'!F:F,MATCH(Table29[[#This Row],[كد تفصيلي]],'مانده سوفاله'!A:A,0)),0)</f>
        <v>-6924</v>
      </c>
    </row>
    <row r="13" spans="1:7" ht="24" customHeight="1" x14ac:dyDescent="0.35">
      <c r="A13" s="27">
        <v>10026</v>
      </c>
      <c r="B13" s="55" t="s">
        <v>32</v>
      </c>
      <c r="C13" s="10">
        <f>IFERROR(INDEX('حسابهای دریافتنی'!H:H,MATCH(Table29[[#This Row],[كد تفصيلي]],'حسابهای دریافتنی'!A:A,0)),0)</f>
        <v>3795031844</v>
      </c>
      <c r="D13" s="11">
        <f>IFERROR(INDEX('درجریان وصول'!F:F,MATCH(Table29[[#This Row],[كد تفصيلي]],'درجریان وصول'!A:A,0)),0)</f>
        <v>0</v>
      </c>
      <c r="E13" s="11">
        <f>IFERROR(INDEX('چکهای دریافتنی'!F:F,MATCH(Table29[[#This Row],[كد تفصيلي]],'چکهای دریافتنی'!A:A,0)),0)</f>
        <v>2690000000</v>
      </c>
      <c r="F13" s="11">
        <f>Table29[[#This Row],[حسابهای دریافتنی]]+Table29[[#This Row],[چکهای در جریان وصول]]+Table29[[#This Row],[چکهای نزد صندوق]]</f>
        <v>6485031844</v>
      </c>
      <c r="G13" s="12">
        <f>IFERROR(INDEX('مانده سوفاله'!F:F,MATCH(Table29[[#This Row],[كد تفصيلي]],'مانده سوفاله'!A:A,0)),0)</f>
        <v>-12543</v>
      </c>
    </row>
    <row r="14" spans="1:7" ht="24" customHeight="1" x14ac:dyDescent="0.35">
      <c r="A14" s="57">
        <v>50008</v>
      </c>
      <c r="B14" s="58" t="s">
        <v>467</v>
      </c>
      <c r="C14" s="59">
        <f>IFERROR(INDEX('حسابهای دریافتنی'!H:H,MATCH(Table29[[#This Row],[كد تفصيلي]],'حسابهای دریافتنی'!A:A,0)),0)</f>
        <v>-406230000</v>
      </c>
      <c r="D14" s="59">
        <f>IFERROR(INDEX('درجریان وصول'!F:F,MATCH(Table29[[#This Row],[كد تفصيلي]],'درجریان وصول'!A:A,0)),0)</f>
        <v>0</v>
      </c>
      <c r="E14" s="59">
        <f>IFERROR(INDEX('چکهای دریافتنی'!F:F,MATCH(Table29[[#This Row],[كد تفصيلي]],'چکهای دریافتنی'!A:A,0)),0)</f>
        <v>0</v>
      </c>
      <c r="F14" s="59">
        <f>Table29[[#This Row],[حسابهای دریافتنی]]+Table29[[#This Row],[چکهای در جریان وصول]]+Table29[[#This Row],[چکهای نزد صندوق]]</f>
        <v>-406230000</v>
      </c>
      <c r="G14" s="60">
        <f>IFERROR(INDEX('مانده سوفاله'!F:F,MATCH(Table29[[#This Row],[كد تفصيلي]],'مانده سوفاله'!A:A,0)),0)</f>
        <v>0</v>
      </c>
    </row>
    <row r="15" spans="1:7" ht="24" customHeight="1" x14ac:dyDescent="0.35">
      <c r="A15" s="26">
        <v>30124</v>
      </c>
      <c r="B15" s="56" t="s">
        <v>246</v>
      </c>
      <c r="C15" s="10">
        <f>IFERROR(INDEX('حسابهای دریافتنی'!H:H,MATCH(Table29[[#This Row],[كد تفصيلي]],'حسابهای دریافتنی'!A:A,0)),0)</f>
        <v>0</v>
      </c>
      <c r="D15" s="11">
        <f>IFERROR(INDEX('درجریان وصول'!F:F,MATCH(Table29[[#This Row],[كد تفصيلي]],'درجریان وصول'!A:A,0)),0)</f>
        <v>0</v>
      </c>
      <c r="E15" s="11">
        <f>IFERROR(INDEX('چکهای دریافتنی'!F:F,MATCH(Table29[[#This Row],[كد تفصيلي]],'چکهای دریافتنی'!A:A,0)),0)</f>
        <v>505676000</v>
      </c>
      <c r="F15" s="11">
        <f>Table29[[#This Row],[حسابهای دریافتنی]]+Table29[[#This Row],[چکهای در جریان وصول]]+Table29[[#This Row],[چکهای نزد صندوق]]</f>
        <v>505676000</v>
      </c>
      <c r="G15" s="12">
        <f>IFERROR(INDEX('مانده سوفاله'!F:F,MATCH(Table29[[#This Row],[كد تفصيلي]],'مانده سوفاله'!A:A,0)),0)</f>
        <v>1498</v>
      </c>
    </row>
    <row r="16" spans="1:7" ht="24" customHeight="1" x14ac:dyDescent="0.35">
      <c r="A16" s="27">
        <v>10123</v>
      </c>
      <c r="B16" s="55" t="s">
        <v>340</v>
      </c>
      <c r="C16" s="10">
        <f>IFERROR(INDEX('حسابهای دریافتنی'!H:H,MATCH(Table29[[#This Row],[كد تفصيلي]],'حسابهای دریافتنی'!A:A,0)),0)</f>
        <v>-50813000</v>
      </c>
      <c r="D16" s="11">
        <f>IFERROR(INDEX('درجریان وصول'!F:F,MATCH(Table29[[#This Row],[كد تفصيلي]],'درجریان وصول'!A:A,0)),0)</f>
        <v>0</v>
      </c>
      <c r="E16" s="11">
        <f>IFERROR(INDEX('چکهای دریافتنی'!F:F,MATCH(Table29[[#This Row],[كد تفصيلي]],'چکهای دریافتنی'!A:A,0)),0)</f>
        <v>0</v>
      </c>
      <c r="F16" s="11">
        <f>Table29[[#This Row],[حسابهای دریافتنی]]+Table29[[#This Row],[چکهای در جریان وصول]]+Table29[[#This Row],[چکهای نزد صندوق]]</f>
        <v>-50813000</v>
      </c>
      <c r="G16" s="12">
        <f>IFERROR(INDEX('مانده سوفاله'!F:F,MATCH(Table29[[#This Row],[كد تفصيلي]],'مانده سوفاله'!A:A,0)),0)</f>
        <v>0</v>
      </c>
    </row>
    <row r="17" spans="1:7" ht="24" customHeight="1" x14ac:dyDescent="0.35">
      <c r="A17" s="26">
        <v>30162</v>
      </c>
      <c r="B17" s="56" t="s">
        <v>301</v>
      </c>
      <c r="C17" s="10">
        <f>IFERROR(INDEX('حسابهای دریافتنی'!H:H,MATCH(Table29[[#This Row],[كد تفصيلي]],'حسابهای دریافتنی'!A:A,0)),0)</f>
        <v>204890235</v>
      </c>
      <c r="D17" s="11">
        <f>IFERROR(INDEX('درجریان وصول'!F:F,MATCH(Table29[[#This Row],[كد تفصيلي]],'درجریان وصول'!A:A,0)),0)</f>
        <v>0</v>
      </c>
      <c r="E17" s="11">
        <f>IFERROR(INDEX('چکهای دریافتنی'!F:F,MATCH(Table29[[#This Row],[كد تفصيلي]],'چکهای دریافتنی'!A:A,0)),0)</f>
        <v>0</v>
      </c>
      <c r="F17" s="11">
        <f>Table29[[#This Row],[حسابهای دریافتنی]]+Table29[[#This Row],[چکهای در جریان وصول]]+Table29[[#This Row],[چکهای نزد صندوق]]</f>
        <v>204890235</v>
      </c>
      <c r="G17" s="12">
        <f>IFERROR(INDEX('مانده سوفاله'!F:F,MATCH(Table29[[#This Row],[كد تفصيلي]],'مانده سوفاله'!A:A,0)),0)</f>
        <v>-251</v>
      </c>
    </row>
    <row r="18" spans="1:7" ht="24" customHeight="1" x14ac:dyDescent="0.35">
      <c r="A18" s="26">
        <v>30017</v>
      </c>
      <c r="B18" s="56" t="s">
        <v>65</v>
      </c>
      <c r="C18" s="10">
        <f>IFERROR(INDEX('حسابهای دریافتنی'!H:H,MATCH(Table29[[#This Row],[كد تفصيلي]],'حسابهای دریافتنی'!A:A,0)),0)</f>
        <v>905000830</v>
      </c>
      <c r="D18" s="11">
        <f>IFERROR(INDEX('درجریان وصول'!F:F,MATCH(Table29[[#This Row],[كد تفصيلي]],'درجریان وصول'!A:A,0)),0)</f>
        <v>0</v>
      </c>
      <c r="E18" s="11">
        <f>IFERROR(INDEX('چکهای دریافتنی'!F:F,MATCH(Table29[[#This Row],[كد تفصيلي]],'چکهای دریافتنی'!A:A,0)),0)</f>
        <v>0</v>
      </c>
      <c r="F18" s="11">
        <f>Table29[[#This Row],[حسابهای دریافتنی]]+Table29[[#This Row],[چکهای در جریان وصول]]+Table29[[#This Row],[چکهای نزد صندوق]]</f>
        <v>905000830</v>
      </c>
      <c r="G18" s="12">
        <f>IFERROR(INDEX('مانده سوفاله'!F:F,MATCH(Table29[[#This Row],[كد تفصيلي]],'مانده سوفاله'!A:A,0)),0)</f>
        <v>-2186</v>
      </c>
    </row>
    <row r="19" spans="1:7" ht="24" customHeight="1" x14ac:dyDescent="0.35">
      <c r="A19" s="27">
        <v>30006</v>
      </c>
      <c r="B19" s="55" t="s">
        <v>56</v>
      </c>
      <c r="C19" s="10">
        <f>IFERROR(INDEX('حسابهای دریافتنی'!H:H,MATCH(Table29[[#This Row],[كد تفصيلي]],'حسابهای دریافتنی'!A:A,0)),0)</f>
        <v>-162677545</v>
      </c>
      <c r="D19" s="11">
        <f>IFERROR(INDEX('درجریان وصول'!F:F,MATCH(Table29[[#This Row],[كد تفصيلي]],'درجریان وصول'!A:A,0)),0)</f>
        <v>0</v>
      </c>
      <c r="E19" s="11">
        <f>IFERROR(INDEX('چکهای دریافتنی'!F:F,MATCH(Table29[[#This Row],[كد تفصيلي]],'چکهای دریافتنی'!A:A,0)),0)</f>
        <v>0</v>
      </c>
      <c r="F19" s="11">
        <f>Table29[[#This Row],[حسابهای دریافتنی]]+Table29[[#This Row],[چکهای در جریان وصول]]+Table29[[#This Row],[چکهای نزد صندوق]]</f>
        <v>-162677545</v>
      </c>
      <c r="G19" s="12">
        <f>IFERROR(INDEX('مانده سوفاله'!F:F,MATCH(Table29[[#This Row],[كد تفصيلي]],'مانده سوفاله'!A:A,0)),0)</f>
        <v>-6</v>
      </c>
    </row>
    <row r="20" spans="1:7" ht="24" customHeight="1" x14ac:dyDescent="0.35">
      <c r="A20" s="26">
        <v>30186</v>
      </c>
      <c r="B20" s="56" t="s">
        <v>367</v>
      </c>
      <c r="C20" s="10">
        <f>IFERROR(INDEX('حسابهای دریافتنی'!H:H,MATCH(Table29[[#This Row],[كد تفصيلي]],'حسابهای دریافتنی'!A:A,0)),0)</f>
        <v>986425000</v>
      </c>
      <c r="D20" s="11">
        <f>IFERROR(INDEX('درجریان وصول'!F:F,MATCH(Table29[[#This Row],[كد تفصيلي]],'درجریان وصول'!A:A,0)),0)</f>
        <v>0</v>
      </c>
      <c r="E20" s="11">
        <f>IFERROR(INDEX('چکهای دریافتنی'!F:F,MATCH(Table29[[#This Row],[كد تفصيلي]],'چکهای دریافتنی'!A:A,0)),0)</f>
        <v>5982430000</v>
      </c>
      <c r="F20" s="11">
        <f>Table29[[#This Row],[حسابهای دریافتنی]]+Table29[[#This Row],[چکهای در جریان وصول]]+Table29[[#This Row],[چکهای نزد صندوق]]</f>
        <v>6968855000</v>
      </c>
      <c r="G20" s="12">
        <f>IFERROR(INDEX('مانده سوفاله'!F:F,MATCH(Table29[[#This Row],[كد تفصيلي]],'مانده سوفاله'!A:A,0)),0)</f>
        <v>-7388</v>
      </c>
    </row>
    <row r="21" spans="1:7" ht="24" customHeight="1" x14ac:dyDescent="0.35">
      <c r="A21" s="26">
        <v>10133</v>
      </c>
      <c r="B21" s="56" t="s">
        <v>465</v>
      </c>
      <c r="C21" s="10">
        <f>IFERROR(INDEX('حسابهای دریافتنی'!H:H,MATCH(Table29[[#This Row],[كد تفصيلي]],'حسابهای دریافتنی'!A:A,0)),0)</f>
        <v>-1249039000</v>
      </c>
      <c r="D21" s="11">
        <f>IFERROR(INDEX('درجریان وصول'!F:F,MATCH(Table29[[#This Row],[كد تفصيلي]],'درجریان وصول'!A:A,0)),0)</f>
        <v>0</v>
      </c>
      <c r="E21" s="11">
        <f>IFERROR(INDEX('چکهای دریافتنی'!F:F,MATCH(Table29[[#This Row],[كد تفصيلي]],'چکهای دریافتنی'!A:A,0)),0)</f>
        <v>0</v>
      </c>
      <c r="F21" s="11">
        <f>Table29[[#This Row],[حسابهای دریافتنی]]+Table29[[#This Row],[چکهای در جریان وصول]]+Table29[[#This Row],[چکهای نزد صندوق]]</f>
        <v>-1249039000</v>
      </c>
      <c r="G21" s="12">
        <f>IFERROR(INDEX('مانده سوفاله'!F:F,MATCH(Table29[[#This Row],[كد تفصيلي]],'مانده سوفاله'!A:A,0)),0)</f>
        <v>0</v>
      </c>
    </row>
    <row r="22" spans="1:7" ht="24" customHeight="1" x14ac:dyDescent="0.35">
      <c r="A22" s="26">
        <v>30184</v>
      </c>
      <c r="B22" s="56" t="s">
        <v>368</v>
      </c>
      <c r="C22" s="10">
        <f>IFERROR(INDEX('حسابهای دریافتنی'!H:H,MATCH(Table29[[#This Row],[كد تفصيلي]],'حسابهای دریافتنی'!A:A,0)),0)</f>
        <v>904890480</v>
      </c>
      <c r="D22" s="11">
        <f>IFERROR(INDEX('درجریان وصول'!F:F,MATCH(Table29[[#This Row],[كد تفصيلي]],'درجریان وصول'!A:A,0)),0)</f>
        <v>0</v>
      </c>
      <c r="E22" s="11">
        <f>IFERROR(INDEX('چکهای دریافتنی'!F:F,MATCH(Table29[[#This Row],[كد تفصيلي]],'چکهای دریافتنی'!A:A,0)),0)</f>
        <v>0</v>
      </c>
      <c r="F22" s="11">
        <f>Table29[[#This Row],[حسابهای دریافتنی]]+Table29[[#This Row],[چکهای در جریان وصول]]+Table29[[#This Row],[چکهای نزد صندوق]]</f>
        <v>904890480</v>
      </c>
      <c r="G22" s="12">
        <f>IFERROR(INDEX('مانده سوفاله'!F:F,MATCH(Table29[[#This Row],[كد تفصيلي]],'مانده سوفاله'!A:A,0)),0)</f>
        <v>-100</v>
      </c>
    </row>
    <row r="23" spans="1:7" ht="24" customHeight="1" x14ac:dyDescent="0.35">
      <c r="A23" s="27">
        <v>30099</v>
      </c>
      <c r="B23" s="55" t="s">
        <v>167</v>
      </c>
      <c r="C23" s="10">
        <f>IFERROR(INDEX('حسابهای دریافتنی'!H:H,MATCH(Table29[[#This Row],[كد تفصيلي]],'حسابهای دریافتنی'!A:A,0)),0)</f>
        <v>1398393484</v>
      </c>
      <c r="D23" s="11">
        <f>IFERROR(INDEX('درجریان وصول'!F:F,MATCH(Table29[[#This Row],[كد تفصيلي]],'درجریان وصول'!A:A,0)),0)</f>
        <v>0</v>
      </c>
      <c r="E23" s="11">
        <f>IFERROR(INDEX('چکهای دریافتنی'!F:F,MATCH(Table29[[#This Row],[كد تفصيلي]],'چکهای دریافتنی'!A:A,0)),0)</f>
        <v>583000000</v>
      </c>
      <c r="F23" s="11">
        <f>Table29[[#This Row],[حسابهای دریافتنی]]+Table29[[#This Row],[چکهای در جریان وصول]]+Table29[[#This Row],[چکهای نزد صندوق]]</f>
        <v>1981393484</v>
      </c>
      <c r="G23" s="12">
        <f>IFERROR(INDEX('مانده سوفاله'!F:F,MATCH(Table29[[#This Row],[كد تفصيلي]],'مانده سوفاله'!A:A,0)),0)</f>
        <v>-332</v>
      </c>
    </row>
    <row r="24" spans="1:7" ht="24" customHeight="1" x14ac:dyDescent="0.35">
      <c r="A24" s="26">
        <v>10057</v>
      </c>
      <c r="B24" s="56" t="s">
        <v>225</v>
      </c>
      <c r="C24" s="10">
        <f>IFERROR(INDEX('حسابهای دریافتنی'!H:H,MATCH(Table29[[#This Row],[كد تفصيلي]],'حسابهای دریافتنی'!A:A,0)),0)</f>
        <v>1390485500</v>
      </c>
      <c r="D24" s="11">
        <f>IFERROR(INDEX('درجریان وصول'!F:F,MATCH(Table29[[#This Row],[كد تفصيلي]],'درجریان وصول'!A:A,0)),0)</f>
        <v>0</v>
      </c>
      <c r="E24" s="11">
        <f>IFERROR(INDEX('چکهای دریافتنی'!F:F,MATCH(Table29[[#This Row],[كد تفصيلي]],'چکهای دریافتنی'!A:A,0)),0)</f>
        <v>0</v>
      </c>
      <c r="F24" s="11">
        <f>Table29[[#This Row],[حسابهای دریافتنی]]+Table29[[#This Row],[چکهای در جریان وصول]]+Table29[[#This Row],[چکهای نزد صندوق]]</f>
        <v>1390485500</v>
      </c>
      <c r="G24" s="12">
        <f>IFERROR(INDEX('مانده سوفاله'!F:F,MATCH(Table29[[#This Row],[كد تفصيلي]],'مانده سوفاله'!A:A,0)),0)</f>
        <v>-2044</v>
      </c>
    </row>
    <row r="25" spans="1:7" ht="24" customHeight="1" x14ac:dyDescent="0.35">
      <c r="A25" s="27">
        <v>30018</v>
      </c>
      <c r="B25" s="55" t="s">
        <v>66</v>
      </c>
      <c r="C25" s="10">
        <f>IFERROR(INDEX('حسابهای دریافتنی'!H:H,MATCH(Table29[[#This Row],[كد تفصيلي]],'حسابهای دریافتنی'!A:A,0)),0)</f>
        <v>1901077182</v>
      </c>
      <c r="D25" s="11">
        <f>IFERROR(INDEX('درجریان وصول'!F:F,MATCH(Table29[[#This Row],[كد تفصيلي]],'درجریان وصول'!A:A,0)),0)</f>
        <v>0</v>
      </c>
      <c r="E25" s="11">
        <f>IFERROR(INDEX('چکهای دریافتنی'!F:F,MATCH(Table29[[#This Row],[كد تفصيلي]],'چکهای دریافتنی'!A:A,0)),0)</f>
        <v>0</v>
      </c>
      <c r="F25" s="11">
        <f>Table29[[#This Row],[حسابهای دریافتنی]]+Table29[[#This Row],[چکهای در جریان وصول]]+Table29[[#This Row],[چکهای نزد صندوق]]</f>
        <v>1901077182</v>
      </c>
      <c r="G25" s="12">
        <f>IFERROR(INDEX('مانده سوفاله'!F:F,MATCH(Table29[[#This Row],[كد تفصيلي]],'مانده سوفاله'!A:A,0)),0)</f>
        <v>-3024</v>
      </c>
    </row>
    <row r="26" spans="1:7" ht="24" customHeight="1" x14ac:dyDescent="0.35">
      <c r="A26" s="27">
        <v>30014</v>
      </c>
      <c r="B26" s="55" t="s">
        <v>63</v>
      </c>
      <c r="C26" s="10">
        <f>IFERROR(INDEX('حسابهای دریافتنی'!H:H,MATCH(Table29[[#This Row],[كد تفصيلي]],'حسابهای دریافتنی'!A:A,0)),0)</f>
        <v>1762223932</v>
      </c>
      <c r="D26" s="11">
        <f>IFERROR(INDEX('درجریان وصول'!F:F,MATCH(Table29[[#This Row],[كد تفصيلي]],'درجریان وصول'!A:A,0)),0)</f>
        <v>0</v>
      </c>
      <c r="E26" s="11">
        <f>IFERROR(INDEX('چکهای دریافتنی'!F:F,MATCH(Table29[[#This Row],[كد تفصيلي]],'چکهای دریافتنی'!A:A,0)),0)</f>
        <v>0</v>
      </c>
      <c r="F26" s="11">
        <f>Table29[[#This Row],[حسابهای دریافتنی]]+Table29[[#This Row],[چکهای در جریان وصول]]+Table29[[#This Row],[چکهای نزد صندوق]]</f>
        <v>1762223932</v>
      </c>
      <c r="G26" s="12">
        <f>IFERROR(INDEX('مانده سوفاله'!F:F,MATCH(Table29[[#This Row],[كد تفصيلي]],'مانده سوفاله'!A:A,0)),0)</f>
        <v>-1368</v>
      </c>
    </row>
    <row r="27" spans="1:7" ht="24" customHeight="1" x14ac:dyDescent="0.35">
      <c r="A27" s="27">
        <v>10008</v>
      </c>
      <c r="B27" s="55" t="s">
        <v>15</v>
      </c>
      <c r="C27" s="10">
        <f>IFERROR(INDEX('حسابهای دریافتنی'!H:H,MATCH(Table29[[#This Row],[كد تفصيلي]],'حسابهای دریافتنی'!A:A,0)),0)</f>
        <v>597342000</v>
      </c>
      <c r="D27" s="11">
        <f>IFERROR(INDEX('درجریان وصول'!F:F,MATCH(Table29[[#This Row],[كد تفصيلي]],'درجریان وصول'!A:A,0)),0)</f>
        <v>0</v>
      </c>
      <c r="E27" s="11">
        <f>IFERROR(INDEX('چکهای دریافتنی'!F:F,MATCH(Table29[[#This Row],[كد تفصيلي]],'چکهای دریافتنی'!A:A,0)),0)</f>
        <v>0</v>
      </c>
      <c r="F27" s="11">
        <f>Table29[[#This Row],[حسابهای دریافتنی]]+Table29[[#This Row],[چکهای در جریان وصول]]+Table29[[#This Row],[چکهای نزد صندوق]]</f>
        <v>597342000</v>
      </c>
      <c r="G27" s="12">
        <f>IFERROR(INDEX('مانده سوفاله'!F:F,MATCH(Table29[[#This Row],[كد تفصيلي]],'مانده سوفاله'!A:A,0)),0)</f>
        <v>-578</v>
      </c>
    </row>
    <row r="28" spans="1:7" ht="24" customHeight="1" x14ac:dyDescent="0.35">
      <c r="A28" s="27">
        <v>10072</v>
      </c>
      <c r="B28" s="55" t="s">
        <v>177</v>
      </c>
      <c r="C28" s="10">
        <f>IFERROR(INDEX('حسابهای دریافتنی'!H:H,MATCH(Table29[[#This Row],[كد تفصيلي]],'حسابهای دریافتنی'!A:A,0)),0)</f>
        <v>55880</v>
      </c>
      <c r="D28" s="11">
        <f>IFERROR(INDEX('درجریان وصول'!F:F,MATCH(Table29[[#This Row],[كد تفصيلي]],'درجریان وصول'!A:A,0)),0)</f>
        <v>0</v>
      </c>
      <c r="E28" s="11">
        <f>IFERROR(INDEX('چکهای دریافتنی'!F:F,MATCH(Table29[[#This Row],[كد تفصيلي]],'چکهای دریافتنی'!A:A,0)),0)</f>
        <v>427700000</v>
      </c>
      <c r="F28" s="11">
        <f>Table29[[#This Row],[حسابهای دریافتنی]]+Table29[[#This Row],[چکهای در جریان وصول]]+Table29[[#This Row],[چکهای نزد صندوق]]</f>
        <v>427755880</v>
      </c>
      <c r="G28" s="12">
        <f>IFERROR(INDEX('مانده سوفاله'!F:F,MATCH(Table29[[#This Row],[كد تفصيلي]],'مانده سوفاله'!A:A,0)),0)</f>
        <v>0</v>
      </c>
    </row>
    <row r="29" spans="1:7" ht="24" customHeight="1" x14ac:dyDescent="0.35">
      <c r="A29" s="27">
        <v>10020</v>
      </c>
      <c r="B29" s="55" t="s">
        <v>27</v>
      </c>
      <c r="C29" s="10">
        <f>IFERROR(INDEX('حسابهای دریافتنی'!H:H,MATCH(Table29[[#This Row],[كد تفصيلي]],'حسابهای دریافتنی'!A:A,0)),0)</f>
        <v>57999963</v>
      </c>
      <c r="D29" s="11">
        <f>IFERROR(INDEX('درجریان وصول'!F:F,MATCH(Table29[[#This Row],[كد تفصيلي]],'درجریان وصول'!A:A,0)),0)</f>
        <v>0</v>
      </c>
      <c r="E29" s="11">
        <f>IFERROR(INDEX('چکهای دریافتنی'!F:F,MATCH(Table29[[#This Row],[كد تفصيلي]],'چکهای دریافتنی'!A:A,0)),0)</f>
        <v>728000000</v>
      </c>
      <c r="F29" s="11">
        <f>Table29[[#This Row],[حسابهای دریافتنی]]+Table29[[#This Row],[چکهای در جریان وصول]]+Table29[[#This Row],[چکهای نزد صندوق]]</f>
        <v>785999963</v>
      </c>
      <c r="G29" s="12">
        <f>IFERROR(INDEX('مانده سوفاله'!F:F,MATCH(Table29[[#This Row],[كد تفصيلي]],'مانده سوفاله'!A:A,0)),0)</f>
        <v>-1031</v>
      </c>
    </row>
    <row r="30" spans="1:7" ht="24" customHeight="1" x14ac:dyDescent="0.35">
      <c r="A30" s="27">
        <v>10056</v>
      </c>
      <c r="B30" s="55" t="s">
        <v>166</v>
      </c>
      <c r="C30" s="10">
        <f>IFERROR(INDEX('حسابهای دریافتنی'!H:H,MATCH(Table29[[#This Row],[كد تفصيلي]],'حسابهای دریافتنی'!A:A,0)),0)</f>
        <v>812653500</v>
      </c>
      <c r="D30" s="11">
        <f>IFERROR(INDEX('درجریان وصول'!F:F,MATCH(Table29[[#This Row],[كد تفصيلي]],'درجریان وصول'!A:A,0)),0)</f>
        <v>0</v>
      </c>
      <c r="E30" s="11">
        <f>IFERROR(INDEX('چکهای دریافتنی'!F:F,MATCH(Table29[[#This Row],[كد تفصيلي]],'چکهای دریافتنی'!A:A,0)),0)</f>
        <v>0</v>
      </c>
      <c r="F30" s="11">
        <f>Table29[[#This Row],[حسابهای دریافتنی]]+Table29[[#This Row],[چکهای در جریان وصول]]+Table29[[#This Row],[چکهای نزد صندوق]]</f>
        <v>812653500</v>
      </c>
      <c r="G30" s="12">
        <f>IFERROR(INDEX('مانده سوفاله'!F:F,MATCH(Table29[[#This Row],[كد تفصيلي]],'مانده سوفاله'!A:A,0)),0)</f>
        <v>0</v>
      </c>
    </row>
    <row r="31" spans="1:7" ht="24" customHeight="1" x14ac:dyDescent="0.35">
      <c r="A31" s="27">
        <v>30161</v>
      </c>
      <c r="B31" s="55" t="s">
        <v>299</v>
      </c>
      <c r="C31" s="10">
        <f>IFERROR(INDEX('حسابهای دریافتنی'!H:H,MATCH(Table29[[#This Row],[كد تفصيلي]],'حسابهای دریافتنی'!A:A,0)),0)</f>
        <v>0</v>
      </c>
      <c r="D31" s="11">
        <f>IFERROR(INDEX('درجریان وصول'!F:F,MATCH(Table29[[#This Row],[كد تفصيلي]],'درجریان وصول'!A:A,0)),0)</f>
        <v>0</v>
      </c>
      <c r="E31" s="11">
        <f>IFERROR(INDEX('چکهای دریافتنی'!F:F,MATCH(Table29[[#This Row],[كد تفصيلي]],'چکهای دریافتنی'!A:A,0)),0)</f>
        <v>0</v>
      </c>
      <c r="F31" s="11">
        <f>Table29[[#This Row],[حسابهای دریافتنی]]+Table29[[#This Row],[چکهای در جریان وصول]]+Table29[[#This Row],[چکهای نزد صندوق]]</f>
        <v>0</v>
      </c>
      <c r="G31" s="12">
        <f>IFERROR(INDEX('مانده سوفاله'!F:F,MATCH(Table29[[#This Row],[كد تفصيلي]],'مانده سوفاله'!A:A,0)),0)</f>
        <v>0</v>
      </c>
    </row>
    <row r="32" spans="1:7" ht="24" customHeight="1" x14ac:dyDescent="0.35">
      <c r="A32" s="26">
        <v>50011</v>
      </c>
      <c r="B32" s="56" t="s">
        <v>147</v>
      </c>
      <c r="C32" s="10">
        <f>IFERROR(INDEX('حسابهای دریافتنی'!H:H,MATCH(Table29[[#This Row],[كد تفصيلي]],'حسابهای دریافتنی'!A:A,0)),0)</f>
        <v>832182413</v>
      </c>
      <c r="D32" s="11">
        <f>IFERROR(INDEX('درجریان وصول'!F:F,MATCH(Table29[[#This Row],[كد تفصيلي]],'درجریان وصول'!A:A,0)),0)</f>
        <v>0</v>
      </c>
      <c r="E32" s="11">
        <f>IFERROR(INDEX('چکهای دریافتنی'!F:F,MATCH(Table29[[#This Row],[كد تفصيلي]],'چکهای دریافتنی'!A:A,0)),0)</f>
        <v>0</v>
      </c>
      <c r="F32" s="11">
        <f>Table29[[#This Row],[حسابهای دریافتنی]]+Table29[[#This Row],[چکهای در جریان وصول]]+Table29[[#This Row],[چکهای نزد صندوق]]</f>
        <v>832182413</v>
      </c>
      <c r="G32" s="12">
        <f>IFERROR(INDEX('مانده سوفاله'!F:F,MATCH(Table29[[#This Row],[كد تفصيلي]],'مانده سوفاله'!A:A,0)),0)</f>
        <v>30</v>
      </c>
    </row>
    <row r="33" spans="1:7" ht="24" customHeight="1" x14ac:dyDescent="0.35">
      <c r="A33" s="26">
        <v>30070</v>
      </c>
      <c r="B33" s="56" t="s">
        <v>115</v>
      </c>
      <c r="C33" s="10">
        <f>IFERROR(INDEX('حسابهای دریافتنی'!H:H,MATCH(Table29[[#This Row],[كد تفصيلي]],'حسابهای دریافتنی'!A:A,0)),0)</f>
        <v>2651728820</v>
      </c>
      <c r="D33" s="11">
        <f>IFERROR(INDEX('درجریان وصول'!F:F,MATCH(Table29[[#This Row],[كد تفصيلي]],'درجریان وصول'!A:A,0)),0)</f>
        <v>0</v>
      </c>
      <c r="E33" s="11">
        <f>IFERROR(INDEX('چکهای دریافتنی'!F:F,MATCH(Table29[[#This Row],[كد تفصيلي]],'چکهای دریافتنی'!A:A,0)),0)</f>
        <v>3660000000</v>
      </c>
      <c r="F33" s="11">
        <f>Table29[[#This Row],[حسابهای دریافتنی]]+Table29[[#This Row],[چکهای در جریان وصول]]+Table29[[#This Row],[چکهای نزد صندوق]]</f>
        <v>6311728820</v>
      </c>
      <c r="G33" s="12">
        <f>IFERROR(INDEX('مانده سوفاله'!F:F,MATCH(Table29[[#This Row],[كد تفصيلي]],'مانده سوفاله'!A:A,0)),0)</f>
        <v>4378</v>
      </c>
    </row>
    <row r="34" spans="1:7" ht="24" customHeight="1" x14ac:dyDescent="0.35">
      <c r="A34" s="27">
        <v>30187</v>
      </c>
      <c r="B34" s="55" t="s">
        <v>369</v>
      </c>
      <c r="C34" s="10">
        <f>IFERROR(INDEX('حسابهای دریافتنی'!H:H,MATCH(Table29[[#This Row],[كد تفصيلي]],'حسابهای دریافتنی'!A:A,0)),0)</f>
        <v>337825500</v>
      </c>
      <c r="D34" s="11">
        <f>IFERROR(INDEX('درجریان وصول'!F:F,MATCH(Table29[[#This Row],[كد تفصيلي]],'درجریان وصول'!A:A,0)),0)</f>
        <v>0</v>
      </c>
      <c r="E34" s="11">
        <f>IFERROR(INDEX('چکهای دریافتنی'!F:F,MATCH(Table29[[#This Row],[كد تفصيلي]],'چکهای دریافتنی'!A:A,0)),0)</f>
        <v>0</v>
      </c>
      <c r="F34" s="11">
        <f>Table29[[#This Row],[حسابهای دریافتنی]]+Table29[[#This Row],[چکهای در جریان وصول]]+Table29[[#This Row],[چکهای نزد صندوق]]</f>
        <v>337825500</v>
      </c>
      <c r="G34" s="12">
        <f>IFERROR(INDEX('مانده سوفاله'!F:F,MATCH(Table29[[#This Row],[كد تفصيلي]],'مانده سوفاله'!A:A,0)),0)</f>
        <v>-108</v>
      </c>
    </row>
    <row r="35" spans="1:7" ht="24" customHeight="1" x14ac:dyDescent="0.35">
      <c r="A35" s="26">
        <v>30140</v>
      </c>
      <c r="B35" s="56" t="s">
        <v>259</v>
      </c>
      <c r="C35" s="10">
        <f>IFERROR(INDEX('حسابهای دریافتنی'!H:H,MATCH(Table29[[#This Row],[كد تفصيلي]],'حسابهای دریافتنی'!A:A,0)),0)</f>
        <v>553728200</v>
      </c>
      <c r="D35" s="11">
        <f>IFERROR(INDEX('درجریان وصول'!F:F,MATCH(Table29[[#This Row],[كد تفصيلي]],'درجریان وصول'!A:A,0)),0)</f>
        <v>0</v>
      </c>
      <c r="E35" s="11">
        <f>IFERROR(INDEX('چکهای دریافتنی'!F:F,MATCH(Table29[[#This Row],[كد تفصيلي]],'چکهای دریافتنی'!A:A,0)),0)</f>
        <v>1030000000</v>
      </c>
      <c r="F35" s="11">
        <f>Table29[[#This Row],[حسابهای دریافتنی]]+Table29[[#This Row],[چکهای در جریان وصول]]+Table29[[#This Row],[چکهای نزد صندوق]]</f>
        <v>1583728200</v>
      </c>
      <c r="G35" s="12">
        <f>IFERROR(INDEX('مانده سوفاله'!F:F,MATCH(Table29[[#This Row],[كد تفصيلي]],'مانده سوفاله'!A:A,0)),0)</f>
        <v>-12630</v>
      </c>
    </row>
    <row r="36" spans="1:7" ht="24" customHeight="1" x14ac:dyDescent="0.35">
      <c r="A36" s="27">
        <v>30069</v>
      </c>
      <c r="B36" s="55" t="s">
        <v>114</v>
      </c>
      <c r="C36" s="10">
        <f>IFERROR(INDEX('حسابهای دریافتنی'!H:H,MATCH(Table29[[#This Row],[كد تفصيلي]],'حسابهای دریافتنی'!A:A,0)),0)</f>
        <v>377909400</v>
      </c>
      <c r="D36" s="11">
        <f>IFERROR(INDEX('درجریان وصول'!F:F,MATCH(Table29[[#This Row],[كد تفصيلي]],'درجریان وصول'!A:A,0)),0)</f>
        <v>0</v>
      </c>
      <c r="E36" s="11">
        <f>IFERROR(INDEX('چکهای دریافتنی'!F:F,MATCH(Table29[[#This Row],[كد تفصيلي]],'چکهای دریافتنی'!A:A,0)),0)</f>
        <v>0</v>
      </c>
      <c r="F36" s="11">
        <f>Table29[[#This Row],[حسابهای دریافتنی]]+Table29[[#This Row],[چکهای در جریان وصول]]+Table29[[#This Row],[چکهای نزد صندوق]]</f>
        <v>377909400</v>
      </c>
      <c r="G36" s="12">
        <f>IFERROR(INDEX('مانده سوفاله'!F:F,MATCH(Table29[[#This Row],[كد تفصيلي]],'مانده سوفاله'!A:A,0)),0)</f>
        <v>66</v>
      </c>
    </row>
    <row r="37" spans="1:7" ht="24" customHeight="1" x14ac:dyDescent="0.35">
      <c r="A37" s="26">
        <v>10027</v>
      </c>
      <c r="B37" s="56" t="s">
        <v>33</v>
      </c>
      <c r="C37" s="10">
        <f>IFERROR(INDEX('حسابهای دریافتنی'!H:H,MATCH(Table29[[#This Row],[كد تفصيلي]],'حسابهای دریافتنی'!A:A,0)),0)</f>
        <v>33078340</v>
      </c>
      <c r="D37" s="11">
        <f>IFERROR(INDEX('درجریان وصول'!F:F,MATCH(Table29[[#This Row],[كد تفصيلي]],'درجریان وصول'!A:A,0)),0)</f>
        <v>0</v>
      </c>
      <c r="E37" s="11">
        <f>IFERROR(INDEX('چکهای دریافتنی'!F:F,MATCH(Table29[[#This Row],[كد تفصيلي]],'چکهای دریافتنی'!A:A,0)),0)</f>
        <v>1588359160</v>
      </c>
      <c r="F37" s="11">
        <f>Table29[[#This Row],[حسابهای دریافتنی]]+Table29[[#This Row],[چکهای در جریان وصول]]+Table29[[#This Row],[چکهای نزد صندوق]]</f>
        <v>1621437500</v>
      </c>
      <c r="G37" s="12">
        <f>IFERROR(INDEX('مانده سوفاله'!F:F,MATCH(Table29[[#This Row],[كد تفصيلي]],'مانده سوفاله'!A:A,0)),0)</f>
        <v>-647</v>
      </c>
    </row>
    <row r="38" spans="1:7" ht="24" customHeight="1" x14ac:dyDescent="0.35">
      <c r="A38" s="26">
        <v>30003</v>
      </c>
      <c r="B38" s="56" t="s">
        <v>53</v>
      </c>
      <c r="C38" s="10">
        <f>IFERROR(INDEX('حسابهای دریافتنی'!H:H,MATCH(Table29[[#This Row],[كد تفصيلي]],'حسابهای دریافتنی'!A:A,0)),0)</f>
        <v>754765900</v>
      </c>
      <c r="D38" s="11">
        <f>IFERROR(INDEX('درجریان وصول'!F:F,MATCH(Table29[[#This Row],[كد تفصيلي]],'درجریان وصول'!A:A,0)),0)</f>
        <v>0</v>
      </c>
      <c r="E38" s="11">
        <f>IFERROR(INDEX('چکهای دریافتنی'!F:F,MATCH(Table29[[#This Row],[كد تفصيلي]],'چکهای دریافتنی'!A:A,0)),0)</f>
        <v>571000000</v>
      </c>
      <c r="F38" s="11">
        <f>Table29[[#This Row],[حسابهای دریافتنی]]+Table29[[#This Row],[چکهای در جریان وصول]]+Table29[[#This Row],[چکهای نزد صندوق]]</f>
        <v>1325765900</v>
      </c>
      <c r="G38" s="12">
        <f>IFERROR(INDEX('مانده سوفاله'!F:F,MATCH(Table29[[#This Row],[كد تفصيلي]],'مانده سوفاله'!A:A,0)),0)</f>
        <v>-3538</v>
      </c>
    </row>
    <row r="39" spans="1:7" ht="24" customHeight="1" x14ac:dyDescent="0.35">
      <c r="A39" s="27">
        <v>10084</v>
      </c>
      <c r="B39" s="55" t="s">
        <v>217</v>
      </c>
      <c r="C39" s="10">
        <f>IFERROR(INDEX('حسابهای دریافتنی'!H:H,MATCH(Table29[[#This Row],[كد تفصيلي]],'حسابهای دریافتنی'!A:A,0)),0)</f>
        <v>358092810</v>
      </c>
      <c r="D39" s="11">
        <f>IFERROR(INDEX('درجریان وصول'!F:F,MATCH(Table29[[#This Row],[كد تفصيلي]],'درجریان وصول'!A:A,0)),0)</f>
        <v>0</v>
      </c>
      <c r="E39" s="11">
        <f>IFERROR(INDEX('چکهای دریافتنی'!F:F,MATCH(Table29[[#This Row],[كد تفصيلي]],'چکهای دریافتنی'!A:A,0)),0)</f>
        <v>870000000</v>
      </c>
      <c r="F39" s="11">
        <f>Table29[[#This Row],[حسابهای دریافتنی]]+Table29[[#This Row],[چکهای در جریان وصول]]+Table29[[#This Row],[چکهای نزد صندوق]]</f>
        <v>1228092810</v>
      </c>
      <c r="G39" s="12">
        <f>IFERROR(INDEX('مانده سوفاله'!F:F,MATCH(Table29[[#This Row],[كد تفصيلي]],'مانده سوفاله'!A:A,0)),0)</f>
        <v>-1656</v>
      </c>
    </row>
    <row r="40" spans="1:7" ht="24" customHeight="1" x14ac:dyDescent="0.35">
      <c r="A40" s="26">
        <v>30191</v>
      </c>
      <c r="B40" s="56" t="s">
        <v>460</v>
      </c>
      <c r="C40" s="10">
        <f>IFERROR(INDEX('حسابهای دریافتنی'!H:H,MATCH(Table29[[#This Row],[كد تفصيلي]],'حسابهای دریافتنی'!A:A,0)),0)</f>
        <v>792933000</v>
      </c>
      <c r="D40" s="11">
        <f>IFERROR(INDEX('درجریان وصول'!F:F,MATCH(Table29[[#This Row],[كد تفصيلي]],'درجریان وصول'!A:A,0)),0)</f>
        <v>0</v>
      </c>
      <c r="E40" s="11">
        <f>IFERROR(INDEX('چکهای دریافتنی'!F:F,MATCH(Table29[[#This Row],[كد تفصيلي]],'چکهای دریافتنی'!A:A,0)),0)</f>
        <v>0</v>
      </c>
      <c r="F40" s="11">
        <f>Table29[[#This Row],[حسابهای دریافتنی]]+Table29[[#This Row],[چکهای در جریان وصول]]+Table29[[#This Row],[چکهای نزد صندوق]]</f>
        <v>792933000</v>
      </c>
      <c r="G40" s="12">
        <f>IFERROR(INDEX('مانده سوفاله'!F:F,MATCH(Table29[[#This Row],[كد تفصيلي]],'مانده سوفاله'!A:A,0)),0)</f>
        <v>134</v>
      </c>
    </row>
    <row r="41" spans="1:7" ht="24" customHeight="1" x14ac:dyDescent="0.35">
      <c r="A41" s="27">
        <v>30155</v>
      </c>
      <c r="B41" s="55" t="s">
        <v>289</v>
      </c>
      <c r="C41" s="10">
        <f>IFERROR(INDEX('حسابهای دریافتنی'!H:H,MATCH(Table29[[#This Row],[كد تفصيلي]],'حسابهای دریافتنی'!A:A,0)),0)</f>
        <v>-454985417</v>
      </c>
      <c r="D41" s="11">
        <f>IFERROR(INDEX('درجریان وصول'!F:F,MATCH(Table29[[#This Row],[كد تفصيلي]],'درجریان وصول'!A:A,0)),0)</f>
        <v>0</v>
      </c>
      <c r="E41" s="11">
        <f>IFERROR(INDEX('چکهای دریافتنی'!F:F,MATCH(Table29[[#This Row],[كد تفصيلي]],'چکهای دریافتنی'!A:A,0)),0)</f>
        <v>1379936267</v>
      </c>
      <c r="F41" s="11">
        <f>Table29[[#This Row],[حسابهای دریافتنی]]+Table29[[#This Row],[چکهای در جریان وصول]]+Table29[[#This Row],[چکهای نزد صندوق]]</f>
        <v>924950850</v>
      </c>
      <c r="G41" s="12">
        <f>IFERROR(INDEX('مانده سوفاله'!F:F,MATCH(Table29[[#This Row],[كد تفصيلي]],'مانده سوفاله'!A:A,0)),0)</f>
        <v>0</v>
      </c>
    </row>
    <row r="42" spans="1:7" ht="24" customHeight="1" x14ac:dyDescent="0.35">
      <c r="A42" s="27">
        <v>30055</v>
      </c>
      <c r="B42" s="55" t="s">
        <v>100</v>
      </c>
      <c r="C42" s="10">
        <f>IFERROR(INDEX('حسابهای دریافتنی'!H:H,MATCH(Table29[[#This Row],[كد تفصيلي]],'حسابهای دریافتنی'!A:A,0)),0)</f>
        <v>0</v>
      </c>
      <c r="D42" s="11">
        <f>IFERROR(INDEX('درجریان وصول'!F:F,MATCH(Table29[[#This Row],[كد تفصيلي]],'درجریان وصول'!A:A,0)),0)</f>
        <v>0</v>
      </c>
      <c r="E42" s="11">
        <f>IFERROR(INDEX('چکهای دریافتنی'!F:F,MATCH(Table29[[#This Row],[كد تفصيلي]],'چکهای دریافتنی'!A:A,0)),0)</f>
        <v>0</v>
      </c>
      <c r="F42" s="11">
        <f>Table29[[#This Row],[حسابهای دریافتنی]]+Table29[[#This Row],[چکهای در جریان وصول]]+Table29[[#This Row],[چکهای نزد صندوق]]</f>
        <v>0</v>
      </c>
      <c r="G42" s="12">
        <f>IFERROR(INDEX('مانده سوفاله'!F:F,MATCH(Table29[[#This Row],[كد تفصيلي]],'مانده سوفاله'!A:A,0)),0)</f>
        <v>48</v>
      </c>
    </row>
    <row r="43" spans="1:7" ht="24" customHeight="1" x14ac:dyDescent="0.35">
      <c r="A43" s="27">
        <v>30101</v>
      </c>
      <c r="B43" s="55" t="s">
        <v>196</v>
      </c>
      <c r="C43" s="10">
        <f>IFERROR(INDEX('حسابهای دریافتنی'!H:H,MATCH(Table29[[#This Row],[كد تفصيلي]],'حسابهای دریافتنی'!A:A,0)),0)</f>
        <v>203336095</v>
      </c>
      <c r="D43" s="11">
        <f>IFERROR(INDEX('درجریان وصول'!F:F,MATCH(Table29[[#This Row],[كد تفصيلي]],'درجریان وصول'!A:A,0)),0)</f>
        <v>0</v>
      </c>
      <c r="E43" s="11">
        <f>IFERROR(INDEX('چکهای دریافتنی'!F:F,MATCH(Table29[[#This Row],[كد تفصيلي]],'چکهای دریافتنی'!A:A,0)),0)</f>
        <v>0</v>
      </c>
      <c r="F43" s="11">
        <f>Table29[[#This Row],[حسابهای دریافتنی]]+Table29[[#This Row],[چکهای در جریان وصول]]+Table29[[#This Row],[چکهای نزد صندوق]]</f>
        <v>203336095</v>
      </c>
      <c r="G43" s="12">
        <f>IFERROR(INDEX('مانده سوفاله'!F:F,MATCH(Table29[[#This Row],[كد تفصيلي]],'مانده سوفاله'!A:A,0)),0)</f>
        <v>15</v>
      </c>
    </row>
    <row r="44" spans="1:7" ht="24" customHeight="1" x14ac:dyDescent="0.35">
      <c r="A44" s="26">
        <v>30086</v>
      </c>
      <c r="B44" s="56" t="s">
        <v>131</v>
      </c>
      <c r="C44" s="10">
        <f>IFERROR(INDEX('حسابهای دریافتنی'!H:H,MATCH(Table29[[#This Row],[كد تفصيلي]],'حسابهای دریافتنی'!A:A,0)),0)</f>
        <v>187376603</v>
      </c>
      <c r="D44" s="11">
        <f>IFERROR(INDEX('درجریان وصول'!F:F,MATCH(Table29[[#This Row],[كد تفصيلي]],'درجریان وصول'!A:A,0)),0)</f>
        <v>0</v>
      </c>
      <c r="E44" s="11">
        <f>IFERROR(INDEX('چکهای دریافتنی'!F:F,MATCH(Table29[[#This Row],[كد تفصيلي]],'چکهای دریافتنی'!A:A,0)),0)</f>
        <v>0</v>
      </c>
      <c r="F44" s="11">
        <f>Table29[[#This Row],[حسابهای دریافتنی]]+Table29[[#This Row],[چکهای در جریان وصول]]+Table29[[#This Row],[چکهای نزد صندوق]]</f>
        <v>187376603</v>
      </c>
      <c r="G44" s="12">
        <f>IFERROR(INDEX('مانده سوفاله'!F:F,MATCH(Table29[[#This Row],[كد تفصيلي]],'مانده سوفاله'!A:A,0)),0)</f>
        <v>1549</v>
      </c>
    </row>
    <row r="45" spans="1:7" ht="24" customHeight="1" x14ac:dyDescent="0.35">
      <c r="A45" s="26">
        <v>30005</v>
      </c>
      <c r="B45" s="56" t="s">
        <v>55</v>
      </c>
      <c r="C45" s="10">
        <f>IFERROR(INDEX('حسابهای دریافتنی'!H:H,MATCH(Table29[[#This Row],[كد تفصيلي]],'حسابهای دریافتنی'!A:A,0)),0)</f>
        <v>35368209</v>
      </c>
      <c r="D45" s="11">
        <f>IFERROR(INDEX('درجریان وصول'!F:F,MATCH(Table29[[#This Row],[كد تفصيلي]],'درجریان وصول'!A:A,0)),0)</f>
        <v>0</v>
      </c>
      <c r="E45" s="11">
        <f>IFERROR(INDEX('چکهای دریافتنی'!F:F,MATCH(Table29[[#This Row],[كد تفصيلي]],'چکهای دریافتنی'!A:A,0)),0)</f>
        <v>0</v>
      </c>
      <c r="F45" s="11">
        <f>Table29[[#This Row],[حسابهای دریافتنی]]+Table29[[#This Row],[چکهای در جریان وصول]]+Table29[[#This Row],[چکهای نزد صندوق]]</f>
        <v>35368209</v>
      </c>
      <c r="G45" s="12">
        <f>IFERROR(INDEX('مانده سوفاله'!F:F,MATCH(Table29[[#This Row],[كد تفصيلي]],'مانده سوفاله'!A:A,0)),0)</f>
        <v>61</v>
      </c>
    </row>
    <row r="46" spans="1:7" ht="24" customHeight="1" x14ac:dyDescent="0.35">
      <c r="A46" s="27">
        <v>10070</v>
      </c>
      <c r="B46" s="55" t="s">
        <v>230</v>
      </c>
      <c r="C46" s="10">
        <f>IFERROR(INDEX('حسابهای دریافتنی'!H:H,MATCH(Table29[[#This Row],[كد تفصيلي]],'حسابهای دریافتنی'!A:A,0)),0)</f>
        <v>508152500</v>
      </c>
      <c r="D46" s="11">
        <f>IFERROR(INDEX('درجریان وصول'!F:F,MATCH(Table29[[#This Row],[كد تفصيلي]],'درجریان وصول'!A:A,0)),0)</f>
        <v>0</v>
      </c>
      <c r="E46" s="11">
        <f>IFERROR(INDEX('چکهای دریافتنی'!F:F,MATCH(Table29[[#This Row],[كد تفصيلي]],'چکهای دریافتنی'!A:A,0)),0)</f>
        <v>570000000</v>
      </c>
      <c r="F46" s="11">
        <f>Table29[[#This Row],[حسابهای دریافتنی]]+Table29[[#This Row],[چکهای در جریان وصول]]+Table29[[#This Row],[چکهای نزد صندوق]]</f>
        <v>1078152500</v>
      </c>
      <c r="G46" s="12">
        <f>IFERROR(INDEX('مانده سوفاله'!F:F,MATCH(Table29[[#This Row],[كد تفصيلي]],'مانده سوفاله'!A:A,0)),0)</f>
        <v>-3170</v>
      </c>
    </row>
    <row r="47" spans="1:7" ht="24" customHeight="1" x14ac:dyDescent="0.35">
      <c r="A47" s="26">
        <v>30019</v>
      </c>
      <c r="B47" s="56" t="s">
        <v>67</v>
      </c>
      <c r="C47" s="10">
        <f>IFERROR(INDEX('حسابهای دریافتنی'!H:H,MATCH(Table29[[#This Row],[كد تفصيلي]],'حسابهای دریافتنی'!A:A,0)),0)</f>
        <v>823484840</v>
      </c>
      <c r="D47" s="11">
        <f>IFERROR(INDEX('درجریان وصول'!F:F,MATCH(Table29[[#This Row],[كد تفصيلي]],'درجریان وصول'!A:A,0)),0)</f>
        <v>0</v>
      </c>
      <c r="E47" s="11">
        <f>IFERROR(INDEX('چکهای دریافتنی'!F:F,MATCH(Table29[[#This Row],[كد تفصيلي]],'چکهای دریافتنی'!A:A,0)),0)</f>
        <v>0</v>
      </c>
      <c r="F47" s="11">
        <f>Table29[[#This Row],[حسابهای دریافتنی]]+Table29[[#This Row],[چکهای در جریان وصول]]+Table29[[#This Row],[چکهای نزد صندوق]]</f>
        <v>823484840</v>
      </c>
      <c r="G47" s="12">
        <f>IFERROR(INDEX('مانده سوفاله'!F:F,MATCH(Table29[[#This Row],[كد تفصيلي]],'مانده سوفاله'!A:A,0)),0)</f>
        <v>612</v>
      </c>
    </row>
    <row r="48" spans="1:7" ht="24" customHeight="1" x14ac:dyDescent="0.35">
      <c r="A48" s="27">
        <v>10092</v>
      </c>
      <c r="B48" s="55" t="s">
        <v>260</v>
      </c>
      <c r="C48" s="10">
        <f>IFERROR(INDEX('حسابهای دریافتنی'!H:H,MATCH(Table29[[#This Row],[كد تفصيلي]],'حسابهای دریافتنی'!A:A,0)),0)</f>
        <v>-1749946500</v>
      </c>
      <c r="D48" s="11">
        <f>IFERROR(INDEX('درجریان وصول'!F:F,MATCH(Table29[[#This Row],[كد تفصيلي]],'درجریان وصول'!A:A,0)),0)</f>
        <v>0</v>
      </c>
      <c r="E48" s="11">
        <f>IFERROR(INDEX('چکهای دریافتنی'!F:F,MATCH(Table29[[#This Row],[كد تفصيلي]],'چکهای دریافتنی'!A:A,0)),0)</f>
        <v>300000000</v>
      </c>
      <c r="F48" s="11">
        <f>Table29[[#This Row],[حسابهای دریافتنی]]+Table29[[#This Row],[چکهای در جریان وصول]]+Table29[[#This Row],[چکهای نزد صندوق]]</f>
        <v>-1449946500</v>
      </c>
      <c r="G48" s="12">
        <f>IFERROR(INDEX('مانده سوفاله'!F:F,MATCH(Table29[[#This Row],[كد تفصيلي]],'مانده سوفاله'!A:A,0)),0)</f>
        <v>0</v>
      </c>
    </row>
    <row r="49" spans="1:7" ht="24" customHeight="1" x14ac:dyDescent="0.35">
      <c r="A49" s="27">
        <v>10096</v>
      </c>
      <c r="B49" s="55" t="s">
        <v>271</v>
      </c>
      <c r="C49" s="10">
        <f>IFERROR(INDEX('حسابهای دریافتنی'!H:H,MATCH(Table29[[#This Row],[كد تفصيلي]],'حسابهای دریافتنی'!A:A,0)),0)</f>
        <v>36455500</v>
      </c>
      <c r="D49" s="11">
        <f>IFERROR(INDEX('درجریان وصول'!F:F,MATCH(Table29[[#This Row],[كد تفصيلي]],'درجریان وصول'!A:A,0)),0)</f>
        <v>0</v>
      </c>
      <c r="E49" s="11">
        <f>IFERROR(INDEX('چکهای دریافتنی'!F:F,MATCH(Table29[[#This Row],[كد تفصيلي]],'چکهای دریافتنی'!A:A,0)),0)</f>
        <v>0</v>
      </c>
      <c r="F49" s="11">
        <f>Table29[[#This Row],[حسابهای دریافتنی]]+Table29[[#This Row],[چکهای در جریان وصول]]+Table29[[#This Row],[چکهای نزد صندوق]]</f>
        <v>36455500</v>
      </c>
      <c r="G49" s="12">
        <f>IFERROR(INDEX('مانده سوفاله'!F:F,MATCH(Table29[[#This Row],[كد تفصيلي]],'مانده سوفاله'!A:A,0)),0)</f>
        <v>0</v>
      </c>
    </row>
    <row r="50" spans="1:7" ht="24" customHeight="1" x14ac:dyDescent="0.35">
      <c r="A50" s="26">
        <v>30025</v>
      </c>
      <c r="B50" s="56" t="s">
        <v>73</v>
      </c>
      <c r="C50" s="10">
        <f>IFERROR(INDEX('حسابهای دریافتنی'!H:H,MATCH(Table29[[#This Row],[كد تفصيلي]],'حسابهای دریافتنی'!A:A,0)),0)</f>
        <v>35598920</v>
      </c>
      <c r="D50" s="11">
        <f>IFERROR(INDEX('درجریان وصول'!F:F,MATCH(Table29[[#This Row],[كد تفصيلي]],'درجریان وصول'!A:A,0)),0)</f>
        <v>0</v>
      </c>
      <c r="E50" s="11">
        <f>IFERROR(INDEX('چکهای دریافتنی'!F:F,MATCH(Table29[[#This Row],[كد تفصيلي]],'چکهای دریافتنی'!A:A,0)),0)</f>
        <v>0</v>
      </c>
      <c r="F50" s="11">
        <f>Table29[[#This Row],[حسابهای دریافتنی]]+Table29[[#This Row],[چکهای در جریان وصول]]+Table29[[#This Row],[چکهای نزد صندوق]]</f>
        <v>35598920</v>
      </c>
      <c r="G50" s="12">
        <f>IFERROR(INDEX('مانده سوفاله'!F:F,MATCH(Table29[[#This Row],[كد تفصيلي]],'مانده سوفاله'!A:A,0)),0)</f>
        <v>-165</v>
      </c>
    </row>
    <row r="51" spans="1:7" ht="24" customHeight="1" x14ac:dyDescent="0.35">
      <c r="A51" s="27">
        <v>30093</v>
      </c>
      <c r="B51" s="55" t="s">
        <v>151</v>
      </c>
      <c r="C51" s="10">
        <f>IFERROR(INDEX('حسابهای دریافتنی'!H:H,MATCH(Table29[[#This Row],[كد تفصيلي]],'حسابهای دریافتنی'!A:A,0)),0)</f>
        <v>0</v>
      </c>
      <c r="D51" s="11">
        <f>IFERROR(INDEX('درجریان وصول'!F:F,MATCH(Table29[[#This Row],[كد تفصيلي]],'درجریان وصول'!A:A,0)),0)</f>
        <v>0</v>
      </c>
      <c r="E51" s="11">
        <f>IFERROR(INDEX('چکهای دریافتنی'!F:F,MATCH(Table29[[#This Row],[كد تفصيلي]],'چکهای دریافتنی'!A:A,0)),0)</f>
        <v>0</v>
      </c>
      <c r="F51" s="11">
        <f>Table29[[#This Row],[حسابهای دریافتنی]]+Table29[[#This Row],[چکهای در جریان وصول]]+Table29[[#This Row],[چکهای نزد صندوق]]</f>
        <v>0</v>
      </c>
      <c r="G51" s="12">
        <v>77</v>
      </c>
    </row>
    <row r="52" spans="1:7" ht="24" customHeight="1" x14ac:dyDescent="0.35">
      <c r="A52" s="27">
        <v>30008</v>
      </c>
      <c r="B52" s="55" t="s">
        <v>58</v>
      </c>
      <c r="C52" s="10">
        <f>IFERROR(INDEX('حسابهای دریافتنی'!H:H,MATCH(Table29[[#This Row],[كد تفصيلي]],'حسابهای دریافتنی'!A:A,0)),0)</f>
        <v>15520000</v>
      </c>
      <c r="D52" s="11">
        <f>IFERROR(INDEX('درجریان وصول'!F:F,MATCH(Table29[[#This Row],[كد تفصيلي]],'درجریان وصول'!A:A,0)),0)</f>
        <v>0</v>
      </c>
      <c r="E52" s="11">
        <f>IFERROR(INDEX('چکهای دریافتنی'!F:F,MATCH(Table29[[#This Row],[كد تفصيلي]],'چکهای دریافتنی'!A:A,0)),0)</f>
        <v>0</v>
      </c>
      <c r="F52" s="11">
        <f>Table29[[#This Row],[حسابهای دریافتنی]]+Table29[[#This Row],[چکهای در جریان وصول]]+Table29[[#This Row],[چکهای نزد صندوق]]</f>
        <v>15520000</v>
      </c>
      <c r="G52" s="12">
        <f>IFERROR(INDEX('مانده سوفاله'!F:F,MATCH(Table29[[#This Row],[كد تفصيلي]],'مانده سوفاله'!A:A,0)),0)</f>
        <v>0</v>
      </c>
    </row>
    <row r="53" spans="1:7" ht="24" customHeight="1" x14ac:dyDescent="0.35">
      <c r="A53" s="26">
        <v>10007</v>
      </c>
      <c r="B53" s="56" t="s">
        <v>14</v>
      </c>
      <c r="C53" s="10">
        <f>IFERROR(INDEX('حسابهای دریافتنی'!H:H,MATCH(Table29[[#This Row],[كد تفصيلي]],'حسابهای دریافتنی'!A:A,0)),0)</f>
        <v>12770000</v>
      </c>
      <c r="D53" s="11">
        <f>IFERROR(INDEX('درجریان وصول'!F:F,MATCH(Table29[[#This Row],[كد تفصيلي]],'درجریان وصول'!A:A,0)),0)</f>
        <v>0</v>
      </c>
      <c r="E53" s="11">
        <f>IFERROR(INDEX('چکهای دریافتنی'!F:F,MATCH(Table29[[#This Row],[كد تفصيلي]],'چکهای دریافتنی'!A:A,0)),0)</f>
        <v>0</v>
      </c>
      <c r="F53" s="11">
        <f>Table29[[#This Row],[حسابهای دریافتنی]]+Table29[[#This Row],[چکهای در جریان وصول]]+Table29[[#This Row],[چکهای نزد صندوق]]</f>
        <v>12770000</v>
      </c>
      <c r="G53" s="12">
        <f>IFERROR(INDEX('مانده سوفاله'!F:F,MATCH(Table29[[#This Row],[كد تفصيلي]],'مانده سوفاله'!A:A,0)),0)</f>
        <v>-52.5</v>
      </c>
    </row>
    <row r="54" spans="1:7" ht="24" customHeight="1" x14ac:dyDescent="0.35">
      <c r="A54" s="27">
        <v>30012</v>
      </c>
      <c r="B54" s="55" t="s">
        <v>61</v>
      </c>
      <c r="C54" s="10">
        <f>IFERROR(INDEX('حسابهای دریافتنی'!H:H,MATCH(Table29[[#This Row],[كد تفصيلي]],'حسابهای دریافتنی'!A:A,0)),0)</f>
        <v>-46099000</v>
      </c>
      <c r="D54" s="11">
        <f>IFERROR(INDEX('درجریان وصول'!F:F,MATCH(Table29[[#This Row],[كد تفصيلي]],'درجریان وصول'!A:A,0)),0)</f>
        <v>0</v>
      </c>
      <c r="E54" s="11">
        <f>IFERROR(INDEX('چکهای دریافتنی'!F:F,MATCH(Table29[[#This Row],[كد تفصيلي]],'چکهای دریافتنی'!A:A,0)),0)</f>
        <v>348650000</v>
      </c>
      <c r="F54" s="11">
        <f>Table29[[#This Row],[حسابهای دریافتنی]]+Table29[[#This Row],[چکهای در جریان وصول]]+Table29[[#This Row],[چکهای نزد صندوق]]</f>
        <v>302551000</v>
      </c>
      <c r="G54" s="12">
        <f>IFERROR(INDEX('مانده سوفاله'!F:F,MATCH(Table29[[#This Row],[كد تفصيلي]],'مانده سوفاله'!A:A,0)),0)</f>
        <v>141</v>
      </c>
    </row>
    <row r="55" spans="1:7" ht="24" customHeight="1" x14ac:dyDescent="0.35">
      <c r="A55" s="27">
        <v>30145</v>
      </c>
      <c r="B55" s="55" t="s">
        <v>265</v>
      </c>
      <c r="C55" s="10">
        <f>IFERROR(INDEX('حسابهای دریافتنی'!H:H,MATCH(Table29[[#This Row],[كد تفصيلي]],'حسابهای دریافتنی'!A:A,0)),0)</f>
        <v>6442500</v>
      </c>
      <c r="D55" s="11">
        <f>IFERROR(INDEX('درجریان وصول'!F:F,MATCH(Table29[[#This Row],[كد تفصيلي]],'درجریان وصول'!A:A,0)),0)</f>
        <v>0</v>
      </c>
      <c r="E55" s="11">
        <f>IFERROR(INDEX('چکهای دریافتنی'!F:F,MATCH(Table29[[#This Row],[كد تفصيلي]],'چکهای دریافتنی'!A:A,0)),0)</f>
        <v>0</v>
      </c>
      <c r="F55" s="11">
        <f>Table29[[#This Row],[حسابهای دریافتنی]]+Table29[[#This Row],[چکهای در جریان وصول]]+Table29[[#This Row],[چکهای نزد صندوق]]</f>
        <v>6442500</v>
      </c>
      <c r="G55" s="12">
        <f>IFERROR(INDEX('مانده سوفاله'!F:F,MATCH(Table29[[#This Row],[كد تفصيلي]],'مانده سوفاله'!A:A,0)),0)</f>
        <v>0</v>
      </c>
    </row>
    <row r="56" spans="1:7" ht="24" customHeight="1" x14ac:dyDescent="0.35">
      <c r="A56" s="26">
        <v>10019</v>
      </c>
      <c r="B56" s="56" t="s">
        <v>26</v>
      </c>
      <c r="C56" s="10">
        <f>IFERROR(INDEX('حسابهای دریافتنی'!H:H,MATCH(Table29[[#This Row],[كد تفصيلي]],'حسابهای دریافتنی'!A:A,0)),0)</f>
        <v>0</v>
      </c>
      <c r="D56" s="11">
        <f>IFERROR(INDEX('درجریان وصول'!F:F,MATCH(Table29[[#This Row],[كد تفصيلي]],'درجریان وصول'!A:A,0)),0)</f>
        <v>0</v>
      </c>
      <c r="E56" s="11">
        <f>IFERROR(INDEX('چکهای دریافتنی'!F:F,MATCH(Table29[[#This Row],[كد تفصيلي]],'چکهای دریافتنی'!A:A,0)),0)</f>
        <v>0</v>
      </c>
      <c r="F56" s="11">
        <f>Table29[[#This Row],[حسابهای دریافتنی]]+Table29[[#This Row],[چکهای در جریان وصول]]+Table29[[#This Row],[چکهای نزد صندوق]]</f>
        <v>0</v>
      </c>
      <c r="G56" s="12">
        <f>IFERROR(INDEX('مانده سوفاله'!F:F,MATCH(Table29[[#This Row],[كد تفصيلي]],'مانده سوفاله'!A:A,0)),0)</f>
        <v>285</v>
      </c>
    </row>
    <row r="57" spans="1:7" ht="24" customHeight="1" x14ac:dyDescent="0.35">
      <c r="A57" s="26">
        <v>30047</v>
      </c>
      <c r="B57" s="56" t="s">
        <v>94</v>
      </c>
      <c r="C57" s="10">
        <f>IFERROR(INDEX('حسابهای دریافتنی'!H:H,MATCH(Table29[[#This Row],[كد تفصيلي]],'حسابهای دریافتنی'!A:A,0)),0)</f>
        <v>5794900</v>
      </c>
      <c r="D57" s="11">
        <f>IFERROR(INDEX('درجریان وصول'!F:F,MATCH(Table29[[#This Row],[كد تفصيلي]],'درجریان وصول'!A:A,0)),0)</f>
        <v>0</v>
      </c>
      <c r="E57" s="11">
        <f>IFERROR(INDEX('چکهای دریافتنی'!F:F,MATCH(Table29[[#This Row],[كد تفصيلي]],'چکهای دریافتنی'!A:A,0)),0)</f>
        <v>0</v>
      </c>
      <c r="F57" s="11">
        <f>Table29[[#This Row],[حسابهای دریافتنی]]+Table29[[#This Row],[چکهای در جریان وصول]]+Table29[[#This Row],[چکهای نزد صندوق]]</f>
        <v>5794900</v>
      </c>
      <c r="G57" s="12">
        <f>IFERROR(INDEX('مانده سوفاله'!F:F,MATCH(Table29[[#This Row],[كد تفصيلي]],'مانده سوفاله'!A:A,0)),0)</f>
        <v>-630</v>
      </c>
    </row>
    <row r="58" spans="1:7" ht="24" customHeight="1" x14ac:dyDescent="0.35">
      <c r="A58" s="26">
        <v>30011</v>
      </c>
      <c r="B58" s="56" t="s">
        <v>60</v>
      </c>
      <c r="C58" s="10">
        <f>IFERROR(INDEX('حسابهای دریافتنی'!H:H,MATCH(Table29[[#This Row],[كد تفصيلي]],'حسابهای دریافتنی'!A:A,0)),0)</f>
        <v>5595200</v>
      </c>
      <c r="D58" s="11">
        <f>IFERROR(INDEX('درجریان وصول'!F:F,MATCH(Table29[[#This Row],[كد تفصيلي]],'درجریان وصول'!A:A,0)),0)</f>
        <v>0</v>
      </c>
      <c r="E58" s="11">
        <f>IFERROR(INDEX('چکهای دریافتنی'!F:F,MATCH(Table29[[#This Row],[كد تفصيلي]],'چکهای دریافتنی'!A:A,0)),0)</f>
        <v>0</v>
      </c>
      <c r="F58" s="11">
        <f>Table29[[#This Row],[حسابهای دریافتنی]]+Table29[[#This Row],[چکهای در جریان وصول]]+Table29[[#This Row],[چکهای نزد صندوق]]</f>
        <v>5595200</v>
      </c>
      <c r="G58" s="12">
        <f>IFERROR(INDEX('مانده سوفاله'!F:F,MATCH(Table29[[#This Row],[كد تفصيلي]],'مانده سوفاله'!A:A,0)),0)</f>
        <v>-5</v>
      </c>
    </row>
    <row r="59" spans="1:7" ht="24" customHeight="1" x14ac:dyDescent="0.35">
      <c r="A59" s="27">
        <v>10080</v>
      </c>
      <c r="B59" s="55" t="s">
        <v>214</v>
      </c>
      <c r="C59" s="10">
        <f>IFERROR(INDEX('حسابهای دریافتنی'!H:H,MATCH(Table29[[#This Row],[كد تفصيلي]],'حسابهای دریافتنی'!A:A,0)),0)</f>
        <v>5395000</v>
      </c>
      <c r="D59" s="11">
        <f>IFERROR(INDEX('درجریان وصول'!F:F,MATCH(Table29[[#This Row],[كد تفصيلي]],'درجریان وصول'!A:A,0)),0)</f>
        <v>0</v>
      </c>
      <c r="E59" s="11">
        <f>IFERROR(INDEX('چکهای دریافتنی'!F:F,MATCH(Table29[[#This Row],[كد تفصيلي]],'چکهای دریافتنی'!A:A,0)),0)</f>
        <v>0</v>
      </c>
      <c r="F59" s="11">
        <f>Table29[[#This Row],[حسابهای دریافتنی]]+Table29[[#This Row],[چکهای در جریان وصول]]+Table29[[#This Row],[چکهای نزد صندوق]]</f>
        <v>5395000</v>
      </c>
      <c r="G59" s="12">
        <f>IFERROR(INDEX('مانده سوفاله'!F:F,MATCH(Table29[[#This Row],[كد تفصيلي]],'مانده سوفاله'!A:A,0)),0)</f>
        <v>0</v>
      </c>
    </row>
    <row r="60" spans="1:7" ht="24" customHeight="1" x14ac:dyDescent="0.35">
      <c r="A60" s="26">
        <v>30114</v>
      </c>
      <c r="B60" s="56" t="s">
        <v>175</v>
      </c>
      <c r="C60" s="10">
        <f>IFERROR(INDEX('حسابهای دریافتنی'!H:H,MATCH(Table29[[#This Row],[كد تفصيلي]],'حسابهای دریافتنی'!A:A,0)),0)</f>
        <v>5385600</v>
      </c>
      <c r="D60" s="11">
        <f>IFERROR(INDEX('درجریان وصول'!F:F,MATCH(Table29[[#This Row],[كد تفصيلي]],'درجریان وصول'!A:A,0)),0)</f>
        <v>0</v>
      </c>
      <c r="E60" s="11">
        <f>IFERROR(INDEX('چکهای دریافتنی'!F:F,MATCH(Table29[[#This Row],[كد تفصيلي]],'چکهای دریافتنی'!A:A,0)),0)</f>
        <v>0</v>
      </c>
      <c r="F60" s="11">
        <f>Table29[[#This Row],[حسابهای دریافتنی]]+Table29[[#This Row],[چکهای در جریان وصول]]+Table29[[#This Row],[چکهای نزد صندوق]]</f>
        <v>5385600</v>
      </c>
      <c r="G60" s="12">
        <f>IFERROR(INDEX('مانده سوفاله'!F:F,MATCH(Table29[[#This Row],[كد تفصيلي]],'مانده سوفاله'!A:A,0)),0)</f>
        <v>0</v>
      </c>
    </row>
    <row r="61" spans="1:7" ht="24" customHeight="1" x14ac:dyDescent="0.35">
      <c r="A61" s="27">
        <v>30123</v>
      </c>
      <c r="B61" s="55" t="s">
        <v>208</v>
      </c>
      <c r="C61" s="10">
        <f>IFERROR(INDEX('حسابهای دریافتنی'!H:H,MATCH(Table29[[#This Row],[كد تفصيلي]],'حسابهای دریافتنی'!A:A,0)),0)</f>
        <v>4138250</v>
      </c>
      <c r="D61" s="11">
        <f>IFERROR(INDEX('درجریان وصول'!F:F,MATCH(Table29[[#This Row],[كد تفصيلي]],'درجریان وصول'!A:A,0)),0)</f>
        <v>0</v>
      </c>
      <c r="E61" s="11">
        <f>IFERROR(INDEX('چکهای دریافتنی'!F:F,MATCH(Table29[[#This Row],[كد تفصيلي]],'چکهای دریافتنی'!A:A,0)),0)</f>
        <v>0</v>
      </c>
      <c r="F61" s="11">
        <f>Table29[[#This Row],[حسابهای دریافتنی]]+Table29[[#This Row],[چکهای در جریان وصول]]+Table29[[#This Row],[چکهای نزد صندوق]]</f>
        <v>4138250</v>
      </c>
      <c r="G61" s="12">
        <f>IFERROR(INDEX('مانده سوفاله'!F:F,MATCH(Table29[[#This Row],[كد تفصيلي]],'مانده سوفاله'!A:A,0)),0)</f>
        <v>-20</v>
      </c>
    </row>
    <row r="62" spans="1:7" ht="24" customHeight="1" x14ac:dyDescent="0.35">
      <c r="A62" s="26">
        <v>10116</v>
      </c>
      <c r="B62" s="56" t="s">
        <v>321</v>
      </c>
      <c r="C62" s="10">
        <f>IFERROR(INDEX('حسابهای دریافتنی'!H:H,MATCH(Table29[[#This Row],[كد تفصيلي]],'حسابهای دریافتنی'!A:A,0)),0)</f>
        <v>3892500</v>
      </c>
      <c r="D62" s="11">
        <f>IFERROR(INDEX('درجریان وصول'!F:F,MATCH(Table29[[#This Row],[كد تفصيلي]],'درجریان وصول'!A:A,0)),0)</f>
        <v>0</v>
      </c>
      <c r="E62" s="11">
        <f>IFERROR(INDEX('چکهای دریافتنی'!F:F,MATCH(Table29[[#This Row],[كد تفصيلي]],'چکهای دریافتنی'!A:A,0)),0)</f>
        <v>0</v>
      </c>
      <c r="F62" s="11">
        <f>Table29[[#This Row],[حسابهای دریافتنی]]+Table29[[#This Row],[چکهای در جریان وصول]]+Table29[[#This Row],[چکهای نزد صندوق]]</f>
        <v>3892500</v>
      </c>
      <c r="G62" s="12">
        <f>IFERROR(INDEX('مانده سوفاله'!F:F,MATCH(Table29[[#This Row],[كد تفصيلي]],'مانده سوفاله'!A:A,0)),0)</f>
        <v>0</v>
      </c>
    </row>
    <row r="63" spans="1:7" ht="24" customHeight="1" x14ac:dyDescent="0.35">
      <c r="A63" s="26">
        <v>10101</v>
      </c>
      <c r="B63" s="56" t="s">
        <v>281</v>
      </c>
      <c r="C63" s="10">
        <f>IFERROR(INDEX('حسابهای دریافتنی'!H:H,MATCH(Table29[[#This Row],[كد تفصيلي]],'حسابهای دریافتنی'!A:A,0)),0)</f>
        <v>0</v>
      </c>
      <c r="D63" s="11">
        <f>IFERROR(INDEX('درجریان وصول'!F:F,MATCH(Table29[[#This Row],[كد تفصيلي]],'درجریان وصول'!A:A,0)),0)</f>
        <v>0</v>
      </c>
      <c r="E63" s="11">
        <f>IFERROR(INDEX('چکهای دریافتنی'!F:F,MATCH(Table29[[#This Row],[كد تفصيلي]],'چکهای دریافتنی'!A:A,0)),0)</f>
        <v>0</v>
      </c>
      <c r="F63" s="11">
        <f>Table29[[#This Row],[حسابهای دریافتنی]]+Table29[[#This Row],[چکهای در جریان وصول]]+Table29[[#This Row],[چکهای نزد صندوق]]</f>
        <v>0</v>
      </c>
      <c r="G63" s="12">
        <f>IFERROR(INDEX('مانده سوفاله'!F:F,MATCH(Table29[[#This Row],[كد تفصيلي]],'مانده سوفاله'!A:A,0)),0)</f>
        <v>0</v>
      </c>
    </row>
    <row r="64" spans="1:7" ht="24" customHeight="1" x14ac:dyDescent="0.35">
      <c r="A64" s="27">
        <v>10030</v>
      </c>
      <c r="B64" s="55" t="s">
        <v>36</v>
      </c>
      <c r="C64" s="10">
        <f>IFERROR(INDEX('حسابهای دریافتنی'!H:H,MATCH(Table29[[#This Row],[كد تفصيلي]],'حسابهای دریافتنی'!A:A,0)),0)</f>
        <v>3272000</v>
      </c>
      <c r="D64" s="11">
        <f>IFERROR(INDEX('درجریان وصول'!F:F,MATCH(Table29[[#This Row],[كد تفصيلي]],'درجریان وصول'!A:A,0)),0)</f>
        <v>0</v>
      </c>
      <c r="E64" s="11">
        <f>IFERROR(INDEX('چکهای دریافتنی'!F:F,MATCH(Table29[[#This Row],[كد تفصيلي]],'چکهای دریافتنی'!A:A,0)),0)</f>
        <v>0</v>
      </c>
      <c r="F64" s="11">
        <f>Table29[[#This Row],[حسابهای دریافتنی]]+Table29[[#This Row],[چکهای در جریان وصول]]+Table29[[#This Row],[چکهای نزد صندوق]]</f>
        <v>3272000</v>
      </c>
      <c r="G64" s="12">
        <f>IFERROR(INDEX('مانده سوفاله'!F:F,MATCH(Table29[[#This Row],[كد تفصيلي]],'مانده سوفاله'!A:A,0)),0)</f>
        <v>-222</v>
      </c>
    </row>
    <row r="65" spans="1:7" ht="24" customHeight="1" x14ac:dyDescent="0.35">
      <c r="A65" s="26">
        <v>30001</v>
      </c>
      <c r="B65" s="56" t="s">
        <v>190</v>
      </c>
      <c r="C65" s="10">
        <f>IFERROR(INDEX('حسابهای دریافتنی'!H:H,MATCH(Table29[[#This Row],[كد تفصيلي]],'حسابهای دریافتنی'!A:A,0)),0)</f>
        <v>119647176</v>
      </c>
      <c r="D65" s="11">
        <f>IFERROR(INDEX('درجریان وصول'!F:F,MATCH(Table29[[#This Row],[كد تفصيلي]],'درجریان وصول'!A:A,0)),0)</f>
        <v>0</v>
      </c>
      <c r="E65" s="11">
        <f>IFERROR(INDEX('چکهای دریافتنی'!F:F,MATCH(Table29[[#This Row],[كد تفصيلي]],'چکهای دریافتنی'!A:A,0)),0)</f>
        <v>0</v>
      </c>
      <c r="F65" s="11">
        <f>Table29[[#This Row],[حسابهای دریافتنی]]+Table29[[#This Row],[چکهای در جریان وصول]]+Table29[[#This Row],[چکهای نزد صندوق]]</f>
        <v>119647176</v>
      </c>
      <c r="G65" s="12">
        <f>IFERROR(INDEX('مانده سوفاله'!F:F,MATCH(Table29[[#This Row],[كد تفصيلي]],'مانده سوفاله'!A:A,0)),0)</f>
        <v>123</v>
      </c>
    </row>
    <row r="66" spans="1:7" ht="24" customHeight="1" x14ac:dyDescent="0.35">
      <c r="A66" s="26">
        <v>30178</v>
      </c>
      <c r="B66" s="56" t="s">
        <v>335</v>
      </c>
      <c r="C66" s="10">
        <f>IFERROR(INDEX('حسابهای دریافتنی'!H:H,MATCH(Table29[[#This Row],[كد تفصيلي]],'حسابهای دریافتنی'!A:A,0)),0)</f>
        <v>3040000</v>
      </c>
      <c r="D66" s="11">
        <f>IFERROR(INDEX('درجریان وصول'!F:F,MATCH(Table29[[#This Row],[كد تفصيلي]],'درجریان وصول'!A:A,0)),0)</f>
        <v>0</v>
      </c>
      <c r="E66" s="11">
        <f>IFERROR(INDEX('چکهای دریافتنی'!F:F,MATCH(Table29[[#This Row],[كد تفصيلي]],'چکهای دریافتنی'!A:A,0)),0)</f>
        <v>0</v>
      </c>
      <c r="F66" s="11">
        <f>Table29[[#This Row],[حسابهای دریافتنی]]+Table29[[#This Row],[چکهای در جریان وصول]]+Table29[[#This Row],[چکهای نزد صندوق]]</f>
        <v>3040000</v>
      </c>
      <c r="G66" s="12">
        <f>IFERROR(INDEX('مانده سوفاله'!F:F,MATCH(Table29[[#This Row],[كد تفصيلي]],'مانده سوفاله'!A:A,0)),0)</f>
        <v>0</v>
      </c>
    </row>
    <row r="67" spans="1:7" ht="24" customHeight="1" x14ac:dyDescent="0.35">
      <c r="A67" s="26">
        <v>30138</v>
      </c>
      <c r="B67" s="56" t="s">
        <v>252</v>
      </c>
      <c r="C67" s="10">
        <f>IFERROR(INDEX('حسابهای دریافتنی'!H:H,MATCH(Table29[[#This Row],[كد تفصيلي]],'حسابهای دریافتنی'!A:A,0)),0)</f>
        <v>0</v>
      </c>
      <c r="D67" s="11">
        <f>IFERROR(INDEX('درجریان وصول'!F:F,MATCH(Table29[[#This Row],[كد تفصيلي]],'درجریان وصول'!A:A,0)),0)</f>
        <v>0</v>
      </c>
      <c r="E67" s="11">
        <f>IFERROR(INDEX('چکهای دریافتنی'!F:F,MATCH(Table29[[#This Row],[كد تفصيلي]],'چکهای دریافتنی'!A:A,0)),0)</f>
        <v>0</v>
      </c>
      <c r="F67" s="11">
        <f>Table29[[#This Row],[حسابهای دریافتنی]]+Table29[[#This Row],[چکهای در جریان وصول]]+Table29[[#This Row],[چکهای نزد صندوق]]</f>
        <v>0</v>
      </c>
      <c r="G67" s="12">
        <f>IFERROR(INDEX('مانده سوفاله'!F:F,MATCH(Table29[[#This Row],[كد تفصيلي]],'مانده سوفاله'!A:A,0)),0)</f>
        <v>0</v>
      </c>
    </row>
    <row r="68" spans="1:7" ht="24" customHeight="1" x14ac:dyDescent="0.35">
      <c r="A68" s="27">
        <v>10032</v>
      </c>
      <c r="B68" s="55" t="s">
        <v>38</v>
      </c>
      <c r="C68" s="10">
        <f>IFERROR(INDEX('حسابهای دریافتنی'!H:H,MATCH(Table29[[#This Row],[كد تفصيلي]],'حسابهای دریافتنی'!A:A,0)),0)</f>
        <v>0</v>
      </c>
      <c r="D68" s="11">
        <f>IFERROR(INDEX('درجریان وصول'!F:F,MATCH(Table29[[#This Row],[كد تفصيلي]],'درجریان وصول'!A:A,0)),0)</f>
        <v>0</v>
      </c>
      <c r="E68" s="11">
        <f>IFERROR(INDEX('چکهای دریافتنی'!F:F,MATCH(Table29[[#This Row],[كد تفصيلي]],'چکهای دریافتنی'!A:A,0)),0)</f>
        <v>0</v>
      </c>
      <c r="F68" s="11">
        <f>Table29[[#This Row],[حسابهای دریافتنی]]+Table29[[#This Row],[چکهای در جریان وصول]]+Table29[[#This Row],[چکهای نزد صندوق]]</f>
        <v>0</v>
      </c>
      <c r="G68" s="12">
        <f>IFERROR(INDEX('مانده سوفاله'!F:F,MATCH(Table29[[#This Row],[كد تفصيلي]],'مانده سوفاله'!A:A,0)),0)</f>
        <v>0</v>
      </c>
    </row>
    <row r="69" spans="1:7" ht="24" customHeight="1" x14ac:dyDescent="0.35">
      <c r="A69" s="27">
        <v>10004</v>
      </c>
      <c r="B69" s="55" t="s">
        <v>11</v>
      </c>
      <c r="C69" s="10">
        <f>IFERROR(INDEX('حسابهای دریافتنی'!H:H,MATCH(Table29[[#This Row],[كد تفصيلي]],'حسابهای دریافتنی'!A:A,0)),0)</f>
        <v>853000</v>
      </c>
      <c r="D69" s="11">
        <f>IFERROR(INDEX('درجریان وصول'!F:F,MATCH(Table29[[#This Row],[كد تفصيلي]],'درجریان وصول'!A:A,0)),0)</f>
        <v>0</v>
      </c>
      <c r="E69" s="11">
        <f>IFERROR(INDEX('چکهای دریافتنی'!F:F,MATCH(Table29[[#This Row],[كد تفصيلي]],'چکهای دریافتنی'!A:A,0)),0)</f>
        <v>341000000</v>
      </c>
      <c r="F69" s="11">
        <f>Table29[[#This Row],[حسابهای دریافتنی]]+Table29[[#This Row],[چکهای در جریان وصول]]+Table29[[#This Row],[چکهای نزد صندوق]]</f>
        <v>341853000</v>
      </c>
      <c r="G69" s="12">
        <f>IFERROR(INDEX('مانده سوفاله'!F:F,MATCH(Table29[[#This Row],[كد تفصيلي]],'مانده سوفاله'!A:A,0)),0)</f>
        <v>-12</v>
      </c>
    </row>
    <row r="70" spans="1:7" ht="24" customHeight="1" x14ac:dyDescent="0.35">
      <c r="A70" s="26">
        <v>30084</v>
      </c>
      <c r="B70" s="56" t="s">
        <v>129</v>
      </c>
      <c r="C70" s="10">
        <f>IFERROR(INDEX('حسابهای دریافتنی'!H:H,MATCH(Table29[[#This Row],[كد تفصيلي]],'حسابهای دریافتنی'!A:A,0)),0)</f>
        <v>1220000</v>
      </c>
      <c r="D70" s="11">
        <f>IFERROR(INDEX('درجریان وصول'!F:F,MATCH(Table29[[#This Row],[كد تفصيلي]],'درجریان وصول'!A:A,0)),0)</f>
        <v>0</v>
      </c>
      <c r="E70" s="11">
        <f>IFERROR(INDEX('چکهای دریافتنی'!F:F,MATCH(Table29[[#This Row],[كد تفصيلي]],'چکهای دریافتنی'!A:A,0)),0)</f>
        <v>0</v>
      </c>
      <c r="F70" s="11">
        <f>Table29[[#This Row],[حسابهای دریافتنی]]+Table29[[#This Row],[چکهای در جریان وصول]]+Table29[[#This Row],[چکهای نزد صندوق]]</f>
        <v>1220000</v>
      </c>
      <c r="G70" s="12">
        <f>IFERROR(INDEX('مانده سوفاله'!F:F,MATCH(Table29[[#This Row],[كد تفصيلي]],'مانده سوفاله'!A:A,0)),0)</f>
        <v>0</v>
      </c>
    </row>
    <row r="71" spans="1:7" ht="24" customHeight="1" x14ac:dyDescent="0.35">
      <c r="A71" s="27">
        <v>10076</v>
      </c>
      <c r="B71" s="55" t="s">
        <v>182</v>
      </c>
      <c r="C71" s="10">
        <f>IFERROR(INDEX('حسابهای دریافتنی'!H:H,MATCH(Table29[[#This Row],[كد تفصيلي]],'حسابهای دریافتنی'!A:A,0)),0)</f>
        <v>0</v>
      </c>
      <c r="D71" s="11">
        <f>IFERROR(INDEX('درجریان وصول'!F:F,MATCH(Table29[[#This Row],[كد تفصيلي]],'درجریان وصول'!A:A,0)),0)</f>
        <v>0</v>
      </c>
      <c r="E71" s="11">
        <f>IFERROR(INDEX('چکهای دریافتنی'!F:F,MATCH(Table29[[#This Row],[كد تفصيلي]],'چکهای دریافتنی'!A:A,0)),0)</f>
        <v>0</v>
      </c>
      <c r="F71" s="11">
        <f>Table29[[#This Row],[حسابهای دریافتنی]]+Table29[[#This Row],[چکهای در جریان وصول]]+Table29[[#This Row],[چکهای نزد صندوق]]</f>
        <v>0</v>
      </c>
      <c r="G71" s="12">
        <f>IFERROR(INDEX('مانده سوفاله'!F:F,MATCH(Table29[[#This Row],[كد تفصيلي]],'مانده سوفاله'!A:A,0)),0)</f>
        <v>-13</v>
      </c>
    </row>
    <row r="72" spans="1:7" ht="24" customHeight="1" x14ac:dyDescent="0.35">
      <c r="A72" s="27">
        <v>79055</v>
      </c>
      <c r="B72" s="55" t="s">
        <v>297</v>
      </c>
      <c r="C72" s="10">
        <f>IFERROR(INDEX('حسابهای دریافتنی'!H:H,MATCH(Table29[[#This Row],[كد تفصيلي]],'حسابهای دریافتنی'!A:A,0)),0)</f>
        <v>896500</v>
      </c>
      <c r="D72" s="11">
        <f>IFERROR(INDEX('درجریان وصول'!F:F,MATCH(Table29[[#This Row],[كد تفصيلي]],'درجریان وصول'!A:A,0)),0)</f>
        <v>0</v>
      </c>
      <c r="E72" s="11">
        <f>IFERROR(INDEX('چکهای دریافتنی'!F:F,MATCH(Table29[[#This Row],[كد تفصيلي]],'چکهای دریافتنی'!A:A,0)),0)</f>
        <v>0</v>
      </c>
      <c r="F72" s="11">
        <f>Table29[[#This Row],[حسابهای دریافتنی]]+Table29[[#This Row],[چکهای در جریان وصول]]+Table29[[#This Row],[چکهای نزد صندوق]]</f>
        <v>896500</v>
      </c>
      <c r="G72" s="12">
        <f>IFERROR(INDEX('مانده سوفاله'!F:F,MATCH(Table29[[#This Row],[كد تفصيلي]],'مانده سوفاله'!A:A,0)),0)</f>
        <v>0</v>
      </c>
    </row>
    <row r="73" spans="1:7" ht="24" customHeight="1" x14ac:dyDescent="0.35">
      <c r="A73" s="27">
        <v>30030</v>
      </c>
      <c r="B73" s="55" t="s">
        <v>77</v>
      </c>
      <c r="C73" s="10">
        <f>IFERROR(INDEX('حسابهای دریافتنی'!H:H,MATCH(Table29[[#This Row],[كد تفصيلي]],'حسابهای دریافتنی'!A:A,0)),0)</f>
        <v>850500</v>
      </c>
      <c r="D73" s="11">
        <f>IFERROR(INDEX('درجریان وصول'!F:F,MATCH(Table29[[#This Row],[كد تفصيلي]],'درجریان وصول'!A:A,0)),0)</f>
        <v>0</v>
      </c>
      <c r="E73" s="11">
        <f>IFERROR(INDEX('چکهای دریافتنی'!F:F,MATCH(Table29[[#This Row],[كد تفصيلي]],'چکهای دریافتنی'!A:A,0)),0)</f>
        <v>0</v>
      </c>
      <c r="F73" s="11">
        <f>Table29[[#This Row],[حسابهای دریافتنی]]+Table29[[#This Row],[چکهای در جریان وصول]]+Table29[[#This Row],[چکهای نزد صندوق]]</f>
        <v>850500</v>
      </c>
      <c r="G73" s="12">
        <f>IFERROR(INDEX('مانده سوفاله'!F:F,MATCH(Table29[[#This Row],[كد تفصيلي]],'مانده سوفاله'!A:A,0)),0)</f>
        <v>-49</v>
      </c>
    </row>
    <row r="74" spans="1:7" ht="24" customHeight="1" x14ac:dyDescent="0.35">
      <c r="A74" s="27">
        <v>30129</v>
      </c>
      <c r="B74" s="55" t="s">
        <v>178</v>
      </c>
      <c r="C74" s="10">
        <f>IFERROR(INDEX('حسابهای دریافتنی'!H:H,MATCH(Table29[[#This Row],[كد تفصيلي]],'حسابهای دریافتنی'!A:A,0)),0)</f>
        <v>783000</v>
      </c>
      <c r="D74" s="11">
        <f>IFERROR(INDEX('درجریان وصول'!F:F,MATCH(Table29[[#This Row],[كد تفصيلي]],'درجریان وصول'!A:A,0)),0)</f>
        <v>0</v>
      </c>
      <c r="E74" s="11">
        <f>IFERROR(INDEX('چکهای دریافتنی'!F:F,MATCH(Table29[[#This Row],[كد تفصيلي]],'چکهای دریافتنی'!A:A,0)),0)</f>
        <v>0</v>
      </c>
      <c r="F74" s="11">
        <f>Table29[[#This Row],[حسابهای دریافتنی]]+Table29[[#This Row],[چکهای در جریان وصول]]+Table29[[#This Row],[چکهای نزد صندوق]]</f>
        <v>783000</v>
      </c>
      <c r="G74" s="12">
        <f>IFERROR(INDEX('مانده سوفاله'!F:F,MATCH(Table29[[#This Row],[كد تفصيلي]],'مانده سوفاله'!A:A,0)),0)</f>
        <v>0</v>
      </c>
    </row>
    <row r="75" spans="1:7" ht="24" customHeight="1" x14ac:dyDescent="0.35">
      <c r="A75" s="26">
        <v>30090</v>
      </c>
      <c r="B75" s="56" t="s">
        <v>144</v>
      </c>
      <c r="C75" s="10">
        <f>IFERROR(INDEX('حسابهای دریافتنی'!H:H,MATCH(Table29[[#This Row],[كد تفصيلي]],'حسابهای دریافتنی'!A:A,0)),0)</f>
        <v>640100</v>
      </c>
      <c r="D75" s="11">
        <f>IFERROR(INDEX('درجریان وصول'!F:F,MATCH(Table29[[#This Row],[كد تفصيلي]],'درجریان وصول'!A:A,0)),0)</f>
        <v>0</v>
      </c>
      <c r="E75" s="11">
        <f>IFERROR(INDEX('چکهای دریافتنی'!F:F,MATCH(Table29[[#This Row],[كد تفصيلي]],'چکهای دریافتنی'!A:A,0)),0)</f>
        <v>0</v>
      </c>
      <c r="F75" s="11">
        <f>Table29[[#This Row],[حسابهای دریافتنی]]+Table29[[#This Row],[چکهای در جریان وصول]]+Table29[[#This Row],[چکهای نزد صندوق]]</f>
        <v>640100</v>
      </c>
      <c r="G75" s="12">
        <f>IFERROR(INDEX('مانده سوفاله'!F:F,MATCH(Table29[[#This Row],[كد تفصيلي]],'مانده سوفاله'!A:A,0)),0)</f>
        <v>0</v>
      </c>
    </row>
    <row r="76" spans="1:7" ht="24" customHeight="1" x14ac:dyDescent="0.35">
      <c r="A76" s="27">
        <v>30109</v>
      </c>
      <c r="B76" s="55" t="s">
        <v>165</v>
      </c>
      <c r="C76" s="10">
        <f>IFERROR(INDEX('حسابهای دریافتنی'!H:H,MATCH(Table29[[#This Row],[كد تفصيلي]],'حسابهای دریافتنی'!A:A,0)),0)</f>
        <v>607300</v>
      </c>
      <c r="D76" s="11">
        <f>IFERROR(INDEX('درجریان وصول'!F:F,MATCH(Table29[[#This Row],[كد تفصيلي]],'درجریان وصول'!A:A,0)),0)</f>
        <v>0</v>
      </c>
      <c r="E76" s="11">
        <f>IFERROR(INDEX('چکهای دریافتنی'!F:F,MATCH(Table29[[#This Row],[كد تفصيلي]],'چکهای دریافتنی'!A:A,0)),0)</f>
        <v>0</v>
      </c>
      <c r="F76" s="11">
        <f>Table29[[#This Row],[حسابهای دریافتنی]]+Table29[[#This Row],[چکهای در جریان وصول]]+Table29[[#This Row],[چکهای نزد صندوق]]</f>
        <v>607300</v>
      </c>
      <c r="G76" s="12">
        <f>IFERROR(INDEX('مانده سوفاله'!F:F,MATCH(Table29[[#This Row],[كد تفصيلي]],'مانده سوفاله'!A:A,0)),0)</f>
        <v>0</v>
      </c>
    </row>
    <row r="77" spans="1:7" ht="24" customHeight="1" x14ac:dyDescent="0.35">
      <c r="A77" s="27">
        <v>10048</v>
      </c>
      <c r="B77" s="55" t="s">
        <v>191</v>
      </c>
      <c r="C77" s="10">
        <f>IFERROR(INDEX('حسابهای دریافتنی'!H:H,MATCH(Table29[[#This Row],[كد تفصيلي]],'حسابهای دریافتنی'!A:A,0)),0)</f>
        <v>0</v>
      </c>
      <c r="D77" s="11">
        <f>IFERROR(INDEX('درجریان وصول'!F:F,MATCH(Table29[[#This Row],[كد تفصيلي]],'درجریان وصول'!A:A,0)),0)</f>
        <v>0</v>
      </c>
      <c r="E77" s="11">
        <f>IFERROR(INDEX('چکهای دریافتنی'!F:F,MATCH(Table29[[#This Row],[كد تفصيلي]],'چکهای دریافتنی'!A:A,0)),0)</f>
        <v>0</v>
      </c>
      <c r="F77" s="11">
        <f>Table29[[#This Row],[حسابهای دریافتنی]]+Table29[[#This Row],[چکهای در جریان وصول]]+Table29[[#This Row],[چکهای نزد صندوق]]</f>
        <v>0</v>
      </c>
      <c r="G77" s="12">
        <f>IFERROR(INDEX('مانده سوفاله'!F:F,MATCH(Table29[[#This Row],[كد تفصيلي]],'مانده سوفاله'!A:A,0)),0)</f>
        <v>-1097</v>
      </c>
    </row>
    <row r="78" spans="1:7" ht="24" customHeight="1" x14ac:dyDescent="0.35">
      <c r="A78" s="26">
        <v>10097</v>
      </c>
      <c r="B78" s="56" t="s">
        <v>270</v>
      </c>
      <c r="C78" s="10">
        <f>IFERROR(INDEX('حسابهای دریافتنی'!H:H,MATCH(Table29[[#This Row],[كد تفصيلي]],'حسابهای دریافتنی'!A:A,0)),0)</f>
        <v>270642500</v>
      </c>
      <c r="D78" s="11">
        <f>IFERROR(INDEX('درجریان وصول'!F:F,MATCH(Table29[[#This Row],[كد تفصيلي]],'درجریان وصول'!A:A,0)),0)</f>
        <v>0</v>
      </c>
      <c r="E78" s="11">
        <f>IFERROR(INDEX('چکهای دریافتنی'!F:F,MATCH(Table29[[#This Row],[كد تفصيلي]],'چکهای دریافتنی'!A:A,0)),0)</f>
        <v>287000000</v>
      </c>
      <c r="F78" s="11">
        <f>Table29[[#This Row],[حسابهای دریافتنی]]+Table29[[#This Row],[چکهای در جریان وصول]]+Table29[[#This Row],[چکهای نزد صندوق]]</f>
        <v>557642500</v>
      </c>
      <c r="G78" s="12">
        <f>IFERROR(INDEX('مانده سوفاله'!F:F,MATCH(Table29[[#This Row],[كد تفصيلي]],'مانده سوفاله'!A:A,0)),0)</f>
        <v>0</v>
      </c>
    </row>
    <row r="79" spans="1:7" ht="24" customHeight="1" x14ac:dyDescent="0.35">
      <c r="A79" s="27">
        <v>30010</v>
      </c>
      <c r="B79" s="55" t="s">
        <v>59</v>
      </c>
      <c r="C79" s="10">
        <f>IFERROR(INDEX('حسابهای دریافتنی'!H:H,MATCH(Table29[[#This Row],[كد تفصيلي]],'حسابهای دریافتنی'!A:A,0)),0)</f>
        <v>366215</v>
      </c>
      <c r="D79" s="11">
        <f>IFERROR(INDEX('درجریان وصول'!F:F,MATCH(Table29[[#This Row],[كد تفصيلي]],'درجریان وصول'!A:A,0)),0)</f>
        <v>0</v>
      </c>
      <c r="E79" s="11">
        <f>IFERROR(INDEX('چکهای دریافتنی'!F:F,MATCH(Table29[[#This Row],[كد تفصيلي]],'چکهای دریافتنی'!A:A,0)),0)</f>
        <v>0</v>
      </c>
      <c r="F79" s="11">
        <f>Table29[[#This Row],[حسابهای دریافتنی]]+Table29[[#This Row],[چکهای در جریان وصول]]+Table29[[#This Row],[چکهای نزد صندوق]]</f>
        <v>366215</v>
      </c>
      <c r="G79" s="12">
        <f>IFERROR(INDEX('مانده سوفاله'!F:F,MATCH(Table29[[#This Row],[كد تفصيلي]],'مانده سوفاله'!A:A,0)),0)</f>
        <v>8</v>
      </c>
    </row>
    <row r="80" spans="1:7" ht="24" customHeight="1" x14ac:dyDescent="0.35">
      <c r="A80" s="26">
        <v>30027</v>
      </c>
      <c r="B80" s="56" t="s">
        <v>75</v>
      </c>
      <c r="C80" s="10">
        <f>IFERROR(INDEX('حسابهای دریافتنی'!H:H,MATCH(Table29[[#This Row],[كد تفصيلي]],'حسابهای دریافتنی'!A:A,0)),0)</f>
        <v>326950</v>
      </c>
      <c r="D80" s="11">
        <f>IFERROR(INDEX('درجریان وصول'!F:F,MATCH(Table29[[#This Row],[كد تفصيلي]],'درجریان وصول'!A:A,0)),0)</f>
        <v>0</v>
      </c>
      <c r="E80" s="11">
        <f>IFERROR(INDEX('چکهای دریافتنی'!F:F,MATCH(Table29[[#This Row],[كد تفصيلي]],'چکهای دریافتنی'!A:A,0)),0)</f>
        <v>0</v>
      </c>
      <c r="F80" s="11">
        <f>Table29[[#This Row],[حسابهای دریافتنی]]+Table29[[#This Row],[چکهای در جریان وصول]]+Table29[[#This Row],[چکهای نزد صندوق]]</f>
        <v>326950</v>
      </c>
      <c r="G80" s="12">
        <f>IFERROR(INDEX('مانده سوفاله'!F:F,MATCH(Table29[[#This Row],[كد تفصيلي]],'مانده سوفاله'!A:A,0)),0)</f>
        <v>0</v>
      </c>
    </row>
    <row r="81" spans="1:7" ht="24" customHeight="1" x14ac:dyDescent="0.35">
      <c r="A81" s="26">
        <v>10063</v>
      </c>
      <c r="B81" s="56" t="s">
        <v>180</v>
      </c>
      <c r="C81" s="10">
        <f>IFERROR(INDEX('حسابهای دریافتنی'!H:H,MATCH(Table29[[#This Row],[كد تفصيلي]],'حسابهای دریافتنی'!A:A,0)),0)</f>
        <v>0</v>
      </c>
      <c r="D81" s="11">
        <f>IFERROR(INDEX('درجریان وصول'!F:F,MATCH(Table29[[#This Row],[كد تفصيلي]],'درجریان وصول'!A:A,0)),0)</f>
        <v>0</v>
      </c>
      <c r="E81" s="11">
        <f>IFERROR(INDEX('چکهای دریافتنی'!F:F,MATCH(Table29[[#This Row],[كد تفصيلي]],'چکهای دریافتنی'!A:A,0)),0)</f>
        <v>0</v>
      </c>
      <c r="F81" s="11">
        <f>Table29[[#This Row],[حسابهای دریافتنی]]+Table29[[#This Row],[چکهای در جریان وصول]]+Table29[[#This Row],[چکهای نزد صندوق]]</f>
        <v>0</v>
      </c>
      <c r="G81" s="12">
        <f>IFERROR(INDEX('مانده سوفاله'!F:F,MATCH(Table29[[#This Row],[كد تفصيلي]],'مانده سوفاله'!A:A,0)),0)</f>
        <v>0</v>
      </c>
    </row>
    <row r="82" spans="1:7" ht="24" customHeight="1" x14ac:dyDescent="0.35">
      <c r="A82" s="27">
        <v>10064</v>
      </c>
      <c r="B82" s="55" t="s">
        <v>181</v>
      </c>
      <c r="C82" s="10">
        <f>IFERROR(INDEX('حسابهای دریافتنی'!H:H,MATCH(Table29[[#This Row],[كد تفصيلي]],'حسابهای دریافتنی'!A:A,0)),0)</f>
        <v>0</v>
      </c>
      <c r="D82" s="11">
        <f>IFERROR(INDEX('درجریان وصول'!F:F,MATCH(Table29[[#This Row],[كد تفصيلي]],'درجریان وصول'!A:A,0)),0)</f>
        <v>0</v>
      </c>
      <c r="E82" s="11">
        <f>IFERROR(INDEX('چکهای دریافتنی'!F:F,MATCH(Table29[[#This Row],[كد تفصيلي]],'چکهای دریافتنی'!A:A,0)),0)</f>
        <v>0</v>
      </c>
      <c r="F82" s="11">
        <f>Table29[[#This Row],[حسابهای دریافتنی]]+Table29[[#This Row],[چکهای در جریان وصول]]+Table29[[#This Row],[چکهای نزد صندوق]]</f>
        <v>0</v>
      </c>
      <c r="G82" s="12">
        <f>IFERROR(INDEX('مانده سوفاله'!F:F,MATCH(Table29[[#This Row],[كد تفصيلي]],'مانده سوفاله'!A:A,0)),0)</f>
        <v>0</v>
      </c>
    </row>
    <row r="83" spans="1:7" ht="24" customHeight="1" x14ac:dyDescent="0.35">
      <c r="A83" s="27">
        <v>30135</v>
      </c>
      <c r="B83" s="55" t="s">
        <v>179</v>
      </c>
      <c r="C83" s="10">
        <f>IFERROR(INDEX('حسابهای دریافتنی'!H:H,MATCH(Table29[[#This Row],[كد تفصيلي]],'حسابهای دریافتنی'!A:A,0)),0)</f>
        <v>195000</v>
      </c>
      <c r="D83" s="11">
        <f>IFERROR(INDEX('درجریان وصول'!F:F,MATCH(Table29[[#This Row],[كد تفصيلي]],'درجریان وصول'!A:A,0)),0)</f>
        <v>0</v>
      </c>
      <c r="E83" s="11">
        <f>IFERROR(INDEX('چکهای دریافتنی'!F:F,MATCH(Table29[[#This Row],[كد تفصيلي]],'چکهای دریافتنی'!A:A,0)),0)</f>
        <v>0</v>
      </c>
      <c r="F83" s="11">
        <f>Table29[[#This Row],[حسابهای دریافتنی]]+Table29[[#This Row],[چکهای در جریان وصول]]+Table29[[#This Row],[چکهای نزد صندوق]]</f>
        <v>195000</v>
      </c>
      <c r="G83" s="12">
        <f>IFERROR(INDEX('مانده سوفاله'!F:F,MATCH(Table29[[#This Row],[كد تفصيلي]],'مانده سوفاله'!A:A,0)),0)</f>
        <v>-5</v>
      </c>
    </row>
    <row r="84" spans="1:7" ht="24" customHeight="1" x14ac:dyDescent="0.35">
      <c r="A84" s="26">
        <v>10043</v>
      </c>
      <c r="B84" s="56" t="s">
        <v>48</v>
      </c>
      <c r="C84" s="10">
        <f>IFERROR(INDEX('حسابهای دریافتنی'!H:H,MATCH(Table29[[#This Row],[كد تفصيلي]],'حسابهای دریافتنی'!A:A,0)),0)</f>
        <v>0</v>
      </c>
      <c r="D84" s="11">
        <f>IFERROR(INDEX('درجریان وصول'!F:F,MATCH(Table29[[#This Row],[كد تفصيلي]],'درجریان وصول'!A:A,0)),0)</f>
        <v>0</v>
      </c>
      <c r="E84" s="11">
        <f>IFERROR(INDEX('چکهای دریافتنی'!F:F,MATCH(Table29[[#This Row],[كد تفصيلي]],'چکهای دریافتنی'!A:A,0)),0)</f>
        <v>0</v>
      </c>
      <c r="F84" s="11">
        <f>Table29[[#This Row],[حسابهای دریافتنی]]+Table29[[#This Row],[چکهای در جریان وصول]]+Table29[[#This Row],[چکهای نزد صندوق]]</f>
        <v>0</v>
      </c>
      <c r="G84" s="12">
        <f>IFERROR(INDEX('مانده سوفاله'!F:F,MATCH(Table29[[#This Row],[كد تفصيلي]],'مانده سوفاله'!A:A,0)),0)</f>
        <v>0</v>
      </c>
    </row>
    <row r="85" spans="1:7" ht="24" customHeight="1" x14ac:dyDescent="0.35">
      <c r="A85" s="27">
        <v>30163</v>
      </c>
      <c r="B85" s="55" t="s">
        <v>302</v>
      </c>
      <c r="C85" s="10">
        <f>IFERROR(INDEX('حسابهای دریافتنی'!H:H,MATCH(Table29[[#This Row],[كد تفصيلي]],'حسابهای دریافتنی'!A:A,0)),0)</f>
        <v>0</v>
      </c>
      <c r="D85" s="11">
        <f>IFERROR(INDEX('درجریان وصول'!F:F,MATCH(Table29[[#This Row],[كد تفصيلي]],'درجریان وصول'!A:A,0)),0)</f>
        <v>0</v>
      </c>
      <c r="E85" s="11">
        <f>IFERROR(INDEX('چکهای دریافتنی'!F:F,MATCH(Table29[[#This Row],[كد تفصيلي]],'چکهای دریافتنی'!A:A,0)),0)</f>
        <v>0</v>
      </c>
      <c r="F85" s="11">
        <f>Table29[[#This Row],[حسابهای دریافتنی]]+Table29[[#This Row],[چکهای در جریان وصول]]+Table29[[#This Row],[چکهای نزد صندوق]]</f>
        <v>0</v>
      </c>
      <c r="G85" s="12">
        <f>IFERROR(INDEX('مانده سوفاله'!F:F,MATCH(Table29[[#This Row],[كد تفصيلي]],'مانده سوفاله'!A:A,0)),0)</f>
        <v>0</v>
      </c>
    </row>
    <row r="86" spans="1:7" ht="24" customHeight="1" x14ac:dyDescent="0.35">
      <c r="A86" s="26">
        <v>10075</v>
      </c>
      <c r="B86" s="56" t="s">
        <v>169</v>
      </c>
      <c r="C86" s="10">
        <f>IFERROR(INDEX('حسابهای دریافتنی'!H:H,MATCH(Table29[[#This Row],[كد تفصيلي]],'حسابهای دریافتنی'!A:A,0)),0)</f>
        <v>0</v>
      </c>
      <c r="D86" s="11">
        <f>IFERROR(INDEX('درجریان وصول'!F:F,MATCH(Table29[[#This Row],[كد تفصيلي]],'درجریان وصول'!A:A,0)),0)</f>
        <v>0</v>
      </c>
      <c r="E86" s="11">
        <f>IFERROR(INDEX('چکهای دریافتنی'!F:F,MATCH(Table29[[#This Row],[كد تفصيلي]],'چکهای دریافتنی'!A:A,0)),0)</f>
        <v>0</v>
      </c>
      <c r="F86" s="11">
        <f>Table29[[#This Row],[حسابهای دریافتنی]]+Table29[[#This Row],[چکهای در جریان وصول]]+Table29[[#This Row],[چکهای نزد صندوق]]</f>
        <v>0</v>
      </c>
      <c r="G86" s="12">
        <f>IFERROR(INDEX('مانده سوفاله'!F:F,MATCH(Table29[[#This Row],[كد تفصيلي]],'مانده سوفاله'!A:A,0)),0)</f>
        <v>0</v>
      </c>
    </row>
    <row r="87" spans="1:7" ht="24" customHeight="1" x14ac:dyDescent="0.35">
      <c r="A87" s="27">
        <v>30020</v>
      </c>
      <c r="B87" s="55" t="s">
        <v>68</v>
      </c>
      <c r="C87" s="10">
        <f>IFERROR(INDEX('حسابهای دریافتنی'!H:H,MATCH(Table29[[#This Row],[كد تفصيلي]],'حسابهای دریافتنی'!A:A,0)),0)</f>
        <v>2253500</v>
      </c>
      <c r="D87" s="11">
        <f>IFERROR(INDEX('درجریان وصول'!F:F,MATCH(Table29[[#This Row],[كد تفصيلي]],'درجریان وصول'!A:A,0)),0)</f>
        <v>0</v>
      </c>
      <c r="E87" s="11">
        <f>IFERROR(INDEX('چکهای دریافتنی'!F:F,MATCH(Table29[[#This Row],[كد تفصيلي]],'چکهای دریافتنی'!A:A,0)),0)</f>
        <v>0</v>
      </c>
      <c r="F87" s="11">
        <f>Table29[[#This Row],[حسابهای دریافتنی]]+Table29[[#This Row],[چکهای در جریان وصول]]+Table29[[#This Row],[چکهای نزد صندوق]]</f>
        <v>2253500</v>
      </c>
      <c r="G87" s="12">
        <f>IFERROR(INDEX('مانده سوفاله'!F:F,MATCH(Table29[[#This Row],[كد تفصيلي]],'مانده سوفاله'!A:A,0)),0)</f>
        <v>4</v>
      </c>
    </row>
    <row r="88" spans="1:7" ht="24" customHeight="1" x14ac:dyDescent="0.35">
      <c r="A88" s="27">
        <v>10010</v>
      </c>
      <c r="B88" s="55" t="s">
        <v>17</v>
      </c>
      <c r="C88" s="10">
        <f>IFERROR(INDEX('حسابهای دریافتنی'!H:H,MATCH(Table29[[#This Row],[كد تفصيلي]],'حسابهای دریافتنی'!A:A,0)),0)</f>
        <v>0</v>
      </c>
      <c r="D88" s="11">
        <f>IFERROR(INDEX('درجریان وصول'!F:F,MATCH(Table29[[#This Row],[كد تفصيلي]],'درجریان وصول'!A:A,0)),0)</f>
        <v>0</v>
      </c>
      <c r="E88" s="11">
        <f>IFERROR(INDEX('چکهای دریافتنی'!F:F,MATCH(Table29[[#This Row],[كد تفصيلي]],'چکهای دریافتنی'!A:A,0)),0)</f>
        <v>0</v>
      </c>
      <c r="F88" s="11">
        <f>Table29[[#This Row],[حسابهای دریافتنی]]+Table29[[#This Row],[چکهای در جریان وصول]]+Table29[[#This Row],[چکهای نزد صندوق]]</f>
        <v>0</v>
      </c>
      <c r="G88" s="12">
        <f>IFERROR(INDEX('مانده سوفاله'!F:F,MATCH(Table29[[#This Row],[كد تفصيلي]],'مانده سوفاله'!A:A,0)),0)</f>
        <v>8</v>
      </c>
    </row>
    <row r="89" spans="1:7" ht="24" customHeight="1" x14ac:dyDescent="0.35">
      <c r="A89" s="26">
        <v>10023</v>
      </c>
      <c r="B89" s="56" t="s">
        <v>155</v>
      </c>
      <c r="C89" s="10">
        <f>IFERROR(INDEX('حسابهای دریافتنی'!H:H,MATCH(Table29[[#This Row],[كد تفصيلي]],'حسابهای دریافتنی'!A:A,0)),0)</f>
        <v>0</v>
      </c>
      <c r="D89" s="11">
        <f>IFERROR(INDEX('درجریان وصول'!F:F,MATCH(Table29[[#This Row],[كد تفصيلي]],'درجریان وصول'!A:A,0)),0)</f>
        <v>0</v>
      </c>
      <c r="E89" s="11">
        <f>IFERROR(INDEX('چکهای دریافتنی'!F:F,MATCH(Table29[[#This Row],[كد تفصيلي]],'چکهای دریافتنی'!A:A,0)),0)</f>
        <v>0</v>
      </c>
      <c r="F89" s="11">
        <f>Table29[[#This Row],[حسابهای دریافتنی]]+Table29[[#This Row],[چکهای در جریان وصول]]+Table29[[#This Row],[چکهای نزد صندوق]]</f>
        <v>0</v>
      </c>
      <c r="G89" s="12">
        <f>IFERROR(INDEX('مانده سوفاله'!F:F,MATCH(Table29[[#This Row],[كد تفصيلي]],'مانده سوفاله'!A:A,0)),0)</f>
        <v>6</v>
      </c>
    </row>
    <row r="90" spans="1:7" customFormat="1" ht="24" customHeight="1" x14ac:dyDescent="0.35">
      <c r="A90" s="53">
        <v>10039</v>
      </c>
      <c r="B90" s="56" t="s">
        <v>45</v>
      </c>
      <c r="C90" s="10">
        <f>IFERROR(INDEX('حسابهای دریافتنی'!H:H,MATCH(Table29[[#This Row],[كد تفصيلي]],'حسابهای دریافتنی'!A:A,0)),0)</f>
        <v>0</v>
      </c>
      <c r="D90" s="11">
        <f>IFERROR(INDEX('درجریان وصول'!F:F,MATCH(Table29[[#This Row],[كد تفصيلي]],'درجریان وصول'!A:A,0)),0)</f>
        <v>0</v>
      </c>
      <c r="E90" s="11">
        <f>IFERROR(INDEX('چکهای دریافتنی'!F:F,MATCH(Table29[[#This Row],[كد تفصيلي]],'چکهای دریافتنی'!A:A,0)),0)</f>
        <v>0</v>
      </c>
      <c r="F90" s="11">
        <f>Table29[[#This Row],[حسابهای دریافتنی]]+Table29[[#This Row],[چکهای در جریان وصول]]+Table29[[#This Row],[چکهای نزد صندوق]]</f>
        <v>0</v>
      </c>
      <c r="G90" s="12">
        <f>IFERROR(INDEX('مانده سوفاله'!F:F,MATCH(Table29[[#This Row],[كد تفصيلي]],'مانده سوفاله'!A:A,0)),0)</f>
        <v>4</v>
      </c>
    </row>
    <row r="91" spans="1:7" customFormat="1" ht="24" customHeight="1" x14ac:dyDescent="0.35">
      <c r="A91" s="54">
        <v>10046</v>
      </c>
      <c r="B91" s="55" t="s">
        <v>51</v>
      </c>
      <c r="C91" s="10">
        <f>IFERROR(INDEX('حسابهای دریافتنی'!H:H,MATCH(Table29[[#This Row],[كد تفصيلي]],'حسابهای دریافتنی'!A:A,0)),0)</f>
        <v>0</v>
      </c>
      <c r="D91" s="11">
        <f>IFERROR(INDEX('درجریان وصول'!F:F,MATCH(Table29[[#This Row],[كد تفصيلي]],'درجریان وصول'!A:A,0)),0)</f>
        <v>0</v>
      </c>
      <c r="E91" s="11">
        <f>IFERROR(INDEX('چکهای دریافتنی'!F:F,MATCH(Table29[[#This Row],[كد تفصيلي]],'چکهای دریافتنی'!A:A,0)),0)</f>
        <v>0</v>
      </c>
      <c r="F91" s="11">
        <f>Table29[[#This Row],[حسابهای دریافتنی]]+Table29[[#This Row],[چکهای در جریان وصول]]+Table29[[#This Row],[چکهای نزد صندوق]]</f>
        <v>0</v>
      </c>
      <c r="G91" s="12">
        <f>IFERROR(INDEX('مانده سوفاله'!F:F,MATCH(Table29[[#This Row],[كد تفصيلي]],'مانده سوفاله'!A:A,0)),0)</f>
        <v>118</v>
      </c>
    </row>
    <row r="92" spans="1:7" customFormat="1" ht="24" customHeight="1" x14ac:dyDescent="0.35">
      <c r="A92" s="53">
        <v>10065</v>
      </c>
      <c r="B92" s="56" t="s">
        <v>228</v>
      </c>
      <c r="C92" s="10">
        <f>IFERROR(INDEX('حسابهای دریافتنی'!H:H,MATCH(Table29[[#This Row],[كد تفصيلي]],'حسابهای دریافتنی'!A:A,0)),0)</f>
        <v>0</v>
      </c>
      <c r="D92" s="11">
        <f>IFERROR(INDEX('درجریان وصول'!F:F,MATCH(Table29[[#This Row],[كد تفصيلي]],'درجریان وصول'!A:A,0)),0)</f>
        <v>0</v>
      </c>
      <c r="E92" s="11">
        <f>IFERROR(INDEX('چکهای دریافتنی'!F:F,MATCH(Table29[[#This Row],[كد تفصيلي]],'چکهای دریافتنی'!A:A,0)),0)</f>
        <v>0</v>
      </c>
      <c r="F92" s="11">
        <f>Table29[[#This Row],[حسابهای دریافتنی]]+Table29[[#This Row],[چکهای در جریان وصول]]+Table29[[#This Row],[چکهای نزد صندوق]]</f>
        <v>0</v>
      </c>
      <c r="G92" s="12">
        <f>IFERROR(INDEX('مانده سوفاله'!F:F,MATCH(Table29[[#This Row],[كد تفصيلي]],'مانده سوفاله'!A:A,0)),0)</f>
        <v>127</v>
      </c>
    </row>
    <row r="93" spans="1:7" customFormat="1" ht="24" customHeight="1" x14ac:dyDescent="0.35">
      <c r="A93" s="53">
        <v>10069</v>
      </c>
      <c r="B93" s="56" t="s">
        <v>204</v>
      </c>
      <c r="C93" s="10">
        <f>IFERROR(INDEX('حسابهای دریافتنی'!H:H,MATCH(Table29[[#This Row],[كد تفصيلي]],'حسابهای دریافتنی'!A:A,0)),0)</f>
        <v>952500</v>
      </c>
      <c r="D93" s="11">
        <f>IFERROR(INDEX('درجریان وصول'!F:F,MATCH(Table29[[#This Row],[كد تفصيلي]],'درجریان وصول'!A:A,0)),0)</f>
        <v>0</v>
      </c>
      <c r="E93" s="11">
        <f>IFERROR(INDEX('چکهای دریافتنی'!F:F,MATCH(Table29[[#This Row],[كد تفصيلي]],'چکهای دریافتنی'!A:A,0)),0)</f>
        <v>73000000</v>
      </c>
      <c r="F93" s="11">
        <f>Table29[[#This Row],[حسابهای دریافتنی]]+Table29[[#This Row],[چکهای در جریان وصول]]+Table29[[#This Row],[چکهای نزد صندوق]]</f>
        <v>73952500</v>
      </c>
      <c r="G93" s="12">
        <f>IFERROR(INDEX('مانده سوفاله'!F:F,MATCH(Table29[[#This Row],[كد تفصيلي]],'مانده سوفاله'!A:A,0)),0)</f>
        <v>339</v>
      </c>
    </row>
    <row r="94" spans="1:7" ht="24" customHeight="1" x14ac:dyDescent="0.35">
      <c r="A94" s="53">
        <v>30190</v>
      </c>
      <c r="B94" s="56" t="s">
        <v>459</v>
      </c>
      <c r="C94" s="10">
        <f>IFERROR(INDEX('حسابهای دریافتنی'!H:H,MATCH(Table29[[#This Row],[كد تفصيلي]],'حسابهای دریافتنی'!A:A,0)),0)</f>
        <v>328477520</v>
      </c>
      <c r="D94" s="11">
        <f>IFERROR(INDEX('درجریان وصول'!F:F,MATCH(Table29[[#This Row],[كد تفصيلي]],'درجریان وصول'!A:A,0)),0)</f>
        <v>0</v>
      </c>
      <c r="E94" s="11">
        <f>IFERROR(INDEX('چکهای دریافتنی'!F:F,MATCH(Table29[[#This Row],[كد تفصيلي]],'چکهای دریافتنی'!A:A,0)),0)</f>
        <v>0</v>
      </c>
      <c r="F94" s="11">
        <f>Table29[[#This Row],[حسابهای دریافتنی]]+Table29[[#This Row],[چکهای در جریان وصول]]+Table29[[#This Row],[چکهای نزد صندوق]]</f>
        <v>328477520</v>
      </c>
      <c r="G94" s="12">
        <f>IFERROR(INDEX('مانده سوفاله'!F:F,MATCH(Table29[[#This Row],[كد تفصيلي]],'مانده سوفاله'!A:A,0)),0)</f>
        <v>1790</v>
      </c>
    </row>
    <row r="95" spans="1:7" ht="24" customHeight="1" x14ac:dyDescent="0.35">
      <c r="A95" s="26">
        <v>30013</v>
      </c>
      <c r="B95" s="56" t="s">
        <v>62</v>
      </c>
      <c r="C95" s="10">
        <f>IFERROR(INDEX('حسابهای دریافتنی'!H:H,MATCH(Table29[[#This Row],[كد تفصيلي]],'حسابهای دریافتنی'!A:A,0)),0)</f>
        <v>-2744620</v>
      </c>
      <c r="D95" s="11">
        <f>IFERROR(INDEX('درجریان وصول'!F:F,MATCH(Table29[[#This Row],[كد تفصيلي]],'درجریان وصول'!A:A,0)),0)</f>
        <v>0</v>
      </c>
      <c r="E95" s="11">
        <f>IFERROR(INDEX('چکهای دریافتنی'!F:F,MATCH(Table29[[#This Row],[كد تفصيلي]],'چکهای دریافتنی'!A:A,0)),0)</f>
        <v>0</v>
      </c>
      <c r="F95" s="11">
        <f>Table29[[#This Row],[حسابهای دریافتنی]]+Table29[[#This Row],[چکهای در جریان وصول]]+Table29[[#This Row],[چکهای نزد صندوق]]</f>
        <v>-2744620</v>
      </c>
      <c r="G95" s="12">
        <f>IFERROR(INDEX('مانده سوفاله'!F:F,MATCH(Table29[[#This Row],[كد تفصيلي]],'مانده سوفاله'!A:A,0)),0)</f>
        <v>0</v>
      </c>
    </row>
    <row r="96" spans="1:7" ht="24" customHeight="1" x14ac:dyDescent="0.35">
      <c r="A96" s="26">
        <v>30064</v>
      </c>
      <c r="B96" s="56" t="s">
        <v>109</v>
      </c>
      <c r="C96" s="10">
        <f>IFERROR(INDEX('حسابهای دریافتنی'!H:H,MATCH(Table29[[#This Row],[كد تفصيلي]],'حسابهای دریافتنی'!A:A,0)),0)</f>
        <v>-49679500</v>
      </c>
      <c r="D96" s="11">
        <f>IFERROR(INDEX('درجریان وصول'!F:F,MATCH(Table29[[#This Row],[كد تفصيلي]],'درجریان وصول'!A:A,0)),0)</f>
        <v>0</v>
      </c>
      <c r="E96" s="11">
        <f>IFERROR(INDEX('چکهای دریافتنی'!F:F,MATCH(Table29[[#This Row],[كد تفصيلي]],'چکهای دریافتنی'!A:A,0)),0)</f>
        <v>0</v>
      </c>
      <c r="F96" s="11">
        <f>Table29[[#This Row],[حسابهای دریافتنی]]+Table29[[#This Row],[چکهای در جریان وصول]]+Table29[[#This Row],[چکهای نزد صندوق]]</f>
        <v>-49679500</v>
      </c>
      <c r="G96" s="12">
        <f>IFERROR(INDEX('مانده سوفاله'!F:F,MATCH(Table29[[#This Row],[كد تفصيلي]],'مانده سوفاله'!A:A,0)),0)</f>
        <v>0</v>
      </c>
    </row>
    <row r="97" spans="1:7" ht="24" customHeight="1" x14ac:dyDescent="0.35">
      <c r="A97" s="27">
        <v>30065</v>
      </c>
      <c r="B97" s="55" t="s">
        <v>110</v>
      </c>
      <c r="C97" s="10">
        <f>IFERROR(INDEX('حسابهای دریافتنی'!H:H,MATCH(Table29[[#This Row],[كد تفصيلي]],'حسابهای دریافتنی'!A:A,0)),0)</f>
        <v>0</v>
      </c>
      <c r="D97" s="11">
        <f>IFERROR(INDEX('درجریان وصول'!F:F,MATCH(Table29[[#This Row],[كد تفصيلي]],'درجریان وصول'!A:A,0)),0)</f>
        <v>0</v>
      </c>
      <c r="E97" s="11">
        <f>IFERROR(INDEX('چکهای دریافتنی'!F:F,MATCH(Table29[[#This Row],[كد تفصيلي]],'چکهای دریافتنی'!A:A,0)),0)</f>
        <v>0</v>
      </c>
      <c r="F97" s="11">
        <f>Table29[[#This Row],[حسابهای دریافتنی]]+Table29[[#This Row],[چکهای در جریان وصول]]+Table29[[#This Row],[چکهای نزد صندوق]]</f>
        <v>0</v>
      </c>
      <c r="G97" s="12">
        <f>IFERROR(INDEX('مانده سوفاله'!F:F,MATCH(Table29[[#This Row],[كد تفصيلي]],'مانده سوفاله'!A:A,0)),0)</f>
        <v>33</v>
      </c>
    </row>
    <row r="98" spans="1:7" ht="24" customHeight="1" x14ac:dyDescent="0.35">
      <c r="A98" s="27">
        <v>30071</v>
      </c>
      <c r="B98" s="55" t="s">
        <v>116</v>
      </c>
      <c r="C98" s="10">
        <f>IFERROR(INDEX('حسابهای دریافتنی'!H:H,MATCH(Table29[[#This Row],[كد تفصيلي]],'حسابهای دریافتنی'!A:A,0)),0)</f>
        <v>0</v>
      </c>
      <c r="D98" s="11">
        <f>IFERROR(INDEX('درجریان وصول'!F:F,MATCH(Table29[[#This Row],[كد تفصيلي]],'درجریان وصول'!A:A,0)),0)</f>
        <v>0</v>
      </c>
      <c r="E98" s="11">
        <f>IFERROR(INDEX('چکهای دریافتنی'!F:F,MATCH(Table29[[#This Row],[كد تفصيلي]],'چکهای دریافتنی'!A:A,0)),0)</f>
        <v>0</v>
      </c>
      <c r="F98" s="11">
        <f>Table29[[#This Row],[حسابهای دریافتنی]]+Table29[[#This Row],[چکهای در جریان وصول]]+Table29[[#This Row],[چکهای نزد صندوق]]</f>
        <v>0</v>
      </c>
      <c r="G98" s="12">
        <f>IFERROR(INDEX('مانده سوفاله'!F:F,MATCH(Table29[[#This Row],[كد تفصيلي]],'مانده سوفاله'!A:A,0)),0)</f>
        <v>3</v>
      </c>
    </row>
    <row r="99" spans="1:7" ht="24" customHeight="1" x14ac:dyDescent="0.35">
      <c r="A99" s="27">
        <v>30077</v>
      </c>
      <c r="B99" s="55" t="s">
        <v>122</v>
      </c>
      <c r="C99" s="10">
        <f>IFERROR(INDEX('حسابهای دریافتنی'!H:H,MATCH(Table29[[#This Row],[كد تفصيلي]],'حسابهای دریافتنی'!A:A,0)),0)</f>
        <v>360000</v>
      </c>
      <c r="D99" s="11">
        <f>IFERROR(INDEX('درجریان وصول'!F:F,MATCH(Table29[[#This Row],[كد تفصيلي]],'درجریان وصول'!A:A,0)),0)</f>
        <v>0</v>
      </c>
      <c r="E99" s="11">
        <f>IFERROR(INDEX('چکهای دریافتنی'!F:F,MATCH(Table29[[#This Row],[كد تفصيلي]],'چکهای دریافتنی'!A:A,0)),0)</f>
        <v>0</v>
      </c>
      <c r="F99" s="11">
        <f>Table29[[#This Row],[حسابهای دریافتنی]]+Table29[[#This Row],[چکهای در جریان وصول]]+Table29[[#This Row],[چکهای نزد صندوق]]</f>
        <v>360000</v>
      </c>
      <c r="G99" s="12">
        <f>IFERROR(INDEX('مانده سوفاله'!F:F,MATCH(Table29[[#This Row],[كد تفصيلي]],'مانده سوفاله'!A:A,0)),0)</f>
        <v>-32</v>
      </c>
    </row>
    <row r="100" spans="1:7" ht="24" customHeight="1" x14ac:dyDescent="0.35">
      <c r="A100" s="27">
        <v>30079</v>
      </c>
      <c r="B100" s="55" t="s">
        <v>124</v>
      </c>
      <c r="C100" s="10">
        <f>IFERROR(INDEX('حسابهای دریافتنی'!H:H,MATCH(Table29[[#This Row],[كد تفصيلي]],'حسابهای دریافتنی'!A:A,0)),0)</f>
        <v>0</v>
      </c>
      <c r="D100" s="11">
        <f>IFERROR(INDEX('درجریان وصول'!F:F,MATCH(Table29[[#This Row],[كد تفصيلي]],'درجریان وصول'!A:A,0)),0)</f>
        <v>0</v>
      </c>
      <c r="E100" s="11">
        <f>IFERROR(INDEX('چکهای دریافتنی'!F:F,MATCH(Table29[[#This Row],[كد تفصيلي]],'چکهای دریافتنی'!A:A,0)),0)</f>
        <v>0</v>
      </c>
      <c r="F100" s="11">
        <f>Table29[[#This Row],[حسابهای دریافتنی]]+Table29[[#This Row],[چکهای در جریان وصول]]+Table29[[#This Row],[چکهای نزد صندوق]]</f>
        <v>0</v>
      </c>
      <c r="G100" s="12">
        <f>IFERROR(INDEX('مانده سوفاله'!F:F,MATCH(Table29[[#This Row],[كد تفصيلي]],'مانده سوفاله'!A:A,0)),0)</f>
        <v>-85</v>
      </c>
    </row>
    <row r="101" spans="1:7" ht="24" customHeight="1" x14ac:dyDescent="0.35">
      <c r="A101" s="27">
        <v>30097</v>
      </c>
      <c r="B101" s="55" t="s">
        <v>188</v>
      </c>
      <c r="C101" s="10">
        <f>IFERROR(INDEX('حسابهای دریافتنی'!H:H,MATCH(Table29[[#This Row],[كد تفصيلي]],'حسابهای دریافتنی'!A:A,0)),0)</f>
        <v>0</v>
      </c>
      <c r="D101" s="11">
        <f>IFERROR(INDEX('درجریان وصول'!F:F,MATCH(Table29[[#This Row],[كد تفصيلي]],'درجریان وصول'!A:A,0)),0)</f>
        <v>0</v>
      </c>
      <c r="E101" s="11">
        <f>IFERROR(INDEX('چکهای دریافتنی'!F:F,MATCH(Table29[[#This Row],[كد تفصيلي]],'چکهای دریافتنی'!A:A,0)),0)</f>
        <v>0</v>
      </c>
      <c r="F101" s="11">
        <f>Table29[[#This Row],[حسابهای دریافتنی]]+Table29[[#This Row],[چکهای در جریان وصول]]+Table29[[#This Row],[چکهای نزد صندوق]]</f>
        <v>0</v>
      </c>
      <c r="G101" s="12">
        <f>IFERROR(INDEX('مانده سوفاله'!F:F,MATCH(Table29[[#This Row],[كد تفصيلي]],'مانده سوفاله'!A:A,0)),0)</f>
        <v>-82</v>
      </c>
    </row>
    <row r="102" spans="1:7" ht="24" customHeight="1" x14ac:dyDescent="0.35">
      <c r="A102" s="26">
        <v>30118</v>
      </c>
      <c r="B102" s="56" t="s">
        <v>205</v>
      </c>
      <c r="C102" s="10">
        <f>IFERROR(INDEX('حسابهای دریافتنی'!H:H,MATCH(Table29[[#This Row],[كد تفصيلي]],'حسابهای دریافتنی'!A:A,0)),0)</f>
        <v>0</v>
      </c>
      <c r="D102" s="11">
        <f>IFERROR(INDEX('درجریان وصول'!F:F,MATCH(Table29[[#This Row],[كد تفصيلي]],'درجریان وصول'!A:A,0)),0)</f>
        <v>0</v>
      </c>
      <c r="E102" s="11">
        <f>IFERROR(INDEX('چکهای دریافتنی'!F:F,MATCH(Table29[[#This Row],[كد تفصيلي]],'چکهای دریافتنی'!A:A,0)),0)</f>
        <v>0</v>
      </c>
      <c r="F102" s="11">
        <f>Table29[[#This Row],[حسابهای دریافتنی]]+Table29[[#This Row],[چکهای در جریان وصول]]+Table29[[#This Row],[چکهای نزد صندوق]]</f>
        <v>0</v>
      </c>
      <c r="G102" s="12">
        <f>IFERROR(INDEX('مانده سوفاله'!F:F,MATCH(Table29[[#This Row],[كد تفصيلي]],'مانده سوفاله'!A:A,0)),0)</f>
        <v>-20</v>
      </c>
    </row>
    <row r="103" spans="1:7" ht="24" customHeight="1" x14ac:dyDescent="0.35">
      <c r="A103" s="27">
        <v>30131</v>
      </c>
      <c r="B103" s="55" t="s">
        <v>213</v>
      </c>
      <c r="C103" s="10">
        <f>IFERROR(INDEX('حسابهای دریافتنی'!H:H,MATCH(Table29[[#This Row],[كد تفصيلي]],'حسابهای دریافتنی'!A:A,0)),0)</f>
        <v>-6228486500</v>
      </c>
      <c r="D103" s="11">
        <f>IFERROR(INDEX('درجریان وصول'!F:F,MATCH(Table29[[#This Row],[كد تفصيلي]],'درجریان وصول'!A:A,0)),0)</f>
        <v>0</v>
      </c>
      <c r="E103" s="11">
        <f>IFERROR(INDEX('چکهای دریافتنی'!F:F,MATCH(Table29[[#This Row],[كد تفصيلي]],'چکهای دریافتنی'!A:A,0)),0)</f>
        <v>0</v>
      </c>
      <c r="F103" s="11">
        <f>Table29[[#This Row],[حسابهای دریافتنی]]+Table29[[#This Row],[چکهای در جریان وصول]]+Table29[[#This Row],[چکهای نزد صندوق]]</f>
        <v>-6228486500</v>
      </c>
      <c r="G103" s="12">
        <f>IFERROR(INDEX('مانده سوفاله'!F:F,MATCH(Table29[[#This Row],[كد تفصيلي]],'مانده سوفاله'!A:A,0)),0)</f>
        <v>222</v>
      </c>
    </row>
    <row r="104" spans="1:7" ht="24" customHeight="1" x14ac:dyDescent="0.35">
      <c r="A104" s="27">
        <v>30137</v>
      </c>
      <c r="B104" s="55" t="s">
        <v>218</v>
      </c>
      <c r="C104" s="10">
        <f>IFERROR(INDEX('حسابهای دریافتنی'!H:H,MATCH(Table29[[#This Row],[كد تفصيلي]],'حسابهای دریافتنی'!A:A,0)),0)</f>
        <v>0</v>
      </c>
      <c r="D104" s="11">
        <f>IFERROR(INDEX('درجریان وصول'!F:F,MATCH(Table29[[#This Row],[كد تفصيلي]],'درجریان وصول'!A:A,0)),0)</f>
        <v>0</v>
      </c>
      <c r="E104" s="11">
        <f>IFERROR(INDEX('چکهای دریافتنی'!F:F,MATCH(Table29[[#This Row],[كد تفصيلي]],'چکهای دریافتنی'!A:A,0)),0)</f>
        <v>213182200</v>
      </c>
      <c r="F104" s="11">
        <f>Table29[[#This Row],[حسابهای دریافتنی]]+Table29[[#This Row],[چکهای در جریان وصول]]+Table29[[#This Row],[چکهای نزد صندوق]]</f>
        <v>213182200</v>
      </c>
      <c r="G104" s="12">
        <f>IFERROR(INDEX('مانده سوفاله'!F:F,MATCH(Table29[[#This Row],[كد تفصيلي]],'مانده سوفاله'!A:A,0)),0)</f>
        <v>0</v>
      </c>
    </row>
    <row r="105" spans="1:7" ht="24" customHeight="1" x14ac:dyDescent="0.35">
      <c r="A105" s="27">
        <v>30141</v>
      </c>
      <c r="B105" s="55" t="s">
        <v>261</v>
      </c>
      <c r="C105" s="10">
        <f>IFERROR(INDEX('حسابهای دریافتنی'!H:H,MATCH(Table29[[#This Row],[كد تفصيلي]],'حسابهای دریافتنی'!A:A,0)),0)</f>
        <v>0</v>
      </c>
      <c r="D105" s="11">
        <f>IFERROR(INDEX('درجریان وصول'!F:F,MATCH(Table29[[#This Row],[كد تفصيلي]],'درجریان وصول'!A:A,0)),0)</f>
        <v>0</v>
      </c>
      <c r="E105" s="11">
        <f>IFERROR(INDEX('چکهای دریافتنی'!F:F,MATCH(Table29[[#This Row],[كد تفصيلي]],'چکهای دریافتنی'!A:A,0)),0)</f>
        <v>0</v>
      </c>
      <c r="F105" s="11">
        <f>Table29[[#This Row],[حسابهای دریافتنی]]+Table29[[#This Row],[چکهای در جریان وصول]]+Table29[[#This Row],[چکهای نزد صندوق]]</f>
        <v>0</v>
      </c>
      <c r="G105" s="12">
        <f>IFERROR(INDEX('مانده سوفاله'!F:F,MATCH(Table29[[#This Row],[كد تفصيلي]],'مانده سوفاله'!A:A,0)),0)</f>
        <v>-42</v>
      </c>
    </row>
    <row r="106" spans="1:7" ht="24" customHeight="1" x14ac:dyDescent="0.35">
      <c r="A106" s="26">
        <v>30142</v>
      </c>
      <c r="B106" s="56" t="s">
        <v>263</v>
      </c>
      <c r="C106" s="10">
        <f>IFERROR(INDEX('حسابهای دریافتنی'!H:H,MATCH(Table29[[#This Row],[كد تفصيلي]],'حسابهای دریافتنی'!A:A,0)),0)</f>
        <v>0</v>
      </c>
      <c r="D106" s="11">
        <f>IFERROR(INDEX('درجریان وصول'!F:F,MATCH(Table29[[#This Row],[كد تفصيلي]],'درجریان وصول'!A:A,0)),0)</f>
        <v>0</v>
      </c>
      <c r="E106" s="11">
        <f>IFERROR(INDEX('چکهای دریافتنی'!F:F,MATCH(Table29[[#This Row],[كد تفصيلي]],'چکهای دریافتنی'!A:A,0)),0)</f>
        <v>0</v>
      </c>
      <c r="F106" s="11">
        <f>Table29[[#This Row],[حسابهای دریافتنی]]+Table29[[#This Row],[چکهای در جریان وصول]]+Table29[[#This Row],[چکهای نزد صندوق]]</f>
        <v>0</v>
      </c>
      <c r="G106" s="12">
        <f>IFERROR(INDEX('مانده سوفاله'!F:F,MATCH(Table29[[#This Row],[كد تفصيلي]],'مانده سوفاله'!A:A,0)),0)</f>
        <v>13</v>
      </c>
    </row>
    <row r="107" spans="1:7" ht="24" customHeight="1" x14ac:dyDescent="0.35">
      <c r="A107" s="27">
        <v>79010</v>
      </c>
      <c r="B107" s="55" t="s">
        <v>176</v>
      </c>
      <c r="C107" s="10">
        <f>IFERROR(INDEX('حسابهای دریافتنی'!H:H,MATCH(Table29[[#This Row],[كد تفصيلي]],'حسابهای دریافتنی'!A:A,0)),0)</f>
        <v>0</v>
      </c>
      <c r="D107" s="11">
        <f>IFERROR(INDEX('درجریان وصول'!F:F,MATCH(Table29[[#This Row],[كد تفصيلي]],'درجریان وصول'!A:A,0)),0)</f>
        <v>0</v>
      </c>
      <c r="E107" s="11">
        <f>IFERROR(INDEX('چکهای دریافتنی'!F:F,MATCH(Table29[[#This Row],[كد تفصيلي]],'چکهای دریافتنی'!A:A,0)),0)</f>
        <v>0</v>
      </c>
      <c r="F107" s="11">
        <f>Table29[[#This Row],[حسابهای دریافتنی]]+Table29[[#This Row],[چکهای در جریان وصول]]+Table29[[#This Row],[چکهای نزد صندوق]]</f>
        <v>0</v>
      </c>
      <c r="G107" s="12">
        <f>IFERROR(INDEX('مانده سوفاله'!F:F,MATCH(Table29[[#This Row],[كد تفصيلي]],'مانده سوفاله'!A:A,0)),0)</f>
        <v>-110</v>
      </c>
    </row>
    <row r="108" spans="1:7" ht="24" customHeight="1" x14ac:dyDescent="0.35">
      <c r="A108" s="27">
        <v>10131</v>
      </c>
      <c r="B108" s="55" t="s">
        <v>457</v>
      </c>
      <c r="C108" s="10">
        <f>IFERROR(INDEX('حسابهای دریافتنی'!H:H,MATCH(Table29[[#This Row],[كد تفصيلي]],'حسابهای دریافتنی'!A:A,0)),0)</f>
        <v>-1194000</v>
      </c>
      <c r="D108" s="11">
        <f>IFERROR(INDEX('درجریان وصول'!F:F,MATCH(Table29[[#This Row],[كد تفصيلي]],'درجریان وصول'!A:A,0)),0)</f>
        <v>0</v>
      </c>
      <c r="E108" s="11">
        <f>IFERROR(INDEX('چکهای دریافتنی'!F:F,MATCH(Table29[[#This Row],[كد تفصيلي]],'چکهای دریافتنی'!A:A,0)),0)</f>
        <v>0</v>
      </c>
      <c r="F108" s="11">
        <f>Table29[[#This Row],[حسابهای دریافتنی]]+Table29[[#This Row],[چکهای در جریان وصول]]+Table29[[#This Row],[چکهای نزد صندوق]]</f>
        <v>-1194000</v>
      </c>
      <c r="G108" s="12">
        <v>85</v>
      </c>
    </row>
    <row r="109" spans="1:7" ht="24" customHeight="1" x14ac:dyDescent="0.35">
      <c r="A109" s="27">
        <v>30026</v>
      </c>
      <c r="B109" s="55" t="s">
        <v>74</v>
      </c>
      <c r="C109" s="10">
        <f>IFERROR(INDEX('حسابهای دریافتنی'!H:H,MATCH(Table29[[#This Row],[كد تفصيلي]],'حسابهای دریافتنی'!A:A,0)),0)</f>
        <v>5689439</v>
      </c>
      <c r="D109" s="11">
        <f>IFERROR(INDEX('درجریان وصول'!F:F,MATCH(Table29[[#This Row],[كد تفصيلي]],'درجریان وصول'!A:A,0)),0)</f>
        <v>0</v>
      </c>
      <c r="E109" s="11">
        <f>IFERROR(INDEX('چکهای دریافتنی'!F:F,MATCH(Table29[[#This Row],[كد تفصيلي]],'چکهای دریافتنی'!A:A,0)),0)</f>
        <v>0</v>
      </c>
      <c r="F109" s="11">
        <f>Table29[[#This Row],[حسابهای دریافتنی]]+Table29[[#This Row],[چکهای در جریان وصول]]+Table29[[#This Row],[چکهای نزد صندوق]]</f>
        <v>5689439</v>
      </c>
      <c r="G109" s="12">
        <f>IFERROR(INDEX('مانده سوفاله'!F:F,MATCH(Table29[[#This Row],[كد تفصيلي]],'مانده سوفاله'!A:A,0)),0)</f>
        <v>764</v>
      </c>
    </row>
    <row r="110" spans="1:7" ht="24" customHeight="1" x14ac:dyDescent="0.35">
      <c r="A110" s="26">
        <v>30164</v>
      </c>
      <c r="B110" s="56" t="s">
        <v>304</v>
      </c>
      <c r="C110" s="10">
        <f>IFERROR(INDEX('حسابهای دریافتنی'!H:H,MATCH(Table29[[#This Row],[كد تفصيلي]],'حسابهای دریافتنی'!A:A,0)),0)</f>
        <v>184944000</v>
      </c>
      <c r="D110" s="11">
        <f>IFERROR(INDEX('درجریان وصول'!F:F,MATCH(Table29[[#This Row],[كد تفصيلي]],'درجریان وصول'!A:A,0)),0)</f>
        <v>0</v>
      </c>
      <c r="E110" s="11">
        <f>IFERROR(INDEX('چکهای دریافتنی'!F:F,MATCH(Table29[[#This Row],[كد تفصيلي]],'چکهای دریافتنی'!A:A,0)),0)</f>
        <v>0</v>
      </c>
      <c r="F110" s="11">
        <f>Table29[[#This Row],[حسابهای دریافتنی]]+Table29[[#This Row],[چکهای در جریان وصول]]+Table29[[#This Row],[چکهای نزد صندوق]]</f>
        <v>184944000</v>
      </c>
      <c r="G110" s="12">
        <f>IFERROR(INDEX('مانده سوفاله'!F:F,MATCH(Table29[[#This Row],[كد تفصيلي]],'مانده سوفاله'!A:A,0)),0)</f>
        <v>561</v>
      </c>
    </row>
    <row r="111" spans="1:7" ht="24" customHeight="1" x14ac:dyDescent="0.35">
      <c r="A111" s="27">
        <v>10109</v>
      </c>
      <c r="B111" s="55" t="s">
        <v>303</v>
      </c>
      <c r="C111" s="10">
        <f>IFERROR(INDEX('حسابهای دریافتنی'!H:H,MATCH(Table29[[#This Row],[كد تفصيلي]],'حسابهای دریافتنی'!A:A,0)),0)</f>
        <v>-1124737000</v>
      </c>
      <c r="D111" s="11">
        <f>IFERROR(INDEX('درجریان وصول'!F:F,MATCH(Table29[[#This Row],[كد تفصيلي]],'درجریان وصول'!A:A,0)),0)</f>
        <v>0</v>
      </c>
      <c r="E111" s="11">
        <f>IFERROR(INDEX('چکهای دریافتنی'!F:F,MATCH(Table29[[#This Row],[كد تفصيلي]],'چکهای دریافتنی'!A:A,0)),0)</f>
        <v>0</v>
      </c>
      <c r="F111" s="11">
        <f>Table29[[#This Row],[حسابهای دریافتنی]]+Table29[[#This Row],[چکهای در جریان وصول]]+Table29[[#This Row],[چکهای نزد صندوق]]</f>
        <v>-1124737000</v>
      </c>
      <c r="G111" s="12">
        <f>IFERROR(INDEX('مانده سوفاله'!F:F,MATCH(Table29[[#This Row],[كد تفصيلي]],'مانده سوفاله'!A:A,0)),0)</f>
        <v>-241</v>
      </c>
    </row>
    <row r="112" spans="1:7" ht="24" customHeight="1" x14ac:dyDescent="0.35">
      <c r="A112" s="26">
        <v>30021</v>
      </c>
      <c r="B112" s="56" t="s">
        <v>69</v>
      </c>
      <c r="C112" s="10">
        <f>IFERROR(INDEX('حسابهای دریافتنی'!H:H,MATCH(Table29[[#This Row],[كد تفصيلي]],'حسابهای دریافتنی'!A:A,0)),0)</f>
        <v>-122000</v>
      </c>
      <c r="D112" s="11">
        <f>IFERROR(INDEX('درجریان وصول'!F:F,MATCH(Table29[[#This Row],[كد تفصيلي]],'درجریان وصول'!A:A,0)),0)</f>
        <v>0</v>
      </c>
      <c r="E112" s="11">
        <f>IFERROR(INDEX('چکهای دریافتنی'!F:F,MATCH(Table29[[#This Row],[كد تفصيلي]],'چکهای دریافتنی'!A:A,0)),0)</f>
        <v>0</v>
      </c>
      <c r="F112" s="11">
        <f>Table29[[#This Row],[حسابهای دریافتنی]]+Table29[[#This Row],[چکهای در جریان وصول]]+Table29[[#This Row],[چکهای نزد صندوق]]</f>
        <v>-122000</v>
      </c>
      <c r="G112" s="12">
        <f>IFERROR(INDEX('مانده سوفاله'!F:F,MATCH(Table29[[#This Row],[كد تفصيلي]],'مانده سوفاله'!A:A,0)),0)</f>
        <v>0</v>
      </c>
    </row>
    <row r="113" spans="1:7" ht="24" customHeight="1" x14ac:dyDescent="0.35">
      <c r="A113" s="27">
        <v>10066</v>
      </c>
      <c r="B113" s="55" t="s">
        <v>262</v>
      </c>
      <c r="C113" s="10">
        <f>IFERROR(INDEX('حسابهای دریافتنی'!H:H,MATCH(Table29[[#This Row],[كد تفصيلي]],'حسابهای دریافتنی'!A:A,0)),0)</f>
        <v>-191500</v>
      </c>
      <c r="D113" s="11">
        <f>IFERROR(INDEX('درجریان وصول'!F:F,MATCH(Table29[[#This Row],[كد تفصيلي]],'درجریان وصول'!A:A,0)),0)</f>
        <v>0</v>
      </c>
      <c r="E113" s="11">
        <f>IFERROR(INDEX('چکهای دریافتنی'!F:F,MATCH(Table29[[#This Row],[كد تفصيلي]],'چکهای دریافتنی'!A:A,0)),0)</f>
        <v>0</v>
      </c>
      <c r="F113" s="11">
        <f>Table29[[#This Row],[حسابهای دریافتنی]]+Table29[[#This Row],[چکهای در جریان وصول]]+Table29[[#This Row],[چکهای نزد صندوق]]</f>
        <v>-191500</v>
      </c>
      <c r="G113" s="12">
        <f>IFERROR(INDEX('مانده سوفاله'!F:F,MATCH(Table29[[#This Row],[كد تفصيلي]],'مانده سوفاله'!A:A,0)),0)</f>
        <v>2</v>
      </c>
    </row>
    <row r="114" spans="1:7" ht="24" customHeight="1" x14ac:dyDescent="0.35">
      <c r="A114" s="27">
        <v>30167</v>
      </c>
      <c r="B114" s="55" t="s">
        <v>311</v>
      </c>
      <c r="C114" s="10">
        <f>IFERROR(INDEX('حسابهای دریافتنی'!H:H,MATCH(Table29[[#This Row],[كد تفصيلي]],'حسابهای دریافتنی'!A:A,0)),0)</f>
        <v>-221000</v>
      </c>
      <c r="D114" s="11">
        <f>IFERROR(INDEX('درجریان وصول'!F:F,MATCH(Table29[[#This Row],[كد تفصيلي]],'درجریان وصول'!A:A,0)),0)</f>
        <v>0</v>
      </c>
      <c r="E114" s="11">
        <f>IFERROR(INDEX('چکهای دریافتنی'!F:F,MATCH(Table29[[#This Row],[كد تفصيلي]],'چکهای دریافتنی'!A:A,0)),0)</f>
        <v>0</v>
      </c>
      <c r="F114" s="11">
        <f>Table29[[#This Row],[حسابهای دریافتنی]]+Table29[[#This Row],[چکهای در جریان وصول]]+Table29[[#This Row],[چکهای نزد صندوق]]</f>
        <v>-221000</v>
      </c>
      <c r="G114" s="12">
        <f>IFERROR(INDEX('مانده سوفاله'!F:F,MATCH(Table29[[#This Row],[كد تفصيلي]],'مانده سوفاله'!A:A,0)),0)</f>
        <v>6</v>
      </c>
    </row>
    <row r="115" spans="1:7" ht="24" customHeight="1" x14ac:dyDescent="0.35">
      <c r="A115" s="26">
        <v>10077</v>
      </c>
      <c r="B115" s="56" t="s">
        <v>210</v>
      </c>
      <c r="C115" s="10">
        <f>IFERROR(INDEX('حسابهای دریافتنی'!H:H,MATCH(Table29[[#This Row],[كد تفصيلي]],'حسابهای دریافتنی'!A:A,0)),0)</f>
        <v>-238500</v>
      </c>
      <c r="D115" s="11">
        <f>IFERROR(INDEX('درجریان وصول'!F:F,MATCH(Table29[[#This Row],[كد تفصيلي]],'درجریان وصول'!A:A,0)),0)</f>
        <v>0</v>
      </c>
      <c r="E115" s="11">
        <f>IFERROR(INDEX('چکهای دریافتنی'!F:F,MATCH(Table29[[#This Row],[كد تفصيلي]],'چکهای دریافتنی'!A:A,0)),0)</f>
        <v>0</v>
      </c>
      <c r="F115" s="11">
        <f>Table29[[#This Row],[حسابهای دریافتنی]]+Table29[[#This Row],[چکهای در جریان وصول]]+Table29[[#This Row],[چکهای نزد صندوق]]</f>
        <v>-238500</v>
      </c>
      <c r="G115" s="12">
        <f>IFERROR(INDEX('مانده سوفاله'!F:F,MATCH(Table29[[#This Row],[كد تفصيلي]],'مانده سوفاله'!A:A,0)),0)</f>
        <v>0</v>
      </c>
    </row>
    <row r="116" spans="1:7" ht="24" customHeight="1" x14ac:dyDescent="0.35">
      <c r="A116" s="27">
        <v>10012</v>
      </c>
      <c r="B116" s="55" t="s">
        <v>19</v>
      </c>
      <c r="C116" s="10">
        <f>IFERROR(INDEX('حسابهای دریافتنی'!H:H,MATCH(Table29[[#This Row],[كد تفصيلي]],'حسابهای دریافتنی'!A:A,0)),0)</f>
        <v>-244000</v>
      </c>
      <c r="D116" s="11">
        <f>IFERROR(INDEX('درجریان وصول'!F:F,MATCH(Table29[[#This Row],[كد تفصيلي]],'درجریان وصول'!A:A,0)),0)</f>
        <v>0</v>
      </c>
      <c r="E116" s="11">
        <f>IFERROR(INDEX('چکهای دریافتنی'!F:F,MATCH(Table29[[#This Row],[كد تفصيلي]],'چکهای دریافتنی'!A:A,0)),0)</f>
        <v>0</v>
      </c>
      <c r="F116" s="11">
        <f>Table29[[#This Row],[حسابهای دریافتنی]]+Table29[[#This Row],[چکهای در جریان وصول]]+Table29[[#This Row],[چکهای نزد صندوق]]</f>
        <v>-244000</v>
      </c>
      <c r="G116" s="12">
        <f>IFERROR(INDEX('مانده سوفاله'!F:F,MATCH(Table29[[#This Row],[كد تفصيلي]],'مانده سوفاله'!A:A,0)),0)</f>
        <v>0</v>
      </c>
    </row>
    <row r="117" spans="1:7" ht="24" customHeight="1" x14ac:dyDescent="0.35">
      <c r="A117" s="26">
        <v>30088</v>
      </c>
      <c r="B117" s="56" t="s">
        <v>142</v>
      </c>
      <c r="C117" s="10">
        <f>IFERROR(INDEX('حسابهای دریافتنی'!H:H,MATCH(Table29[[#This Row],[كد تفصيلي]],'حسابهای دریافتنی'!A:A,0)),0)</f>
        <v>-252000</v>
      </c>
      <c r="D117" s="11">
        <f>IFERROR(INDEX('درجریان وصول'!F:F,MATCH(Table29[[#This Row],[كد تفصيلي]],'درجریان وصول'!A:A,0)),0)</f>
        <v>0</v>
      </c>
      <c r="E117" s="11">
        <f>IFERROR(INDEX('چکهای دریافتنی'!F:F,MATCH(Table29[[#This Row],[كد تفصيلي]],'چکهای دریافتنی'!A:A,0)),0)</f>
        <v>0</v>
      </c>
      <c r="F117" s="11">
        <f>Table29[[#This Row],[حسابهای دریافتنی]]+Table29[[#This Row],[چکهای در جریان وصول]]+Table29[[#This Row],[چکهای نزد صندوق]]</f>
        <v>-252000</v>
      </c>
      <c r="G117" s="12">
        <f>IFERROR(INDEX('مانده سوفاله'!F:F,MATCH(Table29[[#This Row],[كد تفصيلي]],'مانده سوفاله'!A:A,0)),0)</f>
        <v>0</v>
      </c>
    </row>
    <row r="118" spans="1:7" ht="24" customHeight="1" x14ac:dyDescent="0.35">
      <c r="A118" s="26">
        <v>10128</v>
      </c>
      <c r="B118" s="56" t="s">
        <v>372</v>
      </c>
      <c r="C118" s="10">
        <f>IFERROR(INDEX('حسابهای دریافتنی'!H:H,MATCH(Table29[[#This Row],[كد تفصيلي]],'حسابهای دریافتنی'!A:A,0)),0)</f>
        <v>-45000</v>
      </c>
      <c r="D118" s="11">
        <f>IFERROR(INDEX('درجریان وصول'!F:F,MATCH(Table29[[#This Row],[كد تفصيلي]],'درجریان وصول'!A:A,0)),0)</f>
        <v>0</v>
      </c>
      <c r="E118" s="11">
        <f>IFERROR(INDEX('چکهای دریافتنی'!F:F,MATCH(Table29[[#This Row],[كد تفصيلي]],'چکهای دریافتنی'!A:A,0)),0)</f>
        <v>0</v>
      </c>
      <c r="F118" s="11">
        <f>Table29[[#This Row],[حسابهای دریافتنی]]+Table29[[#This Row],[چکهای در جریان وصول]]+Table29[[#This Row],[چکهای نزد صندوق]]</f>
        <v>-45000</v>
      </c>
      <c r="G118" s="12">
        <f>IFERROR(INDEX('مانده سوفاله'!F:F,MATCH(Table29[[#This Row],[كد تفصيلي]],'مانده سوفاله'!A:A,0)),0)</f>
        <v>6</v>
      </c>
    </row>
    <row r="119" spans="1:7" ht="24" customHeight="1" x14ac:dyDescent="0.35">
      <c r="A119" s="27">
        <v>10052</v>
      </c>
      <c r="B119" s="55" t="s">
        <v>192</v>
      </c>
      <c r="C119" s="10">
        <f>IFERROR(INDEX('حسابهای دریافتنی'!H:H,MATCH(Table29[[#This Row],[كد تفصيلي]],'حسابهای دریافتنی'!A:A,0)),0)</f>
        <v>0</v>
      </c>
      <c r="D119" s="11">
        <f>IFERROR(INDEX('درجریان وصول'!F:F,MATCH(Table29[[#This Row],[كد تفصيلي]],'درجریان وصول'!A:A,0)),0)</f>
        <v>0</v>
      </c>
      <c r="E119" s="11">
        <f>IFERROR(INDEX('چکهای دریافتنی'!F:F,MATCH(Table29[[#This Row],[كد تفصيلي]],'چکهای دریافتنی'!A:A,0)),0)</f>
        <v>0</v>
      </c>
      <c r="F119" s="11">
        <f>Table29[[#This Row],[حسابهای دریافتنی]]+Table29[[#This Row],[چکهای در جریان وصول]]+Table29[[#This Row],[چکهای نزد صندوق]]</f>
        <v>0</v>
      </c>
      <c r="G119" s="12">
        <f>IFERROR(INDEX('مانده سوفاله'!F:F,MATCH(Table29[[#This Row],[كد تفصيلي]],'مانده سوفاله'!A:A,0)),0)</f>
        <v>0</v>
      </c>
    </row>
    <row r="120" spans="1:7" ht="24" customHeight="1" x14ac:dyDescent="0.35">
      <c r="A120" s="26">
        <v>10045</v>
      </c>
      <c r="B120" s="56" t="s">
        <v>50</v>
      </c>
      <c r="C120" s="10">
        <f>IFERROR(INDEX('حسابهای دریافتنی'!H:H,MATCH(Table29[[#This Row],[كد تفصيلي]],'حسابهای دریافتنی'!A:A,0)),0)</f>
        <v>-383000</v>
      </c>
      <c r="D120" s="11">
        <f>IFERROR(INDEX('درجریان وصول'!F:F,MATCH(Table29[[#This Row],[كد تفصيلي]],'درجریان وصول'!A:A,0)),0)</f>
        <v>0</v>
      </c>
      <c r="E120" s="11">
        <f>IFERROR(INDEX('چکهای دریافتنی'!F:F,MATCH(Table29[[#This Row],[كد تفصيلي]],'چکهای دریافتنی'!A:A,0)),0)</f>
        <v>0</v>
      </c>
      <c r="F120" s="11">
        <f>Table29[[#This Row],[حسابهای دریافتنی]]+Table29[[#This Row],[چکهای در جریان وصول]]+Table29[[#This Row],[چکهای نزد صندوق]]</f>
        <v>-383000</v>
      </c>
      <c r="G120" s="12">
        <f>IFERROR(INDEX('مانده سوفاله'!F:F,MATCH(Table29[[#This Row],[كد تفصيلي]],'مانده سوفاله'!A:A,0)),0)</f>
        <v>-30</v>
      </c>
    </row>
    <row r="121" spans="1:7" ht="24" customHeight="1" x14ac:dyDescent="0.35">
      <c r="A121" s="26">
        <v>30051</v>
      </c>
      <c r="B121" s="56" t="s">
        <v>98</v>
      </c>
      <c r="C121" s="10">
        <f>IFERROR(INDEX('حسابهای دریافتنی'!H:H,MATCH(Table29[[#This Row],[كد تفصيلي]],'حسابهای دریافتنی'!A:A,0)),0)</f>
        <v>-384000</v>
      </c>
      <c r="D121" s="11">
        <f>IFERROR(INDEX('درجریان وصول'!F:F,MATCH(Table29[[#This Row],[كد تفصيلي]],'درجریان وصول'!A:A,0)),0)</f>
        <v>0</v>
      </c>
      <c r="E121" s="11">
        <f>IFERROR(INDEX('چکهای دریافتنی'!F:F,MATCH(Table29[[#This Row],[كد تفصيلي]],'چکهای دریافتنی'!A:A,0)),0)</f>
        <v>0</v>
      </c>
      <c r="F121" s="11">
        <f>Table29[[#This Row],[حسابهای دریافتنی]]+Table29[[#This Row],[چکهای در جریان وصول]]+Table29[[#This Row],[چکهای نزد صندوق]]</f>
        <v>-384000</v>
      </c>
      <c r="G121" s="12">
        <f>IFERROR(INDEX('مانده سوفاله'!F:F,MATCH(Table29[[#This Row],[كد تفصيلي]],'مانده سوفاله'!A:A,0)),0)</f>
        <v>0</v>
      </c>
    </row>
    <row r="122" spans="1:7" ht="24" customHeight="1" x14ac:dyDescent="0.35">
      <c r="A122" s="27">
        <v>30044</v>
      </c>
      <c r="B122" s="55" t="s">
        <v>91</v>
      </c>
      <c r="C122" s="10">
        <f>IFERROR(INDEX('حسابهای دریافتنی'!H:H,MATCH(Table29[[#This Row],[كد تفصيلي]],'حسابهای دریافتنی'!A:A,0)),0)</f>
        <v>-492500</v>
      </c>
      <c r="D122" s="11">
        <f>IFERROR(INDEX('درجریان وصول'!F:F,MATCH(Table29[[#This Row],[كد تفصيلي]],'درجریان وصول'!A:A,0)),0)</f>
        <v>0</v>
      </c>
      <c r="E122" s="11">
        <f>IFERROR(INDEX('چکهای دریافتنی'!F:F,MATCH(Table29[[#This Row],[كد تفصيلي]],'چکهای دریافتنی'!A:A,0)),0)</f>
        <v>0</v>
      </c>
      <c r="F122" s="11">
        <f>Table29[[#This Row],[حسابهای دریافتنی]]+Table29[[#This Row],[چکهای در جریان وصول]]+Table29[[#This Row],[چکهای نزد صندوق]]</f>
        <v>-492500</v>
      </c>
      <c r="G122" s="12">
        <f>IFERROR(INDEX('مانده سوفاله'!F:F,MATCH(Table29[[#This Row],[كد تفصيلي]],'مانده سوفاله'!A:A,0)),0)</f>
        <v>2</v>
      </c>
    </row>
    <row r="123" spans="1:7" ht="24" customHeight="1" x14ac:dyDescent="0.35">
      <c r="A123" s="26">
        <v>10095</v>
      </c>
      <c r="B123" s="56" t="s">
        <v>268</v>
      </c>
      <c r="C123" s="10">
        <f>IFERROR(INDEX('حسابهای دریافتنی'!H:H,MATCH(Table29[[#This Row],[كد تفصيلي]],'حسابهای دریافتنی'!A:A,0)),0)</f>
        <v>-496500</v>
      </c>
      <c r="D123" s="11">
        <f>IFERROR(INDEX('درجریان وصول'!F:F,MATCH(Table29[[#This Row],[كد تفصيلي]],'درجریان وصول'!A:A,0)),0)</f>
        <v>0</v>
      </c>
      <c r="E123" s="11">
        <f>IFERROR(INDEX('چکهای دریافتنی'!F:F,MATCH(Table29[[#This Row],[كد تفصيلي]],'چکهای دریافتنی'!A:A,0)),0)</f>
        <v>0</v>
      </c>
      <c r="F123" s="11">
        <f>Table29[[#This Row],[حسابهای دریافتنی]]+Table29[[#This Row],[چکهای در جریان وصول]]+Table29[[#This Row],[چکهای نزد صندوق]]</f>
        <v>-496500</v>
      </c>
      <c r="G123" s="12">
        <f>IFERROR(INDEX('مانده سوفاله'!F:F,MATCH(Table29[[#This Row],[كد تفصيلي]],'مانده سوفاله'!A:A,0)),0)</f>
        <v>0</v>
      </c>
    </row>
    <row r="124" spans="1:7" ht="24" customHeight="1" x14ac:dyDescent="0.35">
      <c r="A124" s="27">
        <v>30052</v>
      </c>
      <c r="B124" s="55" t="s">
        <v>149</v>
      </c>
      <c r="C124" s="10">
        <f>IFERROR(INDEX('حسابهای دریافتنی'!H:H,MATCH(Table29[[#This Row],[كد تفصيلي]],'حسابهای دریافتنی'!A:A,0)),0)</f>
        <v>-539000</v>
      </c>
      <c r="D124" s="11">
        <f>IFERROR(INDEX('درجریان وصول'!F:F,MATCH(Table29[[#This Row],[كد تفصيلي]],'درجریان وصول'!A:A,0)),0)</f>
        <v>0</v>
      </c>
      <c r="E124" s="11">
        <f>IFERROR(INDEX('چکهای دریافتنی'!F:F,MATCH(Table29[[#This Row],[كد تفصيلي]],'چکهای دریافتنی'!A:A,0)),0)</f>
        <v>0</v>
      </c>
      <c r="F124" s="11">
        <f>Table29[[#This Row],[حسابهای دریافتنی]]+Table29[[#This Row],[چکهای در جریان وصول]]+Table29[[#This Row],[چکهای نزد صندوق]]</f>
        <v>-539000</v>
      </c>
      <c r="G124" s="12">
        <f>IFERROR(INDEX('مانده سوفاله'!F:F,MATCH(Table29[[#This Row],[كد تفصيلي]],'مانده سوفاله'!A:A,0)),0)</f>
        <v>0</v>
      </c>
    </row>
    <row r="125" spans="1:7" ht="24" customHeight="1" x14ac:dyDescent="0.35">
      <c r="A125" s="26">
        <v>10061</v>
      </c>
      <c r="B125" s="56" t="s">
        <v>194</v>
      </c>
      <c r="C125" s="10">
        <f>IFERROR(INDEX('حسابهای دریافتنی'!H:H,MATCH(Table29[[#This Row],[كد تفصيلي]],'حسابهای دریافتنی'!A:A,0)),0)</f>
        <v>-565500</v>
      </c>
      <c r="D125" s="11">
        <f>IFERROR(INDEX('درجریان وصول'!F:F,MATCH(Table29[[#This Row],[كد تفصيلي]],'درجریان وصول'!A:A,0)),0)</f>
        <v>0</v>
      </c>
      <c r="E125" s="11">
        <f>IFERROR(INDEX('چکهای دریافتنی'!F:F,MATCH(Table29[[#This Row],[كد تفصيلي]],'چکهای دریافتنی'!A:A,0)),0)</f>
        <v>0</v>
      </c>
      <c r="F125" s="11">
        <f>Table29[[#This Row],[حسابهای دریافتنی]]+Table29[[#This Row],[چکهای در جریان وصول]]+Table29[[#This Row],[چکهای نزد صندوق]]</f>
        <v>-565500</v>
      </c>
      <c r="G125" s="12">
        <f>IFERROR(INDEX('مانده سوفاله'!F:F,MATCH(Table29[[#This Row],[كد تفصيلي]],'مانده سوفاله'!A:A,0)),0)</f>
        <v>0</v>
      </c>
    </row>
    <row r="126" spans="1:7" ht="24" customHeight="1" x14ac:dyDescent="0.35">
      <c r="A126" s="26">
        <v>10118</v>
      </c>
      <c r="B126" s="56" t="s">
        <v>334</v>
      </c>
      <c r="C126" s="10">
        <f>IFERROR(INDEX('حسابهای دریافتنی'!H:H,MATCH(Table29[[#This Row],[كد تفصيلي]],'حسابهای دریافتنی'!A:A,0)),0)</f>
        <v>-587500</v>
      </c>
      <c r="D126" s="11">
        <f>IFERROR(INDEX('درجریان وصول'!F:F,MATCH(Table29[[#This Row],[كد تفصيلي]],'درجریان وصول'!A:A,0)),0)</f>
        <v>0</v>
      </c>
      <c r="E126" s="11">
        <f>IFERROR(INDEX('چکهای دریافتنی'!F:F,MATCH(Table29[[#This Row],[كد تفصيلي]],'چکهای دریافتنی'!A:A,0)),0)</f>
        <v>0</v>
      </c>
      <c r="F126" s="11">
        <f>Table29[[#This Row],[حسابهای دریافتنی]]+Table29[[#This Row],[چکهای در جریان وصول]]+Table29[[#This Row],[چکهای نزد صندوق]]</f>
        <v>-587500</v>
      </c>
      <c r="G126" s="12">
        <f>IFERROR(INDEX('مانده سوفاله'!F:F,MATCH(Table29[[#This Row],[كد تفصيلي]],'مانده سوفاله'!A:A,0)),0)</f>
        <v>0</v>
      </c>
    </row>
    <row r="127" spans="1:7" ht="24" customHeight="1" x14ac:dyDescent="0.35">
      <c r="A127" s="27">
        <v>10018</v>
      </c>
      <c r="B127" s="55" t="s">
        <v>25</v>
      </c>
      <c r="C127" s="10">
        <f>IFERROR(INDEX('حسابهای دریافتنی'!H:H,MATCH(Table29[[#This Row],[كد تفصيلي]],'حسابهای دریافتنی'!A:A,0)),0)</f>
        <v>95282000</v>
      </c>
      <c r="D127" s="11">
        <f>IFERROR(INDEX('درجریان وصول'!F:F,MATCH(Table29[[#This Row],[كد تفصيلي]],'درجریان وصول'!A:A,0)),0)</f>
        <v>0</v>
      </c>
      <c r="E127" s="11">
        <f>IFERROR(INDEX('چکهای دریافتنی'!F:F,MATCH(Table29[[#This Row],[كد تفصيلي]],'چکهای دریافتنی'!A:A,0)),0)</f>
        <v>0</v>
      </c>
      <c r="F127" s="11">
        <f>Table29[[#This Row],[حسابهای دریافتنی]]+Table29[[#This Row],[چکهای در جریان وصول]]+Table29[[#This Row],[چکهای نزد صندوق]]</f>
        <v>95282000</v>
      </c>
      <c r="G127" s="12">
        <f>IFERROR(INDEX('مانده سوفاله'!F:F,MATCH(Table29[[#This Row],[كد تفصيلي]],'مانده سوفاله'!A:A,0)),0)</f>
        <v>-32</v>
      </c>
    </row>
    <row r="128" spans="1:7" ht="24" customHeight="1" x14ac:dyDescent="0.35">
      <c r="A128" s="26">
        <v>30112</v>
      </c>
      <c r="B128" s="56" t="s">
        <v>201</v>
      </c>
      <c r="C128" s="10">
        <f>IFERROR(INDEX('حسابهای دریافتنی'!H:H,MATCH(Table29[[#This Row],[كد تفصيلي]],'حسابهای دریافتنی'!A:A,0)),0)</f>
        <v>-720500</v>
      </c>
      <c r="D128" s="11">
        <f>IFERROR(INDEX('درجریان وصول'!F:F,MATCH(Table29[[#This Row],[كد تفصيلي]],'درجریان وصول'!A:A,0)),0)</f>
        <v>0</v>
      </c>
      <c r="E128" s="11">
        <f>IFERROR(INDEX('چکهای دریافتنی'!F:F,MATCH(Table29[[#This Row],[كد تفصيلي]],'چکهای دریافتنی'!A:A,0)),0)</f>
        <v>0</v>
      </c>
      <c r="F128" s="11">
        <f>Table29[[#This Row],[حسابهای دریافتنی]]+Table29[[#This Row],[چکهای در جریان وصول]]+Table29[[#This Row],[چکهای نزد صندوق]]</f>
        <v>-720500</v>
      </c>
      <c r="G128" s="12">
        <f>IFERROR(INDEX('مانده سوفاله'!F:F,MATCH(Table29[[#This Row],[كد تفصيلي]],'مانده سوفاله'!A:A,0)),0)</f>
        <v>36</v>
      </c>
    </row>
    <row r="129" spans="1:7" ht="24" customHeight="1" x14ac:dyDescent="0.35">
      <c r="A129" s="26">
        <v>10013</v>
      </c>
      <c r="B129" s="56" t="s">
        <v>20</v>
      </c>
      <c r="C129" s="10">
        <f>IFERROR(INDEX('حسابهای دریافتنی'!H:H,MATCH(Table29[[#This Row],[كد تفصيلي]],'حسابهای دریافتنی'!A:A,0)),0)</f>
        <v>-915000</v>
      </c>
      <c r="D129" s="11">
        <f>IFERROR(INDEX('درجریان وصول'!F:F,MATCH(Table29[[#This Row],[كد تفصيلي]],'درجریان وصول'!A:A,0)),0)</f>
        <v>0</v>
      </c>
      <c r="E129" s="11">
        <f>IFERROR(INDEX('چکهای دریافتنی'!F:F,MATCH(Table29[[#This Row],[كد تفصيلي]],'چکهای دریافتنی'!A:A,0)),0)</f>
        <v>0</v>
      </c>
      <c r="F129" s="11">
        <f>Table29[[#This Row],[حسابهای دریافتنی]]+Table29[[#This Row],[چکهای در جریان وصول]]+Table29[[#This Row],[چکهای نزد صندوق]]</f>
        <v>-915000</v>
      </c>
      <c r="G129" s="12">
        <f>IFERROR(INDEX('مانده سوفاله'!F:F,MATCH(Table29[[#This Row],[كد تفصيلي]],'مانده سوفاله'!A:A,0)),0)</f>
        <v>0</v>
      </c>
    </row>
    <row r="130" spans="1:7" ht="24" customHeight="1" x14ac:dyDescent="0.35">
      <c r="A130" s="27">
        <v>10042</v>
      </c>
      <c r="B130" s="55" t="s">
        <v>47</v>
      </c>
      <c r="C130" s="10">
        <f>IFERROR(INDEX('حسابهای دریافتنی'!H:H,MATCH(Table29[[#This Row],[كد تفصيلي]],'حسابهای دریافتنی'!A:A,0)),0)</f>
        <v>-1120000</v>
      </c>
      <c r="D130" s="11">
        <f>IFERROR(INDEX('درجریان وصول'!F:F,MATCH(Table29[[#This Row],[كد تفصيلي]],'درجریان وصول'!A:A,0)),0)</f>
        <v>0</v>
      </c>
      <c r="E130" s="11">
        <f>IFERROR(INDEX('چکهای دریافتنی'!F:F,MATCH(Table29[[#This Row],[كد تفصيلي]],'چکهای دریافتنی'!A:A,0)),0)</f>
        <v>0</v>
      </c>
      <c r="F130" s="11">
        <f>Table29[[#This Row],[حسابهای دریافتنی]]+Table29[[#This Row],[چکهای در جریان وصول]]+Table29[[#This Row],[چکهای نزد صندوق]]</f>
        <v>-1120000</v>
      </c>
      <c r="G130" s="12">
        <f>IFERROR(INDEX('مانده سوفاله'!F:F,MATCH(Table29[[#This Row],[كد تفصيلي]],'مانده سوفاله'!A:A,0)),0)</f>
        <v>2</v>
      </c>
    </row>
    <row r="131" spans="1:7" ht="24" customHeight="1" x14ac:dyDescent="0.35">
      <c r="A131" s="27">
        <v>30032</v>
      </c>
      <c r="B131" s="55" t="s">
        <v>79</v>
      </c>
      <c r="C131" s="10">
        <f>IFERROR(INDEX('حسابهای دریافتنی'!H:H,MATCH(Table29[[#This Row],[كد تفصيلي]],'حسابهای دریافتنی'!A:A,0)),0)</f>
        <v>-1347000</v>
      </c>
      <c r="D131" s="11">
        <f>IFERROR(INDEX('درجریان وصول'!F:F,MATCH(Table29[[#This Row],[كد تفصيلي]],'درجریان وصول'!A:A,0)),0)</f>
        <v>0</v>
      </c>
      <c r="E131" s="11">
        <f>IFERROR(INDEX('چکهای دریافتنی'!F:F,MATCH(Table29[[#This Row],[كد تفصيلي]],'چکهای دریافتنی'!A:A,0)),0)</f>
        <v>0</v>
      </c>
      <c r="F131" s="11">
        <f>Table29[[#This Row],[حسابهای دریافتنی]]+Table29[[#This Row],[چکهای در جریان وصول]]+Table29[[#This Row],[چکهای نزد صندوق]]</f>
        <v>-1347000</v>
      </c>
      <c r="G131" s="12">
        <f>IFERROR(INDEX('مانده سوفاله'!F:F,MATCH(Table29[[#This Row],[كد تفصيلي]],'مانده سوفاله'!A:A,0)),0)</f>
        <v>0</v>
      </c>
    </row>
    <row r="132" spans="1:7" ht="24" customHeight="1" x14ac:dyDescent="0.35">
      <c r="A132" s="27">
        <v>30171</v>
      </c>
      <c r="B132" s="55" t="s">
        <v>322</v>
      </c>
      <c r="C132" s="10">
        <f>IFERROR(INDEX('حسابهای دریافتنی'!H:H,MATCH(Table29[[#This Row],[كد تفصيلي]],'حسابهای دریافتنی'!A:A,0)),0)</f>
        <v>-1500000</v>
      </c>
      <c r="D132" s="11">
        <f>IFERROR(INDEX('درجریان وصول'!F:F,MATCH(Table29[[#This Row],[كد تفصيلي]],'درجریان وصول'!A:A,0)),0)</f>
        <v>0</v>
      </c>
      <c r="E132" s="11">
        <f>IFERROR(INDEX('چکهای دریافتنی'!F:F,MATCH(Table29[[#This Row],[كد تفصيلي]],'چکهای دریافتنی'!A:A,0)),0)</f>
        <v>0</v>
      </c>
      <c r="F132" s="11">
        <f>Table29[[#This Row],[حسابهای دریافتنی]]+Table29[[#This Row],[چکهای در جریان وصول]]+Table29[[#This Row],[چکهای نزد صندوق]]</f>
        <v>-1500000</v>
      </c>
      <c r="G132" s="12">
        <f>IFERROR(INDEX('مانده سوفاله'!F:F,MATCH(Table29[[#This Row],[كد تفصيلي]],'مانده سوفاله'!A:A,0)),0)</f>
        <v>0</v>
      </c>
    </row>
    <row r="133" spans="1:7" ht="24" customHeight="1" x14ac:dyDescent="0.35">
      <c r="A133" s="26">
        <v>10103</v>
      </c>
      <c r="B133" s="56" t="s">
        <v>283</v>
      </c>
      <c r="C133" s="10">
        <f>IFERROR(INDEX('حسابهای دریافتنی'!H:H,MATCH(Table29[[#This Row],[كد تفصيلي]],'حسابهای دریافتنی'!A:A,0)),0)</f>
        <v>-1580000</v>
      </c>
      <c r="D133" s="11">
        <f>IFERROR(INDEX('درجریان وصول'!F:F,MATCH(Table29[[#This Row],[كد تفصيلي]],'درجریان وصول'!A:A,0)),0)</f>
        <v>0</v>
      </c>
      <c r="E133" s="11">
        <f>IFERROR(INDEX('چکهای دریافتنی'!F:F,MATCH(Table29[[#This Row],[كد تفصيلي]],'چکهای دریافتنی'!A:A,0)),0)</f>
        <v>0</v>
      </c>
      <c r="F133" s="11">
        <f>Table29[[#This Row],[حسابهای دریافتنی]]+Table29[[#This Row],[چکهای در جریان وصول]]+Table29[[#This Row],[چکهای نزد صندوق]]</f>
        <v>-1580000</v>
      </c>
      <c r="G133" s="12">
        <f>IFERROR(INDEX('مانده سوفاله'!F:F,MATCH(Table29[[#This Row],[كد تفصيلي]],'مانده سوفاله'!A:A,0)),0)</f>
        <v>0</v>
      </c>
    </row>
    <row r="134" spans="1:7" ht="24" customHeight="1" x14ac:dyDescent="0.35">
      <c r="A134" s="27">
        <v>10125</v>
      </c>
      <c r="B134" s="55" t="s">
        <v>345</v>
      </c>
      <c r="C134" s="10">
        <f>IFERROR(INDEX('حسابهای دریافتنی'!H:H,MATCH(Table29[[#This Row],[كد تفصيلي]],'حسابهای دریافتنی'!A:A,0)),0)</f>
        <v>-1650000</v>
      </c>
      <c r="D134" s="11">
        <f>IFERROR(INDEX('درجریان وصول'!F:F,MATCH(Table29[[#This Row],[كد تفصيلي]],'درجریان وصول'!A:A,0)),0)</f>
        <v>0</v>
      </c>
      <c r="E134" s="11">
        <f>IFERROR(INDEX('چکهای دریافتنی'!F:F,MATCH(Table29[[#This Row],[كد تفصيلي]],'چکهای دریافتنی'!A:A,0)),0)</f>
        <v>0</v>
      </c>
      <c r="F134" s="11">
        <f>Table29[[#This Row],[حسابهای دریافتنی]]+Table29[[#This Row],[چکهای در جریان وصول]]+Table29[[#This Row],[چکهای نزد صندوق]]</f>
        <v>-1650000</v>
      </c>
      <c r="G134" s="12">
        <f>IFERROR(INDEX('مانده سوفاله'!F:F,MATCH(Table29[[#This Row],[كد تفصيلي]],'مانده سوفاله'!A:A,0)),0)</f>
        <v>0</v>
      </c>
    </row>
    <row r="135" spans="1:7" ht="24" customHeight="1" x14ac:dyDescent="0.35">
      <c r="A135" s="26">
        <v>10110</v>
      </c>
      <c r="B135" s="56" t="s">
        <v>306</v>
      </c>
      <c r="C135" s="10">
        <f>IFERROR(INDEX('حسابهای دریافتنی'!H:H,MATCH(Table29[[#This Row],[كد تفصيلي]],'حسابهای دریافتنی'!A:A,0)),0)</f>
        <v>-1817500</v>
      </c>
      <c r="D135" s="11">
        <f>IFERROR(INDEX('درجریان وصول'!F:F,MATCH(Table29[[#This Row],[كد تفصيلي]],'درجریان وصول'!A:A,0)),0)</f>
        <v>0</v>
      </c>
      <c r="E135" s="11">
        <f>IFERROR(INDEX('چکهای دریافتنی'!F:F,MATCH(Table29[[#This Row],[كد تفصيلي]],'چکهای دریافتنی'!A:A,0)),0)</f>
        <v>0</v>
      </c>
      <c r="F135" s="11">
        <f>Table29[[#This Row],[حسابهای دریافتنی]]+Table29[[#This Row],[چکهای در جریان وصول]]+Table29[[#This Row],[چکهای نزد صندوق]]</f>
        <v>-1817500</v>
      </c>
      <c r="G135" s="12">
        <f>IFERROR(INDEX('مانده سوفاله'!F:F,MATCH(Table29[[#This Row],[كد تفصيلي]],'مانده سوفاله'!A:A,0)),0)</f>
        <v>7</v>
      </c>
    </row>
    <row r="136" spans="1:7" ht="24" customHeight="1" x14ac:dyDescent="0.35">
      <c r="A136" s="27">
        <v>30103</v>
      </c>
      <c r="B136" s="55" t="s">
        <v>240</v>
      </c>
      <c r="C136" s="10">
        <f>IFERROR(INDEX('حسابهای دریافتنی'!H:H,MATCH(Table29[[#This Row],[كد تفصيلي]],'حسابهای دریافتنی'!A:A,0)),0)</f>
        <v>-1820000</v>
      </c>
      <c r="D136" s="11">
        <f>IFERROR(INDEX('درجریان وصول'!F:F,MATCH(Table29[[#This Row],[كد تفصيلي]],'درجریان وصول'!A:A,0)),0)</f>
        <v>0</v>
      </c>
      <c r="E136" s="11">
        <f>IFERROR(INDEX('چکهای دریافتنی'!F:F,MATCH(Table29[[#This Row],[كد تفصيلي]],'چکهای دریافتنی'!A:A,0)),0)</f>
        <v>0</v>
      </c>
      <c r="F136" s="11">
        <f>Table29[[#This Row],[حسابهای دریافتنی]]+Table29[[#This Row],[چکهای در جریان وصول]]+Table29[[#This Row],[چکهای نزد صندوق]]</f>
        <v>-1820000</v>
      </c>
      <c r="G136" s="12">
        <f>IFERROR(INDEX('مانده سوفاله'!F:F,MATCH(Table29[[#This Row],[كد تفصيلي]],'مانده سوفاله'!A:A,0)),0)</f>
        <v>0</v>
      </c>
    </row>
    <row r="137" spans="1:7" ht="24" customHeight="1" x14ac:dyDescent="0.35">
      <c r="A137" s="26">
        <v>30174</v>
      </c>
      <c r="B137" s="56" t="s">
        <v>327</v>
      </c>
      <c r="C137" s="10">
        <f>IFERROR(INDEX('حسابهای دریافتنی'!H:H,MATCH(Table29[[#This Row],[كد تفصيلي]],'حسابهای دریافتنی'!A:A,0)),0)</f>
        <v>-5000</v>
      </c>
      <c r="D137" s="11">
        <f>IFERROR(INDEX('درجریان وصول'!F:F,MATCH(Table29[[#This Row],[كد تفصيلي]],'درجریان وصول'!A:A,0)),0)</f>
        <v>0</v>
      </c>
      <c r="E137" s="11">
        <f>IFERROR(INDEX('چکهای دریافتنی'!F:F,MATCH(Table29[[#This Row],[كد تفصيلي]],'چکهای دریافتنی'!A:A,0)),0)</f>
        <v>0</v>
      </c>
      <c r="F137" s="11">
        <f>Table29[[#This Row],[حسابهای دریافتنی]]+Table29[[#This Row],[چکهای در جریان وصول]]+Table29[[#This Row],[چکهای نزد صندوق]]</f>
        <v>-5000</v>
      </c>
      <c r="G137" s="12">
        <f>IFERROR(INDEX('مانده سوفاله'!F:F,MATCH(Table29[[#This Row],[كد تفصيلي]],'مانده سوفاله'!A:A,0)),0)</f>
        <v>0</v>
      </c>
    </row>
    <row r="138" spans="1:7" customFormat="1" ht="24" customHeight="1" x14ac:dyDescent="0.35">
      <c r="A138" s="53">
        <v>30128</v>
      </c>
      <c r="B138" s="56" t="s">
        <v>212</v>
      </c>
      <c r="C138" s="10">
        <f>IFERROR(INDEX('حسابهای دریافتنی'!H:H,MATCH(Table29[[#This Row],[كد تفصيلي]],'حسابهای دریافتنی'!A:A,0)),0)</f>
        <v>-2451320</v>
      </c>
      <c r="D138" s="11">
        <f>IFERROR(INDEX('درجریان وصول'!F:F,MATCH(Table29[[#This Row],[كد تفصيلي]],'درجریان وصول'!A:A,0)),0)</f>
        <v>0</v>
      </c>
      <c r="E138" s="11">
        <f>IFERROR(INDEX('چکهای دریافتنی'!F:F,MATCH(Table29[[#This Row],[كد تفصيلي]],'چکهای دریافتنی'!A:A,0)),0)</f>
        <v>0</v>
      </c>
      <c r="F138" s="11">
        <f>Table29[[#This Row],[حسابهای دریافتنی]]+Table29[[#This Row],[چکهای در جریان وصول]]+Table29[[#This Row],[چکهای نزد صندوق]]</f>
        <v>-2451320</v>
      </c>
      <c r="G138" s="12">
        <f>IFERROR(INDEX('مانده سوفاله'!F:F,MATCH(Table29[[#This Row],[كد تفصيلي]],'مانده سوفاله'!A:A,0)),0)</f>
        <v>0</v>
      </c>
    </row>
    <row r="139" spans="1:7" customFormat="1" ht="24" customHeight="1" x14ac:dyDescent="0.35">
      <c r="A139" s="53">
        <v>30015</v>
      </c>
      <c r="B139" s="56" t="s">
        <v>64</v>
      </c>
      <c r="C139" s="10">
        <f>IFERROR(INDEX('حسابهای دریافتنی'!H:H,MATCH(Table29[[#This Row],[كد تفصيلي]],'حسابهای دریافتنی'!A:A,0)),0)</f>
        <v>-3105895</v>
      </c>
      <c r="D139" s="11">
        <f>IFERROR(INDEX('درجریان وصول'!F:F,MATCH(Table29[[#This Row],[كد تفصيلي]],'درجریان وصول'!A:A,0)),0)</f>
        <v>0</v>
      </c>
      <c r="E139" s="11">
        <f>IFERROR(INDEX('چکهای دریافتنی'!F:F,MATCH(Table29[[#This Row],[كد تفصيلي]],'چکهای دریافتنی'!A:A,0)),0)</f>
        <v>0</v>
      </c>
      <c r="F139" s="11">
        <f>Table29[[#This Row],[حسابهای دریافتنی]]+Table29[[#This Row],[چکهای در جریان وصول]]+Table29[[#This Row],[چکهای نزد صندوق]]</f>
        <v>-3105895</v>
      </c>
      <c r="G139" s="12">
        <f>IFERROR(INDEX('مانده سوفاله'!F:F,MATCH(Table29[[#This Row],[كد تفصيلي]],'مانده سوفاله'!A:A,0)),0)</f>
        <v>0</v>
      </c>
    </row>
    <row r="140" spans="1:7" customFormat="1" ht="24" customHeight="1" x14ac:dyDescent="0.35">
      <c r="A140" s="53">
        <v>30110</v>
      </c>
      <c r="B140" s="56" t="s">
        <v>200</v>
      </c>
      <c r="C140" s="10">
        <f>IFERROR(INDEX('حسابهای دریافتنی'!H:H,MATCH(Table29[[#This Row],[كد تفصيلي]],'حسابهای دریافتنی'!A:A,0)),0)</f>
        <v>-3492360</v>
      </c>
      <c r="D140" s="11">
        <f>IFERROR(INDEX('درجریان وصول'!F:F,MATCH(Table29[[#This Row],[كد تفصيلي]],'درجریان وصول'!A:A,0)),0)</f>
        <v>0</v>
      </c>
      <c r="E140" s="11">
        <f>IFERROR(INDEX('چکهای دریافتنی'!F:F,MATCH(Table29[[#This Row],[كد تفصيلي]],'چکهای دریافتنی'!A:A,0)),0)</f>
        <v>0</v>
      </c>
      <c r="F140" s="11">
        <f>Table29[[#This Row],[حسابهای دریافتنی]]+Table29[[#This Row],[چکهای در جریان وصول]]+Table29[[#This Row],[چکهای نزد صندوق]]</f>
        <v>-3492360</v>
      </c>
      <c r="G140" s="12">
        <f>IFERROR(INDEX('مانده سوفاله'!F:F,MATCH(Table29[[#This Row],[كد تفصيلي]],'مانده سوفاله'!A:A,0)),0)</f>
        <v>0</v>
      </c>
    </row>
    <row r="141" spans="1:7" customFormat="1" ht="24" customHeight="1" x14ac:dyDescent="0.35">
      <c r="A141" s="53">
        <v>10049</v>
      </c>
      <c r="B141" s="56" t="s">
        <v>157</v>
      </c>
      <c r="C141" s="10">
        <f>IFERROR(INDEX('حسابهای دریافتنی'!H:H,MATCH(Table29[[#This Row],[كد تفصيلي]],'حسابهای دریافتنی'!A:A,0)),0)</f>
        <v>-32909500</v>
      </c>
      <c r="D141" s="11">
        <f>IFERROR(INDEX('درجریان وصول'!F:F,MATCH(Table29[[#This Row],[كد تفصيلي]],'درجریان وصول'!A:A,0)),0)</f>
        <v>0</v>
      </c>
      <c r="E141" s="11">
        <f>IFERROR(INDEX('چکهای دریافتنی'!F:F,MATCH(Table29[[#This Row],[كد تفصيلي]],'چکهای دریافتنی'!A:A,0)),0)</f>
        <v>0</v>
      </c>
      <c r="F141" s="11">
        <f>Table29[[#This Row],[حسابهای دریافتنی]]+Table29[[#This Row],[چکهای در جریان وصول]]+Table29[[#This Row],[چکهای نزد صندوق]]</f>
        <v>-32909500</v>
      </c>
      <c r="G141" s="12">
        <f>IFERROR(INDEX('مانده سوفاله'!F:F,MATCH(Table29[[#This Row],[كد تفصيلي]],'مانده سوفاله'!A:A,0)),0)</f>
        <v>0</v>
      </c>
    </row>
    <row r="142" spans="1:7" customFormat="1" ht="24" customHeight="1" x14ac:dyDescent="0.35">
      <c r="A142" s="53">
        <v>10015</v>
      </c>
      <c r="B142" s="56" t="s">
        <v>22</v>
      </c>
      <c r="C142" s="10">
        <f>IFERROR(INDEX('حسابهای دریافتنی'!H:H,MATCH(Table29[[#This Row],[كد تفصيلي]],'حسابهای دریافتنی'!A:A,0)),0)</f>
        <v>-4735000</v>
      </c>
      <c r="D142" s="11">
        <f>IFERROR(INDEX('درجریان وصول'!F:F,MATCH(Table29[[#This Row],[كد تفصيلي]],'درجریان وصول'!A:A,0)),0)</f>
        <v>0</v>
      </c>
      <c r="E142" s="11">
        <f>IFERROR(INDEX('چکهای دریافتنی'!F:F,MATCH(Table29[[#This Row],[كد تفصيلي]],'چکهای دریافتنی'!A:A,0)),0)</f>
        <v>0</v>
      </c>
      <c r="F142" s="11">
        <f>Table29[[#This Row],[حسابهای دریافتنی]]+Table29[[#This Row],[چکهای در جریان وصول]]+Table29[[#This Row],[چکهای نزد صندوق]]</f>
        <v>-4735000</v>
      </c>
      <c r="G142" s="12">
        <f>IFERROR(INDEX('مانده سوفاله'!F:F,MATCH(Table29[[#This Row],[كد تفصيلي]],'مانده سوفاله'!A:A,0)),0)</f>
        <v>12</v>
      </c>
    </row>
    <row r="143" spans="1:7" customFormat="1" ht="24" customHeight="1" x14ac:dyDescent="0.35">
      <c r="A143" s="53">
        <v>30023</v>
      </c>
      <c r="B143" s="56" t="s">
        <v>71</v>
      </c>
      <c r="C143" s="10">
        <f>IFERROR(INDEX('حسابهای دریافتنی'!H:H,MATCH(Table29[[#This Row],[كد تفصيلي]],'حسابهای دریافتنی'!A:A,0)),0)</f>
        <v>-5793600</v>
      </c>
      <c r="D143" s="11">
        <f>IFERROR(INDEX('درجریان وصول'!F:F,MATCH(Table29[[#This Row],[كد تفصيلي]],'درجریان وصول'!A:A,0)),0)</f>
        <v>0</v>
      </c>
      <c r="E143" s="11">
        <f>IFERROR(INDEX('چکهای دریافتنی'!F:F,MATCH(Table29[[#This Row],[كد تفصيلي]],'چکهای دریافتنی'!A:A,0)),0)</f>
        <v>0</v>
      </c>
      <c r="F143" s="11">
        <f>Table29[[#This Row],[حسابهای دریافتنی]]+Table29[[#This Row],[چکهای در جریان وصول]]+Table29[[#This Row],[چکهای نزد صندوق]]</f>
        <v>-5793600</v>
      </c>
      <c r="G143" s="12">
        <f>IFERROR(INDEX('مانده سوفاله'!F:F,MATCH(Table29[[#This Row],[كد تفصيلي]],'مانده سوفاله'!A:A,0)),0)</f>
        <v>0</v>
      </c>
    </row>
    <row r="144" spans="1:7" customFormat="1" ht="24" customHeight="1" x14ac:dyDescent="0.35">
      <c r="A144" s="54">
        <v>10088</v>
      </c>
      <c r="B144" s="55" t="s">
        <v>254</v>
      </c>
      <c r="C144" s="10">
        <f>IFERROR(INDEX('حسابهای دریافتنی'!H:H,MATCH(Table29[[#This Row],[كد تفصيلي]],'حسابهای دریافتنی'!A:A,0)),0)</f>
        <v>113500</v>
      </c>
      <c r="D144" s="11">
        <f>IFERROR(INDEX('درجریان وصول'!F:F,MATCH(Table29[[#This Row],[كد تفصيلي]],'درجریان وصول'!A:A,0)),0)</f>
        <v>0</v>
      </c>
      <c r="E144" s="11">
        <f>IFERROR(INDEX('چکهای دریافتنی'!F:F,MATCH(Table29[[#This Row],[كد تفصيلي]],'چکهای دریافتنی'!A:A,0)),0)</f>
        <v>0</v>
      </c>
      <c r="F144" s="11">
        <f>Table29[[#This Row],[حسابهای دریافتنی]]+Table29[[#This Row],[چکهای در جریان وصول]]+Table29[[#This Row],[چکهای نزد صندوق]]</f>
        <v>113500</v>
      </c>
      <c r="G144" s="12">
        <f>IFERROR(INDEX('مانده سوفاله'!F:F,MATCH(Table29[[#This Row],[كد تفصيلي]],'مانده سوفاله'!A:A,0)),0)</f>
        <v>0</v>
      </c>
    </row>
    <row r="145" spans="1:7" customFormat="1" ht="24" customHeight="1" x14ac:dyDescent="0.35">
      <c r="A145" s="53">
        <v>30176</v>
      </c>
      <c r="B145" s="56" t="s">
        <v>332</v>
      </c>
      <c r="C145" s="10">
        <f>IFERROR(INDEX('حسابهای دریافتنی'!H:H,MATCH(Table29[[#This Row],[كد تفصيلي]],'حسابهای دریافتنی'!A:A,0)),0)</f>
        <v>-7540075</v>
      </c>
      <c r="D145" s="11">
        <f>IFERROR(INDEX('درجریان وصول'!F:F,MATCH(Table29[[#This Row],[كد تفصيلي]],'درجریان وصول'!A:A,0)),0)</f>
        <v>0</v>
      </c>
      <c r="E145" s="11">
        <f>IFERROR(INDEX('چکهای دریافتنی'!F:F,MATCH(Table29[[#This Row],[كد تفصيلي]],'چکهای دریافتنی'!A:A,0)),0)</f>
        <v>0</v>
      </c>
      <c r="F145" s="11">
        <f>Table29[[#This Row],[حسابهای دریافتنی]]+Table29[[#This Row],[چکهای در جریان وصول]]+Table29[[#This Row],[چکهای نزد صندوق]]</f>
        <v>-7540075</v>
      </c>
      <c r="G145" s="12">
        <f>IFERROR(INDEX('مانده سوفاله'!F:F,MATCH(Table29[[#This Row],[كد تفصيلي]],'مانده سوفاله'!A:A,0)),0)</f>
        <v>0</v>
      </c>
    </row>
    <row r="146" spans="1:7" customFormat="1" ht="24" customHeight="1" x14ac:dyDescent="0.35">
      <c r="A146" s="53">
        <v>10106</v>
      </c>
      <c r="B146" s="56" t="s">
        <v>298</v>
      </c>
      <c r="C146" s="10">
        <f>IFERROR(INDEX('حسابهای دریافتنی'!H:H,MATCH(Table29[[#This Row],[كد تفصيلي]],'حسابهای دریافتنی'!A:A,0)),0)</f>
        <v>-9134000</v>
      </c>
      <c r="D146" s="11">
        <f>IFERROR(INDEX('درجریان وصول'!F:F,MATCH(Table29[[#This Row],[كد تفصيلي]],'درجریان وصول'!A:A,0)),0)</f>
        <v>0</v>
      </c>
      <c r="E146" s="11">
        <f>IFERROR(INDEX('چکهای دریافتنی'!F:F,MATCH(Table29[[#This Row],[كد تفصيلي]],'چکهای دریافتنی'!A:A,0)),0)</f>
        <v>0</v>
      </c>
      <c r="F146" s="11">
        <f>Table29[[#This Row],[حسابهای دریافتنی]]+Table29[[#This Row],[چکهای در جریان وصول]]+Table29[[#This Row],[چکهای نزد صندوق]]</f>
        <v>-9134000</v>
      </c>
      <c r="G146" s="12">
        <f>IFERROR(INDEX('مانده سوفاله'!F:F,MATCH(Table29[[#This Row],[كد تفصيلي]],'مانده سوفاله'!A:A,0)),0)</f>
        <v>0</v>
      </c>
    </row>
    <row r="147" spans="1:7" customFormat="1" ht="24" customHeight="1" x14ac:dyDescent="0.35">
      <c r="A147" s="54">
        <v>10102</v>
      </c>
      <c r="B147" s="55" t="s">
        <v>282</v>
      </c>
      <c r="C147" s="10">
        <f>IFERROR(INDEX('حسابهای دریافتنی'!H:H,MATCH(Table29[[#This Row],[كد تفصيلي]],'حسابهای دریافتنی'!A:A,0)),0)</f>
        <v>-10374000</v>
      </c>
      <c r="D147" s="11">
        <f>IFERROR(INDEX('درجریان وصول'!F:F,MATCH(Table29[[#This Row],[كد تفصيلي]],'درجریان وصول'!A:A,0)),0)</f>
        <v>0</v>
      </c>
      <c r="E147" s="11">
        <f>IFERROR(INDEX('چکهای دریافتنی'!F:F,MATCH(Table29[[#This Row],[كد تفصيلي]],'چکهای دریافتنی'!A:A,0)),0)</f>
        <v>0</v>
      </c>
      <c r="F147" s="11">
        <f>Table29[[#This Row],[حسابهای دریافتنی]]+Table29[[#This Row],[چکهای در جریان وصول]]+Table29[[#This Row],[چکهای نزد صندوق]]</f>
        <v>-10374000</v>
      </c>
      <c r="G147" s="12">
        <f>IFERROR(INDEX('مانده سوفاله'!F:F,MATCH(Table29[[#This Row],[كد تفصيلي]],'مانده سوفاله'!A:A,0)),0)</f>
        <v>0</v>
      </c>
    </row>
    <row r="148" spans="1:7" customFormat="1" ht="24" customHeight="1" x14ac:dyDescent="0.35">
      <c r="A148" s="54">
        <v>30189</v>
      </c>
      <c r="B148" s="55" t="s">
        <v>466</v>
      </c>
      <c r="C148" s="10">
        <f>IFERROR(INDEX('حسابهای دریافتنی'!H:H,MATCH(Table29[[#This Row],[كد تفصيلي]],'حسابهای دریافتنی'!A:A,0)),0)</f>
        <v>20776490</v>
      </c>
      <c r="D148" s="11">
        <f>IFERROR(INDEX('درجریان وصول'!F:F,MATCH(Table29[[#This Row],[كد تفصيلي]],'درجریان وصول'!A:A,0)),0)</f>
        <v>0</v>
      </c>
      <c r="E148" s="11">
        <f>IFERROR(INDEX('چکهای دریافتنی'!F:F,MATCH(Table29[[#This Row],[كد تفصيلي]],'چکهای دریافتنی'!A:A,0)),0)</f>
        <v>0</v>
      </c>
      <c r="F148" s="11">
        <f>Table29[[#This Row],[حسابهای دریافتنی]]+Table29[[#This Row],[چکهای در جریان وصول]]+Table29[[#This Row],[چکهای نزد صندوق]]</f>
        <v>20776490</v>
      </c>
      <c r="G148" s="12">
        <f>IFERROR(INDEX('مانده سوفاله'!F:F,MATCH(Table29[[#This Row],[كد تفصيلي]],'مانده سوفاله'!A:A,0)),0)</f>
        <v>0</v>
      </c>
    </row>
    <row r="149" spans="1:7" customFormat="1" ht="24" customHeight="1" x14ac:dyDescent="0.35">
      <c r="A149" s="54">
        <v>10058</v>
      </c>
      <c r="B149" s="55" t="s">
        <v>173</v>
      </c>
      <c r="C149" s="10">
        <f>IFERROR(INDEX('حسابهای دریافتنی'!H:H,MATCH(Table29[[#This Row],[كد تفصيلي]],'حسابهای دریافتنی'!A:A,0)),0)</f>
        <v>-13650000</v>
      </c>
      <c r="D149" s="11">
        <f>IFERROR(INDEX('درجریان وصول'!F:F,MATCH(Table29[[#This Row],[كد تفصيلي]],'درجریان وصول'!A:A,0)),0)</f>
        <v>0</v>
      </c>
      <c r="E149" s="11">
        <f>IFERROR(INDEX('چکهای دریافتنی'!F:F,MATCH(Table29[[#This Row],[كد تفصيلي]],'چکهای دریافتنی'!A:A,0)),0)</f>
        <v>0</v>
      </c>
      <c r="F149" s="11">
        <f>Table29[[#This Row],[حسابهای دریافتنی]]+Table29[[#This Row],[چکهای در جریان وصول]]+Table29[[#This Row],[چکهای نزد صندوق]]</f>
        <v>-13650000</v>
      </c>
      <c r="G149" s="12">
        <f>IFERROR(INDEX('مانده سوفاله'!F:F,MATCH(Table29[[#This Row],[كد تفصيلي]],'مانده سوفاله'!A:A,0)),0)</f>
        <v>0</v>
      </c>
    </row>
    <row r="150" spans="1:7" customFormat="1" ht="24" customHeight="1" x14ac:dyDescent="0.35">
      <c r="A150" s="53">
        <v>10126</v>
      </c>
      <c r="B150" s="56" t="s">
        <v>370</v>
      </c>
      <c r="C150" s="10">
        <f>IFERROR(INDEX('حسابهای دریافتنی'!H:H,MATCH(Table29[[#This Row],[كد تفصيلي]],'حسابهای دریافتنی'!A:A,0)),0)</f>
        <v>12165000</v>
      </c>
      <c r="D150" s="11">
        <f>IFERROR(INDEX('درجریان وصول'!F:F,MATCH(Table29[[#This Row],[كد تفصيلي]],'درجریان وصول'!A:A,0)),0)</f>
        <v>0</v>
      </c>
      <c r="E150" s="11">
        <f>IFERROR(INDEX('چکهای دریافتنی'!F:F,MATCH(Table29[[#This Row],[كد تفصيلي]],'چکهای دریافتنی'!A:A,0)),0)</f>
        <v>0</v>
      </c>
      <c r="F150" s="11">
        <f>Table29[[#This Row],[حسابهای دریافتنی]]+Table29[[#This Row],[چکهای در جریان وصول]]+Table29[[#This Row],[چکهای نزد صندوق]]</f>
        <v>12165000</v>
      </c>
      <c r="G150" s="12">
        <f>IFERROR(INDEX('مانده سوفاله'!F:F,MATCH(Table29[[#This Row],[كد تفصيلي]],'مانده سوفاله'!A:A,0)),0)</f>
        <v>0</v>
      </c>
    </row>
    <row r="151" spans="1:7" customFormat="1" ht="24" customHeight="1" x14ac:dyDescent="0.35">
      <c r="A151" s="53">
        <v>30082</v>
      </c>
      <c r="B151" s="56" t="s">
        <v>127</v>
      </c>
      <c r="C151" s="10">
        <f>IFERROR(INDEX('حسابهای دریافتنی'!H:H,MATCH(Table29[[#This Row],[كد تفصيلي]],'حسابهای دریافتنی'!A:A,0)),0)</f>
        <v>-15037000</v>
      </c>
      <c r="D151" s="11">
        <f>IFERROR(INDEX('درجریان وصول'!F:F,MATCH(Table29[[#This Row],[كد تفصيلي]],'درجریان وصول'!A:A,0)),0)</f>
        <v>0</v>
      </c>
      <c r="E151" s="11">
        <f>IFERROR(INDEX('چکهای دریافتنی'!F:F,MATCH(Table29[[#This Row],[كد تفصيلي]],'چکهای دریافتنی'!A:A,0)),0)</f>
        <v>0</v>
      </c>
      <c r="F151" s="11">
        <f>Table29[[#This Row],[حسابهای دریافتنی]]+Table29[[#This Row],[چکهای در جریان وصول]]+Table29[[#This Row],[چکهای نزد صندوق]]</f>
        <v>-15037000</v>
      </c>
      <c r="G151" s="12">
        <f>IFERROR(INDEX('مانده سوفاله'!F:F,MATCH(Table29[[#This Row],[كد تفصيلي]],'مانده سوفاله'!A:A,0)),0)</f>
        <v>-16</v>
      </c>
    </row>
    <row r="152" spans="1:7" customFormat="1" ht="24" customHeight="1" x14ac:dyDescent="0.35">
      <c r="A152" s="54">
        <v>30034</v>
      </c>
      <c r="B152" s="55" t="s">
        <v>81</v>
      </c>
      <c r="C152" s="10">
        <f>IFERROR(INDEX('حسابهای دریافتنی'!H:H,MATCH(Table29[[#This Row],[كد تفصيلي]],'حسابهای دریافتنی'!A:A,0)),0)</f>
        <v>388329200</v>
      </c>
      <c r="D152" s="11">
        <f>IFERROR(INDEX('درجریان وصول'!F:F,MATCH(Table29[[#This Row],[كد تفصيلي]],'درجریان وصول'!A:A,0)),0)</f>
        <v>0</v>
      </c>
      <c r="E152" s="11">
        <f>IFERROR(INDEX('چکهای دریافتنی'!F:F,MATCH(Table29[[#This Row],[كد تفصيلي]],'چکهای دریافتنی'!A:A,0)),0)</f>
        <v>0</v>
      </c>
      <c r="F152" s="11">
        <f>Table29[[#This Row],[حسابهای دریافتنی]]+Table29[[#This Row],[چکهای در جریان وصول]]+Table29[[#This Row],[چکهای نزد صندوق]]</f>
        <v>388329200</v>
      </c>
      <c r="G152" s="12">
        <f>IFERROR(INDEX('مانده سوفاله'!F:F,MATCH(Table29[[#This Row],[كد تفصيلي]],'مانده سوفاله'!A:A,0)),0)</f>
        <v>2886</v>
      </c>
    </row>
    <row r="153" spans="1:7" customFormat="1" ht="24" customHeight="1" x14ac:dyDescent="0.35">
      <c r="A153" s="54">
        <v>30042</v>
      </c>
      <c r="B153" s="55" t="s">
        <v>89</v>
      </c>
      <c r="C153" s="10">
        <f>IFERROR(INDEX('حسابهای دریافتنی'!H:H,MATCH(Table29[[#This Row],[كد تفصيلي]],'حسابهای دریافتنی'!A:A,0)),0)</f>
        <v>-18303540</v>
      </c>
      <c r="D153" s="11">
        <f>IFERROR(INDEX('درجریان وصول'!F:F,MATCH(Table29[[#This Row],[كد تفصيلي]],'درجریان وصول'!A:A,0)),0)</f>
        <v>0</v>
      </c>
      <c r="E153" s="11">
        <f>IFERROR(INDEX('چکهای دریافتنی'!F:F,MATCH(Table29[[#This Row],[كد تفصيلي]],'چکهای دریافتنی'!A:A,0)),0)</f>
        <v>0</v>
      </c>
      <c r="F153" s="11">
        <f>Table29[[#This Row],[حسابهای دریافتنی]]+Table29[[#This Row],[چکهای در جریان وصول]]+Table29[[#This Row],[چکهای نزد صندوق]]</f>
        <v>-18303540</v>
      </c>
      <c r="G153" s="12">
        <f>IFERROR(INDEX('مانده سوفاله'!F:F,MATCH(Table29[[#This Row],[كد تفصيلي]],'مانده سوفاله'!A:A,0)),0)</f>
        <v>0</v>
      </c>
    </row>
    <row r="154" spans="1:7" customFormat="1" ht="24" customHeight="1" x14ac:dyDescent="0.35">
      <c r="A154" s="54">
        <v>10119</v>
      </c>
      <c r="B154" s="55" t="s">
        <v>333</v>
      </c>
      <c r="C154" s="10">
        <f>IFERROR(INDEX('حسابهای دریافتنی'!H:H,MATCH(Table29[[#This Row],[كد تفصيلي]],'حسابهای دریافتنی'!A:A,0)),0)</f>
        <v>-2592000</v>
      </c>
      <c r="D154" s="11">
        <f>IFERROR(INDEX('درجریان وصول'!F:F,MATCH(Table29[[#This Row],[كد تفصيلي]],'درجریان وصول'!A:A,0)),0)</f>
        <v>0</v>
      </c>
      <c r="E154" s="11">
        <f>IFERROR(INDEX('چکهای دریافتنی'!F:F,MATCH(Table29[[#This Row],[كد تفصيلي]],'چکهای دریافتنی'!A:A,0)),0)</f>
        <v>0</v>
      </c>
      <c r="F154" s="11">
        <f>Table29[[#This Row],[حسابهای دریافتنی]]+Table29[[#This Row],[چکهای در جریان وصول]]+Table29[[#This Row],[چکهای نزد صندوق]]</f>
        <v>-2592000</v>
      </c>
      <c r="G154" s="12">
        <f>IFERROR(INDEX('مانده سوفاله'!F:F,MATCH(Table29[[#This Row],[كد تفصيلي]],'مانده سوفاله'!A:A,0)),0)</f>
        <v>353</v>
      </c>
    </row>
    <row r="155" spans="1:7" customFormat="1" ht="24" customHeight="1" x14ac:dyDescent="0.35">
      <c r="A155" s="54">
        <v>30028</v>
      </c>
      <c r="B155" s="55" t="s">
        <v>76</v>
      </c>
      <c r="C155" s="10">
        <f>IFERROR(INDEX('حسابهای دریافتنی'!H:H,MATCH(Table29[[#This Row],[كد تفصيلي]],'حسابهای دریافتنی'!A:A,0)),0)</f>
        <v>-23665000</v>
      </c>
      <c r="D155" s="11">
        <f>IFERROR(INDEX('درجریان وصول'!F:F,MATCH(Table29[[#This Row],[كد تفصيلي]],'درجریان وصول'!A:A,0)),0)</f>
        <v>0</v>
      </c>
      <c r="E155" s="11">
        <f>IFERROR(INDEX('چکهای دریافتنی'!F:F,MATCH(Table29[[#This Row],[كد تفصيلي]],'چکهای دریافتنی'!A:A,0)),0)</f>
        <v>0</v>
      </c>
      <c r="F155" s="11">
        <f>Table29[[#This Row],[حسابهای دریافتنی]]+Table29[[#This Row],[چکهای در جریان وصول]]+Table29[[#This Row],[چکهای نزد صندوق]]</f>
        <v>-23665000</v>
      </c>
      <c r="G155" s="12">
        <f>IFERROR(INDEX('مانده سوفاله'!F:F,MATCH(Table29[[#This Row],[كد تفصيلي]],'مانده سوفاله'!A:A,0)),0)</f>
        <v>0</v>
      </c>
    </row>
    <row r="156" spans="1:7" customFormat="1" ht="24" customHeight="1" x14ac:dyDescent="0.35">
      <c r="A156" s="53">
        <v>30160</v>
      </c>
      <c r="B156" s="56" t="s">
        <v>296</v>
      </c>
      <c r="C156" s="10">
        <f>IFERROR(INDEX('حسابهای دریافتنی'!H:H,MATCH(Table29[[#This Row],[كد تفصيلي]],'حسابهای دریافتنی'!A:A,0)),0)</f>
        <v>0</v>
      </c>
      <c r="D156" s="11">
        <f>IFERROR(INDEX('درجریان وصول'!F:F,MATCH(Table29[[#This Row],[كد تفصيلي]],'درجریان وصول'!A:A,0)),0)</f>
        <v>0</v>
      </c>
      <c r="E156" s="11">
        <f>IFERROR(INDEX('چکهای دریافتنی'!F:F,MATCH(Table29[[#This Row],[كد تفصيلي]],'چکهای دریافتنی'!A:A,0)),0)</f>
        <v>0</v>
      </c>
      <c r="F156" s="11">
        <f>Table29[[#This Row],[حسابهای دریافتنی]]+Table29[[#This Row],[چکهای در جریان وصول]]+Table29[[#This Row],[چکهای نزد صندوق]]</f>
        <v>0</v>
      </c>
      <c r="G156" s="12">
        <f>IFERROR(INDEX('مانده سوفاله'!F:F,MATCH(Table29[[#This Row],[كد تفصيلي]],'مانده سوفاله'!A:A,0)),0)</f>
        <v>-425</v>
      </c>
    </row>
    <row r="157" spans="1:7" customFormat="1" ht="24" customHeight="1" x14ac:dyDescent="0.35">
      <c r="A157" s="53">
        <v>30072</v>
      </c>
      <c r="B157" s="56" t="s">
        <v>117</v>
      </c>
      <c r="C157" s="10">
        <f>IFERROR(INDEX('حسابهای دریافتنی'!H:H,MATCH(Table29[[#This Row],[كد تفصيلي]],'حسابهای دریافتنی'!A:A,0)),0)</f>
        <v>-30178900</v>
      </c>
      <c r="D157" s="11">
        <f>IFERROR(INDEX('درجریان وصول'!F:F,MATCH(Table29[[#This Row],[كد تفصيلي]],'درجریان وصول'!A:A,0)),0)</f>
        <v>0</v>
      </c>
      <c r="E157" s="11">
        <f>IFERROR(INDEX('چکهای دریافتنی'!F:F,MATCH(Table29[[#This Row],[كد تفصيلي]],'چکهای دریافتنی'!A:A,0)),0)</f>
        <v>0</v>
      </c>
      <c r="F157" s="11">
        <f>Table29[[#This Row],[حسابهای دریافتنی]]+Table29[[#This Row],[چکهای در جریان وصول]]+Table29[[#This Row],[چکهای نزد صندوق]]</f>
        <v>-30178900</v>
      </c>
      <c r="G157" s="12">
        <f>IFERROR(INDEX('مانده سوفاله'!F:F,MATCH(Table29[[#This Row],[كد تفصيلي]],'مانده سوفاله'!A:A,0)),0)</f>
        <v>-79</v>
      </c>
    </row>
    <row r="158" spans="1:7" customFormat="1" ht="24" customHeight="1" x14ac:dyDescent="0.35">
      <c r="A158" s="53">
        <v>30182</v>
      </c>
      <c r="B158" s="56" t="s">
        <v>342</v>
      </c>
      <c r="C158" s="10">
        <f>IFERROR(INDEX('حسابهای دریافتنی'!H:H,MATCH(Table29[[#This Row],[كد تفصيلي]],'حسابهای دریافتنی'!A:A,0)),0)</f>
        <v>-528256400</v>
      </c>
      <c r="D158" s="11">
        <f>IFERROR(INDEX('درجریان وصول'!F:F,MATCH(Table29[[#This Row],[كد تفصيلي]],'درجریان وصول'!A:A,0)),0)</f>
        <v>0</v>
      </c>
      <c r="E158" s="11">
        <f>IFERROR(INDEX('چکهای دریافتنی'!F:F,MATCH(Table29[[#This Row],[كد تفصيلي]],'چکهای دریافتنی'!A:A,0)),0)</f>
        <v>0</v>
      </c>
      <c r="F158" s="11">
        <f>Table29[[#This Row],[حسابهای دریافتنی]]+Table29[[#This Row],[چکهای در جریان وصول]]+Table29[[#This Row],[چکهای نزد صندوق]]</f>
        <v>-528256400</v>
      </c>
      <c r="G158" s="12">
        <f>IFERROR(INDEX('مانده سوفاله'!F:F,MATCH(Table29[[#This Row],[كد تفصيلي]],'مانده سوفاله'!A:A,0)),0)</f>
        <v>0</v>
      </c>
    </row>
    <row r="159" spans="1:7" customFormat="1" ht="24" customHeight="1" x14ac:dyDescent="0.35">
      <c r="A159" s="54">
        <v>10002</v>
      </c>
      <c r="B159" s="55" t="s">
        <v>9</v>
      </c>
      <c r="C159" s="10">
        <f>IFERROR(INDEX('حسابهای دریافتنی'!H:H,MATCH(Table29[[#This Row],[كد تفصيلي]],'حسابهای دریافتنی'!A:A,0)),0)</f>
        <v>-3600000000</v>
      </c>
      <c r="D159" s="11">
        <f>IFERROR(INDEX('درجریان وصول'!F:F,MATCH(Table29[[#This Row],[كد تفصيلي]],'درجریان وصول'!A:A,0)),0)</f>
        <v>0</v>
      </c>
      <c r="E159" s="11">
        <f>IFERROR(INDEX('چکهای دریافتنی'!F:F,MATCH(Table29[[#This Row],[كد تفصيلي]],'چکهای دریافتنی'!A:A,0)),0)</f>
        <v>0</v>
      </c>
      <c r="F159" s="11">
        <f>Table29[[#This Row],[حسابهای دریافتنی]]+Table29[[#This Row],[چکهای در جریان وصول]]+Table29[[#This Row],[چکهای نزد صندوق]]</f>
        <v>-3600000000</v>
      </c>
      <c r="G159" s="12">
        <f>IFERROR(INDEX('مانده سوفاله'!F:F,MATCH(Table29[[#This Row],[كد تفصيلي]],'مانده سوفاله'!A:A,0)),0)</f>
        <v>0</v>
      </c>
    </row>
    <row r="160" spans="1:7" customFormat="1" ht="24" customHeight="1" x14ac:dyDescent="0.35">
      <c r="A160" s="54">
        <v>30000</v>
      </c>
      <c r="B160" s="55" t="s">
        <v>189</v>
      </c>
      <c r="C160" s="10">
        <f>IFERROR(INDEX('حسابهای دریافتنی'!H:H,MATCH(Table29[[#This Row],[كد تفصيلي]],'حسابهای دریافتنی'!A:A,0)),0)</f>
        <v>-55440000</v>
      </c>
      <c r="D160" s="11">
        <f>IFERROR(INDEX('درجریان وصول'!F:F,MATCH(Table29[[#This Row],[كد تفصيلي]],'درجریان وصول'!A:A,0)),0)</f>
        <v>0</v>
      </c>
      <c r="E160" s="11">
        <f>IFERROR(INDEX('چکهای دریافتنی'!F:F,MATCH(Table29[[#This Row],[كد تفصيلي]],'چکهای دریافتنی'!A:A,0)),0)</f>
        <v>0</v>
      </c>
      <c r="F160" s="11">
        <f>Table29[[#This Row],[حسابهای دریافتنی]]+Table29[[#This Row],[چکهای در جریان وصول]]+Table29[[#This Row],[چکهای نزد صندوق]]</f>
        <v>-55440000</v>
      </c>
      <c r="G160" s="12">
        <f>IFERROR(INDEX('مانده سوفاله'!F:F,MATCH(Table29[[#This Row],[كد تفصيلي]],'مانده سوفاله'!A:A,0)),0)</f>
        <v>0</v>
      </c>
    </row>
    <row r="161" spans="1:7" customFormat="1" ht="24" customHeight="1" x14ac:dyDescent="0.35">
      <c r="A161" s="54">
        <v>30133</v>
      </c>
      <c r="B161" s="55" t="s">
        <v>251</v>
      </c>
      <c r="C161" s="10">
        <f>IFERROR(INDEX('حسابهای دریافتنی'!H:H,MATCH(Table29[[#This Row],[كد تفصيلي]],'حسابهای دریافتنی'!A:A,0)),0)</f>
        <v>-66889500</v>
      </c>
      <c r="D161" s="11">
        <f>IFERROR(INDEX('درجریان وصول'!F:F,MATCH(Table29[[#This Row],[كد تفصيلي]],'درجریان وصول'!A:A,0)),0)</f>
        <v>0</v>
      </c>
      <c r="E161" s="11">
        <f>IFERROR(INDEX('چکهای دریافتنی'!F:F,MATCH(Table29[[#This Row],[كد تفصيلي]],'چکهای دریافتنی'!A:A,0)),0)</f>
        <v>0</v>
      </c>
      <c r="F161" s="11">
        <f>Table29[[#This Row],[حسابهای دریافتنی]]+Table29[[#This Row],[چکهای در جریان وصول]]+Table29[[#This Row],[چکهای نزد صندوق]]</f>
        <v>-66889500</v>
      </c>
      <c r="G161" s="12">
        <f>IFERROR(INDEX('مانده سوفاله'!F:F,MATCH(Table29[[#This Row],[كد تفصيلي]],'مانده سوفاله'!A:A,0)),0)</f>
        <v>0</v>
      </c>
    </row>
    <row r="162" spans="1:7" customFormat="1" ht="24" customHeight="1" x14ac:dyDescent="0.35">
      <c r="A162" s="53">
        <v>10089</v>
      </c>
      <c r="B162" s="56" t="s">
        <v>255</v>
      </c>
      <c r="C162" s="10">
        <f>IFERROR(INDEX('حسابهای دریافتنی'!H:H,MATCH(Table29[[#This Row],[كد تفصيلي]],'حسابهای دریافتنی'!A:A,0)),0)</f>
        <v>-143944000</v>
      </c>
      <c r="D162" s="11">
        <f>IFERROR(INDEX('درجریان وصول'!F:F,MATCH(Table29[[#This Row],[كد تفصيلي]],'درجریان وصول'!A:A,0)),0)</f>
        <v>0</v>
      </c>
      <c r="E162" s="11">
        <f>IFERROR(INDEX('چکهای دریافتنی'!F:F,MATCH(Table29[[#This Row],[كد تفصيلي]],'چکهای دریافتنی'!A:A,0)),0)</f>
        <v>0</v>
      </c>
      <c r="F162" s="11">
        <f>Table29[[#This Row],[حسابهای دریافتنی]]+Table29[[#This Row],[چکهای در جریان وصول]]+Table29[[#This Row],[چکهای نزد صندوق]]</f>
        <v>-143944000</v>
      </c>
      <c r="G162" s="12">
        <f>IFERROR(INDEX('مانده سوفاله'!F:F,MATCH(Table29[[#This Row],[كد تفصيلي]],'مانده سوفاله'!A:A,0)),0)</f>
        <v>-948</v>
      </c>
    </row>
    <row r="163" spans="1:7" ht="24" customHeight="1" x14ac:dyDescent="0.35">
      <c r="A163" s="27">
        <v>30169</v>
      </c>
      <c r="B163" s="55" t="s">
        <v>318</v>
      </c>
      <c r="C163" s="10">
        <f>IFERROR(INDEX('حسابهای دریافتنی'!H:H,MATCH(Table29[[#This Row],[كد تفصيلي]],'حسابهای دریافتنی'!A:A,0)),0)</f>
        <v>-658993316</v>
      </c>
      <c r="D163" s="11">
        <f>IFERROR(INDEX('درجریان وصول'!F:F,MATCH(Table29[[#This Row],[كد تفصيلي]],'درجریان وصول'!A:A,0)),0)</f>
        <v>0</v>
      </c>
      <c r="E163" s="11">
        <f>IFERROR(INDEX('چکهای دریافتنی'!F:F,MATCH(Table29[[#This Row],[كد تفصيلي]],'چکهای دریافتنی'!A:A,0)),0)</f>
        <v>2085000000</v>
      </c>
      <c r="F163" s="11">
        <f>Table29[[#This Row],[حسابهای دریافتنی]]+Table29[[#This Row],[چکهای در جریان وصول]]+Table29[[#This Row],[چکهای نزد صندوق]]</f>
        <v>1426006684</v>
      </c>
      <c r="G163" s="12">
        <f>IFERROR(INDEX('مانده سوفاله'!F:F,MATCH(Table29[[#This Row],[كد تفصيلي]],'مانده سوفاله'!A:A,0)),0)</f>
        <v>0</v>
      </c>
    </row>
    <row r="164" spans="1:7" ht="24" customHeight="1" x14ac:dyDescent="0.35">
      <c r="A164" s="27">
        <v>30016</v>
      </c>
      <c r="B164" s="55" t="s">
        <v>253</v>
      </c>
      <c r="C164" s="10">
        <f>IFERROR(INDEX('حسابهای دریافتنی'!H:H,MATCH(Table29[[#This Row],[كد تفصيلي]],'حسابهای دریافتنی'!A:A,0)),0)</f>
        <v>0</v>
      </c>
      <c r="D164" s="11">
        <f>IFERROR(INDEX('درجریان وصول'!F:F,MATCH(Table29[[#This Row],[كد تفصيلي]],'درجریان وصول'!A:A,0)),0)</f>
        <v>0</v>
      </c>
      <c r="E164" s="11">
        <f>IFERROR(INDEX('چکهای دریافتنی'!F:F,MATCH(Table29[[#This Row],[كد تفصيلي]],'چکهای دریافتنی'!A:A,0)),0)</f>
        <v>0</v>
      </c>
      <c r="F164" s="11">
        <f>Table29[[#This Row],[حسابهای دریافتنی]]+Table29[[#This Row],[چکهای در جریان وصول]]+Table29[[#This Row],[چکهای نزد صندوق]]</f>
        <v>0</v>
      </c>
      <c r="G164" s="12">
        <f>IFERROR(INDEX('مانده سوفاله'!F:F,MATCH(Table29[[#This Row],[كد تفصيلي]],'مانده سوفاله'!A:A,0)),0)</f>
        <v>0</v>
      </c>
    </row>
    <row r="165" spans="1:7" ht="24" customHeight="1" x14ac:dyDescent="0.35">
      <c r="A165" s="27">
        <v>30040</v>
      </c>
      <c r="B165" s="55" t="s">
        <v>87</v>
      </c>
      <c r="C165" s="10">
        <f>IFERROR(INDEX('حسابهای دریافتنی'!H:H,MATCH(Table29[[#This Row],[كد تفصيلي]],'حسابهای دریافتنی'!A:A,0)),0)</f>
        <v>0</v>
      </c>
      <c r="D165" s="11">
        <f>IFERROR(INDEX('درجریان وصول'!F:F,MATCH(Table29[[#This Row],[كد تفصيلي]],'درجریان وصول'!A:A,0)),0)</f>
        <v>0</v>
      </c>
      <c r="E165" s="11">
        <f>IFERROR(INDEX('چکهای دریافتنی'!F:F,MATCH(Table29[[#This Row],[كد تفصيلي]],'چکهای دریافتنی'!A:A,0)),0)</f>
        <v>0</v>
      </c>
      <c r="F165" s="11">
        <f>Table29[[#This Row],[حسابهای دریافتنی]]+Table29[[#This Row],[چکهای در جریان وصول]]+Table29[[#This Row],[چکهای نزد صندوق]]</f>
        <v>0</v>
      </c>
      <c r="G165" s="12">
        <f>IFERROR(INDEX('مانده سوفاله'!F:F,MATCH(Table29[[#This Row],[كد تفصيلي]],'مانده سوفاله'!A:A,0)),0)</f>
        <v>0</v>
      </c>
    </row>
    <row r="166" spans="1:7" ht="24" customHeight="1" x14ac:dyDescent="0.35">
      <c r="A166" s="26">
        <v>10079</v>
      </c>
      <c r="B166" s="56" t="s">
        <v>174</v>
      </c>
      <c r="C166" s="10">
        <f>IFERROR(INDEX('حسابهای دریافتنی'!H:H,MATCH(Table29[[#This Row],[كد تفصيلي]],'حسابهای دریافتنی'!A:A,0)),0)</f>
        <v>-226593500</v>
      </c>
      <c r="D166" s="11">
        <f>IFERROR(INDEX('درجریان وصول'!F:F,MATCH(Table29[[#This Row],[كد تفصيلي]],'درجریان وصول'!A:A,0)),0)</f>
        <v>0</v>
      </c>
      <c r="E166" s="11">
        <f>IFERROR(INDEX('چکهای دریافتنی'!F:F,MATCH(Table29[[#This Row],[كد تفصيلي]],'چکهای دریافتنی'!A:A,0)),0)</f>
        <v>0</v>
      </c>
      <c r="F166" s="11">
        <f>Table29[[#This Row],[حسابهای دریافتنی]]+Table29[[#This Row],[چکهای در جریان وصول]]+Table29[[#This Row],[چکهای نزد صندوق]]</f>
        <v>-226593500</v>
      </c>
      <c r="G166" s="12">
        <f>IFERROR(INDEX('مانده سوفاله'!F:F,MATCH(Table29[[#This Row],[كد تفصيلي]],'مانده سوفاله'!A:A,0)),0)</f>
        <v>0</v>
      </c>
    </row>
    <row r="167" spans="1:7" ht="24" customHeight="1" x14ac:dyDescent="0.35">
      <c r="A167" s="26">
        <v>10009</v>
      </c>
      <c r="B167" s="56" t="s">
        <v>16</v>
      </c>
      <c r="C167" s="10">
        <f>IFERROR(INDEX('حسابهای دریافتنی'!H:H,MATCH(Table29[[#This Row],[كد تفصيلي]],'حسابهای دریافتنی'!A:A,0)),0)</f>
        <v>-4260580000</v>
      </c>
      <c r="D167" s="11">
        <f>IFERROR(INDEX('درجریان وصول'!F:F,MATCH(Table29[[#This Row],[كد تفصيلي]],'درجریان وصول'!A:A,0)),0)</f>
        <v>0</v>
      </c>
      <c r="E167" s="11">
        <f>IFERROR(INDEX('چکهای دریافتنی'!F:F,MATCH(Table29[[#This Row],[كد تفصيلي]],'چکهای دریافتنی'!A:A,0)),0)</f>
        <v>1600000000</v>
      </c>
      <c r="F167" s="11">
        <f>Table29[[#This Row],[حسابهای دریافتنی]]+Table29[[#This Row],[چکهای در جریان وصول]]+Table29[[#This Row],[چکهای نزد صندوق]]</f>
        <v>-2660580000</v>
      </c>
      <c r="G167" s="12">
        <f>IFERROR(INDEX('مانده سوفاله'!F:F,MATCH(Table29[[#This Row],[كد تفصيلي]],'مانده سوفاله'!A:A,0)),0)</f>
        <v>9952</v>
      </c>
    </row>
    <row r="168" spans="1:7" ht="24" customHeight="1" x14ac:dyDescent="0.35">
      <c r="A168" s="26">
        <v>30156</v>
      </c>
      <c r="B168" s="56" t="s">
        <v>290</v>
      </c>
      <c r="C168" s="10">
        <f>IFERROR(INDEX('حسابهای دریافتنی'!H:H,MATCH(Table29[[#This Row],[كد تفصيلي]],'حسابهای دریافتنی'!A:A,0)),0)</f>
        <v>-180917500</v>
      </c>
      <c r="D168" s="11">
        <f>IFERROR(INDEX('درجریان وصول'!F:F,MATCH(Table29[[#This Row],[كد تفصيلي]],'درجریان وصول'!A:A,0)),0)</f>
        <v>0</v>
      </c>
      <c r="E168" s="11">
        <f>IFERROR(INDEX('چکهای دریافتنی'!F:F,MATCH(Table29[[#This Row],[كد تفصيلي]],'چکهای دریافتنی'!A:A,0)),0)</f>
        <v>0</v>
      </c>
      <c r="F168" s="11">
        <f>Table29[[#This Row],[حسابهای دریافتنی]]+Table29[[#This Row],[چکهای در جریان وصول]]+Table29[[#This Row],[چکهای نزد صندوق]]</f>
        <v>-180917500</v>
      </c>
      <c r="G168" s="12">
        <f>IFERROR(INDEX('مانده سوفاله'!F:F,MATCH(Table29[[#This Row],[كد تفصيلي]],'مانده سوفاله'!A:A,0)),0)</f>
        <v>0</v>
      </c>
    </row>
    <row r="169" spans="1:7" ht="24" customHeight="1" x14ac:dyDescent="0.35">
      <c r="A169" s="26">
        <v>10029</v>
      </c>
      <c r="B169" s="56" t="s">
        <v>35</v>
      </c>
      <c r="C169" s="10">
        <f>IFERROR(INDEX('حسابهای دریافتنی'!H:H,MATCH(Table29[[#This Row],[كد تفصيلي]],'حسابهای دریافتنی'!A:A,0)),0)</f>
        <v>-1038298620</v>
      </c>
      <c r="D169" s="11">
        <f>IFERROR(INDEX('درجریان وصول'!F:F,MATCH(Table29[[#This Row],[كد تفصيلي]],'درجریان وصول'!A:A,0)),0)</f>
        <v>0</v>
      </c>
      <c r="E169" s="11">
        <f>IFERROR(INDEX('چکهای دریافتنی'!F:F,MATCH(Table29[[#This Row],[كد تفصيلي]],'چکهای دریافتنی'!A:A,0)),0)</f>
        <v>2019000000</v>
      </c>
      <c r="F169" s="11">
        <f>Table29[[#This Row],[حسابهای دریافتنی]]+Table29[[#This Row],[چکهای در جریان وصول]]+Table29[[#This Row],[چکهای نزد صندوق]]</f>
        <v>980701380</v>
      </c>
      <c r="G169" s="12">
        <f>IFERROR(INDEX('مانده سوفاله'!F:F,MATCH(Table29[[#This Row],[كد تفصيلي]],'مانده سوفاله'!A:A,0)),0)</f>
        <v>6603</v>
      </c>
    </row>
    <row r="170" spans="1:7" ht="24" customHeight="1" x14ac:dyDescent="0.35">
      <c r="A170" s="26">
        <v>79120</v>
      </c>
      <c r="B170" s="56" t="s">
        <v>195</v>
      </c>
      <c r="C170" s="10">
        <f>IFERROR(INDEX('حسابهای دریافتنی'!H:H,MATCH(Table29[[#This Row],[كد تفصيلي]],'حسابهای دریافتنی'!A:A,0)),0)</f>
        <v>-15776160000</v>
      </c>
      <c r="D170" s="11">
        <f>IFERROR(INDEX('درجریان وصول'!F:F,MATCH(Table29[[#This Row],[كد تفصيلي]],'درجریان وصول'!A:A,0)),0)</f>
        <v>0</v>
      </c>
      <c r="E170" s="11">
        <f>IFERROR(INDEX('چکهای دریافتنی'!F:F,MATCH(Table29[[#This Row],[كد تفصيلي]],'چکهای دریافتنی'!A:A,0)),0)</f>
        <v>0</v>
      </c>
      <c r="F170" s="11">
        <f>Table29[[#This Row],[حسابهای دریافتنی]]+Table29[[#This Row],[چکهای در جریان وصول]]+Table29[[#This Row],[چکهای نزد صندوق]]</f>
        <v>-15776160000</v>
      </c>
      <c r="G170" s="12">
        <f>IFERROR(INDEX('مانده سوفاله'!F:F,MATCH(Table29[[#This Row],[كد تفصيلي]],'مانده سوفاله'!A:A,0)),0)</f>
        <v>0</v>
      </c>
    </row>
    <row r="171" spans="1:7" ht="24" customHeight="1" x14ac:dyDescent="0.35">
      <c r="A171" s="27">
        <v>10104</v>
      </c>
      <c r="B171" s="55" t="s">
        <v>293</v>
      </c>
      <c r="C171" s="10">
        <f>IFERROR(INDEX('حسابهای دریافتنی'!H:H,MATCH(Table29[[#This Row],[كد تفصيلي]],'حسابهای دریافتنی'!A:A,0)),0)</f>
        <v>0</v>
      </c>
      <c r="D171" s="11">
        <f>IFERROR(INDEX('درجریان وصول'!F:F,MATCH(Table29[[#This Row],[كد تفصيلي]],'درجریان وصول'!A:A,0)),0)</f>
        <v>0</v>
      </c>
      <c r="E171" s="11">
        <f>IFERROR(INDEX('چکهای دریافتنی'!F:F,MATCH(Table29[[#This Row],[كد تفصيلي]],'چکهای دریافتنی'!A:A,0)),0)</f>
        <v>0</v>
      </c>
      <c r="F171" s="11">
        <f>Table29[[#This Row],[حسابهای دریافتنی]]+Table29[[#This Row],[چکهای در جریان وصول]]+Table29[[#This Row],[چکهای نزد صندوق]]</f>
        <v>0</v>
      </c>
      <c r="G171" s="12">
        <f>IFERROR(INDEX('مانده سوفاله'!F:F,MATCH(Table29[[#This Row],[كد تفصيلي]],'مانده سوفاله'!A:A,0)),0)</f>
        <v>4065</v>
      </c>
    </row>
    <row r="172" spans="1:7" ht="24" customHeight="1" x14ac:dyDescent="0.35">
      <c r="A172" s="26">
        <v>10091</v>
      </c>
      <c r="B172" s="56" t="s">
        <v>258</v>
      </c>
      <c r="C172" s="10">
        <f>IFERROR(INDEX('حسابهای دریافتنی'!H:H,MATCH(Table29[[#This Row],[كد تفصيلي]],'حسابهای دریافتنی'!A:A,0)),0)</f>
        <v>59321500</v>
      </c>
      <c r="D172" s="11">
        <f>IFERROR(INDEX('درجریان وصول'!F:F,MATCH(Table29[[#This Row],[كد تفصيلي]],'درجریان وصول'!A:A,0)),0)</f>
        <v>0</v>
      </c>
      <c r="E172" s="11">
        <f>IFERROR(INDEX('چکهای دریافتنی'!F:F,MATCH(Table29[[#This Row],[كد تفصيلي]],'چکهای دریافتنی'!A:A,0)),0)</f>
        <v>0</v>
      </c>
      <c r="F172" s="11">
        <f>Table29[[#This Row],[حسابهای دریافتنی]]+Table29[[#This Row],[چکهای در جریان وصول]]+Table29[[#This Row],[چکهای نزد صندوق]]</f>
        <v>59321500</v>
      </c>
      <c r="G172" s="12">
        <f>IFERROR(INDEX('مانده سوفاله'!F:F,MATCH(Table29[[#This Row],[كد تفصيلي]],'مانده سوفاله'!A:A,0)),0)</f>
        <v>0</v>
      </c>
    </row>
    <row r="173" spans="1:7" ht="24" customHeight="1" x14ac:dyDescent="0.35">
      <c r="A173" s="26">
        <v>30146</v>
      </c>
      <c r="B173" s="56" t="s">
        <v>266</v>
      </c>
      <c r="C173" s="10">
        <f>IFERROR(INDEX('حسابهای دریافتنی'!H:H,MATCH(Table29[[#This Row],[كد تفصيلي]],'حسابهای دریافتنی'!A:A,0)),0)</f>
        <v>-4146512500</v>
      </c>
      <c r="D173" s="11">
        <f>IFERROR(INDEX('درجریان وصول'!F:F,MATCH(Table29[[#This Row],[كد تفصيلي]],'درجریان وصول'!A:A,0)),0)</f>
        <v>0</v>
      </c>
      <c r="E173" s="11">
        <f>IFERROR(INDEX('چکهای دریافتنی'!F:F,MATCH(Table29[[#This Row],[كد تفصيلي]],'چکهای دریافتنی'!A:A,0)),0)</f>
        <v>0</v>
      </c>
      <c r="F173" s="11">
        <f>Table29[[#This Row],[حسابهای دریافتنی]]+Table29[[#This Row],[چکهای در جریان وصول]]+Table29[[#This Row],[چکهای نزد صندوق]]</f>
        <v>-4146512500</v>
      </c>
      <c r="G173" s="12">
        <f>IFERROR(INDEX('مانده سوفاله'!F:F,MATCH(Table29[[#This Row],[كد تفصيلي]],'مانده سوفاله'!A:A,0)),0)</f>
        <v>2823</v>
      </c>
    </row>
    <row r="174" spans="1:7" ht="24" customHeight="1" x14ac:dyDescent="0.35">
      <c r="A174" s="26">
        <v>50005</v>
      </c>
      <c r="B174" s="56" t="s">
        <v>148</v>
      </c>
      <c r="C174" s="10">
        <f>IFERROR(INDEX('حسابهای دریافتنی'!H:H,MATCH(Table29[[#This Row],[كد تفصيلي]],'حسابهای دریافتنی'!A:A,0)),0)</f>
        <v>0</v>
      </c>
      <c r="D174" s="11">
        <f>IFERROR(INDEX('درجریان وصول'!F:F,MATCH(Table29[[#This Row],[كد تفصيلي]],'درجریان وصول'!A:A,0)),0)</f>
        <v>0</v>
      </c>
      <c r="E174" s="11">
        <f>IFERROR(INDEX('چکهای دریافتنی'!F:F,MATCH(Table29[[#This Row],[كد تفصيلي]],'چکهای دریافتنی'!A:A,0)),0)</f>
        <v>0</v>
      </c>
      <c r="F174" s="11">
        <f>Table29[[#This Row],[حسابهای دریافتنی]]+Table29[[#This Row],[چکهای در جریان وصول]]+Table29[[#This Row],[چکهای نزد صندوق]]</f>
        <v>0</v>
      </c>
      <c r="G174" s="12">
        <f>IFERROR(INDEX('مانده سوفاله'!F:F,MATCH(Table29[[#This Row],[كد تفصيلي]],'مانده سوفاله'!A:A,0)),0)</f>
        <v>0</v>
      </c>
    </row>
    <row r="175" spans="1:7" ht="24" customHeight="1" x14ac:dyDescent="0.35">
      <c r="A175" s="27">
        <v>79043</v>
      </c>
      <c r="B175" s="55" t="s">
        <v>156</v>
      </c>
      <c r="C175" s="10">
        <f>IFERROR(INDEX('حسابهای دریافتنی'!H:H,MATCH(Table29[[#This Row],[كد تفصيلي]],'حسابهای دریافتنی'!A:A,0)),0)</f>
        <v>-16110730000</v>
      </c>
      <c r="D175" s="11">
        <f>IFERROR(INDEX('درجریان وصول'!F:F,MATCH(Table29[[#This Row],[كد تفصيلي]],'درجریان وصول'!A:A,0)),0)</f>
        <v>0</v>
      </c>
      <c r="E175" s="11">
        <f>IFERROR(INDEX('چکهای دریافتنی'!F:F,MATCH(Table29[[#This Row],[كد تفصيلي]],'چکهای دریافتنی'!A:A,0)),0)</f>
        <v>0</v>
      </c>
      <c r="F175" s="11">
        <f>Table29[[#This Row],[حسابهای دریافتنی]]+Table29[[#This Row],[چکهای در جریان وصول]]+Table29[[#This Row],[چکهای نزد صندوق]]</f>
        <v>-16110730000</v>
      </c>
      <c r="G175" s="12">
        <f>IFERROR(INDEX('مانده سوفاله'!F:F,MATCH(Table29[[#This Row],[كد تفصيلي]],'مانده سوفاله'!A:A,0)),0)</f>
        <v>0</v>
      </c>
    </row>
    <row r="176" spans="1:7" ht="24" customHeight="1" x14ac:dyDescent="0.35">
      <c r="A176" s="36"/>
      <c r="B176" s="37"/>
      <c r="C176" s="38">
        <f>SUBTOTAL(109,Table29[حسابهای دریافتنی])</f>
        <v>53413662479</v>
      </c>
      <c r="D176" s="38">
        <f>SUBTOTAL(109,Table29[چکهای در جریان وصول])</f>
        <v>0</v>
      </c>
      <c r="E176" s="38">
        <f>SUBTOTAL(109,Table29[چکهای نزد صندوق])</f>
        <v>62507828942</v>
      </c>
      <c r="F176" s="38"/>
      <c r="G176" s="39">
        <f>SUBTOTAL(109,Table29[مانده سوفاله])</f>
        <v>-121624.5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68"/>
  <sheetViews>
    <sheetView rightToLeft="1" workbookViewId="0">
      <selection activeCell="F50" sqref="F50"/>
    </sheetView>
  </sheetViews>
  <sheetFormatPr defaultColWidth="9.08984375" defaultRowHeight="27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7.25" customHeight="1" thickBot="1" x14ac:dyDescent="0.4">
      <c r="A1" s="97" t="s">
        <v>469</v>
      </c>
      <c r="B1" s="98"/>
      <c r="C1" s="98"/>
      <c r="D1" s="98"/>
      <c r="E1" s="98"/>
      <c r="F1" s="98"/>
      <c r="G1" s="99"/>
    </row>
    <row r="2" spans="1:7" s="2" customFormat="1" ht="27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7" customHeight="1" x14ac:dyDescent="0.35">
      <c r="A3" s="27">
        <v>30127</v>
      </c>
      <c r="B3" s="55" t="s">
        <v>163</v>
      </c>
      <c r="C3" s="10">
        <f>IFERROR(INDEX('حسابهای دریافتنی'!H:H,MATCH(Table210[[#This Row],[كد تفصيلي]],'حسابهای دریافتنی'!A:A,0)),0)</f>
        <v>31800110000</v>
      </c>
      <c r="D3" s="11">
        <f>IFERROR(INDEX('درجریان وصول'!F:F,MATCH(Table210[[#This Row],[كد تفصيلي]],'درجریان وصول'!A:A,0)),0)</f>
        <v>0</v>
      </c>
      <c r="E3" s="11">
        <f>IFERROR(INDEX('چکهای دریافتنی'!F:F,MATCH(Table210[[#This Row],[كد تفصيلي]],'چکهای دریافتنی'!A:A,0)),0)</f>
        <v>0</v>
      </c>
      <c r="F3" s="11">
        <f>Table210[[#This Row],[حسابهای دریافتنی]]+Table210[[#This Row],[چکهای در جریان وصول]]+Table210[[#This Row],[چکهای نزد صندوق]]</f>
        <v>31800110000</v>
      </c>
      <c r="G3" s="12">
        <f>IFERROR(INDEX('مانده سوفاله'!F:F,MATCH(Table210[[#This Row],[كد تفصيلي]],'مانده سوفاله'!A:A,0)),0)</f>
        <v>-18472</v>
      </c>
    </row>
    <row r="4" spans="1:7" ht="27" customHeight="1" x14ac:dyDescent="0.35">
      <c r="A4" s="26">
        <v>30066</v>
      </c>
      <c r="B4" s="56" t="s">
        <v>111</v>
      </c>
      <c r="C4" s="10">
        <f>IFERROR(INDEX('حسابهای دریافتنی'!H:H,MATCH(Table210[[#This Row],[كد تفصيلي]],'حسابهای دریافتنی'!A:A,0)),0)</f>
        <v>6484147500</v>
      </c>
      <c r="D4" s="11">
        <f>IFERROR(INDEX('درجریان وصول'!F:F,MATCH(Table210[[#This Row],[كد تفصيلي]],'درجریان وصول'!A:A,0)),0)</f>
        <v>0</v>
      </c>
      <c r="E4" s="11">
        <f>IFERROR(INDEX('چکهای دریافتنی'!F:F,MATCH(Table210[[#This Row],[كد تفصيلي]],'چکهای دریافتنی'!A:A,0)),0)</f>
        <v>0</v>
      </c>
      <c r="F4" s="11">
        <f>Table210[[#This Row],[حسابهای دریافتنی]]+Table210[[#This Row],[چکهای در جریان وصول]]+Table210[[#This Row],[چکهای نزد صندوق]]</f>
        <v>6484147500</v>
      </c>
      <c r="G4" s="12">
        <f>IFERROR(INDEX('مانده سوفاله'!F:F,MATCH(Table210[[#This Row],[كد تفصيلي]],'مانده سوفاله'!A:A,0)),0)</f>
        <v>-1320</v>
      </c>
    </row>
    <row r="5" spans="1:7" ht="27" customHeight="1" x14ac:dyDescent="0.35">
      <c r="A5" s="27">
        <v>30004</v>
      </c>
      <c r="B5" s="55" t="s">
        <v>54</v>
      </c>
      <c r="C5" s="10">
        <f>IFERROR(INDEX('حسابهای دریافتنی'!H:H,MATCH(Table210[[#This Row],[كد تفصيلي]],'حسابهای دریافتنی'!A:A,0)),0)</f>
        <v>7598548260</v>
      </c>
      <c r="D5" s="11">
        <f>IFERROR(INDEX('درجریان وصول'!F:F,MATCH(Table210[[#This Row],[كد تفصيلي]],'درجریان وصول'!A:A,0)),0)</f>
        <v>0</v>
      </c>
      <c r="E5" s="11">
        <f>IFERROR(INDEX('چکهای دریافتنی'!F:F,MATCH(Table210[[#This Row],[كد تفصيلي]],'چکهای دریافتنی'!A:A,0)),0)</f>
        <v>11698760000</v>
      </c>
      <c r="F5" s="11">
        <f>Table210[[#This Row],[حسابهای دریافتنی]]+Table210[[#This Row],[چکهای در جریان وصول]]+Table210[[#This Row],[چکهای نزد صندوق]]</f>
        <v>19297308260</v>
      </c>
      <c r="G5" s="12">
        <f>IFERROR(INDEX('مانده سوفاله'!F:F,MATCH(Table210[[#This Row],[كد تفصيلي]],'مانده سوفاله'!A:A,0)),0)</f>
        <v>-4237</v>
      </c>
    </row>
    <row r="6" spans="1:7" ht="27" customHeight="1" x14ac:dyDescent="0.35">
      <c r="A6" s="26">
        <v>10003</v>
      </c>
      <c r="B6" s="56" t="s">
        <v>10</v>
      </c>
      <c r="C6" s="10">
        <f>IFERROR(INDEX('حسابهای دریافتنی'!H:H,MATCH(Table210[[#This Row],[كد تفصيلي]],'حسابهای دریافتنی'!A:A,0)),0)</f>
        <v>10804267992</v>
      </c>
      <c r="D6" s="11">
        <f>IFERROR(INDEX('درجریان وصول'!F:F,MATCH(Table210[[#This Row],[كد تفصيلي]],'درجریان وصول'!A:A,0)),0)</f>
        <v>0</v>
      </c>
      <c r="E6" s="11">
        <f>IFERROR(INDEX('چکهای دریافتنی'!F:F,MATCH(Table210[[#This Row],[كد تفصيلي]],'چکهای دریافتنی'!A:A,0)),0)</f>
        <v>13698001280</v>
      </c>
      <c r="F6" s="11">
        <f>Table210[[#This Row],[حسابهای دریافتنی]]+Table210[[#This Row],[چکهای در جریان وصول]]+Table210[[#This Row],[چکهای نزد صندوق]]</f>
        <v>24502269272</v>
      </c>
      <c r="G6" s="12">
        <f>IFERROR(INDEX('مانده سوفاله'!F:F,MATCH(Table210[[#This Row],[كد تفصيلي]],'مانده سوفاله'!A:A,0)),0)</f>
        <v>-39886</v>
      </c>
    </row>
    <row r="7" spans="1:7" ht="27" customHeight="1" x14ac:dyDescent="0.35">
      <c r="A7" s="26">
        <v>10055</v>
      </c>
      <c r="B7" s="56" t="s">
        <v>162</v>
      </c>
      <c r="C7" s="10">
        <f>IFERROR(INDEX('حسابهای دریافتنی'!H:H,MATCH(Table210[[#This Row],[كد تفصيلي]],'حسابهای دریافتنی'!A:A,0)),0)</f>
        <v>10460111325</v>
      </c>
      <c r="D7" s="11">
        <f>IFERROR(INDEX('درجریان وصول'!F:F,MATCH(Table210[[#This Row],[كد تفصيلي]],'درجریان وصول'!A:A,0)),0)</f>
        <v>0</v>
      </c>
      <c r="E7" s="11">
        <f>IFERROR(INDEX('چکهای دریافتنی'!F:F,MATCH(Table210[[#This Row],[كد تفصيلي]],'چکهای دریافتنی'!A:A,0)),0)</f>
        <v>2783298655</v>
      </c>
      <c r="F7" s="11">
        <f>Table210[[#This Row],[حسابهای دریافتنی]]+Table210[[#This Row],[چکهای در جریان وصول]]+Table210[[#This Row],[چکهای نزد صندوق]]</f>
        <v>13243409980</v>
      </c>
      <c r="G7" s="12">
        <f>IFERROR(INDEX('مانده سوفاله'!F:F,MATCH(Table210[[#This Row],[كد تفصيلي]],'مانده سوفاله'!A:A,0)),0)</f>
        <v>-12714</v>
      </c>
    </row>
    <row r="8" spans="1:7" ht="27" customHeight="1" x14ac:dyDescent="0.35">
      <c r="A8" s="26">
        <v>30009</v>
      </c>
      <c r="B8" s="56" t="s">
        <v>164</v>
      </c>
      <c r="C8" s="10">
        <f>IFERROR(INDEX('حسابهای دریافتنی'!H:H,MATCH(Table210[[#This Row],[كد تفصيلي]],'حسابهای دریافتنی'!A:A,0)),0)</f>
        <v>7853844277</v>
      </c>
      <c r="D8" s="11">
        <f>IFERROR(INDEX('درجریان وصول'!F:F,MATCH(Table210[[#This Row],[كد تفصيلي]],'درجریان وصول'!A:A,0)),0)</f>
        <v>0</v>
      </c>
      <c r="E8" s="11">
        <f>IFERROR(INDEX('چکهای دریافتنی'!F:F,MATCH(Table210[[#This Row],[كد تفصيلي]],'چکهای دریافتنی'!A:A,0)),0)</f>
        <v>6474835380</v>
      </c>
      <c r="F8" s="11">
        <f>Table210[[#This Row],[حسابهای دریافتنی]]+Table210[[#This Row],[چکهای در جریان وصول]]+Table210[[#This Row],[چکهای نزد صندوق]]</f>
        <v>14328679657</v>
      </c>
      <c r="G8" s="12">
        <f>IFERROR(INDEX('مانده سوفاله'!F:F,MATCH(Table210[[#This Row],[كد تفصيلي]],'مانده سوفاله'!A:A,0)),0)</f>
        <v>-11452</v>
      </c>
    </row>
    <row r="9" spans="1:7" ht="27" customHeight="1" x14ac:dyDescent="0.35">
      <c r="A9" s="26">
        <v>30058</v>
      </c>
      <c r="B9" s="56" t="s">
        <v>103</v>
      </c>
      <c r="C9" s="10">
        <f>IFERROR(INDEX('حسابهای دریافتنی'!H:H,MATCH(Table210[[#This Row],[كد تفصيلي]],'حسابهای دریافتنی'!A:A,0)),0)</f>
        <v>1700045560</v>
      </c>
      <c r="D9" s="11">
        <f>IFERROR(INDEX('درجریان وصول'!F:F,MATCH(Table210[[#This Row],[كد تفصيلي]],'درجریان وصول'!A:A,0)),0)</f>
        <v>0</v>
      </c>
      <c r="E9" s="11">
        <f>IFERROR(INDEX('چکهای دریافتنی'!F:F,MATCH(Table210[[#This Row],[كد تفصيلي]],'چکهای دریافتنی'!A:A,0)),0)</f>
        <v>0</v>
      </c>
      <c r="F9" s="11">
        <f>Table210[[#This Row],[حسابهای دریافتنی]]+Table210[[#This Row],[چکهای در جریان وصول]]+Table210[[#This Row],[چکهای نزد صندوق]]</f>
        <v>1700045560</v>
      </c>
      <c r="G9" s="12">
        <f>IFERROR(INDEX('مانده سوفاله'!F:F,MATCH(Table210[[#This Row],[كد تفصيلي]],'مانده سوفاله'!A:A,0)),0)</f>
        <v>-225</v>
      </c>
    </row>
    <row r="10" spans="1:7" ht="27" customHeight="1" x14ac:dyDescent="0.35">
      <c r="A10" s="27">
        <v>50016</v>
      </c>
      <c r="B10" s="55" t="s">
        <v>160</v>
      </c>
      <c r="C10" s="10">
        <f>IFERROR(INDEX('حسابهای دریافتنی'!H:H,MATCH(Table210[[#This Row],[كد تفصيلي]],'حسابهای دریافتنی'!A:A,0)),0)</f>
        <v>6344545550</v>
      </c>
      <c r="D10" s="11">
        <f>IFERROR(INDEX('درجریان وصول'!F:F,MATCH(Table210[[#This Row],[كد تفصيلي]],'درجریان وصول'!A:A,0)),0)</f>
        <v>0</v>
      </c>
      <c r="E10" s="11">
        <f>IFERROR(INDEX('چکهای دریافتنی'!F:F,MATCH(Table210[[#This Row],[كد تفصيلي]],'چکهای دریافتنی'!A:A,0)),0)</f>
        <v>0</v>
      </c>
      <c r="F10" s="11">
        <f>Table210[[#This Row],[حسابهای دریافتنی]]+Table210[[#This Row],[چکهای در جریان وصول]]+Table210[[#This Row],[چکهای نزد صندوق]]</f>
        <v>6344545550</v>
      </c>
      <c r="G10" s="12">
        <f>IFERROR(INDEX('مانده سوفاله'!F:F,MATCH(Table210[[#This Row],[كد تفصيلي]],'مانده سوفاله'!A:A,0)),0)</f>
        <v>5508</v>
      </c>
    </row>
    <row r="11" spans="1:7" ht="27" customHeight="1" x14ac:dyDescent="0.35">
      <c r="A11" s="27">
        <v>10026</v>
      </c>
      <c r="B11" s="55" t="s">
        <v>32</v>
      </c>
      <c r="C11" s="10">
        <f>IFERROR(INDEX('حسابهای دریافتنی'!H:H,MATCH(Table210[[#This Row],[كد تفصيلي]],'حسابهای دریافتنی'!A:A,0)),0)</f>
        <v>3795031844</v>
      </c>
      <c r="D11" s="11">
        <f>IFERROR(INDEX('درجریان وصول'!F:F,MATCH(Table210[[#This Row],[كد تفصيلي]],'درجریان وصول'!A:A,0)),0)</f>
        <v>0</v>
      </c>
      <c r="E11" s="11">
        <f>IFERROR(INDEX('چکهای دریافتنی'!F:F,MATCH(Table210[[#This Row],[كد تفصيلي]],'چکهای دریافتنی'!A:A,0)),0)</f>
        <v>2690000000</v>
      </c>
      <c r="F11" s="11">
        <f>Table210[[#This Row],[حسابهای دریافتنی]]+Table210[[#This Row],[چکهای در جریان وصول]]+Table210[[#This Row],[چکهای نزد صندوق]]</f>
        <v>6485031844</v>
      </c>
      <c r="G11" s="12">
        <f>IFERROR(INDEX('مانده سوفاله'!F:F,MATCH(Table210[[#This Row],[كد تفصيلي]],'مانده سوفاله'!A:A,0)),0)</f>
        <v>-12543</v>
      </c>
    </row>
    <row r="12" spans="1:7" ht="27" customHeight="1" x14ac:dyDescent="0.35">
      <c r="A12" s="26">
        <v>30017</v>
      </c>
      <c r="B12" s="56" t="s">
        <v>65</v>
      </c>
      <c r="C12" s="10">
        <f>IFERROR(INDEX('حسابهای دریافتنی'!H:H,MATCH(Table210[[#This Row],[كد تفصيلي]],'حسابهای دریافتنی'!A:A,0)),0)</f>
        <v>905000830</v>
      </c>
      <c r="D12" s="11">
        <f>IFERROR(INDEX('درجریان وصول'!F:F,MATCH(Table210[[#This Row],[كد تفصيلي]],'درجریان وصول'!A:A,0)),0)</f>
        <v>0</v>
      </c>
      <c r="E12" s="11">
        <f>IFERROR(INDEX('چکهای دریافتنی'!F:F,MATCH(Table210[[#This Row],[كد تفصيلي]],'چکهای دریافتنی'!A:A,0)),0)</f>
        <v>0</v>
      </c>
      <c r="F12" s="11">
        <f>Table210[[#This Row],[حسابهای دریافتنی]]+Table210[[#This Row],[چکهای در جریان وصول]]+Table210[[#This Row],[چکهای نزد صندوق]]</f>
        <v>905000830</v>
      </c>
      <c r="G12" s="12">
        <f>IFERROR(INDEX('مانده سوفاله'!F:F,MATCH(Table210[[#This Row],[كد تفصيلي]],'مانده سوفاله'!A:A,0)),0)</f>
        <v>-2186</v>
      </c>
    </row>
    <row r="13" spans="1:7" ht="27" customHeight="1" x14ac:dyDescent="0.35">
      <c r="A13" s="27">
        <v>30081</v>
      </c>
      <c r="B13" s="55" t="s">
        <v>126</v>
      </c>
      <c r="C13" s="10">
        <f>IFERROR(INDEX('حسابهای دریافتنی'!H:H,MATCH(Table210[[#This Row],[كد تفصيلي]],'حسابهای دریافتنی'!A:A,0)),0)</f>
        <v>1148992373</v>
      </c>
      <c r="D13" s="11">
        <f>IFERROR(INDEX('درجریان وصول'!F:F,MATCH(Table210[[#This Row],[كد تفصيلي]],'درجریان وصول'!A:A,0)),0)</f>
        <v>0</v>
      </c>
      <c r="E13" s="11">
        <f>IFERROR(INDEX('چکهای دریافتنی'!F:F,MATCH(Table210[[#This Row],[كد تفصيلي]],'چکهای دریافتنی'!A:A,0)),0)</f>
        <v>0</v>
      </c>
      <c r="F13" s="11">
        <f>Table210[[#This Row],[حسابهای دریافتنی]]+Table210[[#This Row],[چکهای در جریان وصول]]+Table210[[#This Row],[چکهای نزد صندوق]]</f>
        <v>1148992373</v>
      </c>
      <c r="G13" s="12">
        <f>IFERROR(INDEX('مانده سوفاله'!F:F,MATCH(Table210[[#This Row],[كد تفصيلي]],'مانده سوفاله'!A:A,0)),0)</f>
        <v>-6924</v>
      </c>
    </row>
    <row r="14" spans="1:7" ht="27" customHeight="1" x14ac:dyDescent="0.35">
      <c r="A14" s="27">
        <v>10002</v>
      </c>
      <c r="B14" s="55" t="s">
        <v>9</v>
      </c>
      <c r="C14" s="10">
        <f>IFERROR(INDEX('حسابهای دریافتنی'!H:H,MATCH(Table210[[#This Row],[كد تفصيلي]],'حسابهای دریافتنی'!A:A,0)),0)</f>
        <v>-3600000000</v>
      </c>
      <c r="D14" s="11">
        <f>IFERROR(INDEX('درجریان وصول'!F:F,MATCH(Table210[[#This Row],[كد تفصيلي]],'درجریان وصول'!A:A,0)),0)</f>
        <v>0</v>
      </c>
      <c r="E14" s="11">
        <f>IFERROR(INDEX('چکهای دریافتنی'!F:F,MATCH(Table210[[#This Row],[كد تفصيلي]],'چکهای دریافتنی'!A:A,0)),0)</f>
        <v>0</v>
      </c>
      <c r="F14" s="11">
        <f>Table210[[#This Row],[حسابهای دریافتنی]]+Table210[[#This Row],[چکهای در جریان وصول]]+Table210[[#This Row],[چکهای نزد صندوق]]</f>
        <v>-3600000000</v>
      </c>
      <c r="G14" s="12">
        <f>IFERROR(INDEX('مانده سوفاله'!F:F,MATCH(Table210[[#This Row],[كد تفصيلي]],'مانده سوفاله'!A:A,0)),0)</f>
        <v>0</v>
      </c>
    </row>
    <row r="15" spans="1:7" ht="27" customHeight="1" x14ac:dyDescent="0.35">
      <c r="A15" s="27">
        <v>10123</v>
      </c>
      <c r="B15" s="55" t="s">
        <v>340</v>
      </c>
      <c r="C15" s="10">
        <f>IFERROR(INDEX('حسابهای دریافتنی'!H:H,MATCH(Table210[[#This Row],[كد تفصيلي]],'حسابهای دریافتنی'!A:A,0)),0)</f>
        <v>-50813000</v>
      </c>
      <c r="D15" s="11">
        <f>IFERROR(INDEX('درجریان وصول'!F:F,MATCH(Table210[[#This Row],[كد تفصيلي]],'درجریان وصول'!A:A,0)),0)</f>
        <v>0</v>
      </c>
      <c r="E15" s="11">
        <f>IFERROR(INDEX('چکهای دریافتنی'!F:F,MATCH(Table210[[#This Row],[كد تفصيلي]],'چکهای دریافتنی'!A:A,0)),0)</f>
        <v>0</v>
      </c>
      <c r="F15" s="11">
        <f>Table210[[#This Row],[حسابهای دریافتنی]]+Table210[[#This Row],[چکهای در جریان وصول]]+Table210[[#This Row],[چکهای نزد صندوق]]</f>
        <v>-50813000</v>
      </c>
      <c r="G15" s="12">
        <f>IFERROR(INDEX('مانده سوفاله'!F:F,MATCH(Table210[[#This Row],[كد تفصيلي]],'مانده سوفاله'!A:A,0)),0)</f>
        <v>0</v>
      </c>
    </row>
    <row r="16" spans="1:7" ht="27" customHeight="1" x14ac:dyDescent="0.35">
      <c r="A16" s="26">
        <v>30162</v>
      </c>
      <c r="B16" s="56" t="s">
        <v>301</v>
      </c>
      <c r="C16" s="10">
        <f>IFERROR(INDEX('حسابهای دریافتنی'!H:H,MATCH(Table210[[#This Row],[كد تفصيلي]],'حسابهای دریافتنی'!A:A,0)),0)</f>
        <v>204890235</v>
      </c>
      <c r="D16" s="11">
        <f>IFERROR(INDEX('درجریان وصول'!F:F,MATCH(Table210[[#This Row],[كد تفصيلي]],'درجریان وصول'!A:A,0)),0)</f>
        <v>0</v>
      </c>
      <c r="E16" s="11">
        <f>IFERROR(INDEX('چکهای دریافتنی'!F:F,MATCH(Table210[[#This Row],[كد تفصيلي]],'چکهای دریافتنی'!A:A,0)),0)</f>
        <v>0</v>
      </c>
      <c r="F16" s="11">
        <f>Table210[[#This Row],[حسابهای دریافتنی]]+Table210[[#This Row],[چکهای در جریان وصول]]+Table210[[#This Row],[چکهای نزد صندوق]]</f>
        <v>204890235</v>
      </c>
      <c r="G16" s="12">
        <f>IFERROR(INDEX('مانده سوفاله'!F:F,MATCH(Table210[[#This Row],[كد تفصيلي]],'مانده سوفاله'!A:A,0)),0)</f>
        <v>-251</v>
      </c>
    </row>
    <row r="17" spans="1:7" ht="27" customHeight="1" x14ac:dyDescent="0.35">
      <c r="A17" s="26">
        <v>30146</v>
      </c>
      <c r="B17" s="56" t="s">
        <v>266</v>
      </c>
      <c r="C17" s="10">
        <f>IFERROR(INDEX('حسابهای دریافتنی'!H:H,MATCH(Table210[[#This Row],[كد تفصيلي]],'حسابهای دریافتنی'!A:A,0)),0)</f>
        <v>-4146512500</v>
      </c>
      <c r="D17" s="11">
        <f>IFERROR(INDEX('درجریان وصول'!F:F,MATCH(Table210[[#This Row],[كد تفصيلي]],'درجریان وصول'!A:A,0)),0)</f>
        <v>0</v>
      </c>
      <c r="E17" s="11">
        <f>IFERROR(INDEX('چکهای دریافتنی'!F:F,MATCH(Table210[[#This Row],[كد تفصيلي]],'چکهای دریافتنی'!A:A,0)),0)</f>
        <v>0</v>
      </c>
      <c r="F17" s="11">
        <f>Table210[[#This Row],[حسابهای دریافتنی]]+Table210[[#This Row],[چکهای در جریان وصول]]+Table210[[#This Row],[چکهای نزد صندوق]]</f>
        <v>-4146512500</v>
      </c>
      <c r="G17" s="12">
        <f>IFERROR(INDEX('مانده سوفاله'!F:F,MATCH(Table210[[#This Row],[كد تفصيلي]],'مانده سوفاله'!A:A,0)),0)</f>
        <v>2823</v>
      </c>
    </row>
    <row r="18" spans="1:7" ht="27" customHeight="1" x14ac:dyDescent="0.35">
      <c r="A18" s="26">
        <v>10057</v>
      </c>
      <c r="B18" s="56" t="s">
        <v>225</v>
      </c>
      <c r="C18" s="10">
        <f>IFERROR(INDEX('حسابهای دریافتنی'!H:H,MATCH(Table210[[#This Row],[كد تفصيلي]],'حسابهای دریافتنی'!A:A,0)),0)</f>
        <v>1390485500</v>
      </c>
      <c r="D18" s="11">
        <f>IFERROR(INDEX('درجریان وصول'!F:F,MATCH(Table210[[#This Row],[كد تفصيلي]],'درجریان وصول'!A:A,0)),0)</f>
        <v>0</v>
      </c>
      <c r="E18" s="11">
        <f>IFERROR(INDEX('چکهای دریافتنی'!F:F,MATCH(Table210[[#This Row],[كد تفصيلي]],'چکهای دریافتنی'!A:A,0)),0)</f>
        <v>0</v>
      </c>
      <c r="F18" s="11">
        <f>Table210[[#This Row],[حسابهای دریافتنی]]+Table210[[#This Row],[چکهای در جریان وصول]]+Table210[[#This Row],[چکهای نزد صندوق]]</f>
        <v>1390485500</v>
      </c>
      <c r="G18" s="12">
        <f>IFERROR(INDEX('مانده سوفاله'!F:F,MATCH(Table210[[#This Row],[كد تفصيلي]],'مانده سوفاله'!A:A,0)),0)</f>
        <v>-2044</v>
      </c>
    </row>
    <row r="19" spans="1:7" ht="27" customHeight="1" x14ac:dyDescent="0.35">
      <c r="A19" s="27">
        <v>30006</v>
      </c>
      <c r="B19" s="55" t="s">
        <v>56</v>
      </c>
      <c r="C19" s="10">
        <f>IFERROR(INDEX('حسابهای دریافتنی'!H:H,MATCH(Table210[[#This Row],[كد تفصيلي]],'حسابهای دریافتنی'!A:A,0)),0)</f>
        <v>-162677545</v>
      </c>
      <c r="D19" s="11">
        <f>IFERROR(INDEX('درجریان وصول'!F:F,MATCH(Table210[[#This Row],[كد تفصيلي]],'درجریان وصول'!A:A,0)),0)</f>
        <v>0</v>
      </c>
      <c r="E19" s="11">
        <f>IFERROR(INDEX('چکهای دریافتنی'!F:F,MATCH(Table210[[#This Row],[كد تفصيلي]],'چکهای دریافتنی'!A:A,0)),0)</f>
        <v>0</v>
      </c>
      <c r="F19" s="11">
        <f>Table210[[#This Row],[حسابهای دریافتنی]]+Table210[[#This Row],[چکهای در جریان وصول]]+Table210[[#This Row],[چکهای نزد صندوق]]</f>
        <v>-162677545</v>
      </c>
      <c r="G19" s="12">
        <f>IFERROR(INDEX('مانده سوفاله'!F:F,MATCH(Table210[[#This Row],[كد تفصيلي]],'مانده سوفاله'!A:A,0)),0)</f>
        <v>-6</v>
      </c>
    </row>
    <row r="20" spans="1:7" ht="27" customHeight="1" x14ac:dyDescent="0.35">
      <c r="A20" s="27">
        <v>30131</v>
      </c>
      <c r="B20" s="55" t="s">
        <v>213</v>
      </c>
      <c r="C20" s="10">
        <f>IFERROR(INDEX('حسابهای دریافتنی'!H:H,MATCH(Table210[[#This Row],[كد تفصيلي]],'حسابهای دریافتنی'!A:A,0)),0)</f>
        <v>-6228486500</v>
      </c>
      <c r="D20" s="11">
        <f>IFERROR(INDEX('درجریان وصول'!F:F,MATCH(Table210[[#This Row],[كد تفصيلي]],'درجریان وصول'!A:A,0)),0)</f>
        <v>0</v>
      </c>
      <c r="E20" s="11">
        <f>IFERROR(INDEX('چکهای دریافتنی'!F:F,MATCH(Table210[[#This Row],[كد تفصيلي]],'چکهای دریافتنی'!A:A,0)),0)</f>
        <v>0</v>
      </c>
      <c r="F20" s="11">
        <f>Table210[[#This Row],[حسابهای دریافتنی]]+Table210[[#This Row],[چکهای در جریان وصول]]+Table210[[#This Row],[چکهای نزد صندوق]]</f>
        <v>-6228486500</v>
      </c>
      <c r="G20" s="12">
        <f>IFERROR(INDEX('مانده سوفاله'!F:F,MATCH(Table210[[#This Row],[كد تفصيلي]],'مانده سوفاله'!A:A,0)),0)</f>
        <v>222</v>
      </c>
    </row>
    <row r="21" spans="1:7" ht="27" customHeight="1" x14ac:dyDescent="0.35">
      <c r="A21" s="27">
        <v>30018</v>
      </c>
      <c r="B21" s="55" t="s">
        <v>66</v>
      </c>
      <c r="C21" s="10">
        <f>IFERROR(INDEX('حسابهای دریافتنی'!H:H,MATCH(Table210[[#This Row],[كد تفصيلي]],'حسابهای دریافتنی'!A:A,0)),0)</f>
        <v>1901077182</v>
      </c>
      <c r="D21" s="11">
        <f>IFERROR(INDEX('درجریان وصول'!F:F,MATCH(Table210[[#This Row],[كد تفصيلي]],'درجریان وصول'!A:A,0)),0)</f>
        <v>0</v>
      </c>
      <c r="E21" s="11">
        <f>IFERROR(INDEX('چکهای دریافتنی'!F:F,MATCH(Table210[[#This Row],[كد تفصيلي]],'چکهای دریافتنی'!A:A,0)),0)</f>
        <v>0</v>
      </c>
      <c r="F21" s="11">
        <f>Table210[[#This Row],[حسابهای دریافتنی]]+Table210[[#This Row],[چکهای در جریان وصول]]+Table210[[#This Row],[چکهای نزد صندوق]]</f>
        <v>1901077182</v>
      </c>
      <c r="G21" s="12">
        <f>IFERROR(INDEX('مانده سوفاله'!F:F,MATCH(Table210[[#This Row],[كد تفصيلي]],'مانده سوفاله'!A:A,0)),0)</f>
        <v>-3024</v>
      </c>
    </row>
    <row r="22" spans="1:7" ht="27" customHeight="1" x14ac:dyDescent="0.35">
      <c r="A22" s="27">
        <v>30014</v>
      </c>
      <c r="B22" s="55" t="s">
        <v>63</v>
      </c>
      <c r="C22" s="10">
        <f>IFERROR(INDEX('حسابهای دریافتنی'!H:H,MATCH(Table210[[#This Row],[كد تفصيلي]],'حسابهای دریافتنی'!A:A,0)),0)</f>
        <v>1762223932</v>
      </c>
      <c r="D22" s="11">
        <f>IFERROR(INDEX('درجریان وصول'!F:F,MATCH(Table210[[#This Row],[كد تفصيلي]],'درجریان وصول'!A:A,0)),0)</f>
        <v>0</v>
      </c>
      <c r="E22" s="11">
        <f>IFERROR(INDEX('چکهای دریافتنی'!F:F,MATCH(Table210[[#This Row],[كد تفصيلي]],'چکهای دریافتنی'!A:A,0)),0)</f>
        <v>0</v>
      </c>
      <c r="F22" s="11">
        <f>Table210[[#This Row],[حسابهای دریافتنی]]+Table210[[#This Row],[چکهای در جریان وصول]]+Table210[[#This Row],[چکهای نزد صندوق]]</f>
        <v>1762223932</v>
      </c>
      <c r="G22" s="12">
        <f>IFERROR(INDEX('مانده سوفاله'!F:F,MATCH(Table210[[#This Row],[كد تفصيلي]],'مانده سوفاله'!A:A,0)),0)</f>
        <v>-1368</v>
      </c>
    </row>
    <row r="23" spans="1:7" ht="27" customHeight="1" x14ac:dyDescent="0.35">
      <c r="A23" s="27">
        <v>10020</v>
      </c>
      <c r="B23" s="55" t="s">
        <v>27</v>
      </c>
      <c r="C23" s="10">
        <f>IFERROR(INDEX('حسابهای دریافتنی'!H:H,MATCH(Table210[[#This Row],[كد تفصيلي]],'حسابهای دریافتنی'!A:A,0)),0)</f>
        <v>57999963</v>
      </c>
      <c r="D23" s="11">
        <f>IFERROR(INDEX('درجریان وصول'!F:F,MATCH(Table210[[#This Row],[كد تفصيلي]],'درجریان وصول'!A:A,0)),0)</f>
        <v>0</v>
      </c>
      <c r="E23" s="11">
        <f>IFERROR(INDEX('چکهای دریافتنی'!F:F,MATCH(Table210[[#This Row],[كد تفصيلي]],'چکهای دریافتنی'!A:A,0)),0)</f>
        <v>728000000</v>
      </c>
      <c r="F23" s="11">
        <f>Table210[[#This Row],[حسابهای دریافتنی]]+Table210[[#This Row],[چکهای در جریان وصول]]+Table210[[#This Row],[چکهای نزد صندوق]]</f>
        <v>785999963</v>
      </c>
      <c r="G23" s="12">
        <f>IFERROR(INDEX('مانده سوفاله'!F:F,MATCH(Table210[[#This Row],[كد تفصيلي]],'مانده سوفاله'!A:A,0)),0)</f>
        <v>-1031</v>
      </c>
    </row>
    <row r="24" spans="1:7" ht="27" customHeight="1" x14ac:dyDescent="0.35">
      <c r="A24" s="27">
        <v>10008</v>
      </c>
      <c r="B24" s="55" t="s">
        <v>15</v>
      </c>
      <c r="C24" s="10">
        <f>IFERROR(INDEX('حسابهای دریافتنی'!H:H,MATCH(Table210[[#This Row],[كد تفصيلي]],'حسابهای دریافتنی'!A:A,0)),0)</f>
        <v>597342000</v>
      </c>
      <c r="D24" s="11">
        <f>IFERROR(INDEX('درجریان وصول'!F:F,MATCH(Table210[[#This Row],[كد تفصيلي]],'درجریان وصول'!A:A,0)),0)</f>
        <v>0</v>
      </c>
      <c r="E24" s="11">
        <f>IFERROR(INDEX('چکهای دریافتنی'!F:F,MATCH(Table210[[#This Row],[كد تفصيلي]],'چکهای دریافتنی'!A:A,0)),0)</f>
        <v>0</v>
      </c>
      <c r="F24" s="11">
        <f>Table210[[#This Row],[حسابهای دریافتنی]]+Table210[[#This Row],[چکهای در جریان وصول]]+Table210[[#This Row],[چکهای نزد صندوق]]</f>
        <v>597342000</v>
      </c>
      <c r="G24" s="12">
        <f>IFERROR(INDEX('مانده سوفاله'!F:F,MATCH(Table210[[#This Row],[كد تفصيلي]],'مانده سوفاله'!A:A,0)),0)</f>
        <v>-578</v>
      </c>
    </row>
    <row r="25" spans="1:7" ht="27" customHeight="1" x14ac:dyDescent="0.35">
      <c r="A25" s="26">
        <v>30027</v>
      </c>
      <c r="B25" s="56" t="s">
        <v>75</v>
      </c>
      <c r="C25" s="10">
        <f>IFERROR(INDEX('حسابهای دریافتنی'!H:H,MATCH(Table210[[#This Row],[كد تفصيلي]],'حسابهای دریافتنی'!A:A,0)),0)</f>
        <v>326950</v>
      </c>
      <c r="D25" s="11">
        <f>IFERROR(INDEX('درجریان وصول'!F:F,MATCH(Table210[[#This Row],[كد تفصيلي]],'درجریان وصول'!A:A,0)),0)</f>
        <v>0</v>
      </c>
      <c r="E25" s="11">
        <f>IFERROR(INDEX('چکهای دریافتنی'!F:F,MATCH(Table210[[#This Row],[كد تفصيلي]],'چکهای دریافتنی'!A:A,0)),0)</f>
        <v>0</v>
      </c>
      <c r="F25" s="11">
        <f>Table210[[#This Row],[حسابهای دریافتنی]]+Table210[[#This Row],[چکهای در جریان وصول]]+Table210[[#This Row],[چکهای نزد صندوق]]</f>
        <v>326950</v>
      </c>
      <c r="G25" s="12">
        <f>IFERROR(INDEX('مانده سوفاله'!F:F,MATCH(Table210[[#This Row],[كد تفصيلي]],'مانده سوفاله'!A:A,0)),0)</f>
        <v>0</v>
      </c>
    </row>
    <row r="26" spans="1:7" ht="27" customHeight="1" x14ac:dyDescent="0.35">
      <c r="A26" s="26">
        <v>50011</v>
      </c>
      <c r="B26" s="56" t="s">
        <v>147</v>
      </c>
      <c r="C26" s="10">
        <f>IFERROR(INDEX('حسابهای دریافتنی'!H:H,MATCH(Table210[[#This Row],[كد تفصيلي]],'حسابهای دریافتنی'!A:A,0)),0)</f>
        <v>832182413</v>
      </c>
      <c r="D26" s="11">
        <f>IFERROR(INDEX('درجریان وصول'!F:F,MATCH(Table210[[#This Row],[كد تفصيلي]],'درجریان وصول'!A:A,0)),0)</f>
        <v>0</v>
      </c>
      <c r="E26" s="11">
        <f>IFERROR(INDEX('چکهای دریافتنی'!F:F,MATCH(Table210[[#This Row],[كد تفصيلي]],'چکهای دریافتنی'!A:A,0)),0)</f>
        <v>0</v>
      </c>
      <c r="F26" s="11">
        <f>Table210[[#This Row],[حسابهای دریافتنی]]+Table210[[#This Row],[چکهای در جریان وصول]]+Table210[[#This Row],[چکهای نزد صندوق]]</f>
        <v>832182413</v>
      </c>
      <c r="G26" s="12">
        <f>IFERROR(INDEX('مانده سوفاله'!F:F,MATCH(Table210[[#This Row],[كد تفصيلي]],'مانده سوفاله'!A:A,0)),0)</f>
        <v>30</v>
      </c>
    </row>
    <row r="27" spans="1:7" ht="27" customHeight="1" x14ac:dyDescent="0.35">
      <c r="A27" s="26">
        <v>30070</v>
      </c>
      <c r="B27" s="56" t="s">
        <v>115</v>
      </c>
      <c r="C27" s="10">
        <f>IFERROR(INDEX('حسابهای دریافتنی'!H:H,MATCH(Table210[[#This Row],[كد تفصيلي]],'حسابهای دریافتنی'!A:A,0)),0)</f>
        <v>2651728820</v>
      </c>
      <c r="D27" s="11">
        <f>IFERROR(INDEX('درجریان وصول'!F:F,MATCH(Table210[[#This Row],[كد تفصيلي]],'درجریان وصول'!A:A,0)),0)</f>
        <v>0</v>
      </c>
      <c r="E27" s="11">
        <f>IFERROR(INDEX('چکهای دریافتنی'!F:F,MATCH(Table210[[#This Row],[كد تفصيلي]],'چکهای دریافتنی'!A:A,0)),0)</f>
        <v>3660000000</v>
      </c>
      <c r="F27" s="11">
        <f>Table210[[#This Row],[حسابهای دریافتنی]]+Table210[[#This Row],[چکهای در جریان وصول]]+Table210[[#This Row],[چکهای نزد صندوق]]</f>
        <v>6311728820</v>
      </c>
      <c r="G27" s="12">
        <f>IFERROR(INDEX('مانده سوفاله'!F:F,MATCH(Table210[[#This Row],[كد تفصيلي]],'مانده سوفاله'!A:A,0)),0)</f>
        <v>4378</v>
      </c>
    </row>
    <row r="28" spans="1:7" ht="27" customHeight="1" x14ac:dyDescent="0.35">
      <c r="A28" s="27">
        <v>30187</v>
      </c>
      <c r="B28" s="55" t="s">
        <v>369</v>
      </c>
      <c r="C28" s="10">
        <f>IFERROR(INDEX('حسابهای دریافتنی'!H:H,MATCH(Table210[[#This Row],[كد تفصيلي]],'حسابهای دریافتنی'!A:A,0)),0)</f>
        <v>337825500</v>
      </c>
      <c r="D28" s="11">
        <f>IFERROR(INDEX('درجریان وصول'!F:F,MATCH(Table210[[#This Row],[كد تفصيلي]],'درجریان وصول'!A:A,0)),0)</f>
        <v>0</v>
      </c>
      <c r="E28" s="11">
        <f>IFERROR(INDEX('چکهای دریافتنی'!F:F,MATCH(Table210[[#This Row],[كد تفصيلي]],'چکهای دریافتنی'!A:A,0)),0)</f>
        <v>0</v>
      </c>
      <c r="F28" s="11">
        <f>Table210[[#This Row],[حسابهای دریافتنی]]+Table210[[#This Row],[چکهای در جریان وصول]]+Table210[[#This Row],[چکهای نزد صندوق]]</f>
        <v>337825500</v>
      </c>
      <c r="G28" s="12">
        <f>IFERROR(INDEX('مانده سوفاله'!F:F,MATCH(Table210[[#This Row],[كد تفصيلي]],'مانده سوفاله'!A:A,0)),0)</f>
        <v>-108</v>
      </c>
    </row>
    <row r="29" spans="1:7" ht="27" customHeight="1" x14ac:dyDescent="0.35">
      <c r="A29" s="26">
        <v>30140</v>
      </c>
      <c r="B29" s="56" t="s">
        <v>259</v>
      </c>
      <c r="C29" s="10">
        <f>IFERROR(INDEX('حسابهای دریافتنی'!H:H,MATCH(Table210[[#This Row],[كد تفصيلي]],'حسابهای دریافتنی'!A:A,0)),0)</f>
        <v>553728200</v>
      </c>
      <c r="D29" s="11">
        <f>IFERROR(INDEX('درجریان وصول'!F:F,MATCH(Table210[[#This Row],[كد تفصيلي]],'درجریان وصول'!A:A,0)),0)</f>
        <v>0</v>
      </c>
      <c r="E29" s="11">
        <f>IFERROR(INDEX('چکهای دریافتنی'!F:F,MATCH(Table210[[#This Row],[كد تفصيلي]],'چکهای دریافتنی'!A:A,0)),0)</f>
        <v>1030000000</v>
      </c>
      <c r="F29" s="11">
        <f>Table210[[#This Row],[حسابهای دریافتنی]]+Table210[[#This Row],[چکهای در جریان وصول]]+Table210[[#This Row],[چکهای نزد صندوق]]</f>
        <v>1583728200</v>
      </c>
      <c r="G29" s="12">
        <f>IFERROR(INDEX('مانده سوفاله'!F:F,MATCH(Table210[[#This Row],[كد تفصيلي]],'مانده سوفاله'!A:A,0)),0)</f>
        <v>-12630</v>
      </c>
    </row>
    <row r="30" spans="1:7" ht="27" customHeight="1" x14ac:dyDescent="0.35">
      <c r="A30" s="27">
        <v>30069</v>
      </c>
      <c r="B30" s="55" t="s">
        <v>114</v>
      </c>
      <c r="C30" s="10">
        <f>IFERROR(INDEX('حسابهای دریافتنی'!H:H,MATCH(Table210[[#This Row],[كد تفصيلي]],'حسابهای دریافتنی'!A:A,0)),0)</f>
        <v>377909400</v>
      </c>
      <c r="D30" s="11">
        <f>IFERROR(INDEX('درجریان وصول'!F:F,MATCH(Table210[[#This Row],[كد تفصيلي]],'درجریان وصول'!A:A,0)),0)</f>
        <v>0</v>
      </c>
      <c r="E30" s="11">
        <f>IFERROR(INDEX('چکهای دریافتنی'!F:F,MATCH(Table210[[#This Row],[كد تفصيلي]],'چکهای دریافتنی'!A:A,0)),0)</f>
        <v>0</v>
      </c>
      <c r="F30" s="11">
        <f>Table210[[#This Row],[حسابهای دریافتنی]]+Table210[[#This Row],[چکهای در جریان وصول]]+Table210[[#This Row],[چکهای نزد صندوق]]</f>
        <v>377909400</v>
      </c>
      <c r="G30" s="12">
        <f>IFERROR(INDEX('مانده سوفاله'!F:F,MATCH(Table210[[#This Row],[كد تفصيلي]],'مانده سوفاله'!A:A,0)),0)</f>
        <v>66</v>
      </c>
    </row>
    <row r="31" spans="1:7" ht="27" customHeight="1" x14ac:dyDescent="0.35">
      <c r="A31" s="26">
        <v>10027</v>
      </c>
      <c r="B31" s="56" t="s">
        <v>33</v>
      </c>
      <c r="C31" s="10">
        <f>IFERROR(INDEX('حسابهای دریافتنی'!H:H,MATCH(Table210[[#This Row],[كد تفصيلي]],'حسابهای دریافتنی'!A:A,0)),0)</f>
        <v>33078340</v>
      </c>
      <c r="D31" s="11">
        <f>IFERROR(INDEX('درجریان وصول'!F:F,MATCH(Table210[[#This Row],[كد تفصيلي]],'درجریان وصول'!A:A,0)),0)</f>
        <v>0</v>
      </c>
      <c r="E31" s="11">
        <f>IFERROR(INDEX('چکهای دریافتنی'!F:F,MATCH(Table210[[#This Row],[كد تفصيلي]],'چکهای دریافتنی'!A:A,0)),0)</f>
        <v>1588359160</v>
      </c>
      <c r="F31" s="11">
        <f>Table210[[#This Row],[حسابهای دریافتنی]]+Table210[[#This Row],[چکهای در جریان وصول]]+Table210[[#This Row],[چکهای نزد صندوق]]</f>
        <v>1621437500</v>
      </c>
      <c r="G31" s="12">
        <f>IFERROR(INDEX('مانده سوفاله'!F:F,MATCH(Table210[[#This Row],[كد تفصيلي]],'مانده سوفاله'!A:A,0)),0)</f>
        <v>-647</v>
      </c>
    </row>
    <row r="32" spans="1:7" ht="27" customHeight="1" x14ac:dyDescent="0.35">
      <c r="A32" s="27">
        <v>10127</v>
      </c>
      <c r="B32" s="55" t="s">
        <v>371</v>
      </c>
      <c r="C32" s="10">
        <f>IFERROR(INDEX('حسابهای دریافتنی'!H:H,MATCH(Table210[[#This Row],[كد تفصيلي]],'حسابهای دریافتنی'!A:A,0)),0)</f>
        <v>803728000</v>
      </c>
      <c r="D32" s="11">
        <f>IFERROR(INDEX('درجریان وصول'!F:F,MATCH(Table210[[#This Row],[كد تفصيلي]],'درجریان وصول'!A:A,0)),0)</f>
        <v>0</v>
      </c>
      <c r="E32" s="11">
        <f>IFERROR(INDEX('چکهای دریافتنی'!F:F,MATCH(Table210[[#This Row],[كد تفصيلي]],'چکهای دریافتنی'!A:A,0)),0)</f>
        <v>0</v>
      </c>
      <c r="F32" s="11">
        <f>Table210[[#This Row],[حسابهای دریافتنی]]+Table210[[#This Row],[چکهای در جریان وصول]]+Table210[[#This Row],[چکهای نزد صندوق]]</f>
        <v>803728000</v>
      </c>
      <c r="G32" s="12">
        <f>IFERROR(INDEX('مانده سوفاله'!F:F,MATCH(Table210[[#This Row],[كد تفصيلي]],'مانده سوفاله'!A:A,0)),0)</f>
        <v>-1469</v>
      </c>
    </row>
    <row r="33" spans="1:7" ht="27" customHeight="1" x14ac:dyDescent="0.35">
      <c r="A33" s="27">
        <v>10133</v>
      </c>
      <c r="B33" s="55" t="s">
        <v>465</v>
      </c>
      <c r="C33" s="10">
        <f>IFERROR(INDEX('حسابهای دریافتنی'!H:H,MATCH(Table210[[#This Row],[كد تفصيلي]],'حسابهای دریافتنی'!A:A,0)),0)</f>
        <v>-1249039000</v>
      </c>
      <c r="D33" s="11">
        <f>IFERROR(INDEX('درجریان وصول'!F:F,MATCH(Table210[[#This Row],[كد تفصيلي]],'درجریان وصول'!A:A,0)),0)</f>
        <v>0</v>
      </c>
      <c r="E33" s="11">
        <f>IFERROR(INDEX('چکهای دریافتنی'!F:F,MATCH(Table210[[#This Row],[كد تفصيلي]],'چکهای دریافتنی'!A:A,0)),0)</f>
        <v>0</v>
      </c>
      <c r="F33" s="11">
        <f>Table210[[#This Row],[حسابهای دریافتنی]]+Table210[[#This Row],[چکهای در جریان وصول]]+Table210[[#This Row],[چکهای نزد صندوق]]</f>
        <v>-1249039000</v>
      </c>
      <c r="G33" s="12">
        <f>IFERROR(INDEX('مانده سوفاله'!F:F,MATCH(Table210[[#This Row],[كد تفصيلي]],'مانده سوفاله'!A:A,0)),0)</f>
        <v>0</v>
      </c>
    </row>
    <row r="34" spans="1:7" ht="27" customHeight="1" x14ac:dyDescent="0.35">
      <c r="A34" s="27">
        <v>30099</v>
      </c>
      <c r="B34" s="55" t="s">
        <v>167</v>
      </c>
      <c r="C34" s="10">
        <f>IFERROR(INDEX('حسابهای دریافتنی'!H:H,MATCH(Table210[[#This Row],[كد تفصيلي]],'حسابهای دریافتنی'!A:A,0)),0)</f>
        <v>1398393484</v>
      </c>
      <c r="D34" s="11">
        <f>IFERROR(INDEX('درجریان وصول'!F:F,MATCH(Table210[[#This Row],[كد تفصيلي]],'درجریان وصول'!A:A,0)),0)</f>
        <v>0</v>
      </c>
      <c r="E34" s="11">
        <f>IFERROR(INDEX('چکهای دریافتنی'!F:F,MATCH(Table210[[#This Row],[كد تفصيلي]],'چکهای دریافتنی'!A:A,0)),0)</f>
        <v>583000000</v>
      </c>
      <c r="F34" s="11">
        <f>Table210[[#This Row],[حسابهای دریافتنی]]+Table210[[#This Row],[چکهای در جریان وصول]]+Table210[[#This Row],[چکهای نزد صندوق]]</f>
        <v>1981393484</v>
      </c>
      <c r="G34" s="12">
        <f>IFERROR(INDEX('مانده سوفاله'!F:F,MATCH(Table210[[#This Row],[كد تفصيلي]],'مانده سوفاله'!A:A,0)),0)</f>
        <v>-332</v>
      </c>
    </row>
    <row r="35" spans="1:7" ht="27" customHeight="1" x14ac:dyDescent="0.35">
      <c r="A35" s="27">
        <v>10070</v>
      </c>
      <c r="B35" s="55" t="s">
        <v>230</v>
      </c>
      <c r="C35" s="10">
        <f>IFERROR(INDEX('حسابهای دریافتنی'!H:H,MATCH(Table210[[#This Row],[كد تفصيلي]],'حسابهای دریافتنی'!A:A,0)),0)</f>
        <v>508152500</v>
      </c>
      <c r="D35" s="11">
        <f>IFERROR(INDEX('درجریان وصول'!F:F,MATCH(Table210[[#This Row],[كد تفصيلي]],'درجریان وصول'!A:A,0)),0)</f>
        <v>0</v>
      </c>
      <c r="E35" s="11">
        <f>IFERROR(INDEX('چکهای دریافتنی'!F:F,MATCH(Table210[[#This Row],[كد تفصيلي]],'چکهای دریافتنی'!A:A,0)),0)</f>
        <v>570000000</v>
      </c>
      <c r="F35" s="11">
        <f>Table210[[#This Row],[حسابهای دریافتنی]]+Table210[[#This Row],[چکهای در جریان وصول]]+Table210[[#This Row],[چکهای نزد صندوق]]</f>
        <v>1078152500</v>
      </c>
      <c r="G35" s="12">
        <f>IFERROR(INDEX('مانده سوفاله'!F:F,MATCH(Table210[[#This Row],[كد تفصيلي]],'مانده سوفاله'!A:A,0)),0)</f>
        <v>-3170</v>
      </c>
    </row>
    <row r="36" spans="1:7" ht="27" customHeight="1" x14ac:dyDescent="0.35">
      <c r="A36" s="26">
        <v>30191</v>
      </c>
      <c r="B36" s="56" t="s">
        <v>460</v>
      </c>
      <c r="C36" s="10">
        <f>IFERROR(INDEX('حسابهای دریافتنی'!H:H,MATCH(Table210[[#This Row],[كد تفصيلي]],'حسابهای دریافتنی'!A:A,0)),0)</f>
        <v>792933000</v>
      </c>
      <c r="D36" s="11">
        <f>IFERROR(INDEX('درجریان وصول'!F:F,MATCH(Table210[[#This Row],[كد تفصيلي]],'درجریان وصول'!A:A,0)),0)</f>
        <v>0</v>
      </c>
      <c r="E36" s="11">
        <f>IFERROR(INDEX('چکهای دریافتنی'!F:F,MATCH(Table210[[#This Row],[كد تفصيلي]],'چکهای دریافتنی'!A:A,0)),0)</f>
        <v>0</v>
      </c>
      <c r="F36" s="11">
        <f>Table210[[#This Row],[حسابهای دریافتنی]]+Table210[[#This Row],[چکهای در جریان وصول]]+Table210[[#This Row],[چکهای نزد صندوق]]</f>
        <v>792933000</v>
      </c>
      <c r="G36" s="12">
        <f>IFERROR(INDEX('مانده سوفاله'!F:F,MATCH(Table210[[#This Row],[كد تفصيلي]],'مانده سوفاله'!A:A,0)),0)</f>
        <v>134</v>
      </c>
    </row>
    <row r="37" spans="1:7" ht="27" customHeight="1" x14ac:dyDescent="0.35">
      <c r="A37" s="27">
        <v>30155</v>
      </c>
      <c r="B37" s="55" t="s">
        <v>289</v>
      </c>
      <c r="C37" s="10">
        <f>IFERROR(INDEX('حسابهای دریافتنی'!H:H,MATCH(Table210[[#This Row],[كد تفصيلي]],'حسابهای دریافتنی'!A:A,0)),0)</f>
        <v>-454985417</v>
      </c>
      <c r="D37" s="11">
        <f>IFERROR(INDEX('درجریان وصول'!F:F,MATCH(Table210[[#This Row],[كد تفصيلي]],'درجریان وصول'!A:A,0)),0)</f>
        <v>0</v>
      </c>
      <c r="E37" s="11">
        <f>IFERROR(INDEX('چکهای دریافتنی'!F:F,MATCH(Table210[[#This Row],[كد تفصيلي]],'چکهای دریافتنی'!A:A,0)),0)</f>
        <v>1379936267</v>
      </c>
      <c r="F37" s="11">
        <f>Table210[[#This Row],[حسابهای دریافتنی]]+Table210[[#This Row],[چکهای در جریان وصول]]+Table210[[#This Row],[چکهای نزد صندوق]]</f>
        <v>924950850</v>
      </c>
      <c r="G37" s="12">
        <f>IFERROR(INDEX('مانده سوفاله'!F:F,MATCH(Table210[[#This Row],[كد تفصيلي]],'مانده سوفاله'!A:A,0)),0)</f>
        <v>0</v>
      </c>
    </row>
    <row r="38" spans="1:7" ht="27" customHeight="1" x14ac:dyDescent="0.35">
      <c r="A38" s="26">
        <v>30124</v>
      </c>
      <c r="B38" s="56" t="s">
        <v>246</v>
      </c>
      <c r="C38" s="10">
        <f>IFERROR(INDEX('حسابهای دریافتنی'!H:H,MATCH(Table210[[#This Row],[كد تفصيلي]],'حسابهای دریافتنی'!A:A,0)),0)</f>
        <v>0</v>
      </c>
      <c r="D38" s="11">
        <f>IFERROR(INDEX('درجریان وصول'!F:F,MATCH(Table210[[#This Row],[كد تفصيلي]],'درجریان وصول'!A:A,0)),0)</f>
        <v>0</v>
      </c>
      <c r="E38" s="11">
        <f>IFERROR(INDEX('چکهای دریافتنی'!F:F,MATCH(Table210[[#This Row],[كد تفصيلي]],'چکهای دریافتنی'!A:A,0)),0)</f>
        <v>505676000</v>
      </c>
      <c r="F38" s="11">
        <f>Table210[[#This Row],[حسابهای دریافتنی]]+Table210[[#This Row],[چکهای در جریان وصول]]+Table210[[#This Row],[چکهای نزد صندوق]]</f>
        <v>505676000</v>
      </c>
      <c r="G38" s="12">
        <f>IFERROR(INDEX('مانده سوفاله'!F:F,MATCH(Table210[[#This Row],[كد تفصيلي]],'مانده سوفاله'!A:A,0)),0)</f>
        <v>1498</v>
      </c>
    </row>
    <row r="39" spans="1:7" ht="27" customHeight="1" x14ac:dyDescent="0.35">
      <c r="A39" s="27">
        <v>30055</v>
      </c>
      <c r="B39" s="55" t="s">
        <v>100</v>
      </c>
      <c r="C39" s="10">
        <f>IFERROR(INDEX('حسابهای دریافتنی'!H:H,MATCH(Table210[[#This Row],[كد تفصيلي]],'حسابهای دریافتنی'!A:A,0)),0)</f>
        <v>0</v>
      </c>
      <c r="D39" s="11">
        <f>IFERROR(INDEX('درجریان وصول'!F:F,MATCH(Table210[[#This Row],[كد تفصيلي]],'درجریان وصول'!A:A,0)),0)</f>
        <v>0</v>
      </c>
      <c r="E39" s="11">
        <f>IFERROR(INDEX('چکهای دریافتنی'!F:F,MATCH(Table210[[#This Row],[كد تفصيلي]],'چکهای دریافتنی'!A:A,0)),0)</f>
        <v>0</v>
      </c>
      <c r="F39" s="11">
        <f>Table210[[#This Row],[حسابهای دریافتنی]]+Table210[[#This Row],[چکهای در جریان وصول]]+Table210[[#This Row],[چکهای نزد صندوق]]</f>
        <v>0</v>
      </c>
      <c r="G39" s="12">
        <f>IFERROR(INDEX('مانده سوفاله'!F:F,MATCH(Table210[[#This Row],[كد تفصيلي]],'مانده سوفاله'!A:A,0)),0)</f>
        <v>48</v>
      </c>
    </row>
    <row r="40" spans="1:7" ht="27" customHeight="1" x14ac:dyDescent="0.35">
      <c r="A40" s="27">
        <v>30101</v>
      </c>
      <c r="B40" s="55" t="s">
        <v>196</v>
      </c>
      <c r="C40" s="10">
        <f>IFERROR(INDEX('حسابهای دریافتنی'!H:H,MATCH(Table210[[#This Row],[كد تفصيلي]],'حسابهای دریافتنی'!A:A,0)),0)</f>
        <v>203336095</v>
      </c>
      <c r="D40" s="11">
        <f>IFERROR(INDEX('درجریان وصول'!F:F,MATCH(Table210[[#This Row],[كد تفصيلي]],'درجریان وصول'!A:A,0)),0)</f>
        <v>0</v>
      </c>
      <c r="E40" s="11">
        <f>IFERROR(INDEX('چکهای دریافتنی'!F:F,MATCH(Table210[[#This Row],[كد تفصيلي]],'چکهای دریافتنی'!A:A,0)),0)</f>
        <v>0</v>
      </c>
      <c r="F40" s="11">
        <f>Table210[[#This Row],[حسابهای دریافتنی]]+Table210[[#This Row],[چکهای در جریان وصول]]+Table210[[#This Row],[چکهای نزد صندوق]]</f>
        <v>203336095</v>
      </c>
      <c r="G40" s="12">
        <f>IFERROR(INDEX('مانده سوفاله'!F:F,MATCH(Table210[[#This Row],[كد تفصيلي]],'مانده سوفاله'!A:A,0)),0)</f>
        <v>15</v>
      </c>
    </row>
    <row r="41" spans="1:7" ht="27" customHeight="1" x14ac:dyDescent="0.35">
      <c r="A41" s="26">
        <v>30086</v>
      </c>
      <c r="B41" s="56" t="s">
        <v>131</v>
      </c>
      <c r="C41" s="10">
        <f>IFERROR(INDEX('حسابهای دریافتنی'!H:H,MATCH(Table210[[#This Row],[كد تفصيلي]],'حسابهای دریافتنی'!A:A,0)),0)</f>
        <v>187376603</v>
      </c>
      <c r="D41" s="11">
        <f>IFERROR(INDEX('درجریان وصول'!F:F,MATCH(Table210[[#This Row],[كد تفصيلي]],'درجریان وصول'!A:A,0)),0)</f>
        <v>0</v>
      </c>
      <c r="E41" s="11">
        <f>IFERROR(INDEX('چکهای دریافتنی'!F:F,MATCH(Table210[[#This Row],[كد تفصيلي]],'چکهای دریافتنی'!A:A,0)),0)</f>
        <v>0</v>
      </c>
      <c r="F41" s="11">
        <f>Table210[[#This Row],[حسابهای دریافتنی]]+Table210[[#This Row],[چکهای در جریان وصول]]+Table210[[#This Row],[چکهای نزد صندوق]]</f>
        <v>187376603</v>
      </c>
      <c r="G41" s="12">
        <f>IFERROR(INDEX('مانده سوفاله'!F:F,MATCH(Table210[[#This Row],[كد تفصيلي]],'مانده سوفاله'!A:A,0)),0)</f>
        <v>1549</v>
      </c>
    </row>
    <row r="42" spans="1:7" ht="27" customHeight="1" x14ac:dyDescent="0.35">
      <c r="A42" s="26">
        <v>30005</v>
      </c>
      <c r="B42" s="56" t="s">
        <v>55</v>
      </c>
      <c r="C42" s="10">
        <f>IFERROR(INDEX('حسابهای دریافتنی'!H:H,MATCH(Table210[[#This Row],[كد تفصيلي]],'حسابهای دریافتنی'!A:A,0)),0)</f>
        <v>35368209</v>
      </c>
      <c r="D42" s="11">
        <f>IFERROR(INDEX('درجریان وصول'!F:F,MATCH(Table210[[#This Row],[كد تفصيلي]],'درجریان وصول'!A:A,0)),0)</f>
        <v>0</v>
      </c>
      <c r="E42" s="11">
        <f>IFERROR(INDEX('چکهای دریافتنی'!F:F,MATCH(Table210[[#This Row],[كد تفصيلي]],'چکهای دریافتنی'!A:A,0)),0)</f>
        <v>0</v>
      </c>
      <c r="F42" s="11">
        <f>Table210[[#This Row],[حسابهای دریافتنی]]+Table210[[#This Row],[چکهای در جریان وصول]]+Table210[[#This Row],[چکهای نزد صندوق]]</f>
        <v>35368209</v>
      </c>
      <c r="G42" s="12">
        <f>IFERROR(INDEX('مانده سوفاله'!F:F,MATCH(Table210[[#This Row],[كد تفصيلي]],'مانده سوفاله'!A:A,0)),0)</f>
        <v>61</v>
      </c>
    </row>
    <row r="43" spans="1:7" ht="27" customHeight="1" x14ac:dyDescent="0.35">
      <c r="A43" s="26">
        <v>30003</v>
      </c>
      <c r="B43" s="56" t="s">
        <v>53</v>
      </c>
      <c r="C43" s="10">
        <f>IFERROR(INDEX('حسابهای دریافتنی'!H:H,MATCH(Table210[[#This Row],[كد تفصيلي]],'حسابهای دریافتنی'!A:A,0)),0)</f>
        <v>754765900</v>
      </c>
      <c r="D43" s="11">
        <f>IFERROR(INDEX('درجریان وصول'!F:F,MATCH(Table210[[#This Row],[كد تفصيلي]],'درجریان وصول'!A:A,0)),0)</f>
        <v>0</v>
      </c>
      <c r="E43" s="11">
        <f>IFERROR(INDEX('چکهای دریافتنی'!F:F,MATCH(Table210[[#This Row],[كد تفصيلي]],'چکهای دریافتنی'!A:A,0)),0)</f>
        <v>571000000</v>
      </c>
      <c r="F43" s="11">
        <f>Table210[[#This Row],[حسابهای دریافتنی]]+Table210[[#This Row],[چکهای در جریان وصول]]+Table210[[#This Row],[چکهای نزد صندوق]]</f>
        <v>1325765900</v>
      </c>
      <c r="G43" s="12">
        <f>IFERROR(INDEX('مانده سوفاله'!F:F,MATCH(Table210[[#This Row],[كد تفصيلي]],'مانده سوفاله'!A:A,0)),0)</f>
        <v>-3538</v>
      </c>
    </row>
    <row r="44" spans="1:7" ht="27" customHeight="1" x14ac:dyDescent="0.35">
      <c r="A44" s="26">
        <v>30019</v>
      </c>
      <c r="B44" s="56" t="s">
        <v>67</v>
      </c>
      <c r="C44" s="10">
        <f>IFERROR(INDEX('حسابهای دریافتنی'!H:H,MATCH(Table210[[#This Row],[كد تفصيلي]],'حسابهای دریافتنی'!A:A,0)),0)</f>
        <v>823484840</v>
      </c>
      <c r="D44" s="11">
        <f>IFERROR(INDEX('درجریان وصول'!F:F,MATCH(Table210[[#This Row],[كد تفصيلي]],'درجریان وصول'!A:A,0)),0)</f>
        <v>0</v>
      </c>
      <c r="E44" s="11">
        <f>IFERROR(INDEX('چکهای دریافتنی'!F:F,MATCH(Table210[[#This Row],[كد تفصيلي]],'چکهای دریافتنی'!A:A,0)),0)</f>
        <v>0</v>
      </c>
      <c r="F44" s="11">
        <f>Table210[[#This Row],[حسابهای دریافتنی]]+Table210[[#This Row],[چکهای در جریان وصول]]+Table210[[#This Row],[چکهای نزد صندوق]]</f>
        <v>823484840</v>
      </c>
      <c r="G44" s="12">
        <f>IFERROR(INDEX('مانده سوفاله'!F:F,MATCH(Table210[[#This Row],[كد تفصيلي]],'مانده سوفاله'!A:A,0)),0)</f>
        <v>612</v>
      </c>
    </row>
    <row r="45" spans="1:7" ht="27" customHeight="1" x14ac:dyDescent="0.35">
      <c r="A45" s="27">
        <v>10096</v>
      </c>
      <c r="B45" s="55" t="s">
        <v>271</v>
      </c>
      <c r="C45" s="10">
        <f>IFERROR(INDEX('حسابهای دریافتنی'!H:H,MATCH(Table210[[#This Row],[كد تفصيلي]],'حسابهای دریافتنی'!A:A,0)),0)</f>
        <v>36455500</v>
      </c>
      <c r="D45" s="11">
        <f>IFERROR(INDEX('درجریان وصول'!F:F,MATCH(Table210[[#This Row],[كد تفصيلي]],'درجریان وصول'!A:A,0)),0)</f>
        <v>0</v>
      </c>
      <c r="E45" s="11">
        <f>IFERROR(INDEX('چکهای دریافتنی'!F:F,MATCH(Table210[[#This Row],[كد تفصيلي]],'چکهای دریافتنی'!A:A,0)),0)</f>
        <v>0</v>
      </c>
      <c r="F45" s="11">
        <f>Table210[[#This Row],[حسابهای دریافتنی]]+Table210[[#This Row],[چکهای در جریان وصول]]+Table210[[#This Row],[چکهای نزد صندوق]]</f>
        <v>36455500</v>
      </c>
      <c r="G45" s="12">
        <f>IFERROR(INDEX('مانده سوفاله'!F:F,MATCH(Table210[[#This Row],[كد تفصيلي]],'مانده سوفاله'!A:A,0)),0)</f>
        <v>0</v>
      </c>
    </row>
    <row r="46" spans="1:7" ht="27" customHeight="1" x14ac:dyDescent="0.35">
      <c r="A46" s="26">
        <v>30025</v>
      </c>
      <c r="B46" s="56" t="s">
        <v>73</v>
      </c>
      <c r="C46" s="10">
        <f>IFERROR(INDEX('حسابهای دریافتنی'!H:H,MATCH(Table210[[#This Row],[كد تفصيلي]],'حسابهای دریافتنی'!A:A,0)),0)</f>
        <v>35598920</v>
      </c>
      <c r="D46" s="11">
        <f>IFERROR(INDEX('درجریان وصول'!F:F,MATCH(Table210[[#This Row],[كد تفصيلي]],'درجریان وصول'!A:A,0)),0)</f>
        <v>0</v>
      </c>
      <c r="E46" s="11">
        <f>IFERROR(INDEX('چکهای دریافتنی'!F:F,MATCH(Table210[[#This Row],[كد تفصيلي]],'چکهای دریافتنی'!A:A,0)),0)</f>
        <v>0</v>
      </c>
      <c r="F46" s="11">
        <f>Table210[[#This Row],[حسابهای دریافتنی]]+Table210[[#This Row],[چکهای در جریان وصول]]+Table210[[#This Row],[چکهای نزد صندوق]]</f>
        <v>35598920</v>
      </c>
      <c r="G46" s="12">
        <f>IFERROR(INDEX('مانده سوفاله'!F:F,MATCH(Table210[[#This Row],[كد تفصيلي]],'مانده سوفاله'!A:A,0)),0)</f>
        <v>-165</v>
      </c>
    </row>
    <row r="47" spans="1:7" ht="27" customHeight="1" x14ac:dyDescent="0.35">
      <c r="A47" s="27">
        <v>30093</v>
      </c>
      <c r="B47" s="55" t="s">
        <v>151</v>
      </c>
      <c r="C47" s="10">
        <f>IFERROR(INDEX('حسابهای دریافتنی'!H:H,MATCH(Table210[[#This Row],[كد تفصيلي]],'حسابهای دریافتنی'!A:A,0)),0)</f>
        <v>0</v>
      </c>
      <c r="D47" s="11">
        <f>IFERROR(INDEX('درجریان وصول'!F:F,MATCH(Table210[[#This Row],[كد تفصيلي]],'درجریان وصول'!A:A,0)),0)</f>
        <v>0</v>
      </c>
      <c r="E47" s="11">
        <f>IFERROR(INDEX('چکهای دریافتنی'!F:F,MATCH(Table210[[#This Row],[كد تفصيلي]],'چکهای دریافتنی'!A:A,0)),0)</f>
        <v>0</v>
      </c>
      <c r="F47" s="11">
        <f>Table210[[#This Row],[حسابهای دریافتنی]]+Table210[[#This Row],[چکهای در جریان وصول]]+Table210[[#This Row],[چکهای نزد صندوق]]</f>
        <v>0</v>
      </c>
      <c r="G47" s="12">
        <v>77</v>
      </c>
    </row>
    <row r="48" spans="1:7" ht="27" customHeight="1" x14ac:dyDescent="0.35">
      <c r="A48" s="26">
        <v>30172</v>
      </c>
      <c r="B48" s="56" t="s">
        <v>323</v>
      </c>
      <c r="C48" s="10">
        <f>IFERROR(INDEX('حسابهای دریافتنی'!H:H,MATCH(Table210[[#This Row],[كد تفصيلي]],'حسابهای دریافتنی'!A:A,0)),0)</f>
        <v>0</v>
      </c>
      <c r="D48" s="11">
        <f>IFERROR(INDEX('درجریان وصول'!F:F,MATCH(Table210[[#This Row],[كد تفصيلي]],'درجریان وصول'!A:A,0)),0)</f>
        <v>0</v>
      </c>
      <c r="E48" s="11">
        <f>IFERROR(INDEX('چکهای دریافتنی'!F:F,MATCH(Table210[[#This Row],[كد تفصيلي]],'چکهای دریافتنی'!A:A,0)),0)</f>
        <v>0</v>
      </c>
      <c r="F48" s="11">
        <f>Table210[[#This Row],[حسابهای دریافتنی]]+Table210[[#This Row],[چکهای در جریان وصول]]+Table210[[#This Row],[چکهای نزد صندوق]]</f>
        <v>0</v>
      </c>
      <c r="G48" s="12">
        <f>IFERROR(INDEX('مانده سوفاله'!F:F,MATCH(Table210[[#This Row],[كد تفصيلي]],'مانده سوفاله'!A:A,0)),0)</f>
        <v>0</v>
      </c>
    </row>
    <row r="49" spans="1:7" ht="27" customHeight="1" x14ac:dyDescent="0.35">
      <c r="A49" s="27">
        <v>30008</v>
      </c>
      <c r="B49" s="55" t="s">
        <v>58</v>
      </c>
      <c r="C49" s="10">
        <f>IFERROR(INDEX('حسابهای دریافتنی'!H:H,MATCH(Table210[[#This Row],[كد تفصيلي]],'حسابهای دریافتنی'!A:A,0)),0)</f>
        <v>15520000</v>
      </c>
      <c r="D49" s="11">
        <f>IFERROR(INDEX('درجریان وصول'!F:F,MATCH(Table210[[#This Row],[كد تفصيلي]],'درجریان وصول'!A:A,0)),0)</f>
        <v>0</v>
      </c>
      <c r="E49" s="11">
        <f>IFERROR(INDEX('چکهای دریافتنی'!F:F,MATCH(Table210[[#This Row],[كد تفصيلي]],'چکهای دریافتنی'!A:A,0)),0)</f>
        <v>0</v>
      </c>
      <c r="F49" s="11">
        <f>Table210[[#This Row],[حسابهای دریافتنی]]+Table210[[#This Row],[چکهای در جریان وصول]]+Table210[[#This Row],[چکهای نزد صندوق]]</f>
        <v>15520000</v>
      </c>
      <c r="G49" s="12">
        <f>IFERROR(INDEX('مانده سوفاله'!F:F,MATCH(Table210[[#This Row],[كد تفصيلي]],'مانده سوفاله'!A:A,0)),0)</f>
        <v>0</v>
      </c>
    </row>
    <row r="50" spans="1:7" ht="27" customHeight="1" x14ac:dyDescent="0.35">
      <c r="A50" s="26">
        <v>10007</v>
      </c>
      <c r="B50" s="56" t="s">
        <v>14</v>
      </c>
      <c r="C50" s="10">
        <f>IFERROR(INDEX('حسابهای دریافتنی'!H:H,MATCH(Table210[[#This Row],[كد تفصيلي]],'حسابهای دریافتنی'!A:A,0)),0)</f>
        <v>12770000</v>
      </c>
      <c r="D50" s="11">
        <f>IFERROR(INDEX('درجریان وصول'!F:F,MATCH(Table210[[#This Row],[كد تفصيلي]],'درجریان وصول'!A:A,0)),0)</f>
        <v>0</v>
      </c>
      <c r="E50" s="11">
        <f>IFERROR(INDEX('چکهای دریافتنی'!F:F,MATCH(Table210[[#This Row],[كد تفصيلي]],'چکهای دریافتنی'!A:A,0)),0)</f>
        <v>0</v>
      </c>
      <c r="F50" s="11">
        <f>Table210[[#This Row],[حسابهای دریافتنی]]+Table210[[#This Row],[چکهای در جریان وصول]]+Table210[[#This Row],[چکهای نزد صندوق]]</f>
        <v>12770000</v>
      </c>
      <c r="G50" s="12">
        <f>IFERROR(INDEX('مانده سوفاله'!F:F,MATCH(Table210[[#This Row],[كد تفصيلي]],'مانده سوفاله'!A:A,0)),0)</f>
        <v>-52.5</v>
      </c>
    </row>
    <row r="51" spans="1:7" ht="27" customHeight="1" x14ac:dyDescent="0.35">
      <c r="A51" s="27">
        <v>30012</v>
      </c>
      <c r="B51" s="55" t="s">
        <v>61</v>
      </c>
      <c r="C51" s="10">
        <f>IFERROR(INDEX('حسابهای دریافتنی'!H:H,MATCH(Table210[[#This Row],[كد تفصيلي]],'حسابهای دریافتنی'!A:A,0)),0)</f>
        <v>-46099000</v>
      </c>
      <c r="D51" s="11">
        <f>IFERROR(INDEX('درجریان وصول'!F:F,MATCH(Table210[[#This Row],[كد تفصيلي]],'درجریان وصول'!A:A,0)),0)</f>
        <v>0</v>
      </c>
      <c r="E51" s="11">
        <f>IFERROR(INDEX('چکهای دریافتنی'!F:F,MATCH(Table210[[#This Row],[كد تفصيلي]],'چکهای دریافتنی'!A:A,0)),0)</f>
        <v>348650000</v>
      </c>
      <c r="F51" s="11">
        <f>Table210[[#This Row],[حسابهای دریافتنی]]+Table210[[#This Row],[چکهای در جریان وصول]]+Table210[[#This Row],[چکهای نزد صندوق]]</f>
        <v>302551000</v>
      </c>
      <c r="G51" s="12">
        <f>IFERROR(INDEX('مانده سوفاله'!F:F,MATCH(Table210[[#This Row],[كد تفصيلي]],'مانده سوفاله'!A:A,0)),0)</f>
        <v>141</v>
      </c>
    </row>
    <row r="52" spans="1:7" ht="27" customHeight="1" x14ac:dyDescent="0.35">
      <c r="A52" s="27">
        <v>30145</v>
      </c>
      <c r="B52" s="55" t="s">
        <v>265</v>
      </c>
      <c r="C52" s="10">
        <f>IFERROR(INDEX('حسابهای دریافتنی'!H:H,MATCH(Table210[[#This Row],[كد تفصيلي]],'حسابهای دریافتنی'!A:A,0)),0)</f>
        <v>6442500</v>
      </c>
      <c r="D52" s="11">
        <f>IFERROR(INDEX('درجریان وصول'!F:F,MATCH(Table210[[#This Row],[كد تفصيلي]],'درجریان وصول'!A:A,0)),0)</f>
        <v>0</v>
      </c>
      <c r="E52" s="11">
        <f>IFERROR(INDEX('چکهای دریافتنی'!F:F,MATCH(Table210[[#This Row],[كد تفصيلي]],'چکهای دریافتنی'!A:A,0)),0)</f>
        <v>0</v>
      </c>
      <c r="F52" s="11">
        <f>Table210[[#This Row],[حسابهای دریافتنی]]+Table210[[#This Row],[چکهای در جریان وصول]]+Table210[[#This Row],[چکهای نزد صندوق]]</f>
        <v>6442500</v>
      </c>
      <c r="G52" s="12">
        <f>IFERROR(INDEX('مانده سوفاله'!F:F,MATCH(Table210[[#This Row],[كد تفصيلي]],'مانده سوفاله'!A:A,0)),0)</f>
        <v>0</v>
      </c>
    </row>
    <row r="53" spans="1:7" ht="27" customHeight="1" x14ac:dyDescent="0.35">
      <c r="A53" s="26">
        <v>30184</v>
      </c>
      <c r="B53" s="56" t="s">
        <v>368</v>
      </c>
      <c r="C53" s="10">
        <f>IFERROR(INDEX('حسابهای دریافتنی'!H:H,MATCH(Table210[[#This Row],[كد تفصيلي]],'حسابهای دریافتنی'!A:A,0)),0)</f>
        <v>904890480</v>
      </c>
      <c r="D53" s="11">
        <f>IFERROR(INDEX('درجریان وصول'!F:F,MATCH(Table210[[#This Row],[كد تفصيلي]],'درجریان وصول'!A:A,0)),0)</f>
        <v>0</v>
      </c>
      <c r="E53" s="11">
        <f>IFERROR(INDEX('چکهای دریافتنی'!F:F,MATCH(Table210[[#This Row],[كد تفصيلي]],'چکهای دریافتنی'!A:A,0)),0)</f>
        <v>0</v>
      </c>
      <c r="F53" s="11">
        <f>Table210[[#This Row],[حسابهای دریافتنی]]+Table210[[#This Row],[چکهای در جریان وصول]]+Table210[[#This Row],[چکهای نزد صندوق]]</f>
        <v>904890480</v>
      </c>
      <c r="G53" s="12">
        <f>IFERROR(INDEX('مانده سوفاله'!F:F,MATCH(Table210[[#This Row],[كد تفصيلي]],'مانده سوفاله'!A:A,0)),0)</f>
        <v>-100</v>
      </c>
    </row>
    <row r="54" spans="1:7" ht="27" customHeight="1" x14ac:dyDescent="0.35">
      <c r="A54" s="26">
        <v>30047</v>
      </c>
      <c r="B54" s="56" t="s">
        <v>94</v>
      </c>
      <c r="C54" s="10">
        <f>IFERROR(INDEX('حسابهای دریافتنی'!H:H,MATCH(Table210[[#This Row],[كد تفصيلي]],'حسابهای دریافتنی'!A:A,0)),0)</f>
        <v>5794900</v>
      </c>
      <c r="D54" s="11">
        <f>IFERROR(INDEX('درجریان وصول'!F:F,MATCH(Table210[[#This Row],[كد تفصيلي]],'درجریان وصول'!A:A,0)),0)</f>
        <v>0</v>
      </c>
      <c r="E54" s="11">
        <f>IFERROR(INDEX('چکهای دریافتنی'!F:F,MATCH(Table210[[#This Row],[كد تفصيلي]],'چکهای دریافتنی'!A:A,0)),0)</f>
        <v>0</v>
      </c>
      <c r="F54" s="11">
        <f>Table210[[#This Row],[حسابهای دریافتنی]]+Table210[[#This Row],[چکهای در جریان وصول]]+Table210[[#This Row],[چکهای نزد صندوق]]</f>
        <v>5794900</v>
      </c>
      <c r="G54" s="12">
        <f>IFERROR(INDEX('مانده سوفاله'!F:F,MATCH(Table210[[#This Row],[كد تفصيلي]],'مانده سوفاله'!A:A,0)),0)</f>
        <v>-630</v>
      </c>
    </row>
    <row r="55" spans="1:7" ht="27" customHeight="1" x14ac:dyDescent="0.35">
      <c r="A55" s="26">
        <v>30011</v>
      </c>
      <c r="B55" s="56" t="s">
        <v>60</v>
      </c>
      <c r="C55" s="10">
        <f>IFERROR(INDEX('حسابهای دریافتنی'!H:H,MATCH(Table210[[#This Row],[كد تفصيلي]],'حسابهای دریافتنی'!A:A,0)),0)</f>
        <v>5595200</v>
      </c>
      <c r="D55" s="11">
        <f>IFERROR(INDEX('درجریان وصول'!F:F,MATCH(Table210[[#This Row],[كد تفصيلي]],'درجریان وصول'!A:A,0)),0)</f>
        <v>0</v>
      </c>
      <c r="E55" s="11">
        <f>IFERROR(INDEX('چکهای دریافتنی'!F:F,MATCH(Table210[[#This Row],[كد تفصيلي]],'چکهای دریافتنی'!A:A,0)),0)</f>
        <v>0</v>
      </c>
      <c r="F55" s="11">
        <f>Table210[[#This Row],[حسابهای دریافتنی]]+Table210[[#This Row],[چکهای در جریان وصول]]+Table210[[#This Row],[چکهای نزد صندوق]]</f>
        <v>5595200</v>
      </c>
      <c r="G55" s="12">
        <f>IFERROR(INDEX('مانده سوفاله'!F:F,MATCH(Table210[[#This Row],[كد تفصيلي]],'مانده سوفاله'!A:A,0)),0)</f>
        <v>-5</v>
      </c>
    </row>
    <row r="56" spans="1:7" ht="27" customHeight="1" x14ac:dyDescent="0.35">
      <c r="A56" s="27">
        <v>10080</v>
      </c>
      <c r="B56" s="55" t="s">
        <v>214</v>
      </c>
      <c r="C56" s="10">
        <f>IFERROR(INDEX('حسابهای دریافتنی'!H:H,MATCH(Table210[[#This Row],[كد تفصيلي]],'حسابهای دریافتنی'!A:A,0)),0)</f>
        <v>5395000</v>
      </c>
      <c r="D56" s="11">
        <f>IFERROR(INDEX('درجریان وصول'!F:F,MATCH(Table210[[#This Row],[كد تفصيلي]],'درجریان وصول'!A:A,0)),0)</f>
        <v>0</v>
      </c>
      <c r="E56" s="11">
        <f>IFERROR(INDEX('چکهای دریافتنی'!F:F,MATCH(Table210[[#This Row],[كد تفصيلي]],'چکهای دریافتنی'!A:A,0)),0)</f>
        <v>0</v>
      </c>
      <c r="F56" s="11">
        <f>Table210[[#This Row],[حسابهای دریافتنی]]+Table210[[#This Row],[چکهای در جریان وصول]]+Table210[[#This Row],[چکهای نزد صندوق]]</f>
        <v>5395000</v>
      </c>
      <c r="G56" s="12">
        <f>IFERROR(INDEX('مانده سوفاله'!F:F,MATCH(Table210[[#This Row],[كد تفصيلي]],'مانده سوفاله'!A:A,0)),0)</f>
        <v>0</v>
      </c>
    </row>
    <row r="57" spans="1:7" ht="27" customHeight="1" x14ac:dyDescent="0.35">
      <c r="A57" s="26">
        <v>30114</v>
      </c>
      <c r="B57" s="56" t="s">
        <v>175</v>
      </c>
      <c r="C57" s="10">
        <f>IFERROR(INDEX('حسابهای دریافتنی'!H:H,MATCH(Table210[[#This Row],[كد تفصيلي]],'حسابهای دریافتنی'!A:A,0)),0)</f>
        <v>5385600</v>
      </c>
      <c r="D57" s="11">
        <f>IFERROR(INDEX('درجریان وصول'!F:F,MATCH(Table210[[#This Row],[كد تفصيلي]],'درجریان وصول'!A:A,0)),0)</f>
        <v>0</v>
      </c>
      <c r="E57" s="11">
        <f>IFERROR(INDEX('چکهای دریافتنی'!F:F,MATCH(Table210[[#This Row],[كد تفصيلي]],'چکهای دریافتنی'!A:A,0)),0)</f>
        <v>0</v>
      </c>
      <c r="F57" s="11">
        <f>Table210[[#This Row],[حسابهای دریافتنی]]+Table210[[#This Row],[چکهای در جریان وصول]]+Table210[[#This Row],[چکهای نزد صندوق]]</f>
        <v>5385600</v>
      </c>
      <c r="G57" s="12">
        <f>IFERROR(INDEX('مانده سوفاله'!F:F,MATCH(Table210[[#This Row],[كد تفصيلي]],'مانده سوفاله'!A:A,0)),0)</f>
        <v>0</v>
      </c>
    </row>
    <row r="58" spans="1:7" ht="27" customHeight="1" x14ac:dyDescent="0.35">
      <c r="A58" s="27">
        <v>30123</v>
      </c>
      <c r="B58" s="55" t="s">
        <v>208</v>
      </c>
      <c r="C58" s="10">
        <f>IFERROR(INDEX('حسابهای دریافتنی'!H:H,MATCH(Table210[[#This Row],[كد تفصيلي]],'حسابهای دریافتنی'!A:A,0)),0)</f>
        <v>4138250</v>
      </c>
      <c r="D58" s="11">
        <f>IFERROR(INDEX('درجریان وصول'!F:F,MATCH(Table210[[#This Row],[كد تفصيلي]],'درجریان وصول'!A:A,0)),0)</f>
        <v>0</v>
      </c>
      <c r="E58" s="11">
        <f>IFERROR(INDEX('چکهای دریافتنی'!F:F,MATCH(Table210[[#This Row],[كد تفصيلي]],'چکهای دریافتنی'!A:A,0)),0)</f>
        <v>0</v>
      </c>
      <c r="F58" s="11">
        <f>Table210[[#This Row],[حسابهای دریافتنی]]+Table210[[#This Row],[چکهای در جریان وصول]]+Table210[[#This Row],[چکهای نزد صندوق]]</f>
        <v>4138250</v>
      </c>
      <c r="G58" s="12">
        <f>IFERROR(INDEX('مانده سوفاله'!F:F,MATCH(Table210[[#This Row],[كد تفصيلي]],'مانده سوفاله'!A:A,0)),0)</f>
        <v>-20</v>
      </c>
    </row>
    <row r="59" spans="1:7" ht="27" customHeight="1" x14ac:dyDescent="0.35">
      <c r="A59" s="26">
        <v>10116</v>
      </c>
      <c r="B59" s="56" t="s">
        <v>321</v>
      </c>
      <c r="C59" s="10">
        <f>IFERROR(INDEX('حسابهای دریافتنی'!H:H,MATCH(Table210[[#This Row],[كد تفصيلي]],'حسابهای دریافتنی'!A:A,0)),0)</f>
        <v>3892500</v>
      </c>
      <c r="D59" s="11">
        <f>IFERROR(INDEX('درجریان وصول'!F:F,MATCH(Table210[[#This Row],[كد تفصيلي]],'درجریان وصول'!A:A,0)),0)</f>
        <v>0</v>
      </c>
      <c r="E59" s="11">
        <f>IFERROR(INDEX('چکهای دریافتنی'!F:F,MATCH(Table210[[#This Row],[كد تفصيلي]],'چکهای دریافتنی'!A:A,0)),0)</f>
        <v>0</v>
      </c>
      <c r="F59" s="11">
        <f>Table210[[#This Row],[حسابهای دریافتنی]]+Table210[[#This Row],[چکهای در جریان وصول]]+Table210[[#This Row],[چکهای نزد صندوق]]</f>
        <v>3892500</v>
      </c>
      <c r="G59" s="12">
        <f>IFERROR(INDEX('مانده سوفاله'!F:F,MATCH(Table210[[#This Row],[كد تفصيلي]],'مانده سوفاله'!A:A,0)),0)</f>
        <v>0</v>
      </c>
    </row>
    <row r="60" spans="1:7" ht="27" customHeight="1" x14ac:dyDescent="0.35">
      <c r="A60" s="26">
        <v>10101</v>
      </c>
      <c r="B60" s="56" t="s">
        <v>281</v>
      </c>
      <c r="C60" s="10">
        <f>IFERROR(INDEX('حسابهای دریافتنی'!H:H,MATCH(Table210[[#This Row],[كد تفصيلي]],'حسابهای دریافتنی'!A:A,0)),0)</f>
        <v>0</v>
      </c>
      <c r="D60" s="11">
        <f>IFERROR(INDEX('درجریان وصول'!F:F,MATCH(Table210[[#This Row],[كد تفصيلي]],'درجریان وصول'!A:A,0)),0)</f>
        <v>0</v>
      </c>
      <c r="E60" s="11">
        <f>IFERROR(INDEX('چکهای دریافتنی'!F:F,MATCH(Table210[[#This Row],[كد تفصيلي]],'چکهای دریافتنی'!A:A,0)),0)</f>
        <v>0</v>
      </c>
      <c r="F60" s="11">
        <f>Table210[[#This Row],[حسابهای دریافتنی]]+Table210[[#This Row],[چکهای در جریان وصول]]+Table210[[#This Row],[چکهای نزد صندوق]]</f>
        <v>0</v>
      </c>
      <c r="G60" s="12">
        <f>IFERROR(INDEX('مانده سوفاله'!F:F,MATCH(Table210[[#This Row],[كد تفصيلي]],'مانده سوفاله'!A:A,0)),0)</f>
        <v>0</v>
      </c>
    </row>
    <row r="61" spans="1:7" ht="27" customHeight="1" x14ac:dyDescent="0.35">
      <c r="A61" s="27">
        <v>10030</v>
      </c>
      <c r="B61" s="55" t="s">
        <v>36</v>
      </c>
      <c r="C61" s="10">
        <f>IFERROR(INDEX('حسابهای دریافتنی'!H:H,MATCH(Table210[[#This Row],[كد تفصيلي]],'حسابهای دریافتنی'!A:A,0)),0)</f>
        <v>3272000</v>
      </c>
      <c r="D61" s="11">
        <f>IFERROR(INDEX('درجریان وصول'!F:F,MATCH(Table210[[#This Row],[كد تفصيلي]],'درجریان وصول'!A:A,0)),0)</f>
        <v>0</v>
      </c>
      <c r="E61" s="11">
        <f>IFERROR(INDEX('چکهای دریافتنی'!F:F,MATCH(Table210[[#This Row],[كد تفصيلي]],'چکهای دریافتنی'!A:A,0)),0)</f>
        <v>0</v>
      </c>
      <c r="F61" s="11">
        <f>Table210[[#This Row],[حسابهای دریافتنی]]+Table210[[#This Row],[چکهای در جریان وصول]]+Table210[[#This Row],[چکهای نزد صندوق]]</f>
        <v>3272000</v>
      </c>
      <c r="G61" s="12">
        <f>IFERROR(INDEX('مانده سوفاله'!F:F,MATCH(Table210[[#This Row],[كد تفصيلي]],'مانده سوفاله'!A:A,0)),0)</f>
        <v>-222</v>
      </c>
    </row>
    <row r="62" spans="1:7" ht="27" customHeight="1" x14ac:dyDescent="0.35">
      <c r="A62" s="26">
        <v>30178</v>
      </c>
      <c r="B62" s="56" t="s">
        <v>335</v>
      </c>
      <c r="C62" s="10">
        <f>IFERROR(INDEX('حسابهای دریافتنی'!H:H,MATCH(Table210[[#This Row],[كد تفصيلي]],'حسابهای دریافتنی'!A:A,0)),0)</f>
        <v>3040000</v>
      </c>
      <c r="D62" s="11">
        <f>IFERROR(INDEX('درجریان وصول'!F:F,MATCH(Table210[[#This Row],[كد تفصيلي]],'درجریان وصول'!A:A,0)),0)</f>
        <v>0</v>
      </c>
      <c r="E62" s="11">
        <f>IFERROR(INDEX('چکهای دریافتنی'!F:F,MATCH(Table210[[#This Row],[كد تفصيلي]],'چکهای دریافتنی'!A:A,0)),0)</f>
        <v>0</v>
      </c>
      <c r="F62" s="11">
        <f>Table210[[#This Row],[حسابهای دریافتنی]]+Table210[[#This Row],[چکهای در جریان وصول]]+Table210[[#This Row],[چکهای نزد صندوق]]</f>
        <v>3040000</v>
      </c>
      <c r="G62" s="12">
        <f>IFERROR(INDEX('مانده سوفاله'!F:F,MATCH(Table210[[#This Row],[كد تفصيلي]],'مانده سوفاله'!A:A,0)),0)</f>
        <v>0</v>
      </c>
    </row>
    <row r="63" spans="1:7" ht="27" customHeight="1" x14ac:dyDescent="0.35">
      <c r="A63" s="27">
        <v>10072</v>
      </c>
      <c r="B63" s="55" t="s">
        <v>177</v>
      </c>
      <c r="C63" s="10">
        <f>IFERROR(INDEX('حسابهای دریافتنی'!H:H,MATCH(Table210[[#This Row],[كد تفصيلي]],'حسابهای دریافتنی'!A:A,0)),0)</f>
        <v>55880</v>
      </c>
      <c r="D63" s="11">
        <f>IFERROR(INDEX('درجریان وصول'!F:F,MATCH(Table210[[#This Row],[كد تفصيلي]],'درجریان وصول'!A:A,0)),0)</f>
        <v>0</v>
      </c>
      <c r="E63" s="11">
        <f>IFERROR(INDEX('چکهای دریافتنی'!F:F,MATCH(Table210[[#This Row],[كد تفصيلي]],'چکهای دریافتنی'!A:A,0)),0)</f>
        <v>427700000</v>
      </c>
      <c r="F63" s="11">
        <f>Table210[[#This Row],[حسابهای دریافتنی]]+Table210[[#This Row],[چکهای در جریان وصول]]+Table210[[#This Row],[چکهای نزد صندوق]]</f>
        <v>427755880</v>
      </c>
      <c r="G63" s="12">
        <f>IFERROR(INDEX('مانده سوفاله'!F:F,MATCH(Table210[[#This Row],[كد تفصيلي]],'مانده سوفاله'!A:A,0)),0)</f>
        <v>0</v>
      </c>
    </row>
    <row r="64" spans="1:7" ht="27" customHeight="1" x14ac:dyDescent="0.35">
      <c r="A64" s="27">
        <v>10004</v>
      </c>
      <c r="B64" s="55" t="s">
        <v>11</v>
      </c>
      <c r="C64" s="10">
        <f>IFERROR(INDEX('حسابهای دریافتنی'!H:H,MATCH(Table210[[#This Row],[كد تفصيلي]],'حسابهای دریافتنی'!A:A,0)),0)</f>
        <v>853000</v>
      </c>
      <c r="D64" s="11">
        <f>IFERROR(INDEX('درجریان وصول'!F:F,MATCH(Table210[[#This Row],[كد تفصيلي]],'درجریان وصول'!A:A,0)),0)</f>
        <v>0</v>
      </c>
      <c r="E64" s="11">
        <f>IFERROR(INDEX('چکهای دریافتنی'!F:F,MATCH(Table210[[#This Row],[كد تفصيلي]],'چکهای دریافتنی'!A:A,0)),0)</f>
        <v>341000000</v>
      </c>
      <c r="F64" s="11">
        <f>Table210[[#This Row],[حسابهای دریافتنی]]+Table210[[#This Row],[چکهای در جریان وصول]]+Table210[[#This Row],[چکهای نزد صندوق]]</f>
        <v>341853000</v>
      </c>
      <c r="G64" s="12">
        <f>IFERROR(INDEX('مانده سوفاله'!F:F,MATCH(Table210[[#This Row],[كد تفصيلي]],'مانده سوفاله'!A:A,0)),0)</f>
        <v>-12</v>
      </c>
    </row>
    <row r="65" spans="1:7" ht="27" customHeight="1" x14ac:dyDescent="0.35">
      <c r="A65" s="26">
        <v>30084</v>
      </c>
      <c r="B65" s="56" t="s">
        <v>129</v>
      </c>
      <c r="C65" s="10">
        <f>IFERROR(INDEX('حسابهای دریافتنی'!H:H,MATCH(Table210[[#This Row],[كد تفصيلي]],'حسابهای دریافتنی'!A:A,0)),0)</f>
        <v>1220000</v>
      </c>
      <c r="D65" s="11">
        <f>IFERROR(INDEX('درجریان وصول'!F:F,MATCH(Table210[[#This Row],[كد تفصيلي]],'درجریان وصول'!A:A,0)),0)</f>
        <v>0</v>
      </c>
      <c r="E65" s="11">
        <f>IFERROR(INDEX('چکهای دریافتنی'!F:F,MATCH(Table210[[#This Row],[كد تفصيلي]],'چکهای دریافتنی'!A:A,0)),0)</f>
        <v>0</v>
      </c>
      <c r="F65" s="11">
        <f>Table210[[#This Row],[حسابهای دریافتنی]]+Table210[[#This Row],[چکهای در جریان وصول]]+Table210[[#This Row],[چکهای نزد صندوق]]</f>
        <v>1220000</v>
      </c>
      <c r="G65" s="12">
        <f>IFERROR(INDEX('مانده سوفاله'!F:F,MATCH(Table210[[#This Row],[كد تفصيلي]],'مانده سوفاله'!A:A,0)),0)</f>
        <v>0</v>
      </c>
    </row>
    <row r="66" spans="1:7" ht="27" customHeight="1" x14ac:dyDescent="0.35">
      <c r="A66" s="27">
        <v>79055</v>
      </c>
      <c r="B66" s="55" t="s">
        <v>297</v>
      </c>
      <c r="C66" s="10">
        <f>IFERROR(INDEX('حسابهای دریافتنی'!H:H,MATCH(Table210[[#This Row],[كد تفصيلي]],'حسابهای دریافتنی'!A:A,0)),0)</f>
        <v>896500</v>
      </c>
      <c r="D66" s="11">
        <f>IFERROR(INDEX('درجریان وصول'!F:F,MATCH(Table210[[#This Row],[كد تفصيلي]],'درجریان وصول'!A:A,0)),0)</f>
        <v>0</v>
      </c>
      <c r="E66" s="11">
        <f>IFERROR(INDEX('چکهای دریافتنی'!F:F,MATCH(Table210[[#This Row],[كد تفصيلي]],'چکهای دریافتنی'!A:A,0)),0)</f>
        <v>0</v>
      </c>
      <c r="F66" s="11">
        <f>Table210[[#This Row],[حسابهای دریافتنی]]+Table210[[#This Row],[چکهای در جریان وصول]]+Table210[[#This Row],[چکهای نزد صندوق]]</f>
        <v>896500</v>
      </c>
      <c r="G66" s="12">
        <f>IFERROR(INDEX('مانده سوفاله'!F:F,MATCH(Table210[[#This Row],[كد تفصيلي]],'مانده سوفاله'!A:A,0)),0)</f>
        <v>0</v>
      </c>
    </row>
    <row r="67" spans="1:7" ht="27" customHeight="1" x14ac:dyDescent="0.35">
      <c r="A67" s="27">
        <v>30030</v>
      </c>
      <c r="B67" s="55" t="s">
        <v>77</v>
      </c>
      <c r="C67" s="10">
        <f>IFERROR(INDEX('حسابهای دریافتنی'!H:H,MATCH(Table210[[#This Row],[كد تفصيلي]],'حسابهای دریافتنی'!A:A,0)),0)</f>
        <v>850500</v>
      </c>
      <c r="D67" s="11">
        <f>IFERROR(INDEX('درجریان وصول'!F:F,MATCH(Table210[[#This Row],[كد تفصيلي]],'درجریان وصول'!A:A,0)),0)</f>
        <v>0</v>
      </c>
      <c r="E67" s="11">
        <f>IFERROR(INDEX('چکهای دریافتنی'!F:F,MATCH(Table210[[#This Row],[كد تفصيلي]],'چکهای دریافتنی'!A:A,0)),0)</f>
        <v>0</v>
      </c>
      <c r="F67" s="11">
        <f>Table210[[#This Row],[حسابهای دریافتنی]]+Table210[[#This Row],[چکهای در جریان وصول]]+Table210[[#This Row],[چکهای نزد صندوق]]</f>
        <v>850500</v>
      </c>
      <c r="G67" s="12">
        <f>IFERROR(INDEX('مانده سوفاله'!F:F,MATCH(Table210[[#This Row],[كد تفصيلي]],'مانده سوفاله'!A:A,0)),0)</f>
        <v>-49</v>
      </c>
    </row>
    <row r="68" spans="1:7" ht="27" customHeight="1" x14ac:dyDescent="0.35">
      <c r="A68" s="27">
        <v>30129</v>
      </c>
      <c r="B68" s="55" t="s">
        <v>178</v>
      </c>
      <c r="C68" s="10">
        <f>IFERROR(INDEX('حسابهای دریافتنی'!H:H,MATCH(Table210[[#This Row],[كد تفصيلي]],'حسابهای دریافتنی'!A:A,0)),0)</f>
        <v>783000</v>
      </c>
      <c r="D68" s="11">
        <f>IFERROR(INDEX('درجریان وصول'!F:F,MATCH(Table210[[#This Row],[كد تفصيلي]],'درجریان وصول'!A:A,0)),0)</f>
        <v>0</v>
      </c>
      <c r="E68" s="11">
        <f>IFERROR(INDEX('چکهای دریافتنی'!F:F,MATCH(Table210[[#This Row],[كد تفصيلي]],'چکهای دریافتنی'!A:A,0)),0)</f>
        <v>0</v>
      </c>
      <c r="F68" s="11">
        <f>Table210[[#This Row],[حسابهای دریافتنی]]+Table210[[#This Row],[چکهای در جریان وصول]]+Table210[[#This Row],[چکهای نزد صندوق]]</f>
        <v>783000</v>
      </c>
      <c r="G68" s="12">
        <f>IFERROR(INDEX('مانده سوفاله'!F:F,MATCH(Table210[[#This Row],[كد تفصيلي]],'مانده سوفاله'!A:A,0)),0)</f>
        <v>0</v>
      </c>
    </row>
    <row r="69" spans="1:7" ht="27" customHeight="1" x14ac:dyDescent="0.35">
      <c r="A69" s="26">
        <v>30090</v>
      </c>
      <c r="B69" s="56" t="s">
        <v>144</v>
      </c>
      <c r="C69" s="10">
        <f>IFERROR(INDEX('حسابهای دریافتنی'!H:H,MATCH(Table210[[#This Row],[كد تفصيلي]],'حسابهای دریافتنی'!A:A,0)),0)</f>
        <v>640100</v>
      </c>
      <c r="D69" s="11">
        <f>IFERROR(INDEX('درجریان وصول'!F:F,MATCH(Table210[[#This Row],[كد تفصيلي]],'درجریان وصول'!A:A,0)),0)</f>
        <v>0</v>
      </c>
      <c r="E69" s="11">
        <f>IFERROR(INDEX('چکهای دریافتنی'!F:F,MATCH(Table210[[#This Row],[كد تفصيلي]],'چکهای دریافتنی'!A:A,0)),0)</f>
        <v>0</v>
      </c>
      <c r="F69" s="11">
        <f>Table210[[#This Row],[حسابهای دریافتنی]]+Table210[[#This Row],[چکهای در جریان وصول]]+Table210[[#This Row],[چکهای نزد صندوق]]</f>
        <v>640100</v>
      </c>
      <c r="G69" s="12">
        <f>IFERROR(INDEX('مانده سوفاله'!F:F,MATCH(Table210[[#This Row],[كد تفصيلي]],'مانده سوفاله'!A:A,0)),0)</f>
        <v>0</v>
      </c>
    </row>
    <row r="70" spans="1:7" ht="27" customHeight="1" x14ac:dyDescent="0.35">
      <c r="A70" s="27">
        <v>30109</v>
      </c>
      <c r="B70" s="55" t="s">
        <v>165</v>
      </c>
      <c r="C70" s="10">
        <f>IFERROR(INDEX('حسابهای دریافتنی'!H:H,MATCH(Table210[[#This Row],[كد تفصيلي]],'حسابهای دریافتنی'!A:A,0)),0)</f>
        <v>607300</v>
      </c>
      <c r="D70" s="11">
        <f>IFERROR(INDEX('درجریان وصول'!F:F,MATCH(Table210[[#This Row],[كد تفصيلي]],'درجریان وصول'!A:A,0)),0)</f>
        <v>0</v>
      </c>
      <c r="E70" s="11">
        <f>IFERROR(INDEX('چکهای دریافتنی'!F:F,MATCH(Table210[[#This Row],[كد تفصيلي]],'چکهای دریافتنی'!A:A,0)),0)</f>
        <v>0</v>
      </c>
      <c r="F70" s="11">
        <f>Table210[[#This Row],[حسابهای دریافتنی]]+Table210[[#This Row],[چکهای در جریان وصول]]+Table210[[#This Row],[چکهای نزد صندوق]]</f>
        <v>607300</v>
      </c>
      <c r="G70" s="12">
        <f>IFERROR(INDEX('مانده سوفاله'!F:F,MATCH(Table210[[#This Row],[كد تفصيلي]],'مانده سوفاله'!A:A,0)),0)</f>
        <v>0</v>
      </c>
    </row>
    <row r="71" spans="1:7" ht="27" customHeight="1" x14ac:dyDescent="0.35">
      <c r="A71" s="26">
        <v>10097</v>
      </c>
      <c r="B71" s="56" t="s">
        <v>270</v>
      </c>
      <c r="C71" s="10">
        <f>IFERROR(INDEX('حسابهای دریافتنی'!H:H,MATCH(Table210[[#This Row],[كد تفصيلي]],'حسابهای دریافتنی'!A:A,0)),0)</f>
        <v>270642500</v>
      </c>
      <c r="D71" s="11">
        <f>IFERROR(INDEX('درجریان وصول'!F:F,MATCH(Table210[[#This Row],[كد تفصيلي]],'درجریان وصول'!A:A,0)),0)</f>
        <v>0</v>
      </c>
      <c r="E71" s="11">
        <f>IFERROR(INDEX('چکهای دریافتنی'!F:F,MATCH(Table210[[#This Row],[كد تفصيلي]],'چکهای دریافتنی'!A:A,0)),0)</f>
        <v>287000000</v>
      </c>
      <c r="F71" s="11">
        <f>Table210[[#This Row],[حسابهای دریافتنی]]+Table210[[#This Row],[چکهای در جریان وصول]]+Table210[[#This Row],[چکهای نزد صندوق]]</f>
        <v>557642500</v>
      </c>
      <c r="G71" s="12">
        <f>IFERROR(INDEX('مانده سوفاله'!F:F,MATCH(Table210[[#This Row],[كد تفصيلي]],'مانده سوفاله'!A:A,0)),0)</f>
        <v>0</v>
      </c>
    </row>
    <row r="72" spans="1:7" ht="27" customHeight="1" x14ac:dyDescent="0.35">
      <c r="A72" s="27">
        <v>30010</v>
      </c>
      <c r="B72" s="55" t="s">
        <v>59</v>
      </c>
      <c r="C72" s="10">
        <f>IFERROR(INDEX('حسابهای دریافتنی'!H:H,MATCH(Table210[[#This Row],[كد تفصيلي]],'حسابهای دریافتنی'!A:A,0)),0)</f>
        <v>366215</v>
      </c>
      <c r="D72" s="11">
        <f>IFERROR(INDEX('درجریان وصول'!F:F,MATCH(Table210[[#This Row],[كد تفصيلي]],'درجریان وصول'!A:A,0)),0)</f>
        <v>0</v>
      </c>
      <c r="E72" s="11">
        <f>IFERROR(INDEX('چکهای دریافتنی'!F:F,MATCH(Table210[[#This Row],[كد تفصيلي]],'چکهای دریافتنی'!A:A,0)),0)</f>
        <v>0</v>
      </c>
      <c r="F72" s="11">
        <f>Table210[[#This Row],[حسابهای دریافتنی]]+Table210[[#This Row],[چکهای در جریان وصول]]+Table210[[#This Row],[چکهای نزد صندوق]]</f>
        <v>366215</v>
      </c>
      <c r="G72" s="12">
        <f>IFERROR(INDEX('مانده سوفاله'!F:F,MATCH(Table210[[#This Row],[كد تفصيلي]],'مانده سوفاله'!A:A,0)),0)</f>
        <v>8</v>
      </c>
    </row>
    <row r="73" spans="1:7" ht="27" customHeight="1" x14ac:dyDescent="0.35">
      <c r="A73" s="27">
        <v>30135</v>
      </c>
      <c r="B73" s="55" t="s">
        <v>179</v>
      </c>
      <c r="C73" s="10">
        <f>IFERROR(INDEX('حسابهای دریافتنی'!H:H,MATCH(Table210[[#This Row],[كد تفصيلي]],'حسابهای دریافتنی'!A:A,0)),0)</f>
        <v>195000</v>
      </c>
      <c r="D73" s="11">
        <f>IFERROR(INDEX('درجریان وصول'!F:F,MATCH(Table210[[#This Row],[كد تفصيلي]],'درجریان وصول'!A:A,0)),0)</f>
        <v>0</v>
      </c>
      <c r="E73" s="11">
        <f>IFERROR(INDEX('چکهای دریافتنی'!F:F,MATCH(Table210[[#This Row],[كد تفصيلي]],'چکهای دریافتنی'!A:A,0)),0)</f>
        <v>0</v>
      </c>
      <c r="F73" s="11">
        <f>Table210[[#This Row],[حسابهای دریافتنی]]+Table210[[#This Row],[چکهای در جریان وصول]]+Table210[[#This Row],[چکهای نزد صندوق]]</f>
        <v>195000</v>
      </c>
      <c r="G73" s="12">
        <f>IFERROR(INDEX('مانده سوفاله'!F:F,MATCH(Table210[[#This Row],[كد تفصيلي]],'مانده سوفاله'!A:A,0)),0)</f>
        <v>-5</v>
      </c>
    </row>
    <row r="74" spans="1:7" ht="27" customHeight="1" x14ac:dyDescent="0.35">
      <c r="A74" s="27">
        <v>30020</v>
      </c>
      <c r="B74" s="55" t="s">
        <v>68</v>
      </c>
      <c r="C74" s="10">
        <f>IFERROR(INDEX('حسابهای دریافتنی'!H:H,MATCH(Table210[[#This Row],[كد تفصيلي]],'حسابهای دریافتنی'!A:A,0)),0)</f>
        <v>2253500</v>
      </c>
      <c r="D74" s="11">
        <f>IFERROR(INDEX('درجریان وصول'!F:F,MATCH(Table210[[#This Row],[كد تفصيلي]],'درجریان وصول'!A:A,0)),0)</f>
        <v>0</v>
      </c>
      <c r="E74" s="11">
        <f>IFERROR(INDEX('چکهای دریافتنی'!F:F,MATCH(Table210[[#This Row],[كد تفصيلي]],'چکهای دریافتنی'!A:A,0)),0)</f>
        <v>0</v>
      </c>
      <c r="F74" s="11">
        <f>Table210[[#This Row],[حسابهای دریافتنی]]+Table210[[#This Row],[چکهای در جریان وصول]]+Table210[[#This Row],[چکهای نزد صندوق]]</f>
        <v>2253500</v>
      </c>
      <c r="G74" s="12">
        <f>IFERROR(INDEX('مانده سوفاله'!F:F,MATCH(Table210[[#This Row],[كد تفصيلي]],'مانده سوفاله'!A:A,0)),0)</f>
        <v>4</v>
      </c>
    </row>
    <row r="75" spans="1:7" ht="27" customHeight="1" x14ac:dyDescent="0.35">
      <c r="A75" s="27">
        <v>10010</v>
      </c>
      <c r="B75" s="55" t="s">
        <v>17</v>
      </c>
      <c r="C75" s="10">
        <f>IFERROR(INDEX('حسابهای دریافتنی'!H:H,MATCH(Table210[[#This Row],[كد تفصيلي]],'حسابهای دریافتنی'!A:A,0)),0)</f>
        <v>0</v>
      </c>
      <c r="D75" s="11">
        <f>IFERROR(INDEX('درجریان وصول'!F:F,MATCH(Table210[[#This Row],[كد تفصيلي]],'درجریان وصول'!A:A,0)),0)</f>
        <v>0</v>
      </c>
      <c r="E75" s="11">
        <f>IFERROR(INDEX('چکهای دریافتنی'!F:F,MATCH(Table210[[#This Row],[كد تفصيلي]],'چکهای دریافتنی'!A:A,0)),0)</f>
        <v>0</v>
      </c>
      <c r="F75" s="11">
        <f>Table210[[#This Row],[حسابهای دریافتنی]]+Table210[[#This Row],[چکهای در جریان وصول]]+Table210[[#This Row],[چکهای نزد صندوق]]</f>
        <v>0</v>
      </c>
      <c r="G75" s="12">
        <f>IFERROR(INDEX('مانده سوفاله'!F:F,MATCH(Table210[[#This Row],[كد تفصيلي]],'مانده سوفاله'!A:A,0)),0)</f>
        <v>8</v>
      </c>
    </row>
    <row r="76" spans="1:7" ht="27" customHeight="1" x14ac:dyDescent="0.35">
      <c r="A76" s="26">
        <v>10023</v>
      </c>
      <c r="B76" s="56" t="s">
        <v>155</v>
      </c>
      <c r="C76" s="10">
        <f>IFERROR(INDEX('حسابهای دریافتنی'!H:H,MATCH(Table210[[#This Row],[كد تفصيلي]],'حسابهای دریافتنی'!A:A,0)),0)</f>
        <v>0</v>
      </c>
      <c r="D76" s="11">
        <f>IFERROR(INDEX('درجریان وصول'!F:F,MATCH(Table210[[#This Row],[كد تفصيلي]],'درجریان وصول'!A:A,0)),0)</f>
        <v>0</v>
      </c>
      <c r="E76" s="11">
        <f>IFERROR(INDEX('چکهای دریافتنی'!F:F,MATCH(Table210[[#This Row],[كد تفصيلي]],'چکهای دریافتنی'!A:A,0)),0)</f>
        <v>0</v>
      </c>
      <c r="F76" s="11">
        <f>Table210[[#This Row],[حسابهای دریافتنی]]+Table210[[#This Row],[چکهای در جریان وصول]]+Table210[[#This Row],[چکهای نزد صندوق]]</f>
        <v>0</v>
      </c>
      <c r="G76" s="12">
        <f>IFERROR(INDEX('مانده سوفاله'!F:F,MATCH(Table210[[#This Row],[كد تفصيلي]],'مانده سوفاله'!A:A,0)),0)</f>
        <v>6</v>
      </c>
    </row>
    <row r="77" spans="1:7" ht="27" customHeight="1" x14ac:dyDescent="0.35">
      <c r="A77" s="26">
        <v>10039</v>
      </c>
      <c r="B77" s="56" t="s">
        <v>45</v>
      </c>
      <c r="C77" s="10">
        <f>IFERROR(INDEX('حسابهای دریافتنی'!H:H,MATCH(Table210[[#This Row],[كد تفصيلي]],'حسابهای دریافتنی'!A:A,0)),0)</f>
        <v>0</v>
      </c>
      <c r="D77" s="11">
        <f>IFERROR(INDEX('درجریان وصول'!F:F,MATCH(Table210[[#This Row],[كد تفصيلي]],'درجریان وصول'!A:A,0)),0)</f>
        <v>0</v>
      </c>
      <c r="E77" s="11">
        <f>IFERROR(INDEX('چکهای دریافتنی'!F:F,MATCH(Table210[[#This Row],[كد تفصيلي]],'چکهای دریافتنی'!A:A,0)),0)</f>
        <v>0</v>
      </c>
      <c r="F77" s="11">
        <f>Table210[[#This Row],[حسابهای دریافتنی]]+Table210[[#This Row],[چکهای در جریان وصول]]+Table210[[#This Row],[چکهای نزد صندوق]]</f>
        <v>0</v>
      </c>
      <c r="G77" s="12">
        <f>IFERROR(INDEX('مانده سوفاله'!F:F,MATCH(Table210[[#This Row],[كد تفصيلي]],'مانده سوفاله'!A:A,0)),0)</f>
        <v>4</v>
      </c>
    </row>
    <row r="78" spans="1:7" ht="27" customHeight="1" x14ac:dyDescent="0.35">
      <c r="A78" s="27">
        <v>10046</v>
      </c>
      <c r="B78" s="55" t="s">
        <v>51</v>
      </c>
      <c r="C78" s="10">
        <f>IFERROR(INDEX('حسابهای دریافتنی'!H:H,MATCH(Table210[[#This Row],[كد تفصيلي]],'حسابهای دریافتنی'!A:A,0)),0)</f>
        <v>0</v>
      </c>
      <c r="D78" s="11">
        <f>IFERROR(INDEX('درجریان وصول'!F:F,MATCH(Table210[[#This Row],[كد تفصيلي]],'درجریان وصول'!A:A,0)),0)</f>
        <v>0</v>
      </c>
      <c r="E78" s="11">
        <f>IFERROR(INDEX('چکهای دریافتنی'!F:F,MATCH(Table210[[#This Row],[كد تفصيلي]],'چکهای دریافتنی'!A:A,0)),0)</f>
        <v>0</v>
      </c>
      <c r="F78" s="11">
        <f>Table210[[#This Row],[حسابهای دریافتنی]]+Table210[[#This Row],[چکهای در جریان وصول]]+Table210[[#This Row],[چکهای نزد صندوق]]</f>
        <v>0</v>
      </c>
      <c r="G78" s="12">
        <f>IFERROR(INDEX('مانده سوفاله'!F:F,MATCH(Table210[[#This Row],[كد تفصيلي]],'مانده سوفاله'!A:A,0)),0)</f>
        <v>118</v>
      </c>
    </row>
    <row r="79" spans="1:7" customFormat="1" ht="27" customHeight="1" x14ac:dyDescent="0.35">
      <c r="A79" s="53">
        <v>10065</v>
      </c>
      <c r="B79" s="56" t="s">
        <v>228</v>
      </c>
      <c r="C79" s="10">
        <f>IFERROR(INDEX('حسابهای دریافتنی'!H:H,MATCH(Table210[[#This Row],[كد تفصيلي]],'حسابهای دریافتنی'!A:A,0)),0)</f>
        <v>0</v>
      </c>
      <c r="D79" s="11">
        <f>IFERROR(INDEX('درجریان وصول'!F:F,MATCH(Table210[[#This Row],[كد تفصيلي]],'درجریان وصول'!A:A,0)),0)</f>
        <v>0</v>
      </c>
      <c r="E79" s="11">
        <f>IFERROR(INDEX('چکهای دریافتنی'!F:F,MATCH(Table210[[#This Row],[كد تفصيلي]],'چکهای دریافتنی'!A:A,0)),0)</f>
        <v>0</v>
      </c>
      <c r="F79" s="11">
        <f>Table210[[#This Row],[حسابهای دریافتنی]]+Table210[[#This Row],[چکهای در جریان وصول]]+Table210[[#This Row],[چکهای نزد صندوق]]</f>
        <v>0</v>
      </c>
      <c r="G79" s="12">
        <f>IFERROR(INDEX('مانده سوفاله'!F:F,MATCH(Table210[[#This Row],[كد تفصيلي]],'مانده سوفاله'!A:A,0)),0)</f>
        <v>127</v>
      </c>
    </row>
    <row r="80" spans="1:7" customFormat="1" ht="27" customHeight="1" x14ac:dyDescent="0.35">
      <c r="A80" s="54">
        <v>10076</v>
      </c>
      <c r="B80" s="55" t="s">
        <v>182</v>
      </c>
      <c r="C80" s="10">
        <f>IFERROR(INDEX('حسابهای دریافتنی'!H:H,MATCH(Table210[[#This Row],[كد تفصيلي]],'حسابهای دریافتنی'!A:A,0)),0)</f>
        <v>0</v>
      </c>
      <c r="D80" s="11">
        <f>IFERROR(INDEX('درجریان وصول'!F:F,MATCH(Table210[[#This Row],[كد تفصيلي]],'درجریان وصول'!A:A,0)),0)</f>
        <v>0</v>
      </c>
      <c r="E80" s="11">
        <f>IFERROR(INDEX('چکهای دریافتنی'!F:F,MATCH(Table210[[#This Row],[كد تفصيلي]],'چکهای دریافتنی'!A:A,0)),0)</f>
        <v>0</v>
      </c>
      <c r="F80" s="11">
        <f>Table210[[#This Row],[حسابهای دریافتنی]]+Table210[[#This Row],[چکهای در جریان وصول]]+Table210[[#This Row],[چکهای نزد صندوق]]</f>
        <v>0</v>
      </c>
      <c r="G80" s="12">
        <f>IFERROR(INDEX('مانده سوفاله'!F:F,MATCH(Table210[[#This Row],[كد تفصيلي]],'مانده سوفاله'!A:A,0)),0)</f>
        <v>-13</v>
      </c>
    </row>
    <row r="81" spans="1:7" ht="27" customHeight="1" x14ac:dyDescent="0.35">
      <c r="A81" s="26">
        <v>30013</v>
      </c>
      <c r="B81" s="56" t="s">
        <v>62</v>
      </c>
      <c r="C81" s="10">
        <f>IFERROR(INDEX('حسابهای دریافتنی'!H:H,MATCH(Table210[[#This Row],[كد تفصيلي]],'حسابهای دریافتنی'!A:A,0)),0)</f>
        <v>-2744620</v>
      </c>
      <c r="D81" s="11">
        <f>IFERROR(INDEX('درجریان وصول'!F:F,MATCH(Table210[[#This Row],[كد تفصيلي]],'درجریان وصول'!A:A,0)),0)</f>
        <v>0</v>
      </c>
      <c r="E81" s="11">
        <f>IFERROR(INDEX('چکهای دریافتنی'!F:F,MATCH(Table210[[#This Row],[كد تفصيلي]],'چکهای دریافتنی'!A:A,0)),0)</f>
        <v>0</v>
      </c>
      <c r="F81" s="11">
        <f>Table210[[#This Row],[حسابهای دریافتنی]]+Table210[[#This Row],[چکهای در جریان وصول]]+Table210[[#This Row],[چکهای نزد صندوق]]</f>
        <v>-2744620</v>
      </c>
      <c r="G81" s="12">
        <f>IFERROR(INDEX('مانده سوفاله'!F:F,MATCH(Table210[[#This Row],[كد تفصيلي]],'مانده سوفاله'!A:A,0)),0)</f>
        <v>0</v>
      </c>
    </row>
    <row r="82" spans="1:7" ht="27" customHeight="1" x14ac:dyDescent="0.35">
      <c r="A82" s="26">
        <v>30064</v>
      </c>
      <c r="B82" s="56" t="s">
        <v>109</v>
      </c>
      <c r="C82" s="10">
        <f>IFERROR(INDEX('حسابهای دریافتنی'!H:H,MATCH(Table210[[#This Row],[كد تفصيلي]],'حسابهای دریافتنی'!A:A,0)),0)</f>
        <v>-49679500</v>
      </c>
      <c r="D82" s="11">
        <f>IFERROR(INDEX('درجریان وصول'!F:F,MATCH(Table210[[#This Row],[كد تفصيلي]],'درجریان وصول'!A:A,0)),0)</f>
        <v>0</v>
      </c>
      <c r="E82" s="11">
        <f>IFERROR(INDEX('چکهای دریافتنی'!F:F,MATCH(Table210[[#This Row],[كد تفصيلي]],'چکهای دریافتنی'!A:A,0)),0)</f>
        <v>0</v>
      </c>
      <c r="F82" s="11">
        <f>Table210[[#This Row],[حسابهای دریافتنی]]+Table210[[#This Row],[چکهای در جریان وصول]]+Table210[[#This Row],[چکهای نزد صندوق]]</f>
        <v>-49679500</v>
      </c>
      <c r="G82" s="12">
        <f>IFERROR(INDEX('مانده سوفاله'!F:F,MATCH(Table210[[#This Row],[كد تفصيلي]],'مانده سوفاله'!A:A,0)),0)</f>
        <v>0</v>
      </c>
    </row>
    <row r="83" spans="1:7" ht="27" customHeight="1" x14ac:dyDescent="0.35">
      <c r="A83" s="27">
        <v>30065</v>
      </c>
      <c r="B83" s="55" t="s">
        <v>110</v>
      </c>
      <c r="C83" s="10">
        <f>IFERROR(INDEX('حسابهای دریافتنی'!H:H,MATCH(Table210[[#This Row],[كد تفصيلي]],'حسابهای دریافتنی'!A:A,0)),0)</f>
        <v>0</v>
      </c>
      <c r="D83" s="11">
        <f>IFERROR(INDEX('درجریان وصول'!F:F,MATCH(Table210[[#This Row],[كد تفصيلي]],'درجریان وصول'!A:A,0)),0)</f>
        <v>0</v>
      </c>
      <c r="E83" s="11">
        <f>IFERROR(INDEX('چکهای دریافتنی'!F:F,MATCH(Table210[[#This Row],[كد تفصيلي]],'چکهای دریافتنی'!A:A,0)),0)</f>
        <v>0</v>
      </c>
      <c r="F83" s="11">
        <f>Table210[[#This Row],[حسابهای دریافتنی]]+Table210[[#This Row],[چکهای در جریان وصول]]+Table210[[#This Row],[چکهای نزد صندوق]]</f>
        <v>0</v>
      </c>
      <c r="G83" s="12">
        <f>IFERROR(INDEX('مانده سوفاله'!F:F,MATCH(Table210[[#This Row],[كد تفصيلي]],'مانده سوفاله'!A:A,0)),0)</f>
        <v>33</v>
      </c>
    </row>
    <row r="84" spans="1:7" ht="27" customHeight="1" x14ac:dyDescent="0.35">
      <c r="A84" s="27">
        <v>30071</v>
      </c>
      <c r="B84" s="55" t="s">
        <v>116</v>
      </c>
      <c r="C84" s="10">
        <f>IFERROR(INDEX('حسابهای دریافتنی'!H:H,MATCH(Table210[[#This Row],[كد تفصيلي]],'حسابهای دریافتنی'!A:A,0)),0)</f>
        <v>0</v>
      </c>
      <c r="D84" s="11">
        <f>IFERROR(INDEX('درجریان وصول'!F:F,MATCH(Table210[[#This Row],[كد تفصيلي]],'درجریان وصول'!A:A,0)),0)</f>
        <v>0</v>
      </c>
      <c r="E84" s="11">
        <f>IFERROR(INDEX('چکهای دریافتنی'!F:F,MATCH(Table210[[#This Row],[كد تفصيلي]],'چکهای دریافتنی'!A:A,0)),0)</f>
        <v>0</v>
      </c>
      <c r="F84" s="11">
        <f>Table210[[#This Row],[حسابهای دریافتنی]]+Table210[[#This Row],[چکهای در جریان وصول]]+Table210[[#This Row],[چکهای نزد صندوق]]</f>
        <v>0</v>
      </c>
      <c r="G84" s="12">
        <f>IFERROR(INDEX('مانده سوفاله'!F:F,MATCH(Table210[[#This Row],[كد تفصيلي]],'مانده سوفاله'!A:A,0)),0)</f>
        <v>3</v>
      </c>
    </row>
    <row r="85" spans="1:7" ht="27" customHeight="1" x14ac:dyDescent="0.35">
      <c r="A85" s="27">
        <v>30077</v>
      </c>
      <c r="B85" s="55" t="s">
        <v>122</v>
      </c>
      <c r="C85" s="10">
        <f>IFERROR(INDEX('حسابهای دریافتنی'!H:H,MATCH(Table210[[#This Row],[كد تفصيلي]],'حسابهای دریافتنی'!A:A,0)),0)</f>
        <v>360000</v>
      </c>
      <c r="D85" s="11">
        <f>IFERROR(INDEX('درجریان وصول'!F:F,MATCH(Table210[[#This Row],[كد تفصيلي]],'درجریان وصول'!A:A,0)),0)</f>
        <v>0</v>
      </c>
      <c r="E85" s="11">
        <f>IFERROR(INDEX('چکهای دریافتنی'!F:F,MATCH(Table210[[#This Row],[كد تفصيلي]],'چکهای دریافتنی'!A:A,0)),0)</f>
        <v>0</v>
      </c>
      <c r="F85" s="11">
        <f>Table210[[#This Row],[حسابهای دریافتنی]]+Table210[[#This Row],[چکهای در جریان وصول]]+Table210[[#This Row],[چکهای نزد صندوق]]</f>
        <v>360000</v>
      </c>
      <c r="G85" s="12">
        <f>IFERROR(INDEX('مانده سوفاله'!F:F,MATCH(Table210[[#This Row],[كد تفصيلي]],'مانده سوفاله'!A:A,0)),0)</f>
        <v>-32</v>
      </c>
    </row>
    <row r="86" spans="1:7" ht="27" customHeight="1" x14ac:dyDescent="0.35">
      <c r="A86" s="27">
        <v>30079</v>
      </c>
      <c r="B86" s="55" t="s">
        <v>124</v>
      </c>
      <c r="C86" s="10">
        <f>IFERROR(INDEX('حسابهای دریافتنی'!H:H,MATCH(Table210[[#This Row],[كد تفصيلي]],'حسابهای دریافتنی'!A:A,0)),0)</f>
        <v>0</v>
      </c>
      <c r="D86" s="11">
        <f>IFERROR(INDEX('درجریان وصول'!F:F,MATCH(Table210[[#This Row],[كد تفصيلي]],'درجریان وصول'!A:A,0)),0)</f>
        <v>0</v>
      </c>
      <c r="E86" s="11">
        <f>IFERROR(INDEX('چکهای دریافتنی'!F:F,MATCH(Table210[[#This Row],[كد تفصيلي]],'چکهای دریافتنی'!A:A,0)),0)</f>
        <v>0</v>
      </c>
      <c r="F86" s="11">
        <f>Table210[[#This Row],[حسابهای دریافتنی]]+Table210[[#This Row],[چکهای در جریان وصول]]+Table210[[#This Row],[چکهای نزد صندوق]]</f>
        <v>0</v>
      </c>
      <c r="G86" s="12">
        <f>IFERROR(INDEX('مانده سوفاله'!F:F,MATCH(Table210[[#This Row],[كد تفصيلي]],'مانده سوفاله'!A:A,0)),0)</f>
        <v>-85</v>
      </c>
    </row>
    <row r="87" spans="1:7" ht="27" customHeight="1" x14ac:dyDescent="0.35">
      <c r="A87" s="27">
        <v>30097</v>
      </c>
      <c r="B87" s="55" t="s">
        <v>188</v>
      </c>
      <c r="C87" s="10">
        <f>IFERROR(INDEX('حسابهای دریافتنی'!H:H,MATCH(Table210[[#This Row],[كد تفصيلي]],'حسابهای دریافتنی'!A:A,0)),0)</f>
        <v>0</v>
      </c>
      <c r="D87" s="11">
        <f>IFERROR(INDEX('درجریان وصول'!F:F,MATCH(Table210[[#This Row],[كد تفصيلي]],'درجریان وصول'!A:A,0)),0)</f>
        <v>0</v>
      </c>
      <c r="E87" s="11">
        <f>IFERROR(INDEX('چکهای دریافتنی'!F:F,MATCH(Table210[[#This Row],[كد تفصيلي]],'چکهای دریافتنی'!A:A,0)),0)</f>
        <v>0</v>
      </c>
      <c r="F87" s="11">
        <f>Table210[[#This Row],[حسابهای دریافتنی]]+Table210[[#This Row],[چکهای در جریان وصول]]+Table210[[#This Row],[چکهای نزد صندوق]]</f>
        <v>0</v>
      </c>
      <c r="G87" s="12">
        <f>IFERROR(INDEX('مانده سوفاله'!F:F,MATCH(Table210[[#This Row],[كد تفصيلي]],'مانده سوفاله'!A:A,0)),0)</f>
        <v>-82</v>
      </c>
    </row>
    <row r="88" spans="1:7" ht="27" customHeight="1" x14ac:dyDescent="0.35">
      <c r="A88" s="26">
        <v>30118</v>
      </c>
      <c r="B88" s="56" t="s">
        <v>205</v>
      </c>
      <c r="C88" s="10">
        <f>IFERROR(INDEX('حسابهای دریافتنی'!H:H,MATCH(Table210[[#This Row],[كد تفصيلي]],'حسابهای دریافتنی'!A:A,0)),0)</f>
        <v>0</v>
      </c>
      <c r="D88" s="11">
        <f>IFERROR(INDEX('درجریان وصول'!F:F,MATCH(Table210[[#This Row],[كد تفصيلي]],'درجریان وصول'!A:A,0)),0)</f>
        <v>0</v>
      </c>
      <c r="E88" s="11">
        <f>IFERROR(INDEX('چکهای دریافتنی'!F:F,MATCH(Table210[[#This Row],[كد تفصيلي]],'چکهای دریافتنی'!A:A,0)),0)</f>
        <v>0</v>
      </c>
      <c r="F88" s="11">
        <f>Table210[[#This Row],[حسابهای دریافتنی]]+Table210[[#This Row],[چکهای در جریان وصول]]+Table210[[#This Row],[چکهای نزد صندوق]]</f>
        <v>0</v>
      </c>
      <c r="G88" s="12">
        <f>IFERROR(INDEX('مانده سوفاله'!F:F,MATCH(Table210[[#This Row],[كد تفصيلي]],'مانده سوفاله'!A:A,0)),0)</f>
        <v>-20</v>
      </c>
    </row>
    <row r="89" spans="1:7" ht="27" customHeight="1" x14ac:dyDescent="0.35">
      <c r="A89" s="27">
        <v>30137</v>
      </c>
      <c r="B89" s="55" t="s">
        <v>218</v>
      </c>
      <c r="C89" s="10">
        <f>IFERROR(INDEX('حسابهای دریافتنی'!H:H,MATCH(Table210[[#This Row],[كد تفصيلي]],'حسابهای دریافتنی'!A:A,0)),0)</f>
        <v>0</v>
      </c>
      <c r="D89" s="11">
        <f>IFERROR(INDEX('درجریان وصول'!F:F,MATCH(Table210[[#This Row],[كد تفصيلي]],'درجریان وصول'!A:A,0)),0)</f>
        <v>0</v>
      </c>
      <c r="E89" s="11">
        <f>IFERROR(INDEX('چکهای دریافتنی'!F:F,MATCH(Table210[[#This Row],[كد تفصيلي]],'چکهای دریافتنی'!A:A,0)),0)</f>
        <v>213182200</v>
      </c>
      <c r="F89" s="11">
        <f>Table210[[#This Row],[حسابهای دریافتنی]]+Table210[[#This Row],[چکهای در جریان وصول]]+Table210[[#This Row],[چکهای نزد صندوق]]</f>
        <v>213182200</v>
      </c>
      <c r="G89" s="12">
        <f>IFERROR(INDEX('مانده سوفاله'!F:F,MATCH(Table210[[#This Row],[كد تفصيلي]],'مانده سوفاله'!A:A,0)),0)</f>
        <v>0</v>
      </c>
    </row>
    <row r="90" spans="1:7" ht="27" customHeight="1" x14ac:dyDescent="0.35">
      <c r="A90" s="27">
        <v>30141</v>
      </c>
      <c r="B90" s="55" t="s">
        <v>261</v>
      </c>
      <c r="C90" s="10">
        <f>IFERROR(INDEX('حسابهای دریافتنی'!H:H,MATCH(Table210[[#This Row],[كد تفصيلي]],'حسابهای دریافتنی'!A:A,0)),0)</f>
        <v>0</v>
      </c>
      <c r="D90" s="11">
        <f>IFERROR(INDEX('درجریان وصول'!F:F,MATCH(Table210[[#This Row],[كد تفصيلي]],'درجریان وصول'!A:A,0)),0)</f>
        <v>0</v>
      </c>
      <c r="E90" s="11">
        <f>IFERROR(INDEX('چکهای دریافتنی'!F:F,MATCH(Table210[[#This Row],[كد تفصيلي]],'چکهای دریافتنی'!A:A,0)),0)</f>
        <v>0</v>
      </c>
      <c r="F90" s="11">
        <f>Table210[[#This Row],[حسابهای دریافتنی]]+Table210[[#This Row],[چکهای در جریان وصول]]+Table210[[#This Row],[چکهای نزد صندوق]]</f>
        <v>0</v>
      </c>
      <c r="G90" s="12">
        <f>IFERROR(INDEX('مانده سوفاله'!F:F,MATCH(Table210[[#This Row],[كد تفصيلي]],'مانده سوفاله'!A:A,0)),0)</f>
        <v>-42</v>
      </c>
    </row>
    <row r="91" spans="1:7" ht="27" customHeight="1" x14ac:dyDescent="0.35">
      <c r="A91" s="26">
        <v>30142</v>
      </c>
      <c r="B91" s="56" t="s">
        <v>263</v>
      </c>
      <c r="C91" s="10">
        <f>IFERROR(INDEX('حسابهای دریافتنی'!H:H,MATCH(Table210[[#This Row],[كد تفصيلي]],'حسابهای دریافتنی'!A:A,0)),0)</f>
        <v>0</v>
      </c>
      <c r="D91" s="11">
        <f>IFERROR(INDEX('درجریان وصول'!F:F,MATCH(Table210[[#This Row],[كد تفصيلي]],'درجریان وصول'!A:A,0)),0)</f>
        <v>0</v>
      </c>
      <c r="E91" s="11">
        <f>IFERROR(INDEX('چکهای دریافتنی'!F:F,MATCH(Table210[[#This Row],[كد تفصيلي]],'چکهای دریافتنی'!A:A,0)),0)</f>
        <v>0</v>
      </c>
      <c r="F91" s="11">
        <f>Table210[[#This Row],[حسابهای دریافتنی]]+Table210[[#This Row],[چکهای در جریان وصول]]+Table210[[#This Row],[چکهای نزد صندوق]]</f>
        <v>0</v>
      </c>
      <c r="G91" s="12">
        <f>IFERROR(INDEX('مانده سوفاله'!F:F,MATCH(Table210[[#This Row],[كد تفصيلي]],'مانده سوفاله'!A:A,0)),0)</f>
        <v>13</v>
      </c>
    </row>
    <row r="92" spans="1:7" ht="27" customHeight="1" x14ac:dyDescent="0.35">
      <c r="A92" s="26">
        <v>30186</v>
      </c>
      <c r="B92" s="56" t="s">
        <v>367</v>
      </c>
      <c r="C92" s="10">
        <f>IFERROR(INDEX('حسابهای دریافتنی'!H:H,MATCH(Table210[[#This Row],[كد تفصيلي]],'حسابهای دریافتنی'!A:A,0)),0)</f>
        <v>986425000</v>
      </c>
      <c r="D92" s="11">
        <f>IFERROR(INDEX('درجریان وصول'!F:F,MATCH(Table210[[#This Row],[كد تفصيلي]],'درجریان وصول'!A:A,0)),0)</f>
        <v>0</v>
      </c>
      <c r="E92" s="11">
        <f>IFERROR(INDEX('چکهای دریافتنی'!F:F,MATCH(Table210[[#This Row],[كد تفصيلي]],'چکهای دریافتنی'!A:A,0)),0)</f>
        <v>5982430000</v>
      </c>
      <c r="F92" s="11">
        <f>Table210[[#This Row],[حسابهای دریافتنی]]+Table210[[#This Row],[چکهای در جریان وصول]]+Table210[[#This Row],[چکهای نزد صندوق]]</f>
        <v>6968855000</v>
      </c>
      <c r="G92" s="12">
        <f>IFERROR(INDEX('مانده سوفاله'!F:F,MATCH(Table210[[#This Row],[كد تفصيلي]],'مانده سوفاله'!A:A,0)),0)</f>
        <v>-7388</v>
      </c>
    </row>
    <row r="93" spans="1:7" ht="27" customHeight="1" x14ac:dyDescent="0.35">
      <c r="A93" s="27">
        <v>79010</v>
      </c>
      <c r="B93" s="55" t="s">
        <v>176</v>
      </c>
      <c r="C93" s="10">
        <f>IFERROR(INDEX('حسابهای دریافتنی'!H:H,MATCH(Table210[[#This Row],[كد تفصيلي]],'حسابهای دریافتنی'!A:A,0)),0)</f>
        <v>0</v>
      </c>
      <c r="D93" s="11">
        <f>IFERROR(INDEX('درجریان وصول'!F:F,MATCH(Table210[[#This Row],[كد تفصيلي]],'درجریان وصول'!A:A,0)),0)</f>
        <v>0</v>
      </c>
      <c r="E93" s="11">
        <f>IFERROR(INDEX('چکهای دریافتنی'!F:F,MATCH(Table210[[#This Row],[كد تفصيلي]],'چکهای دریافتنی'!A:A,0)),0)</f>
        <v>0</v>
      </c>
      <c r="F93" s="11">
        <f>Table210[[#This Row],[حسابهای دریافتنی]]+Table210[[#This Row],[چکهای در جریان وصول]]+Table210[[#This Row],[چکهای نزد صندوق]]</f>
        <v>0</v>
      </c>
      <c r="G93" s="12">
        <f>IFERROR(INDEX('مانده سوفاله'!F:F,MATCH(Table210[[#This Row],[كد تفصيلي]],'مانده سوفاله'!A:A,0)),0)</f>
        <v>-110</v>
      </c>
    </row>
    <row r="94" spans="1:7" ht="27" customHeight="1" x14ac:dyDescent="0.35">
      <c r="A94" s="26">
        <v>10131</v>
      </c>
      <c r="B94" s="56" t="s">
        <v>457</v>
      </c>
      <c r="C94" s="10">
        <f>IFERROR(INDEX('حسابهای دریافتنی'!H:H,MATCH(Table210[[#This Row],[كد تفصيلي]],'حسابهای دریافتنی'!A:A,0)),0)</f>
        <v>-1194000</v>
      </c>
      <c r="D94" s="11">
        <f>IFERROR(INDEX('درجریان وصول'!F:F,MATCH(Table210[[#This Row],[كد تفصيلي]],'درجریان وصول'!A:A,0)),0)</f>
        <v>0</v>
      </c>
      <c r="E94" s="11">
        <f>IFERROR(INDEX('چکهای دریافتنی'!F:F,MATCH(Table210[[#This Row],[كد تفصيلي]],'چکهای دریافتنی'!A:A,0)),0)</f>
        <v>0</v>
      </c>
      <c r="F94" s="11">
        <f>Table210[[#This Row],[حسابهای دریافتنی]]+Table210[[#This Row],[چکهای در جریان وصول]]+Table210[[#This Row],[چکهای نزد صندوق]]</f>
        <v>-1194000</v>
      </c>
      <c r="G94" s="12">
        <f>IFERROR(INDEX('مانده سوفاله'!F:F,MATCH(Table210[[#This Row],[كد تفصيلي]],'مانده سوفاله'!A:A,0)),0)</f>
        <v>1</v>
      </c>
    </row>
    <row r="95" spans="1:7" ht="27" customHeight="1" x14ac:dyDescent="0.35">
      <c r="A95" s="27">
        <v>30026</v>
      </c>
      <c r="B95" s="55" t="s">
        <v>74</v>
      </c>
      <c r="C95" s="10">
        <f>IFERROR(INDEX('حسابهای دریافتنی'!H:H,MATCH(Table210[[#This Row],[كد تفصيلي]],'حسابهای دریافتنی'!A:A,0)),0)</f>
        <v>5689439</v>
      </c>
      <c r="D95" s="11">
        <f>IFERROR(INDEX('درجریان وصول'!F:F,MATCH(Table210[[#This Row],[كد تفصيلي]],'درجریان وصول'!A:A,0)),0)</f>
        <v>0</v>
      </c>
      <c r="E95" s="11">
        <f>IFERROR(INDEX('چکهای دریافتنی'!F:F,MATCH(Table210[[#This Row],[كد تفصيلي]],'چکهای دریافتنی'!A:A,0)),0)</f>
        <v>0</v>
      </c>
      <c r="F95" s="11">
        <f>Table210[[#This Row],[حسابهای دریافتنی]]+Table210[[#This Row],[چکهای در جریان وصول]]+Table210[[#This Row],[چکهای نزد صندوق]]</f>
        <v>5689439</v>
      </c>
      <c r="G95" s="12">
        <f>IFERROR(INDEX('مانده سوفاله'!F:F,MATCH(Table210[[#This Row],[كد تفصيلي]],'مانده سوفاله'!A:A,0)),0)</f>
        <v>764</v>
      </c>
    </row>
    <row r="96" spans="1:7" ht="27" customHeight="1" x14ac:dyDescent="0.35">
      <c r="A96" s="26">
        <v>30164</v>
      </c>
      <c r="B96" s="56" t="s">
        <v>304</v>
      </c>
      <c r="C96" s="10">
        <f>IFERROR(INDEX('حسابهای دریافتنی'!H:H,MATCH(Table210[[#This Row],[كد تفصيلي]],'حسابهای دریافتنی'!A:A,0)),0)</f>
        <v>184944000</v>
      </c>
      <c r="D96" s="11">
        <f>IFERROR(INDEX('درجریان وصول'!F:F,MATCH(Table210[[#This Row],[كد تفصيلي]],'درجریان وصول'!A:A,0)),0)</f>
        <v>0</v>
      </c>
      <c r="E96" s="11">
        <f>IFERROR(INDEX('چکهای دریافتنی'!F:F,MATCH(Table210[[#This Row],[كد تفصيلي]],'چکهای دریافتنی'!A:A,0)),0)</f>
        <v>0</v>
      </c>
      <c r="F96" s="11">
        <f>Table210[[#This Row],[حسابهای دریافتنی]]+Table210[[#This Row],[چکهای در جریان وصول]]+Table210[[#This Row],[چکهای نزد صندوق]]</f>
        <v>184944000</v>
      </c>
      <c r="G96" s="12">
        <f>IFERROR(INDEX('مانده سوفاله'!F:F,MATCH(Table210[[#This Row],[كد تفصيلي]],'مانده سوفاله'!A:A,0)),0)</f>
        <v>561</v>
      </c>
    </row>
    <row r="97" spans="1:7" ht="27" customHeight="1" x14ac:dyDescent="0.35">
      <c r="A97" s="27">
        <v>10109</v>
      </c>
      <c r="B97" s="55" t="s">
        <v>303</v>
      </c>
      <c r="C97" s="10">
        <f>IFERROR(INDEX('حسابهای دریافتنی'!H:H,MATCH(Table210[[#This Row],[كد تفصيلي]],'حسابهای دریافتنی'!A:A,0)),0)</f>
        <v>-1124737000</v>
      </c>
      <c r="D97" s="11">
        <f>IFERROR(INDEX('درجریان وصول'!F:F,MATCH(Table210[[#This Row],[كد تفصيلي]],'درجریان وصول'!A:A,0)),0)</f>
        <v>0</v>
      </c>
      <c r="E97" s="11">
        <f>IFERROR(INDEX('چکهای دریافتنی'!F:F,MATCH(Table210[[#This Row],[كد تفصيلي]],'چکهای دریافتنی'!A:A,0)),0)</f>
        <v>0</v>
      </c>
      <c r="F97" s="11">
        <f>Table210[[#This Row],[حسابهای دریافتنی]]+Table210[[#This Row],[چکهای در جریان وصول]]+Table210[[#This Row],[چکهای نزد صندوق]]</f>
        <v>-1124737000</v>
      </c>
      <c r="G97" s="12">
        <f>IFERROR(INDEX('مانده سوفاله'!F:F,MATCH(Table210[[#This Row],[كد تفصيلي]],'مانده سوفاله'!A:A,0)),0)</f>
        <v>-241</v>
      </c>
    </row>
    <row r="98" spans="1:7" ht="27" customHeight="1" x14ac:dyDescent="0.35">
      <c r="A98" s="26">
        <v>30021</v>
      </c>
      <c r="B98" s="56" t="s">
        <v>69</v>
      </c>
      <c r="C98" s="10">
        <f>IFERROR(INDEX('حسابهای دریافتنی'!H:H,MATCH(Table210[[#This Row],[كد تفصيلي]],'حسابهای دریافتنی'!A:A,0)),0)</f>
        <v>-122000</v>
      </c>
      <c r="D98" s="11">
        <f>IFERROR(INDEX('درجریان وصول'!F:F,MATCH(Table210[[#This Row],[كد تفصيلي]],'درجریان وصول'!A:A,0)),0)</f>
        <v>0</v>
      </c>
      <c r="E98" s="11">
        <f>IFERROR(INDEX('چکهای دریافتنی'!F:F,MATCH(Table210[[#This Row],[كد تفصيلي]],'چکهای دریافتنی'!A:A,0)),0)</f>
        <v>0</v>
      </c>
      <c r="F98" s="11">
        <f>Table210[[#This Row],[حسابهای دریافتنی]]+Table210[[#This Row],[چکهای در جریان وصول]]+Table210[[#This Row],[چکهای نزد صندوق]]</f>
        <v>-122000</v>
      </c>
      <c r="G98" s="12">
        <f>IFERROR(INDEX('مانده سوفاله'!F:F,MATCH(Table210[[#This Row],[كد تفصيلي]],'مانده سوفاله'!A:A,0)),0)</f>
        <v>0</v>
      </c>
    </row>
    <row r="99" spans="1:7" ht="27" customHeight="1" x14ac:dyDescent="0.35">
      <c r="A99" s="27">
        <v>10066</v>
      </c>
      <c r="B99" s="55" t="s">
        <v>262</v>
      </c>
      <c r="C99" s="10">
        <f>IFERROR(INDEX('حسابهای دریافتنی'!H:H,MATCH(Table210[[#This Row],[كد تفصيلي]],'حسابهای دریافتنی'!A:A,0)),0)</f>
        <v>-191500</v>
      </c>
      <c r="D99" s="11">
        <f>IFERROR(INDEX('درجریان وصول'!F:F,MATCH(Table210[[#This Row],[كد تفصيلي]],'درجریان وصول'!A:A,0)),0)</f>
        <v>0</v>
      </c>
      <c r="E99" s="11">
        <f>IFERROR(INDEX('چکهای دریافتنی'!F:F,MATCH(Table210[[#This Row],[كد تفصيلي]],'چکهای دریافتنی'!A:A,0)),0)</f>
        <v>0</v>
      </c>
      <c r="F99" s="11">
        <f>Table210[[#This Row],[حسابهای دریافتنی]]+Table210[[#This Row],[چکهای در جریان وصول]]+Table210[[#This Row],[چکهای نزد صندوق]]</f>
        <v>-191500</v>
      </c>
      <c r="G99" s="12">
        <f>IFERROR(INDEX('مانده سوفاله'!F:F,MATCH(Table210[[#This Row],[كد تفصيلي]],'مانده سوفاله'!A:A,0)),0)</f>
        <v>2</v>
      </c>
    </row>
    <row r="100" spans="1:7" ht="27" customHeight="1" x14ac:dyDescent="0.35">
      <c r="A100" s="27">
        <v>30167</v>
      </c>
      <c r="B100" s="55" t="s">
        <v>311</v>
      </c>
      <c r="C100" s="10">
        <f>IFERROR(INDEX('حسابهای دریافتنی'!H:H,MATCH(Table210[[#This Row],[كد تفصيلي]],'حسابهای دریافتنی'!A:A,0)),0)</f>
        <v>-221000</v>
      </c>
      <c r="D100" s="11">
        <f>IFERROR(INDEX('درجریان وصول'!F:F,MATCH(Table210[[#This Row],[كد تفصيلي]],'درجریان وصول'!A:A,0)),0)</f>
        <v>0</v>
      </c>
      <c r="E100" s="11">
        <f>IFERROR(INDEX('چکهای دریافتنی'!F:F,MATCH(Table210[[#This Row],[كد تفصيلي]],'چکهای دریافتنی'!A:A,0)),0)</f>
        <v>0</v>
      </c>
      <c r="F100" s="11">
        <f>Table210[[#This Row],[حسابهای دریافتنی]]+Table210[[#This Row],[چکهای در جریان وصول]]+Table210[[#This Row],[چکهای نزد صندوق]]</f>
        <v>-221000</v>
      </c>
      <c r="G100" s="12">
        <f>IFERROR(INDEX('مانده سوفاله'!F:F,MATCH(Table210[[#This Row],[كد تفصيلي]],'مانده سوفاله'!A:A,0)),0)</f>
        <v>6</v>
      </c>
    </row>
    <row r="101" spans="1:7" ht="27" customHeight="1" x14ac:dyDescent="0.35">
      <c r="A101" s="26">
        <v>10077</v>
      </c>
      <c r="B101" s="56" t="s">
        <v>210</v>
      </c>
      <c r="C101" s="10">
        <f>IFERROR(INDEX('حسابهای دریافتنی'!H:H,MATCH(Table210[[#This Row],[كد تفصيلي]],'حسابهای دریافتنی'!A:A,0)),0)</f>
        <v>-238500</v>
      </c>
      <c r="D101" s="11">
        <f>IFERROR(INDEX('درجریان وصول'!F:F,MATCH(Table210[[#This Row],[كد تفصيلي]],'درجریان وصول'!A:A,0)),0)</f>
        <v>0</v>
      </c>
      <c r="E101" s="11">
        <f>IFERROR(INDEX('چکهای دریافتنی'!F:F,MATCH(Table210[[#This Row],[كد تفصيلي]],'چکهای دریافتنی'!A:A,0)),0)</f>
        <v>0</v>
      </c>
      <c r="F101" s="11">
        <f>Table210[[#This Row],[حسابهای دریافتنی]]+Table210[[#This Row],[چکهای در جریان وصول]]+Table210[[#This Row],[چکهای نزد صندوق]]</f>
        <v>-238500</v>
      </c>
      <c r="G101" s="12">
        <f>IFERROR(INDEX('مانده سوفاله'!F:F,MATCH(Table210[[#This Row],[كد تفصيلي]],'مانده سوفاله'!A:A,0)),0)</f>
        <v>0</v>
      </c>
    </row>
    <row r="102" spans="1:7" ht="27" customHeight="1" x14ac:dyDescent="0.35">
      <c r="A102" s="27">
        <v>10012</v>
      </c>
      <c r="B102" s="55" t="s">
        <v>19</v>
      </c>
      <c r="C102" s="10">
        <f>IFERROR(INDEX('حسابهای دریافتنی'!H:H,MATCH(Table210[[#This Row],[كد تفصيلي]],'حسابهای دریافتنی'!A:A,0)),0)</f>
        <v>-244000</v>
      </c>
      <c r="D102" s="11">
        <f>IFERROR(INDEX('درجریان وصول'!F:F,MATCH(Table210[[#This Row],[كد تفصيلي]],'درجریان وصول'!A:A,0)),0)</f>
        <v>0</v>
      </c>
      <c r="E102" s="11">
        <f>IFERROR(INDEX('چکهای دریافتنی'!F:F,MATCH(Table210[[#This Row],[كد تفصيلي]],'چکهای دریافتنی'!A:A,0)),0)</f>
        <v>0</v>
      </c>
      <c r="F102" s="11">
        <f>Table210[[#This Row],[حسابهای دریافتنی]]+Table210[[#This Row],[چکهای در جریان وصول]]+Table210[[#This Row],[چکهای نزد صندوق]]</f>
        <v>-244000</v>
      </c>
      <c r="G102" s="12">
        <f>IFERROR(INDEX('مانده سوفاله'!F:F,MATCH(Table210[[#This Row],[كد تفصيلي]],'مانده سوفاله'!A:A,0)),0)</f>
        <v>0</v>
      </c>
    </row>
    <row r="103" spans="1:7" ht="27" customHeight="1" x14ac:dyDescent="0.35">
      <c r="A103" s="26">
        <v>30088</v>
      </c>
      <c r="B103" s="56" t="s">
        <v>142</v>
      </c>
      <c r="C103" s="10">
        <f>IFERROR(INDEX('حسابهای دریافتنی'!H:H,MATCH(Table210[[#This Row],[كد تفصيلي]],'حسابهای دریافتنی'!A:A,0)),0)</f>
        <v>-252000</v>
      </c>
      <c r="D103" s="11">
        <f>IFERROR(INDEX('درجریان وصول'!F:F,MATCH(Table210[[#This Row],[كد تفصيلي]],'درجریان وصول'!A:A,0)),0)</f>
        <v>0</v>
      </c>
      <c r="E103" s="11">
        <f>IFERROR(INDEX('چکهای دریافتنی'!F:F,MATCH(Table210[[#This Row],[كد تفصيلي]],'چکهای دریافتنی'!A:A,0)),0)</f>
        <v>0</v>
      </c>
      <c r="F103" s="11">
        <f>Table210[[#This Row],[حسابهای دریافتنی]]+Table210[[#This Row],[چکهای در جریان وصول]]+Table210[[#This Row],[چکهای نزد صندوق]]</f>
        <v>-252000</v>
      </c>
      <c r="G103" s="12">
        <f>IFERROR(INDEX('مانده سوفاله'!F:F,MATCH(Table210[[#This Row],[كد تفصيلي]],'مانده سوفاله'!A:A,0)),0)</f>
        <v>0</v>
      </c>
    </row>
    <row r="104" spans="1:7" ht="27" customHeight="1" x14ac:dyDescent="0.35">
      <c r="A104" s="26">
        <v>10128</v>
      </c>
      <c r="B104" s="56" t="s">
        <v>372</v>
      </c>
      <c r="C104" s="10">
        <f>IFERROR(INDEX('حسابهای دریافتنی'!H:H,MATCH(Table210[[#This Row],[كد تفصيلي]],'حسابهای دریافتنی'!A:A,0)),0)</f>
        <v>-45000</v>
      </c>
      <c r="D104" s="11">
        <f>IFERROR(INDEX('درجریان وصول'!F:F,MATCH(Table210[[#This Row],[كد تفصيلي]],'درجریان وصول'!A:A,0)),0)</f>
        <v>0</v>
      </c>
      <c r="E104" s="11">
        <f>IFERROR(INDEX('چکهای دریافتنی'!F:F,MATCH(Table210[[#This Row],[كد تفصيلي]],'چکهای دریافتنی'!A:A,0)),0)</f>
        <v>0</v>
      </c>
      <c r="F104" s="11">
        <f>Table210[[#This Row],[حسابهای دریافتنی]]+Table210[[#This Row],[چکهای در جریان وصول]]+Table210[[#This Row],[چکهای نزد صندوق]]</f>
        <v>-45000</v>
      </c>
      <c r="G104" s="12">
        <f>IFERROR(INDEX('مانده سوفاله'!F:F,MATCH(Table210[[#This Row],[كد تفصيلي]],'مانده سوفاله'!A:A,0)),0)</f>
        <v>6</v>
      </c>
    </row>
    <row r="105" spans="1:7" ht="27" customHeight="1" x14ac:dyDescent="0.35">
      <c r="A105" s="26">
        <v>10045</v>
      </c>
      <c r="B105" s="56" t="s">
        <v>50</v>
      </c>
      <c r="C105" s="10">
        <f>IFERROR(INDEX('حسابهای دریافتنی'!H:H,MATCH(Table210[[#This Row],[كد تفصيلي]],'حسابهای دریافتنی'!A:A,0)),0)</f>
        <v>-383000</v>
      </c>
      <c r="D105" s="11">
        <f>IFERROR(INDEX('درجریان وصول'!F:F,MATCH(Table210[[#This Row],[كد تفصيلي]],'درجریان وصول'!A:A,0)),0)</f>
        <v>0</v>
      </c>
      <c r="E105" s="11">
        <f>IFERROR(INDEX('چکهای دریافتنی'!F:F,MATCH(Table210[[#This Row],[كد تفصيلي]],'چکهای دریافتنی'!A:A,0)),0)</f>
        <v>0</v>
      </c>
      <c r="F105" s="11">
        <f>Table210[[#This Row],[حسابهای دریافتنی]]+Table210[[#This Row],[چکهای در جریان وصول]]+Table210[[#This Row],[چکهای نزد صندوق]]</f>
        <v>-383000</v>
      </c>
      <c r="G105" s="12">
        <f>IFERROR(INDEX('مانده سوفاله'!F:F,MATCH(Table210[[#This Row],[كد تفصيلي]],'مانده سوفاله'!A:A,0)),0)</f>
        <v>-30</v>
      </c>
    </row>
    <row r="106" spans="1:7" ht="27" customHeight="1" x14ac:dyDescent="0.35">
      <c r="A106" s="26">
        <v>30051</v>
      </c>
      <c r="B106" s="56" t="s">
        <v>98</v>
      </c>
      <c r="C106" s="10">
        <f>IFERROR(INDEX('حسابهای دریافتنی'!H:H,MATCH(Table210[[#This Row],[كد تفصيلي]],'حسابهای دریافتنی'!A:A,0)),0)</f>
        <v>-384000</v>
      </c>
      <c r="D106" s="11">
        <f>IFERROR(INDEX('درجریان وصول'!F:F,MATCH(Table210[[#This Row],[كد تفصيلي]],'درجریان وصول'!A:A,0)),0)</f>
        <v>0</v>
      </c>
      <c r="E106" s="11">
        <f>IFERROR(INDEX('چکهای دریافتنی'!F:F,MATCH(Table210[[#This Row],[كد تفصيلي]],'چکهای دریافتنی'!A:A,0)),0)</f>
        <v>0</v>
      </c>
      <c r="F106" s="11">
        <f>Table210[[#This Row],[حسابهای دریافتنی]]+Table210[[#This Row],[چکهای در جریان وصول]]+Table210[[#This Row],[چکهای نزد صندوق]]</f>
        <v>-384000</v>
      </c>
      <c r="G106" s="12">
        <f>IFERROR(INDEX('مانده سوفاله'!F:F,MATCH(Table210[[#This Row],[كد تفصيلي]],'مانده سوفاله'!A:A,0)),0)</f>
        <v>0</v>
      </c>
    </row>
    <row r="107" spans="1:7" ht="27" customHeight="1" x14ac:dyDescent="0.35">
      <c r="A107" s="27">
        <v>30044</v>
      </c>
      <c r="B107" s="55" t="s">
        <v>91</v>
      </c>
      <c r="C107" s="10">
        <f>IFERROR(INDEX('حسابهای دریافتنی'!H:H,MATCH(Table210[[#This Row],[كد تفصيلي]],'حسابهای دریافتنی'!A:A,0)),0)</f>
        <v>-492500</v>
      </c>
      <c r="D107" s="11">
        <f>IFERROR(INDEX('درجریان وصول'!F:F,MATCH(Table210[[#This Row],[كد تفصيلي]],'درجریان وصول'!A:A,0)),0)</f>
        <v>0</v>
      </c>
      <c r="E107" s="11">
        <f>IFERROR(INDEX('چکهای دریافتنی'!F:F,MATCH(Table210[[#This Row],[كد تفصيلي]],'چکهای دریافتنی'!A:A,0)),0)</f>
        <v>0</v>
      </c>
      <c r="F107" s="11">
        <f>Table210[[#This Row],[حسابهای دریافتنی]]+Table210[[#This Row],[چکهای در جریان وصول]]+Table210[[#This Row],[چکهای نزد صندوق]]</f>
        <v>-492500</v>
      </c>
      <c r="G107" s="12">
        <f>IFERROR(INDEX('مانده سوفاله'!F:F,MATCH(Table210[[#This Row],[كد تفصيلي]],'مانده سوفاله'!A:A,0)),0)</f>
        <v>2</v>
      </c>
    </row>
    <row r="108" spans="1:7" ht="27" customHeight="1" x14ac:dyDescent="0.35">
      <c r="A108" s="26">
        <v>10095</v>
      </c>
      <c r="B108" s="56" t="s">
        <v>268</v>
      </c>
      <c r="C108" s="10">
        <f>IFERROR(INDEX('حسابهای دریافتنی'!H:H,MATCH(Table210[[#This Row],[كد تفصيلي]],'حسابهای دریافتنی'!A:A,0)),0)</f>
        <v>-496500</v>
      </c>
      <c r="D108" s="11">
        <f>IFERROR(INDEX('درجریان وصول'!F:F,MATCH(Table210[[#This Row],[كد تفصيلي]],'درجریان وصول'!A:A,0)),0)</f>
        <v>0</v>
      </c>
      <c r="E108" s="11">
        <f>IFERROR(INDEX('چکهای دریافتنی'!F:F,MATCH(Table210[[#This Row],[كد تفصيلي]],'چکهای دریافتنی'!A:A,0)),0)</f>
        <v>0</v>
      </c>
      <c r="F108" s="11">
        <f>Table210[[#This Row],[حسابهای دریافتنی]]+Table210[[#This Row],[چکهای در جریان وصول]]+Table210[[#This Row],[چکهای نزد صندوق]]</f>
        <v>-496500</v>
      </c>
      <c r="G108" s="12">
        <f>IFERROR(INDEX('مانده سوفاله'!F:F,MATCH(Table210[[#This Row],[كد تفصيلي]],'مانده سوفاله'!A:A,0)),0)</f>
        <v>0</v>
      </c>
    </row>
    <row r="109" spans="1:7" ht="27" customHeight="1" x14ac:dyDescent="0.35">
      <c r="A109" s="27">
        <v>30052</v>
      </c>
      <c r="B109" s="55" t="s">
        <v>149</v>
      </c>
      <c r="C109" s="10">
        <f>IFERROR(INDEX('حسابهای دریافتنی'!H:H,MATCH(Table210[[#This Row],[كد تفصيلي]],'حسابهای دریافتنی'!A:A,0)),0)</f>
        <v>-539000</v>
      </c>
      <c r="D109" s="11">
        <f>IFERROR(INDEX('درجریان وصول'!F:F,MATCH(Table210[[#This Row],[كد تفصيلي]],'درجریان وصول'!A:A,0)),0)</f>
        <v>0</v>
      </c>
      <c r="E109" s="11">
        <f>IFERROR(INDEX('چکهای دریافتنی'!F:F,MATCH(Table210[[#This Row],[كد تفصيلي]],'چکهای دریافتنی'!A:A,0)),0)</f>
        <v>0</v>
      </c>
      <c r="F109" s="11">
        <f>Table210[[#This Row],[حسابهای دریافتنی]]+Table210[[#This Row],[چکهای در جریان وصول]]+Table210[[#This Row],[چکهای نزد صندوق]]</f>
        <v>-539000</v>
      </c>
      <c r="G109" s="12">
        <f>IFERROR(INDEX('مانده سوفاله'!F:F,MATCH(Table210[[#This Row],[كد تفصيلي]],'مانده سوفاله'!A:A,0)),0)</f>
        <v>0</v>
      </c>
    </row>
    <row r="110" spans="1:7" ht="27" customHeight="1" x14ac:dyDescent="0.35">
      <c r="A110" s="26">
        <v>10061</v>
      </c>
      <c r="B110" s="56" t="s">
        <v>194</v>
      </c>
      <c r="C110" s="10">
        <f>IFERROR(INDEX('حسابهای دریافتنی'!H:H,MATCH(Table210[[#This Row],[كد تفصيلي]],'حسابهای دریافتنی'!A:A,0)),0)</f>
        <v>-565500</v>
      </c>
      <c r="D110" s="11">
        <f>IFERROR(INDEX('درجریان وصول'!F:F,MATCH(Table210[[#This Row],[كد تفصيلي]],'درجریان وصول'!A:A,0)),0)</f>
        <v>0</v>
      </c>
      <c r="E110" s="11">
        <f>IFERROR(INDEX('چکهای دریافتنی'!F:F,MATCH(Table210[[#This Row],[كد تفصيلي]],'چکهای دریافتنی'!A:A,0)),0)</f>
        <v>0</v>
      </c>
      <c r="F110" s="11">
        <f>Table210[[#This Row],[حسابهای دریافتنی]]+Table210[[#This Row],[چکهای در جریان وصول]]+Table210[[#This Row],[چکهای نزد صندوق]]</f>
        <v>-565500</v>
      </c>
      <c r="G110" s="12">
        <f>IFERROR(INDEX('مانده سوفاله'!F:F,MATCH(Table210[[#This Row],[كد تفصيلي]],'مانده سوفاله'!A:A,0)),0)</f>
        <v>0</v>
      </c>
    </row>
    <row r="111" spans="1:7" ht="27" customHeight="1" x14ac:dyDescent="0.35">
      <c r="A111" s="26">
        <v>10118</v>
      </c>
      <c r="B111" s="56" t="s">
        <v>334</v>
      </c>
      <c r="C111" s="10">
        <f>IFERROR(INDEX('حسابهای دریافتنی'!H:H,MATCH(Table210[[#This Row],[كد تفصيلي]],'حسابهای دریافتنی'!A:A,0)),0)</f>
        <v>-587500</v>
      </c>
      <c r="D111" s="11">
        <f>IFERROR(INDEX('درجریان وصول'!F:F,MATCH(Table210[[#This Row],[كد تفصيلي]],'درجریان وصول'!A:A,0)),0)</f>
        <v>0</v>
      </c>
      <c r="E111" s="11">
        <f>IFERROR(INDEX('چکهای دریافتنی'!F:F,MATCH(Table210[[#This Row],[كد تفصيلي]],'چکهای دریافتنی'!A:A,0)),0)</f>
        <v>0</v>
      </c>
      <c r="F111" s="11">
        <f>Table210[[#This Row],[حسابهای دریافتنی]]+Table210[[#This Row],[چکهای در جریان وصول]]+Table210[[#This Row],[چکهای نزد صندوق]]</f>
        <v>-587500</v>
      </c>
      <c r="G111" s="12">
        <f>IFERROR(INDEX('مانده سوفاله'!F:F,MATCH(Table210[[#This Row],[كد تفصيلي]],'مانده سوفاله'!A:A,0)),0)</f>
        <v>0</v>
      </c>
    </row>
    <row r="112" spans="1:7" ht="27" customHeight="1" x14ac:dyDescent="0.35">
      <c r="A112" s="27">
        <v>10048</v>
      </c>
      <c r="B112" s="55" t="s">
        <v>191</v>
      </c>
      <c r="C112" s="10">
        <f>IFERROR(INDEX('حسابهای دریافتنی'!H:H,MATCH(Table210[[#This Row],[كد تفصيلي]],'حسابهای دریافتنی'!A:A,0)),0)</f>
        <v>0</v>
      </c>
      <c r="D112" s="11">
        <f>IFERROR(INDEX('درجریان وصول'!F:F,MATCH(Table210[[#This Row],[كد تفصيلي]],'درجریان وصول'!A:A,0)),0)</f>
        <v>0</v>
      </c>
      <c r="E112" s="11">
        <f>IFERROR(INDEX('چکهای دریافتنی'!F:F,MATCH(Table210[[#This Row],[كد تفصيلي]],'چکهای دریافتنی'!A:A,0)),0)</f>
        <v>0</v>
      </c>
      <c r="F112" s="11">
        <f>Table210[[#This Row],[حسابهای دریافتنی]]+Table210[[#This Row],[چکهای در جریان وصول]]+Table210[[#This Row],[چکهای نزد صندوق]]</f>
        <v>0</v>
      </c>
      <c r="G112" s="12">
        <f>IFERROR(INDEX('مانده سوفاله'!F:F,MATCH(Table210[[#This Row],[كد تفصيلي]],'مانده سوفاله'!A:A,0)),0)</f>
        <v>-1097</v>
      </c>
    </row>
    <row r="113" spans="1:7" ht="27" customHeight="1" x14ac:dyDescent="0.35">
      <c r="A113" s="27">
        <v>10018</v>
      </c>
      <c r="B113" s="55" t="s">
        <v>25</v>
      </c>
      <c r="C113" s="10">
        <f>IFERROR(INDEX('حسابهای دریافتنی'!H:H,MATCH(Table210[[#This Row],[كد تفصيلي]],'حسابهای دریافتنی'!A:A,0)),0)</f>
        <v>95282000</v>
      </c>
      <c r="D113" s="11">
        <f>IFERROR(INDEX('درجریان وصول'!F:F,MATCH(Table210[[#This Row],[كد تفصيلي]],'درجریان وصول'!A:A,0)),0)</f>
        <v>0</v>
      </c>
      <c r="E113" s="11">
        <f>IFERROR(INDEX('چکهای دریافتنی'!F:F,MATCH(Table210[[#This Row],[كد تفصيلي]],'چکهای دریافتنی'!A:A,0)),0)</f>
        <v>0</v>
      </c>
      <c r="F113" s="11">
        <f>Table210[[#This Row],[حسابهای دریافتنی]]+Table210[[#This Row],[چکهای در جریان وصول]]+Table210[[#This Row],[چکهای نزد صندوق]]</f>
        <v>95282000</v>
      </c>
      <c r="G113" s="12">
        <f>IFERROR(INDEX('مانده سوفاله'!F:F,MATCH(Table210[[#This Row],[كد تفصيلي]],'مانده سوفاله'!A:A,0)),0)</f>
        <v>-32</v>
      </c>
    </row>
    <row r="114" spans="1:7" ht="27" customHeight="1" x14ac:dyDescent="0.35">
      <c r="A114" s="26">
        <v>30112</v>
      </c>
      <c r="B114" s="56" t="s">
        <v>201</v>
      </c>
      <c r="C114" s="10">
        <f>IFERROR(INDEX('حسابهای دریافتنی'!H:H,MATCH(Table210[[#This Row],[كد تفصيلي]],'حسابهای دریافتنی'!A:A,0)),0)</f>
        <v>-720500</v>
      </c>
      <c r="D114" s="11">
        <f>IFERROR(INDEX('درجریان وصول'!F:F,MATCH(Table210[[#This Row],[كد تفصيلي]],'درجریان وصول'!A:A,0)),0)</f>
        <v>0</v>
      </c>
      <c r="E114" s="11">
        <f>IFERROR(INDEX('چکهای دریافتنی'!F:F,MATCH(Table210[[#This Row],[كد تفصيلي]],'چکهای دریافتنی'!A:A,0)),0)</f>
        <v>0</v>
      </c>
      <c r="F114" s="11">
        <f>Table210[[#This Row],[حسابهای دریافتنی]]+Table210[[#This Row],[چکهای در جریان وصول]]+Table210[[#This Row],[چکهای نزد صندوق]]</f>
        <v>-720500</v>
      </c>
      <c r="G114" s="12">
        <f>IFERROR(INDEX('مانده سوفاله'!F:F,MATCH(Table210[[#This Row],[كد تفصيلي]],'مانده سوفاله'!A:A,0)),0)</f>
        <v>36</v>
      </c>
    </row>
    <row r="115" spans="1:7" ht="27" customHeight="1" x14ac:dyDescent="0.35">
      <c r="A115" s="26">
        <v>10013</v>
      </c>
      <c r="B115" s="56" t="s">
        <v>20</v>
      </c>
      <c r="C115" s="10">
        <f>IFERROR(INDEX('حسابهای دریافتنی'!H:H,MATCH(Table210[[#This Row],[كد تفصيلي]],'حسابهای دریافتنی'!A:A,0)),0)</f>
        <v>-915000</v>
      </c>
      <c r="D115" s="11">
        <f>IFERROR(INDEX('درجریان وصول'!F:F,MATCH(Table210[[#This Row],[كد تفصيلي]],'درجریان وصول'!A:A,0)),0)</f>
        <v>0</v>
      </c>
      <c r="E115" s="11">
        <f>IFERROR(INDEX('چکهای دریافتنی'!F:F,MATCH(Table210[[#This Row],[كد تفصيلي]],'چکهای دریافتنی'!A:A,0)),0)</f>
        <v>0</v>
      </c>
      <c r="F115" s="11">
        <f>Table210[[#This Row],[حسابهای دریافتنی]]+Table210[[#This Row],[چکهای در جریان وصول]]+Table210[[#This Row],[چکهای نزد صندوق]]</f>
        <v>-915000</v>
      </c>
      <c r="G115" s="12">
        <f>IFERROR(INDEX('مانده سوفاله'!F:F,MATCH(Table210[[#This Row],[كد تفصيلي]],'مانده سوفاله'!A:A,0)),0)</f>
        <v>0</v>
      </c>
    </row>
    <row r="116" spans="1:7" ht="27" customHeight="1" x14ac:dyDescent="0.35">
      <c r="A116" s="27">
        <v>10042</v>
      </c>
      <c r="B116" s="55" t="s">
        <v>47</v>
      </c>
      <c r="C116" s="10">
        <f>IFERROR(INDEX('حسابهای دریافتنی'!H:H,MATCH(Table210[[#This Row],[كد تفصيلي]],'حسابهای دریافتنی'!A:A,0)),0)</f>
        <v>-1120000</v>
      </c>
      <c r="D116" s="11">
        <f>IFERROR(INDEX('درجریان وصول'!F:F,MATCH(Table210[[#This Row],[كد تفصيلي]],'درجریان وصول'!A:A,0)),0)</f>
        <v>0</v>
      </c>
      <c r="E116" s="11">
        <f>IFERROR(INDEX('چکهای دریافتنی'!F:F,MATCH(Table210[[#This Row],[كد تفصيلي]],'چکهای دریافتنی'!A:A,0)),0)</f>
        <v>0</v>
      </c>
      <c r="F116" s="11">
        <f>Table210[[#This Row],[حسابهای دریافتنی]]+Table210[[#This Row],[چکهای در جریان وصول]]+Table210[[#This Row],[چکهای نزد صندوق]]</f>
        <v>-1120000</v>
      </c>
      <c r="G116" s="12">
        <f>IFERROR(INDEX('مانده سوفاله'!F:F,MATCH(Table210[[#This Row],[كد تفصيلي]],'مانده سوفاله'!A:A,0)),0)</f>
        <v>2</v>
      </c>
    </row>
    <row r="117" spans="1:7" ht="27" customHeight="1" x14ac:dyDescent="0.35">
      <c r="A117" s="27">
        <v>30032</v>
      </c>
      <c r="B117" s="55" t="s">
        <v>79</v>
      </c>
      <c r="C117" s="10">
        <f>IFERROR(INDEX('حسابهای دریافتنی'!H:H,MATCH(Table210[[#This Row],[كد تفصيلي]],'حسابهای دریافتنی'!A:A,0)),0)</f>
        <v>-1347000</v>
      </c>
      <c r="D117" s="11">
        <f>IFERROR(INDEX('درجریان وصول'!F:F,MATCH(Table210[[#This Row],[كد تفصيلي]],'درجریان وصول'!A:A,0)),0)</f>
        <v>0</v>
      </c>
      <c r="E117" s="11">
        <f>IFERROR(INDEX('چکهای دریافتنی'!F:F,MATCH(Table210[[#This Row],[كد تفصيلي]],'چکهای دریافتنی'!A:A,0)),0)</f>
        <v>0</v>
      </c>
      <c r="F117" s="11">
        <f>Table210[[#This Row],[حسابهای دریافتنی]]+Table210[[#This Row],[چکهای در جریان وصول]]+Table210[[#This Row],[چکهای نزد صندوق]]</f>
        <v>-1347000</v>
      </c>
      <c r="G117" s="12">
        <f>IFERROR(INDEX('مانده سوفاله'!F:F,MATCH(Table210[[#This Row],[كد تفصيلي]],'مانده سوفاله'!A:A,0)),0)</f>
        <v>0</v>
      </c>
    </row>
    <row r="118" spans="1:7" ht="27" customHeight="1" x14ac:dyDescent="0.35">
      <c r="A118" s="27">
        <v>30171</v>
      </c>
      <c r="B118" s="55" t="s">
        <v>322</v>
      </c>
      <c r="C118" s="10">
        <f>IFERROR(INDEX('حسابهای دریافتنی'!H:H,MATCH(Table210[[#This Row],[كد تفصيلي]],'حسابهای دریافتنی'!A:A,0)),0)</f>
        <v>-1500000</v>
      </c>
      <c r="D118" s="11">
        <f>IFERROR(INDEX('درجریان وصول'!F:F,MATCH(Table210[[#This Row],[كد تفصيلي]],'درجریان وصول'!A:A,0)),0)</f>
        <v>0</v>
      </c>
      <c r="E118" s="11">
        <f>IFERROR(INDEX('چکهای دریافتنی'!F:F,MATCH(Table210[[#This Row],[كد تفصيلي]],'چکهای دریافتنی'!A:A,0)),0)</f>
        <v>0</v>
      </c>
      <c r="F118" s="11">
        <f>Table210[[#This Row],[حسابهای دریافتنی]]+Table210[[#This Row],[چکهای در جریان وصول]]+Table210[[#This Row],[چکهای نزد صندوق]]</f>
        <v>-1500000</v>
      </c>
      <c r="G118" s="12">
        <f>IFERROR(INDEX('مانده سوفاله'!F:F,MATCH(Table210[[#This Row],[كد تفصيلي]],'مانده سوفاله'!A:A,0)),0)</f>
        <v>0</v>
      </c>
    </row>
    <row r="119" spans="1:7" ht="27" customHeight="1" x14ac:dyDescent="0.35">
      <c r="A119" s="26">
        <v>10103</v>
      </c>
      <c r="B119" s="56" t="s">
        <v>283</v>
      </c>
      <c r="C119" s="10">
        <f>IFERROR(INDEX('حسابهای دریافتنی'!H:H,MATCH(Table210[[#This Row],[كد تفصيلي]],'حسابهای دریافتنی'!A:A,0)),0)</f>
        <v>-1580000</v>
      </c>
      <c r="D119" s="11">
        <f>IFERROR(INDEX('درجریان وصول'!F:F,MATCH(Table210[[#This Row],[كد تفصيلي]],'درجریان وصول'!A:A,0)),0)</f>
        <v>0</v>
      </c>
      <c r="E119" s="11">
        <f>IFERROR(INDEX('چکهای دریافتنی'!F:F,MATCH(Table210[[#This Row],[كد تفصيلي]],'چکهای دریافتنی'!A:A,0)),0)</f>
        <v>0</v>
      </c>
      <c r="F119" s="11">
        <f>Table210[[#This Row],[حسابهای دریافتنی]]+Table210[[#This Row],[چکهای در جریان وصول]]+Table210[[#This Row],[چکهای نزد صندوق]]</f>
        <v>-1580000</v>
      </c>
      <c r="G119" s="12">
        <f>IFERROR(INDEX('مانده سوفاله'!F:F,MATCH(Table210[[#This Row],[كد تفصيلي]],'مانده سوفاله'!A:A,0)),0)</f>
        <v>0</v>
      </c>
    </row>
    <row r="120" spans="1:7" ht="27" customHeight="1" x14ac:dyDescent="0.35">
      <c r="A120" s="27">
        <v>10125</v>
      </c>
      <c r="B120" s="55" t="s">
        <v>345</v>
      </c>
      <c r="C120" s="10">
        <f>IFERROR(INDEX('حسابهای دریافتنی'!H:H,MATCH(Table210[[#This Row],[كد تفصيلي]],'حسابهای دریافتنی'!A:A,0)),0)</f>
        <v>-1650000</v>
      </c>
      <c r="D120" s="11">
        <f>IFERROR(INDEX('درجریان وصول'!F:F,MATCH(Table210[[#This Row],[كد تفصيلي]],'درجریان وصول'!A:A,0)),0)</f>
        <v>0</v>
      </c>
      <c r="E120" s="11">
        <f>IFERROR(INDEX('چکهای دریافتنی'!F:F,MATCH(Table210[[#This Row],[كد تفصيلي]],'چکهای دریافتنی'!A:A,0)),0)</f>
        <v>0</v>
      </c>
      <c r="F120" s="11">
        <f>Table210[[#This Row],[حسابهای دریافتنی]]+Table210[[#This Row],[چکهای در جریان وصول]]+Table210[[#This Row],[چکهای نزد صندوق]]</f>
        <v>-1650000</v>
      </c>
      <c r="G120" s="12">
        <f>IFERROR(INDEX('مانده سوفاله'!F:F,MATCH(Table210[[#This Row],[كد تفصيلي]],'مانده سوفاله'!A:A,0)),0)</f>
        <v>0</v>
      </c>
    </row>
    <row r="121" spans="1:7" ht="27" customHeight="1" x14ac:dyDescent="0.35">
      <c r="A121" s="26">
        <v>10110</v>
      </c>
      <c r="B121" s="56" t="s">
        <v>306</v>
      </c>
      <c r="C121" s="10">
        <f>IFERROR(INDEX('حسابهای دریافتنی'!H:H,MATCH(Table210[[#This Row],[كد تفصيلي]],'حسابهای دریافتنی'!A:A,0)),0)</f>
        <v>-1817500</v>
      </c>
      <c r="D121" s="11">
        <f>IFERROR(INDEX('درجریان وصول'!F:F,MATCH(Table210[[#This Row],[كد تفصيلي]],'درجریان وصول'!A:A,0)),0)</f>
        <v>0</v>
      </c>
      <c r="E121" s="11">
        <f>IFERROR(INDEX('چکهای دریافتنی'!F:F,MATCH(Table210[[#This Row],[كد تفصيلي]],'چکهای دریافتنی'!A:A,0)),0)</f>
        <v>0</v>
      </c>
      <c r="F121" s="11">
        <f>Table210[[#This Row],[حسابهای دریافتنی]]+Table210[[#This Row],[چکهای در جریان وصول]]+Table210[[#This Row],[چکهای نزد صندوق]]</f>
        <v>-1817500</v>
      </c>
      <c r="G121" s="12">
        <f>IFERROR(INDEX('مانده سوفاله'!F:F,MATCH(Table210[[#This Row],[كد تفصيلي]],'مانده سوفاله'!A:A,0)),0)</f>
        <v>7</v>
      </c>
    </row>
    <row r="122" spans="1:7" ht="27" customHeight="1" x14ac:dyDescent="0.35">
      <c r="A122" s="27">
        <v>30103</v>
      </c>
      <c r="B122" s="55" t="s">
        <v>240</v>
      </c>
      <c r="C122" s="10">
        <f>IFERROR(INDEX('حسابهای دریافتنی'!H:H,MATCH(Table210[[#This Row],[كد تفصيلي]],'حسابهای دریافتنی'!A:A,0)),0)</f>
        <v>-1820000</v>
      </c>
      <c r="D122" s="11">
        <f>IFERROR(INDEX('درجریان وصول'!F:F,MATCH(Table210[[#This Row],[كد تفصيلي]],'درجریان وصول'!A:A,0)),0)</f>
        <v>0</v>
      </c>
      <c r="E122" s="11">
        <f>IFERROR(INDEX('چکهای دریافتنی'!F:F,MATCH(Table210[[#This Row],[كد تفصيلي]],'چکهای دریافتنی'!A:A,0)),0)</f>
        <v>0</v>
      </c>
      <c r="F122" s="11">
        <f>Table210[[#This Row],[حسابهای دریافتنی]]+Table210[[#This Row],[چکهای در جریان وصول]]+Table210[[#This Row],[چکهای نزد صندوق]]</f>
        <v>-1820000</v>
      </c>
      <c r="G122" s="12">
        <f>IFERROR(INDEX('مانده سوفاله'!F:F,MATCH(Table210[[#This Row],[كد تفصيلي]],'مانده سوفاله'!A:A,0)),0)</f>
        <v>0</v>
      </c>
    </row>
    <row r="123" spans="1:7" ht="27" customHeight="1" x14ac:dyDescent="0.35">
      <c r="A123" s="26">
        <v>30174</v>
      </c>
      <c r="B123" s="56" t="s">
        <v>327</v>
      </c>
      <c r="C123" s="10">
        <f>IFERROR(INDEX('حسابهای دریافتنی'!H:H,MATCH(Table210[[#This Row],[كد تفصيلي]],'حسابهای دریافتنی'!A:A,0)),0)</f>
        <v>-5000</v>
      </c>
      <c r="D123" s="11">
        <f>IFERROR(INDEX('درجریان وصول'!F:F,MATCH(Table210[[#This Row],[كد تفصيلي]],'درجریان وصول'!A:A,0)),0)</f>
        <v>0</v>
      </c>
      <c r="E123" s="11">
        <f>IFERROR(INDEX('چکهای دریافتنی'!F:F,MATCH(Table210[[#This Row],[كد تفصيلي]],'چکهای دریافتنی'!A:A,0)),0)</f>
        <v>0</v>
      </c>
      <c r="F123" s="11">
        <f>Table210[[#This Row],[حسابهای دریافتنی]]+Table210[[#This Row],[چکهای در جریان وصول]]+Table210[[#This Row],[چکهای نزد صندوق]]</f>
        <v>-5000</v>
      </c>
      <c r="G123" s="12">
        <f>IFERROR(INDEX('مانده سوفاله'!F:F,MATCH(Table210[[#This Row],[كد تفصيلي]],'مانده سوفاله'!A:A,0)),0)</f>
        <v>0</v>
      </c>
    </row>
    <row r="124" spans="1:7" ht="27" customHeight="1" x14ac:dyDescent="0.35">
      <c r="A124" s="26">
        <v>30128</v>
      </c>
      <c r="B124" s="56" t="s">
        <v>212</v>
      </c>
      <c r="C124" s="10">
        <f>IFERROR(INDEX('حسابهای دریافتنی'!H:H,MATCH(Table210[[#This Row],[كد تفصيلي]],'حسابهای دریافتنی'!A:A,0)),0)</f>
        <v>-2451320</v>
      </c>
      <c r="D124" s="11">
        <f>IFERROR(INDEX('درجریان وصول'!F:F,MATCH(Table210[[#This Row],[كد تفصيلي]],'درجریان وصول'!A:A,0)),0)</f>
        <v>0</v>
      </c>
      <c r="E124" s="11">
        <f>IFERROR(INDEX('چکهای دریافتنی'!F:F,MATCH(Table210[[#This Row],[كد تفصيلي]],'چکهای دریافتنی'!A:A,0)),0)</f>
        <v>0</v>
      </c>
      <c r="F124" s="11">
        <f>Table210[[#This Row],[حسابهای دریافتنی]]+Table210[[#This Row],[چکهای در جریان وصول]]+Table210[[#This Row],[چکهای نزد صندوق]]</f>
        <v>-2451320</v>
      </c>
      <c r="G124" s="12">
        <f>IFERROR(INDEX('مانده سوفاله'!F:F,MATCH(Table210[[#This Row],[كد تفصيلي]],'مانده سوفاله'!A:A,0)),0)</f>
        <v>0</v>
      </c>
    </row>
    <row r="125" spans="1:7" ht="27" customHeight="1" x14ac:dyDescent="0.35">
      <c r="A125" s="26">
        <v>30015</v>
      </c>
      <c r="B125" s="56" t="s">
        <v>64</v>
      </c>
      <c r="C125" s="10">
        <f>IFERROR(INDEX('حسابهای دریافتنی'!H:H,MATCH(Table210[[#This Row],[كد تفصيلي]],'حسابهای دریافتنی'!A:A,0)),0)</f>
        <v>-3105895</v>
      </c>
      <c r="D125" s="11">
        <f>IFERROR(INDEX('درجریان وصول'!F:F,MATCH(Table210[[#This Row],[كد تفصيلي]],'درجریان وصول'!A:A,0)),0)</f>
        <v>0</v>
      </c>
      <c r="E125" s="11">
        <f>IFERROR(INDEX('چکهای دریافتنی'!F:F,MATCH(Table210[[#This Row],[كد تفصيلي]],'چکهای دریافتنی'!A:A,0)),0)</f>
        <v>0</v>
      </c>
      <c r="F125" s="11">
        <f>Table210[[#This Row],[حسابهای دریافتنی]]+Table210[[#This Row],[چکهای در جریان وصول]]+Table210[[#This Row],[چکهای نزد صندوق]]</f>
        <v>-3105895</v>
      </c>
      <c r="G125" s="12">
        <f>IFERROR(INDEX('مانده سوفاله'!F:F,MATCH(Table210[[#This Row],[كد تفصيلي]],'مانده سوفاله'!A:A,0)),0)</f>
        <v>0</v>
      </c>
    </row>
    <row r="126" spans="1:7" ht="27" customHeight="1" x14ac:dyDescent="0.35">
      <c r="A126" s="26">
        <v>30110</v>
      </c>
      <c r="B126" s="56" t="s">
        <v>200</v>
      </c>
      <c r="C126" s="10">
        <f>IFERROR(INDEX('حسابهای دریافتنی'!H:H,MATCH(Table210[[#This Row],[كد تفصيلي]],'حسابهای دریافتنی'!A:A,0)),0)</f>
        <v>-3492360</v>
      </c>
      <c r="D126" s="11">
        <f>IFERROR(INDEX('درجریان وصول'!F:F,MATCH(Table210[[#This Row],[كد تفصيلي]],'درجریان وصول'!A:A,0)),0)</f>
        <v>0</v>
      </c>
      <c r="E126" s="11">
        <f>IFERROR(INDEX('چکهای دریافتنی'!F:F,MATCH(Table210[[#This Row],[كد تفصيلي]],'چکهای دریافتنی'!A:A,0)),0)</f>
        <v>0</v>
      </c>
      <c r="F126" s="11">
        <f>Table210[[#This Row],[حسابهای دریافتنی]]+Table210[[#This Row],[چکهای در جریان وصول]]+Table210[[#This Row],[چکهای نزد صندوق]]</f>
        <v>-3492360</v>
      </c>
      <c r="G126" s="12">
        <f>IFERROR(INDEX('مانده سوفاله'!F:F,MATCH(Table210[[#This Row],[كد تفصيلي]],'مانده سوفاله'!A:A,0)),0)</f>
        <v>0</v>
      </c>
    </row>
    <row r="127" spans="1:7" ht="27" customHeight="1" x14ac:dyDescent="0.35">
      <c r="A127" s="26">
        <v>10049</v>
      </c>
      <c r="B127" s="56" t="s">
        <v>157</v>
      </c>
      <c r="C127" s="10">
        <f>IFERROR(INDEX('حسابهای دریافتنی'!H:H,MATCH(Table210[[#This Row],[كد تفصيلي]],'حسابهای دریافتنی'!A:A,0)),0)</f>
        <v>-32909500</v>
      </c>
      <c r="D127" s="11">
        <f>IFERROR(INDEX('درجریان وصول'!F:F,MATCH(Table210[[#This Row],[كد تفصيلي]],'درجریان وصول'!A:A,0)),0)</f>
        <v>0</v>
      </c>
      <c r="E127" s="11">
        <f>IFERROR(INDEX('چکهای دریافتنی'!F:F,MATCH(Table210[[#This Row],[كد تفصيلي]],'چکهای دریافتنی'!A:A,0)),0)</f>
        <v>0</v>
      </c>
      <c r="F127" s="11">
        <f>Table210[[#This Row],[حسابهای دریافتنی]]+Table210[[#This Row],[چکهای در جریان وصول]]+Table210[[#This Row],[چکهای نزد صندوق]]</f>
        <v>-32909500</v>
      </c>
      <c r="G127" s="12">
        <f>IFERROR(INDEX('مانده سوفاله'!F:F,MATCH(Table210[[#This Row],[كد تفصيلي]],'مانده سوفاله'!A:A,0)),0)</f>
        <v>0</v>
      </c>
    </row>
    <row r="128" spans="1:7" ht="27" customHeight="1" x14ac:dyDescent="0.35">
      <c r="A128" s="26">
        <v>10015</v>
      </c>
      <c r="B128" s="56" t="s">
        <v>22</v>
      </c>
      <c r="C128" s="10">
        <f>IFERROR(INDEX('حسابهای دریافتنی'!H:H,MATCH(Table210[[#This Row],[كد تفصيلي]],'حسابهای دریافتنی'!A:A,0)),0)</f>
        <v>-4735000</v>
      </c>
      <c r="D128" s="11">
        <f>IFERROR(INDEX('درجریان وصول'!F:F,MATCH(Table210[[#This Row],[كد تفصيلي]],'درجریان وصول'!A:A,0)),0)</f>
        <v>0</v>
      </c>
      <c r="E128" s="11">
        <f>IFERROR(INDEX('چکهای دریافتنی'!F:F,MATCH(Table210[[#This Row],[كد تفصيلي]],'چکهای دریافتنی'!A:A,0)),0)</f>
        <v>0</v>
      </c>
      <c r="F128" s="11">
        <f>Table210[[#This Row],[حسابهای دریافتنی]]+Table210[[#This Row],[چکهای در جریان وصول]]+Table210[[#This Row],[چکهای نزد صندوق]]</f>
        <v>-4735000</v>
      </c>
      <c r="G128" s="12">
        <f>IFERROR(INDEX('مانده سوفاله'!F:F,MATCH(Table210[[#This Row],[كد تفصيلي]],'مانده سوفاله'!A:A,0)),0)</f>
        <v>12</v>
      </c>
    </row>
    <row r="129" spans="1:7" customFormat="1" ht="27" customHeight="1" x14ac:dyDescent="0.35">
      <c r="A129" s="53">
        <v>30023</v>
      </c>
      <c r="B129" s="56" t="s">
        <v>71</v>
      </c>
      <c r="C129" s="10">
        <f>IFERROR(INDEX('حسابهای دریافتنی'!H:H,MATCH(Table210[[#This Row],[كد تفصيلي]],'حسابهای دریافتنی'!A:A,0)),0)</f>
        <v>-5793600</v>
      </c>
      <c r="D129" s="11">
        <f>IFERROR(INDEX('درجریان وصول'!F:F,MATCH(Table210[[#This Row],[كد تفصيلي]],'درجریان وصول'!A:A,0)),0)</f>
        <v>0</v>
      </c>
      <c r="E129" s="11">
        <f>IFERROR(INDEX('چکهای دریافتنی'!F:F,MATCH(Table210[[#This Row],[كد تفصيلي]],'چکهای دریافتنی'!A:A,0)),0)</f>
        <v>0</v>
      </c>
      <c r="F129" s="11">
        <f>Table210[[#This Row],[حسابهای دریافتنی]]+Table210[[#This Row],[چکهای در جریان وصول]]+Table210[[#This Row],[چکهای نزد صندوق]]</f>
        <v>-5793600</v>
      </c>
      <c r="G129" s="12">
        <f>IFERROR(INDEX('مانده سوفاله'!F:F,MATCH(Table210[[#This Row],[كد تفصيلي]],'مانده سوفاله'!A:A,0)),0)</f>
        <v>0</v>
      </c>
    </row>
    <row r="130" spans="1:7" customFormat="1" ht="27" customHeight="1" x14ac:dyDescent="0.35">
      <c r="A130" s="53">
        <v>10091</v>
      </c>
      <c r="B130" s="56" t="s">
        <v>258</v>
      </c>
      <c r="C130" s="10">
        <f>IFERROR(INDEX('حسابهای دریافتنی'!H:H,MATCH(Table210[[#This Row],[كد تفصيلي]],'حسابهای دریافتنی'!A:A,0)),0)</f>
        <v>59321500</v>
      </c>
      <c r="D130" s="11">
        <f>IFERROR(INDEX('درجریان وصول'!F:F,MATCH(Table210[[#This Row],[كد تفصيلي]],'درجریان وصول'!A:A,0)),0)</f>
        <v>0</v>
      </c>
      <c r="E130" s="11">
        <f>IFERROR(INDEX('چکهای دریافتنی'!F:F,MATCH(Table210[[#This Row],[كد تفصيلي]],'چکهای دریافتنی'!A:A,0)),0)</f>
        <v>0</v>
      </c>
      <c r="F130" s="11">
        <f>Table210[[#This Row],[حسابهای دریافتنی]]+Table210[[#This Row],[چکهای در جریان وصول]]+Table210[[#This Row],[چکهای نزد صندوق]]</f>
        <v>59321500</v>
      </c>
      <c r="G130" s="12">
        <f>IFERROR(INDEX('مانده سوفاله'!F:F,MATCH(Table210[[#This Row],[كد تفصيلي]],'مانده سوفاله'!A:A,0)),0)</f>
        <v>0</v>
      </c>
    </row>
    <row r="131" spans="1:7" customFormat="1" ht="27" customHeight="1" x14ac:dyDescent="0.35">
      <c r="A131" s="54">
        <v>10088</v>
      </c>
      <c r="B131" s="55" t="s">
        <v>254</v>
      </c>
      <c r="C131" s="10">
        <f>IFERROR(INDEX('حسابهای دریافتنی'!H:H,MATCH(Table210[[#This Row],[كد تفصيلي]],'حسابهای دریافتنی'!A:A,0)),0)</f>
        <v>113500</v>
      </c>
      <c r="D131" s="11">
        <f>IFERROR(INDEX('درجریان وصول'!F:F,MATCH(Table210[[#This Row],[كد تفصيلي]],'درجریان وصول'!A:A,0)),0)</f>
        <v>0</v>
      </c>
      <c r="E131" s="11">
        <f>IFERROR(INDEX('چکهای دریافتنی'!F:F,MATCH(Table210[[#This Row],[كد تفصيلي]],'چکهای دریافتنی'!A:A,0)),0)</f>
        <v>0</v>
      </c>
      <c r="F131" s="11">
        <f>Table210[[#This Row],[حسابهای دریافتنی]]+Table210[[#This Row],[چکهای در جریان وصول]]+Table210[[#This Row],[چکهای نزد صندوق]]</f>
        <v>113500</v>
      </c>
      <c r="G131" s="12">
        <f>IFERROR(INDEX('مانده سوفاله'!F:F,MATCH(Table210[[#This Row],[كد تفصيلي]],'مانده سوفاله'!A:A,0)),0)</f>
        <v>0</v>
      </c>
    </row>
    <row r="132" spans="1:7" customFormat="1" ht="27" customHeight="1" x14ac:dyDescent="0.35">
      <c r="A132" s="53">
        <v>30176</v>
      </c>
      <c r="B132" s="56" t="s">
        <v>332</v>
      </c>
      <c r="C132" s="10">
        <f>IFERROR(INDEX('حسابهای دریافتنی'!H:H,MATCH(Table210[[#This Row],[كد تفصيلي]],'حسابهای دریافتنی'!A:A,0)),0)</f>
        <v>-7540075</v>
      </c>
      <c r="D132" s="11">
        <f>IFERROR(INDEX('درجریان وصول'!F:F,MATCH(Table210[[#This Row],[كد تفصيلي]],'درجریان وصول'!A:A,0)),0)</f>
        <v>0</v>
      </c>
      <c r="E132" s="11">
        <f>IFERROR(INDEX('چکهای دریافتنی'!F:F,MATCH(Table210[[#This Row],[كد تفصيلي]],'چکهای دریافتنی'!A:A,0)),0)</f>
        <v>0</v>
      </c>
      <c r="F132" s="11">
        <f>Table210[[#This Row],[حسابهای دریافتنی]]+Table210[[#This Row],[چکهای در جریان وصول]]+Table210[[#This Row],[چکهای نزد صندوق]]</f>
        <v>-7540075</v>
      </c>
      <c r="G132" s="12">
        <f>IFERROR(INDEX('مانده سوفاله'!F:F,MATCH(Table210[[#This Row],[كد تفصيلي]],'مانده سوفاله'!A:A,0)),0)</f>
        <v>0</v>
      </c>
    </row>
    <row r="133" spans="1:7" customFormat="1" ht="27" customHeight="1" x14ac:dyDescent="0.35">
      <c r="A133" s="53">
        <v>10106</v>
      </c>
      <c r="B133" s="56" t="s">
        <v>298</v>
      </c>
      <c r="C133" s="10">
        <f>IFERROR(INDEX('حسابهای دریافتنی'!H:H,MATCH(Table210[[#This Row],[كد تفصيلي]],'حسابهای دریافتنی'!A:A,0)),0)</f>
        <v>-9134000</v>
      </c>
      <c r="D133" s="11">
        <f>IFERROR(INDEX('درجریان وصول'!F:F,MATCH(Table210[[#This Row],[كد تفصيلي]],'درجریان وصول'!A:A,0)),0)</f>
        <v>0</v>
      </c>
      <c r="E133" s="11">
        <f>IFERROR(INDEX('چکهای دریافتنی'!F:F,MATCH(Table210[[#This Row],[كد تفصيلي]],'چکهای دریافتنی'!A:A,0)),0)</f>
        <v>0</v>
      </c>
      <c r="F133" s="11">
        <f>Table210[[#This Row],[حسابهای دریافتنی]]+Table210[[#This Row],[چکهای در جریان وصول]]+Table210[[#This Row],[چکهای نزد صندوق]]</f>
        <v>-9134000</v>
      </c>
      <c r="G133" s="12">
        <f>IFERROR(INDEX('مانده سوفاله'!F:F,MATCH(Table210[[#This Row],[كد تفصيلي]],'مانده سوفاله'!A:A,0)),0)</f>
        <v>0</v>
      </c>
    </row>
    <row r="134" spans="1:7" customFormat="1" ht="27" customHeight="1" x14ac:dyDescent="0.35">
      <c r="A134" s="54">
        <v>10102</v>
      </c>
      <c r="B134" s="55" t="s">
        <v>282</v>
      </c>
      <c r="C134" s="10">
        <f>IFERROR(INDEX('حسابهای دریافتنی'!H:H,MATCH(Table210[[#This Row],[كد تفصيلي]],'حسابهای دریافتنی'!A:A,0)),0)</f>
        <v>-10374000</v>
      </c>
      <c r="D134" s="11">
        <f>IFERROR(INDEX('درجریان وصول'!F:F,MATCH(Table210[[#This Row],[كد تفصيلي]],'درجریان وصول'!A:A,0)),0)</f>
        <v>0</v>
      </c>
      <c r="E134" s="11">
        <f>IFERROR(INDEX('چکهای دریافتنی'!F:F,MATCH(Table210[[#This Row],[كد تفصيلي]],'چکهای دریافتنی'!A:A,0)),0)</f>
        <v>0</v>
      </c>
      <c r="F134" s="11">
        <f>Table210[[#This Row],[حسابهای دریافتنی]]+Table210[[#This Row],[چکهای در جریان وصول]]+Table210[[#This Row],[چکهای نزد صندوق]]</f>
        <v>-10374000</v>
      </c>
      <c r="G134" s="12">
        <f>IFERROR(INDEX('مانده سوفاله'!F:F,MATCH(Table210[[#This Row],[كد تفصيلي]],'مانده سوفاله'!A:A,0)),0)</f>
        <v>0</v>
      </c>
    </row>
    <row r="135" spans="1:7" customFormat="1" ht="27" customHeight="1" x14ac:dyDescent="0.35">
      <c r="A135" s="53">
        <v>30189</v>
      </c>
      <c r="B135" s="56" t="s">
        <v>458</v>
      </c>
      <c r="C135" s="10">
        <f>IFERROR(INDEX('حسابهای دریافتنی'!H:H,MATCH(Table210[[#This Row],[كد تفصيلي]],'حسابهای دریافتنی'!A:A,0)),0)</f>
        <v>20776490</v>
      </c>
      <c r="D135" s="11">
        <f>IFERROR(INDEX('درجریان وصول'!F:F,MATCH(Table210[[#This Row],[كد تفصيلي]],'درجریان وصول'!A:A,0)),0)</f>
        <v>0</v>
      </c>
      <c r="E135" s="11">
        <f>IFERROR(INDEX('چکهای دریافتنی'!F:F,MATCH(Table210[[#This Row],[كد تفصيلي]],'چکهای دریافتنی'!A:A,0)),0)</f>
        <v>0</v>
      </c>
      <c r="F135" s="11">
        <f>Table210[[#This Row],[حسابهای دریافتنی]]+Table210[[#This Row],[چکهای در جریان وصول]]+Table210[[#This Row],[چکهای نزد صندوق]]</f>
        <v>20776490</v>
      </c>
      <c r="G135" s="12">
        <f>IFERROR(INDEX('مانده سوفاله'!F:F,MATCH(Table210[[#This Row],[كد تفصيلي]],'مانده سوفاله'!A:A,0)),0)</f>
        <v>0</v>
      </c>
    </row>
    <row r="136" spans="1:7" customFormat="1" ht="27" customHeight="1" x14ac:dyDescent="0.35">
      <c r="A136" s="54">
        <v>10058</v>
      </c>
      <c r="B136" s="55" t="s">
        <v>173</v>
      </c>
      <c r="C136" s="10">
        <f>IFERROR(INDEX('حسابهای دریافتنی'!H:H,MATCH(Table210[[#This Row],[كد تفصيلي]],'حسابهای دریافتنی'!A:A,0)),0)</f>
        <v>-13650000</v>
      </c>
      <c r="D136" s="11">
        <f>IFERROR(INDEX('درجریان وصول'!F:F,MATCH(Table210[[#This Row],[كد تفصيلي]],'درجریان وصول'!A:A,0)),0)</f>
        <v>0</v>
      </c>
      <c r="E136" s="11">
        <f>IFERROR(INDEX('چکهای دریافتنی'!F:F,MATCH(Table210[[#This Row],[كد تفصيلي]],'چکهای دریافتنی'!A:A,0)),0)</f>
        <v>0</v>
      </c>
      <c r="F136" s="11">
        <f>Table210[[#This Row],[حسابهای دریافتنی]]+Table210[[#This Row],[چکهای در جریان وصول]]+Table210[[#This Row],[چکهای نزد صندوق]]</f>
        <v>-13650000</v>
      </c>
      <c r="G136" s="12">
        <f>IFERROR(INDEX('مانده سوفاله'!F:F,MATCH(Table210[[#This Row],[كد تفصيلي]],'مانده سوفاله'!A:A,0)),0)</f>
        <v>0</v>
      </c>
    </row>
    <row r="137" spans="1:7" customFormat="1" ht="27" customHeight="1" x14ac:dyDescent="0.35">
      <c r="A137" s="53">
        <v>10126</v>
      </c>
      <c r="B137" s="56" t="s">
        <v>370</v>
      </c>
      <c r="C137" s="10">
        <f>IFERROR(INDEX('حسابهای دریافتنی'!H:H,MATCH(Table210[[#This Row],[كد تفصيلي]],'حسابهای دریافتنی'!A:A,0)),0)</f>
        <v>12165000</v>
      </c>
      <c r="D137" s="11">
        <f>IFERROR(INDEX('درجریان وصول'!F:F,MATCH(Table210[[#This Row],[كد تفصيلي]],'درجریان وصول'!A:A,0)),0)</f>
        <v>0</v>
      </c>
      <c r="E137" s="11">
        <f>IFERROR(INDEX('چکهای دریافتنی'!F:F,MATCH(Table210[[#This Row],[كد تفصيلي]],'چکهای دریافتنی'!A:A,0)),0)</f>
        <v>0</v>
      </c>
      <c r="F137" s="11">
        <f>Table210[[#This Row],[حسابهای دریافتنی]]+Table210[[#This Row],[چکهای در جریان وصول]]+Table210[[#This Row],[چکهای نزد صندوق]]</f>
        <v>12165000</v>
      </c>
      <c r="G137" s="12">
        <f>IFERROR(INDEX('مانده سوفاله'!F:F,MATCH(Table210[[#This Row],[كد تفصيلي]],'مانده سوفاله'!A:A,0)),0)</f>
        <v>0</v>
      </c>
    </row>
    <row r="138" spans="1:7" customFormat="1" ht="27" customHeight="1" x14ac:dyDescent="0.35">
      <c r="A138" s="53">
        <v>30082</v>
      </c>
      <c r="B138" s="56" t="s">
        <v>127</v>
      </c>
      <c r="C138" s="10">
        <f>IFERROR(INDEX('حسابهای دریافتنی'!H:H,MATCH(Table210[[#This Row],[كد تفصيلي]],'حسابهای دریافتنی'!A:A,0)),0)</f>
        <v>-15037000</v>
      </c>
      <c r="D138" s="11">
        <f>IFERROR(INDEX('درجریان وصول'!F:F,MATCH(Table210[[#This Row],[كد تفصيلي]],'درجریان وصول'!A:A,0)),0)</f>
        <v>0</v>
      </c>
      <c r="E138" s="11">
        <f>IFERROR(INDEX('چکهای دریافتنی'!F:F,MATCH(Table210[[#This Row],[كد تفصيلي]],'چکهای دریافتنی'!A:A,0)),0)</f>
        <v>0</v>
      </c>
      <c r="F138" s="11">
        <f>Table210[[#This Row],[حسابهای دریافتنی]]+Table210[[#This Row],[چکهای در جریان وصول]]+Table210[[#This Row],[چکهای نزد صندوق]]</f>
        <v>-15037000</v>
      </c>
      <c r="G138" s="12">
        <f>IFERROR(INDEX('مانده سوفاله'!F:F,MATCH(Table210[[#This Row],[كد تفصيلي]],'مانده سوفاله'!A:A,0)),0)</f>
        <v>-16</v>
      </c>
    </row>
    <row r="139" spans="1:7" customFormat="1" ht="27" customHeight="1" x14ac:dyDescent="0.35">
      <c r="A139" s="54">
        <v>30034</v>
      </c>
      <c r="B139" s="55" t="s">
        <v>81</v>
      </c>
      <c r="C139" s="10">
        <f>IFERROR(INDEX('حسابهای دریافتنی'!H:H,MATCH(Table210[[#This Row],[كد تفصيلي]],'حسابهای دریافتنی'!A:A,0)),0)</f>
        <v>388329200</v>
      </c>
      <c r="D139" s="11">
        <f>IFERROR(INDEX('درجریان وصول'!F:F,MATCH(Table210[[#This Row],[كد تفصيلي]],'درجریان وصول'!A:A,0)),0)</f>
        <v>0</v>
      </c>
      <c r="E139" s="11">
        <f>IFERROR(INDEX('چکهای دریافتنی'!F:F,MATCH(Table210[[#This Row],[كد تفصيلي]],'چکهای دریافتنی'!A:A,0)),0)</f>
        <v>0</v>
      </c>
      <c r="F139" s="11">
        <f>Table210[[#This Row],[حسابهای دریافتنی]]+Table210[[#This Row],[چکهای در جریان وصول]]+Table210[[#This Row],[چکهای نزد صندوق]]</f>
        <v>388329200</v>
      </c>
      <c r="G139" s="12">
        <f>IFERROR(INDEX('مانده سوفاله'!F:F,MATCH(Table210[[#This Row],[كد تفصيلي]],'مانده سوفاله'!A:A,0)),0)</f>
        <v>2886</v>
      </c>
    </row>
    <row r="140" spans="1:7" customFormat="1" ht="27" customHeight="1" x14ac:dyDescent="0.35">
      <c r="A140" s="54">
        <v>30042</v>
      </c>
      <c r="B140" s="55" t="s">
        <v>89</v>
      </c>
      <c r="C140" s="10">
        <f>IFERROR(INDEX('حسابهای دریافتنی'!H:H,MATCH(Table210[[#This Row],[كد تفصيلي]],'حسابهای دریافتنی'!A:A,0)),0)</f>
        <v>-18303540</v>
      </c>
      <c r="D140" s="11">
        <f>IFERROR(INDEX('درجریان وصول'!F:F,MATCH(Table210[[#This Row],[كد تفصيلي]],'درجریان وصول'!A:A,0)),0)</f>
        <v>0</v>
      </c>
      <c r="E140" s="11">
        <f>IFERROR(INDEX('چکهای دریافتنی'!F:F,MATCH(Table210[[#This Row],[كد تفصيلي]],'چکهای دریافتنی'!A:A,0)),0)</f>
        <v>0</v>
      </c>
      <c r="F140" s="11">
        <f>Table210[[#This Row],[حسابهای دریافتنی]]+Table210[[#This Row],[چکهای در جریان وصول]]+Table210[[#This Row],[چکهای نزد صندوق]]</f>
        <v>-18303540</v>
      </c>
      <c r="G140" s="12">
        <f>IFERROR(INDEX('مانده سوفاله'!F:F,MATCH(Table210[[#This Row],[كد تفصيلي]],'مانده سوفاله'!A:A,0)),0)</f>
        <v>0</v>
      </c>
    </row>
    <row r="141" spans="1:7" customFormat="1" ht="27" customHeight="1" x14ac:dyDescent="0.35">
      <c r="A141" s="54">
        <v>30022</v>
      </c>
      <c r="B141" s="55" t="s">
        <v>70</v>
      </c>
      <c r="C141" s="10">
        <f>IFERROR(INDEX('حسابهای دریافتنی'!H:H,MATCH(Table210[[#This Row],[كد تفصيلي]],'حسابهای دریافتنی'!A:A,0)),0)</f>
        <v>2933770530</v>
      </c>
      <c r="D141" s="11">
        <f>IFERROR(INDEX('درجریان وصول'!F:F,MATCH(Table210[[#This Row],[كد تفصيلي]],'درجریان وصول'!A:A,0)),0)</f>
        <v>0</v>
      </c>
      <c r="E141" s="11">
        <f>IFERROR(INDEX('چکهای دریافتنی'!F:F,MATCH(Table210[[#This Row],[كد تفصيلي]],'چکهای دریافتنی'!A:A,0)),0)</f>
        <v>0</v>
      </c>
      <c r="F141" s="11">
        <f>Table210[[#This Row],[حسابهای دریافتنی]]+Table210[[#This Row],[چکهای در جریان وصول]]+Table210[[#This Row],[چکهای نزد صندوق]]</f>
        <v>2933770530</v>
      </c>
      <c r="G141" s="12">
        <f>IFERROR(INDEX('مانده سوفاله'!F:F,MATCH(Table210[[#This Row],[كد تفصيلي]],'مانده سوفاله'!A:A,0)),0)</f>
        <v>-14747</v>
      </c>
    </row>
    <row r="142" spans="1:7" customFormat="1" ht="27" customHeight="1" x14ac:dyDescent="0.35">
      <c r="A142" s="54">
        <v>10119</v>
      </c>
      <c r="B142" s="55" t="s">
        <v>333</v>
      </c>
      <c r="C142" s="10">
        <f>IFERROR(INDEX('حسابهای دریافتنی'!H:H,MATCH(Table210[[#This Row],[كد تفصيلي]],'حسابهای دریافتنی'!A:A,0)),0)</f>
        <v>-2592000</v>
      </c>
      <c r="D142" s="11">
        <f>IFERROR(INDEX('درجریان وصول'!F:F,MATCH(Table210[[#This Row],[كد تفصيلي]],'درجریان وصول'!A:A,0)),0)</f>
        <v>0</v>
      </c>
      <c r="E142" s="11">
        <f>IFERROR(INDEX('چکهای دریافتنی'!F:F,MATCH(Table210[[#This Row],[كد تفصيلي]],'چکهای دریافتنی'!A:A,0)),0)</f>
        <v>0</v>
      </c>
      <c r="F142" s="11">
        <f>Table210[[#This Row],[حسابهای دریافتنی]]+Table210[[#This Row],[چکهای در جریان وصول]]+Table210[[#This Row],[چکهای نزد صندوق]]</f>
        <v>-2592000</v>
      </c>
      <c r="G142" s="12">
        <f>IFERROR(INDEX('مانده سوفاله'!F:F,MATCH(Table210[[#This Row],[كد تفصيلي]],'مانده سوفاله'!A:A,0)),0)</f>
        <v>353</v>
      </c>
    </row>
    <row r="143" spans="1:7" customFormat="1" ht="27" customHeight="1" x14ac:dyDescent="0.35">
      <c r="A143" s="54">
        <v>30028</v>
      </c>
      <c r="B143" s="55" t="s">
        <v>76</v>
      </c>
      <c r="C143" s="10">
        <f>IFERROR(INDEX('حسابهای دریافتنی'!H:H,MATCH(Table210[[#This Row],[كد تفصيلي]],'حسابهای دریافتنی'!A:A,0)),0)</f>
        <v>-23665000</v>
      </c>
      <c r="D143" s="11">
        <f>IFERROR(INDEX('درجریان وصول'!F:F,MATCH(Table210[[#This Row],[كد تفصيلي]],'درجریان وصول'!A:A,0)),0)</f>
        <v>0</v>
      </c>
      <c r="E143" s="11">
        <f>IFERROR(INDEX('چکهای دریافتنی'!F:F,MATCH(Table210[[#This Row],[كد تفصيلي]],'چکهای دریافتنی'!A:A,0)),0)</f>
        <v>0</v>
      </c>
      <c r="F143" s="11">
        <f>Table210[[#This Row],[حسابهای دریافتنی]]+Table210[[#This Row],[چکهای در جریان وصول]]+Table210[[#This Row],[چکهای نزد صندوق]]</f>
        <v>-23665000</v>
      </c>
      <c r="G143" s="12">
        <f>IFERROR(INDEX('مانده سوفاله'!F:F,MATCH(Table210[[#This Row],[كد تفصيلي]],'مانده سوفاله'!A:A,0)),0)</f>
        <v>0</v>
      </c>
    </row>
    <row r="144" spans="1:7" customFormat="1" ht="27" customHeight="1" x14ac:dyDescent="0.35">
      <c r="A144" s="53">
        <v>30160</v>
      </c>
      <c r="B144" s="56" t="s">
        <v>296</v>
      </c>
      <c r="C144" s="10">
        <f>IFERROR(INDEX('حسابهای دریافتنی'!H:H,MATCH(Table210[[#This Row],[كد تفصيلي]],'حسابهای دریافتنی'!A:A,0)),0)</f>
        <v>0</v>
      </c>
      <c r="D144" s="11">
        <f>IFERROR(INDEX('درجریان وصول'!F:F,MATCH(Table210[[#This Row],[كد تفصيلي]],'درجریان وصول'!A:A,0)),0)</f>
        <v>0</v>
      </c>
      <c r="E144" s="11">
        <f>IFERROR(INDEX('چکهای دریافتنی'!F:F,MATCH(Table210[[#This Row],[كد تفصيلي]],'چکهای دریافتنی'!A:A,0)),0)</f>
        <v>0</v>
      </c>
      <c r="F144" s="11">
        <f>Table210[[#This Row],[حسابهای دریافتنی]]+Table210[[#This Row],[چکهای در جریان وصول]]+Table210[[#This Row],[چکهای نزد صندوق]]</f>
        <v>0</v>
      </c>
      <c r="G144" s="12">
        <f>IFERROR(INDEX('مانده سوفاله'!F:F,MATCH(Table210[[#This Row],[كد تفصيلي]],'مانده سوفاله'!A:A,0)),0)</f>
        <v>-425</v>
      </c>
    </row>
    <row r="145" spans="1:7" customFormat="1" ht="27" customHeight="1" x14ac:dyDescent="0.35">
      <c r="A145" s="54">
        <v>10084</v>
      </c>
      <c r="B145" s="55" t="s">
        <v>217</v>
      </c>
      <c r="C145" s="10">
        <f>IFERROR(INDEX('حسابهای دریافتنی'!H:H,MATCH(Table210[[#This Row],[كد تفصيلي]],'حسابهای دریافتنی'!A:A,0)),0)</f>
        <v>358092810</v>
      </c>
      <c r="D145" s="11">
        <f>IFERROR(INDEX('درجریان وصول'!F:F,MATCH(Table210[[#This Row],[كد تفصيلي]],'درجریان وصول'!A:A,0)),0)</f>
        <v>0</v>
      </c>
      <c r="E145" s="11">
        <f>IFERROR(INDEX('چکهای دریافتنی'!F:F,MATCH(Table210[[#This Row],[كد تفصيلي]],'چکهای دریافتنی'!A:A,0)),0)</f>
        <v>870000000</v>
      </c>
      <c r="F145" s="11">
        <f>Table210[[#This Row],[حسابهای دریافتنی]]+Table210[[#This Row],[چکهای در جریان وصول]]+Table210[[#This Row],[چکهای نزد صندوق]]</f>
        <v>1228092810</v>
      </c>
      <c r="G145" s="12">
        <f>IFERROR(INDEX('مانده سوفاله'!F:F,MATCH(Table210[[#This Row],[كد تفصيلي]],'مانده سوفاله'!A:A,0)),0)</f>
        <v>-1656</v>
      </c>
    </row>
    <row r="146" spans="1:7" customFormat="1" ht="27" customHeight="1" x14ac:dyDescent="0.35">
      <c r="A146" s="53">
        <v>30072</v>
      </c>
      <c r="B146" s="56" t="s">
        <v>117</v>
      </c>
      <c r="C146" s="10">
        <f>IFERROR(INDEX('حسابهای دریافتنی'!H:H,MATCH(Table210[[#This Row],[كد تفصيلي]],'حسابهای دریافتنی'!A:A,0)),0)</f>
        <v>-30178900</v>
      </c>
      <c r="D146" s="11">
        <f>IFERROR(INDEX('درجریان وصول'!F:F,MATCH(Table210[[#This Row],[كد تفصيلي]],'درجریان وصول'!A:A,0)),0)</f>
        <v>0</v>
      </c>
      <c r="E146" s="11">
        <f>IFERROR(INDEX('چکهای دریافتنی'!F:F,MATCH(Table210[[#This Row],[كد تفصيلي]],'چکهای دریافتنی'!A:A,0)),0)</f>
        <v>0</v>
      </c>
      <c r="F146" s="11">
        <f>Table210[[#This Row],[حسابهای دریافتنی]]+Table210[[#This Row],[چکهای در جریان وصول]]+Table210[[#This Row],[چکهای نزد صندوق]]</f>
        <v>-30178900</v>
      </c>
      <c r="G146" s="12">
        <f>IFERROR(INDEX('مانده سوفاله'!F:F,MATCH(Table210[[#This Row],[كد تفصيلي]],'مانده سوفاله'!A:A,0)),0)</f>
        <v>-79</v>
      </c>
    </row>
    <row r="147" spans="1:7" customFormat="1" ht="27" customHeight="1" x14ac:dyDescent="0.35">
      <c r="A147" s="53">
        <v>30182</v>
      </c>
      <c r="B147" s="56" t="s">
        <v>342</v>
      </c>
      <c r="C147" s="10">
        <f>IFERROR(INDEX('حسابهای دریافتنی'!H:H,MATCH(Table210[[#This Row],[كد تفصيلي]],'حسابهای دریافتنی'!A:A,0)),0)</f>
        <v>-528256400</v>
      </c>
      <c r="D147" s="11">
        <f>IFERROR(INDEX('درجریان وصول'!F:F,MATCH(Table210[[#This Row],[كد تفصيلي]],'درجریان وصول'!A:A,0)),0)</f>
        <v>0</v>
      </c>
      <c r="E147" s="11">
        <f>IFERROR(INDEX('چکهای دریافتنی'!F:F,MATCH(Table210[[#This Row],[كد تفصيلي]],'چکهای دریافتنی'!A:A,0)),0)</f>
        <v>0</v>
      </c>
      <c r="F147" s="11">
        <f>Table210[[#This Row],[حسابهای دریافتنی]]+Table210[[#This Row],[چکهای در جریان وصول]]+Table210[[#This Row],[چکهای نزد صندوق]]</f>
        <v>-528256400</v>
      </c>
      <c r="G147" s="12">
        <f>IFERROR(INDEX('مانده سوفاله'!F:F,MATCH(Table210[[#This Row],[كد تفصيلي]],'مانده سوفاله'!A:A,0)),0)</f>
        <v>0</v>
      </c>
    </row>
    <row r="148" spans="1:7" customFormat="1" ht="27" customHeight="1" x14ac:dyDescent="0.35">
      <c r="A148" s="54">
        <v>30000</v>
      </c>
      <c r="B148" s="55" t="s">
        <v>189</v>
      </c>
      <c r="C148" s="10">
        <f>IFERROR(INDEX('حسابهای دریافتنی'!H:H,MATCH(Table210[[#This Row],[كد تفصيلي]],'حسابهای دریافتنی'!A:A,0)),0)</f>
        <v>-55440000</v>
      </c>
      <c r="D148" s="11">
        <f>IFERROR(INDEX('درجریان وصول'!F:F,MATCH(Table210[[#This Row],[كد تفصيلي]],'درجریان وصول'!A:A,0)),0)</f>
        <v>0</v>
      </c>
      <c r="E148" s="11">
        <f>IFERROR(INDEX('چکهای دریافتنی'!F:F,MATCH(Table210[[#This Row],[كد تفصيلي]],'چکهای دریافتنی'!A:A,0)),0)</f>
        <v>0</v>
      </c>
      <c r="F148" s="11">
        <f>Table210[[#This Row],[حسابهای دریافتنی]]+Table210[[#This Row],[چکهای در جریان وصول]]+Table210[[#This Row],[چکهای نزد صندوق]]</f>
        <v>-55440000</v>
      </c>
      <c r="G148" s="12">
        <f>IFERROR(INDEX('مانده سوفاله'!F:F,MATCH(Table210[[#This Row],[كد تفصيلي]],'مانده سوفاله'!A:A,0)),0)</f>
        <v>0</v>
      </c>
    </row>
    <row r="149" spans="1:7" customFormat="1" ht="27" customHeight="1" x14ac:dyDescent="0.35">
      <c r="A149" s="54">
        <v>30133</v>
      </c>
      <c r="B149" s="55" t="s">
        <v>251</v>
      </c>
      <c r="C149" s="10">
        <f>IFERROR(INDEX('حسابهای دریافتنی'!H:H,MATCH(Table210[[#This Row],[كد تفصيلي]],'حسابهای دریافتنی'!A:A,0)),0)</f>
        <v>-66889500</v>
      </c>
      <c r="D149" s="11">
        <f>IFERROR(INDEX('درجریان وصول'!F:F,MATCH(Table210[[#This Row],[كد تفصيلي]],'درجریان وصول'!A:A,0)),0)</f>
        <v>0</v>
      </c>
      <c r="E149" s="11">
        <f>IFERROR(INDEX('چکهای دریافتنی'!F:F,MATCH(Table210[[#This Row],[كد تفصيلي]],'چکهای دریافتنی'!A:A,0)),0)</f>
        <v>0</v>
      </c>
      <c r="F149" s="11">
        <f>Table210[[#This Row],[حسابهای دریافتنی]]+Table210[[#This Row],[چکهای در جریان وصول]]+Table210[[#This Row],[چکهای نزد صندوق]]</f>
        <v>-66889500</v>
      </c>
      <c r="G149" s="12">
        <f>IFERROR(INDEX('مانده سوفاله'!F:F,MATCH(Table210[[#This Row],[كد تفصيلي]],'مانده سوفاله'!A:A,0)),0)</f>
        <v>0</v>
      </c>
    </row>
    <row r="150" spans="1:7" customFormat="1" ht="27" customHeight="1" x14ac:dyDescent="0.35">
      <c r="A150" s="53">
        <v>10089</v>
      </c>
      <c r="B150" s="56" t="s">
        <v>255</v>
      </c>
      <c r="C150" s="10">
        <f>IFERROR(INDEX('حسابهای دریافتنی'!H:H,MATCH(Table210[[#This Row],[كد تفصيلي]],'حسابهای دریافتنی'!A:A,0)),0)</f>
        <v>-143944000</v>
      </c>
      <c r="D150" s="11">
        <f>IFERROR(INDEX('درجریان وصول'!F:F,MATCH(Table210[[#This Row],[كد تفصيلي]],'درجریان وصول'!A:A,0)),0)</f>
        <v>0</v>
      </c>
      <c r="E150" s="11">
        <f>IFERROR(INDEX('چکهای دریافتنی'!F:F,MATCH(Table210[[#This Row],[كد تفصيلي]],'چکهای دریافتنی'!A:A,0)),0)</f>
        <v>0</v>
      </c>
      <c r="F150" s="11">
        <f>Table210[[#This Row],[حسابهای دریافتنی]]+Table210[[#This Row],[چکهای در جریان وصول]]+Table210[[#This Row],[چکهای نزد صندوق]]</f>
        <v>-143944000</v>
      </c>
      <c r="G150" s="12">
        <f>IFERROR(INDEX('مانده سوفاله'!F:F,MATCH(Table210[[#This Row],[كد تفصيلي]],'مانده سوفاله'!A:A,0)),0)</f>
        <v>-948</v>
      </c>
    </row>
    <row r="151" spans="1:7" customFormat="1" ht="27" customHeight="1" x14ac:dyDescent="0.35">
      <c r="A151" s="54">
        <v>30169</v>
      </c>
      <c r="B151" s="55" t="s">
        <v>318</v>
      </c>
      <c r="C151" s="10">
        <f>IFERROR(INDEX('حسابهای دریافتنی'!H:H,MATCH(Table210[[#This Row],[كد تفصيلي]],'حسابهای دریافتنی'!A:A,0)),0)</f>
        <v>-658993316</v>
      </c>
      <c r="D151" s="11">
        <f>IFERROR(INDEX('درجریان وصول'!F:F,MATCH(Table210[[#This Row],[كد تفصيلي]],'درجریان وصول'!A:A,0)),0)</f>
        <v>0</v>
      </c>
      <c r="E151" s="11">
        <f>IFERROR(INDEX('چکهای دریافتنی'!F:F,MATCH(Table210[[#This Row],[كد تفصيلي]],'چکهای دریافتنی'!A:A,0)),0)</f>
        <v>2085000000</v>
      </c>
      <c r="F151" s="11">
        <f>Table210[[#This Row],[حسابهای دریافتنی]]+Table210[[#This Row],[چکهای در جریان وصول]]+Table210[[#This Row],[چکهای نزد صندوق]]</f>
        <v>1426006684</v>
      </c>
      <c r="G151" s="12">
        <f>IFERROR(INDEX('مانده سوفاله'!F:F,MATCH(Table210[[#This Row],[كد تفصيلي]],'مانده سوفاله'!A:A,0)),0)</f>
        <v>0</v>
      </c>
    </row>
    <row r="152" spans="1:7" customFormat="1" ht="27" customHeight="1" x14ac:dyDescent="0.35">
      <c r="A152" s="54">
        <v>30016</v>
      </c>
      <c r="B152" s="55" t="s">
        <v>253</v>
      </c>
      <c r="C152" s="10">
        <f>IFERROR(INDEX('حسابهای دریافتنی'!H:H,MATCH(Table210[[#This Row],[كد تفصيلي]],'حسابهای دریافتنی'!A:A,0)),0)</f>
        <v>0</v>
      </c>
      <c r="D152" s="11">
        <f>IFERROR(INDEX('درجریان وصول'!F:F,MATCH(Table210[[#This Row],[كد تفصيلي]],'درجریان وصول'!A:A,0)),0)</f>
        <v>0</v>
      </c>
      <c r="E152" s="11">
        <f>IFERROR(INDEX('چکهای دریافتنی'!F:F,MATCH(Table210[[#This Row],[كد تفصيلي]],'چکهای دریافتنی'!A:A,0)),0)</f>
        <v>0</v>
      </c>
      <c r="F152" s="11">
        <f>Table210[[#This Row],[حسابهای دریافتنی]]+Table210[[#This Row],[چکهای در جریان وصول]]+Table210[[#This Row],[چکهای نزد صندوق]]</f>
        <v>0</v>
      </c>
      <c r="G152" s="12">
        <f>IFERROR(INDEX('مانده سوفاله'!F:F,MATCH(Table210[[#This Row],[كد تفصيلي]],'مانده سوفاله'!A:A,0)),0)</f>
        <v>0</v>
      </c>
    </row>
    <row r="153" spans="1:7" customFormat="1" ht="27" customHeight="1" x14ac:dyDescent="0.35">
      <c r="A153" s="53">
        <v>30001</v>
      </c>
      <c r="B153" s="56" t="s">
        <v>190</v>
      </c>
      <c r="C153" s="10">
        <f>IFERROR(INDEX('حسابهای دریافتنی'!H:H,MATCH(Table210[[#This Row],[كد تفصيلي]],'حسابهای دریافتنی'!A:A,0)),0)</f>
        <v>119647176</v>
      </c>
      <c r="D153" s="11">
        <f>IFERROR(INDEX('درجریان وصول'!F:F,MATCH(Table210[[#This Row],[كد تفصيلي]],'درجریان وصول'!A:A,0)),0)</f>
        <v>0</v>
      </c>
      <c r="E153" s="11">
        <f>IFERROR(INDEX('چکهای دریافتنی'!F:F,MATCH(Table210[[#This Row],[كد تفصيلي]],'چکهای دریافتنی'!A:A,0)),0)</f>
        <v>0</v>
      </c>
      <c r="F153" s="11">
        <f>Table210[[#This Row],[حسابهای دریافتنی]]+Table210[[#This Row],[چکهای در جریان وصول]]+Table210[[#This Row],[چکهای نزد صندوق]]</f>
        <v>119647176</v>
      </c>
      <c r="G153" s="12">
        <f>IFERROR(INDEX('مانده سوفاله'!F:F,MATCH(Table210[[#This Row],[كد تفصيلي]],'مانده سوفاله'!A:A,0)),0)</f>
        <v>123</v>
      </c>
    </row>
    <row r="154" spans="1:7" customFormat="1" ht="27" customHeight="1" x14ac:dyDescent="0.35">
      <c r="A154" s="53">
        <v>10079</v>
      </c>
      <c r="B154" s="56" t="s">
        <v>174</v>
      </c>
      <c r="C154" s="10">
        <f>IFERROR(INDEX('حسابهای دریافتنی'!H:H,MATCH(Table210[[#This Row],[كد تفصيلي]],'حسابهای دریافتنی'!A:A,0)),0)</f>
        <v>-226593500</v>
      </c>
      <c r="D154" s="11">
        <f>IFERROR(INDEX('درجریان وصول'!F:F,MATCH(Table210[[#This Row],[كد تفصيلي]],'درجریان وصول'!A:A,0)),0)</f>
        <v>0</v>
      </c>
      <c r="E154" s="11">
        <f>IFERROR(INDEX('چکهای دریافتنی'!F:F,MATCH(Table210[[#This Row],[كد تفصيلي]],'چکهای دریافتنی'!A:A,0)),0)</f>
        <v>0</v>
      </c>
      <c r="F154" s="11">
        <f>Table210[[#This Row],[حسابهای دریافتنی]]+Table210[[#This Row],[چکهای در جریان وصول]]+Table210[[#This Row],[چکهای نزد صندوق]]</f>
        <v>-226593500</v>
      </c>
      <c r="G154" s="12">
        <f>IFERROR(INDEX('مانده سوفاله'!F:F,MATCH(Table210[[#This Row],[كد تفصيلي]],'مانده سوفاله'!A:A,0)),0)</f>
        <v>0</v>
      </c>
    </row>
    <row r="155" spans="1:7" ht="27" customHeight="1" x14ac:dyDescent="0.35">
      <c r="A155" s="26">
        <v>10009</v>
      </c>
      <c r="B155" s="56" t="s">
        <v>16</v>
      </c>
      <c r="C155" s="10">
        <f>IFERROR(INDEX('حسابهای دریافتنی'!H:H,MATCH(Table210[[#This Row],[كد تفصيلي]],'حسابهای دریافتنی'!A:A,0)),0)</f>
        <v>-4260580000</v>
      </c>
      <c r="D155" s="11">
        <f>IFERROR(INDEX('درجریان وصول'!F:F,MATCH(Table210[[#This Row],[كد تفصيلي]],'درجریان وصول'!A:A,0)),0)</f>
        <v>0</v>
      </c>
      <c r="E155" s="11">
        <f>IFERROR(INDEX('چکهای دریافتنی'!F:F,MATCH(Table210[[#This Row],[كد تفصيلي]],'چکهای دریافتنی'!A:A,0)),0)</f>
        <v>1600000000</v>
      </c>
      <c r="F155" s="11">
        <f>Table210[[#This Row],[حسابهای دریافتنی]]+Table210[[#This Row],[چکهای در جریان وصول]]+Table210[[#This Row],[چکهای نزد صندوق]]</f>
        <v>-2660580000</v>
      </c>
      <c r="G155" s="12">
        <f>IFERROR(INDEX('مانده سوفاله'!F:F,MATCH(Table210[[#This Row],[كد تفصيلي]],'مانده سوفاله'!A:A,0)),0)</f>
        <v>9952</v>
      </c>
    </row>
    <row r="156" spans="1:7" ht="27" customHeight="1" x14ac:dyDescent="0.35">
      <c r="A156" s="27">
        <v>10056</v>
      </c>
      <c r="B156" s="55" t="s">
        <v>166</v>
      </c>
      <c r="C156" s="10">
        <f>IFERROR(INDEX('حسابهای دریافتنی'!H:H,MATCH(Table210[[#This Row],[كد تفصيلي]],'حسابهای دریافتنی'!A:A,0)),0)</f>
        <v>812653500</v>
      </c>
      <c r="D156" s="11">
        <f>IFERROR(INDEX('درجریان وصول'!F:F,MATCH(Table210[[#This Row],[كد تفصيلي]],'درجریان وصول'!A:A,0)),0)</f>
        <v>0</v>
      </c>
      <c r="E156" s="11">
        <f>IFERROR(INDEX('چکهای دریافتنی'!F:F,MATCH(Table210[[#This Row],[كد تفصيلي]],'چکهای دریافتنی'!A:A,0)),0)</f>
        <v>0</v>
      </c>
      <c r="F156" s="11">
        <f>Table210[[#This Row],[حسابهای دریافتنی]]+Table210[[#This Row],[چکهای در جریان وصول]]+Table210[[#This Row],[چکهای نزد صندوق]]</f>
        <v>812653500</v>
      </c>
      <c r="G156" s="12">
        <f>IFERROR(INDEX('مانده سوفاله'!F:F,MATCH(Table210[[#This Row],[كد تفصيلي]],'مانده سوفاله'!A:A,0)),0)</f>
        <v>0</v>
      </c>
    </row>
    <row r="157" spans="1:7" ht="27" customHeight="1" x14ac:dyDescent="0.35">
      <c r="A157" s="26">
        <v>30156</v>
      </c>
      <c r="B157" s="56" t="s">
        <v>290</v>
      </c>
      <c r="C157" s="10">
        <f>IFERROR(INDEX('حسابهای دریافتنی'!H:H,MATCH(Table210[[#This Row],[كد تفصيلي]],'حسابهای دریافتنی'!A:A,0)),0)</f>
        <v>-180917500</v>
      </c>
      <c r="D157" s="11">
        <f>IFERROR(INDEX('درجریان وصول'!F:F,MATCH(Table210[[#This Row],[كد تفصيلي]],'درجریان وصول'!A:A,0)),0)</f>
        <v>0</v>
      </c>
      <c r="E157" s="11">
        <f>IFERROR(INDEX('چکهای دریافتنی'!F:F,MATCH(Table210[[#This Row],[كد تفصيلي]],'چکهای دریافتنی'!A:A,0)),0)</f>
        <v>0</v>
      </c>
      <c r="F157" s="11">
        <f>Table210[[#This Row],[حسابهای دریافتنی]]+Table210[[#This Row],[چکهای در جریان وصول]]+Table210[[#This Row],[چکهای نزد صندوق]]</f>
        <v>-180917500</v>
      </c>
      <c r="G157" s="12">
        <f>IFERROR(INDEX('مانده سوفاله'!F:F,MATCH(Table210[[#This Row],[كد تفصيلي]],'مانده سوفاله'!A:A,0)),0)</f>
        <v>0</v>
      </c>
    </row>
    <row r="158" spans="1:7" ht="27" customHeight="1" x14ac:dyDescent="0.35">
      <c r="A158" s="26">
        <v>10029</v>
      </c>
      <c r="B158" s="56" t="s">
        <v>35</v>
      </c>
      <c r="C158" s="10">
        <f>IFERROR(INDEX('حسابهای دریافتنی'!H:H,MATCH(Table210[[#This Row],[كد تفصيلي]],'حسابهای دریافتنی'!A:A,0)),0)</f>
        <v>-1038298620</v>
      </c>
      <c r="D158" s="11">
        <f>IFERROR(INDEX('درجریان وصول'!F:F,MATCH(Table210[[#This Row],[كد تفصيلي]],'درجریان وصول'!A:A,0)),0)</f>
        <v>0</v>
      </c>
      <c r="E158" s="11">
        <f>IFERROR(INDEX('چکهای دریافتنی'!F:F,MATCH(Table210[[#This Row],[كد تفصيلي]],'چکهای دریافتنی'!A:A,0)),0)</f>
        <v>2019000000</v>
      </c>
      <c r="F158" s="11">
        <f>Table210[[#This Row],[حسابهای دریافتنی]]+Table210[[#This Row],[چکهای در جریان وصول]]+Table210[[#This Row],[چکهای نزد صندوق]]</f>
        <v>980701380</v>
      </c>
      <c r="G158" s="12">
        <f>IFERROR(INDEX('مانده سوفاله'!F:F,MATCH(Table210[[#This Row],[كد تفصيلي]],'مانده سوفاله'!A:A,0)),0)</f>
        <v>6603</v>
      </c>
    </row>
    <row r="159" spans="1:7" ht="27" customHeight="1" x14ac:dyDescent="0.35">
      <c r="A159" s="27">
        <v>50008</v>
      </c>
      <c r="B159" s="55" t="s">
        <v>146</v>
      </c>
      <c r="C159" s="10">
        <f>IFERROR(INDEX('حسابهای دریافتنی'!H:H,MATCH(Table210[[#This Row],[كد تفصيلي]],'حسابهای دریافتنی'!A:A,0)),0)</f>
        <v>-406230000</v>
      </c>
      <c r="D159" s="11">
        <f>IFERROR(INDEX('درجریان وصول'!F:F,MATCH(Table210[[#This Row],[كد تفصيلي]],'درجریان وصول'!A:A,0)),0)</f>
        <v>0</v>
      </c>
      <c r="E159" s="11">
        <f>IFERROR(INDEX('چکهای دریافتنی'!F:F,MATCH(Table210[[#This Row],[كد تفصيلي]],'چکهای دریافتنی'!A:A,0)),0)</f>
        <v>0</v>
      </c>
      <c r="F159" s="11">
        <f>Table210[[#This Row],[حسابهای دریافتنی]]+Table210[[#This Row],[چکهای در جریان وصول]]+Table210[[#This Row],[چکهای نزد صندوق]]</f>
        <v>-406230000</v>
      </c>
      <c r="G159" s="12">
        <f>IFERROR(INDEX('مانده سوفاله'!F:F,MATCH(Table210[[#This Row],[كد تفصيلي]],'مانده سوفاله'!A:A,0)),0)</f>
        <v>0</v>
      </c>
    </row>
    <row r="160" spans="1:7" ht="27" customHeight="1" x14ac:dyDescent="0.35">
      <c r="A160" s="27">
        <v>30040</v>
      </c>
      <c r="B160" s="55" t="s">
        <v>87</v>
      </c>
      <c r="C160" s="10">
        <f>IFERROR(INDEX('حسابهای دریافتنی'!H:H,MATCH(Table210[[#This Row],[كد تفصيلي]],'حسابهای دریافتنی'!A:A,0)),0)</f>
        <v>0</v>
      </c>
      <c r="D160" s="11">
        <f>IFERROR(INDEX('درجریان وصول'!F:F,MATCH(Table210[[#This Row],[كد تفصيلي]],'درجریان وصول'!A:A,0)),0)</f>
        <v>0</v>
      </c>
      <c r="E160" s="11">
        <f>IFERROR(INDEX('چکهای دریافتنی'!F:F,MATCH(Table210[[#This Row],[كد تفصيلي]],'چکهای دریافتنی'!A:A,0)),0)</f>
        <v>0</v>
      </c>
      <c r="F160" s="11">
        <f>Table210[[#This Row],[حسابهای دریافتنی]]+Table210[[#This Row],[چکهای در جریان وصول]]+Table210[[#This Row],[چکهای نزد صندوق]]</f>
        <v>0</v>
      </c>
      <c r="G160" s="12">
        <f>IFERROR(INDEX('مانده سوفاله'!F:F,MATCH(Table210[[#This Row],[كد تفصيلي]],'مانده سوفاله'!A:A,0)),0)</f>
        <v>0</v>
      </c>
    </row>
    <row r="161" spans="1:7" ht="27" customHeight="1" x14ac:dyDescent="0.35">
      <c r="A161" s="27">
        <v>10092</v>
      </c>
      <c r="B161" s="55" t="s">
        <v>260</v>
      </c>
      <c r="C161" s="10">
        <f>IFERROR(INDEX('حسابهای دریافتنی'!H:H,MATCH(Table210[[#This Row],[كد تفصيلي]],'حسابهای دریافتنی'!A:A,0)),0)</f>
        <v>-1749946500</v>
      </c>
      <c r="D161" s="11">
        <f>IFERROR(INDEX('درجریان وصول'!F:F,MATCH(Table210[[#This Row],[كد تفصيلي]],'درجریان وصول'!A:A,0)),0)</f>
        <v>0</v>
      </c>
      <c r="E161" s="11">
        <f>IFERROR(INDEX('چکهای دریافتنی'!F:F,MATCH(Table210[[#This Row],[كد تفصيلي]],'چکهای دریافتنی'!A:A,0)),0)</f>
        <v>300000000</v>
      </c>
      <c r="F161" s="11">
        <f>Table210[[#This Row],[حسابهای دریافتنی]]+Table210[[#This Row],[چکهای در جریان وصول]]+Table210[[#This Row],[چکهای نزد صندوق]]</f>
        <v>-1449946500</v>
      </c>
      <c r="G161" s="12">
        <f>IFERROR(INDEX('مانده سوفاله'!F:F,MATCH(Table210[[#This Row],[كد تفصيلي]],'مانده سوفاله'!A:A,0)),0)</f>
        <v>0</v>
      </c>
    </row>
    <row r="162" spans="1:7" ht="27" customHeight="1" x14ac:dyDescent="0.35">
      <c r="A162" s="26">
        <v>10069</v>
      </c>
      <c r="B162" s="56" t="s">
        <v>204</v>
      </c>
      <c r="C162" s="10">
        <f>IFERROR(INDEX('حسابهای دریافتنی'!H:H,MATCH(Table210[[#This Row],[كد تفصيلي]],'حسابهای دریافتنی'!A:A,0)),0)</f>
        <v>952500</v>
      </c>
      <c r="D162" s="11">
        <f>IFERROR(INDEX('درجریان وصول'!F:F,MATCH(Table210[[#This Row],[كد تفصيلي]],'درجریان وصول'!A:A,0)),0)</f>
        <v>0</v>
      </c>
      <c r="E162" s="11">
        <f>IFERROR(INDEX('چکهای دریافتنی'!F:F,MATCH(Table210[[#This Row],[كد تفصيلي]],'چکهای دریافتنی'!A:A,0)),0)</f>
        <v>73000000</v>
      </c>
      <c r="F162" s="11">
        <f>Table210[[#This Row],[حسابهای دریافتنی]]+Table210[[#This Row],[چکهای در جریان وصول]]+Table210[[#This Row],[چکهای نزد صندوق]]</f>
        <v>73952500</v>
      </c>
      <c r="G162" s="12">
        <f>IFERROR(INDEX('مانده سوفاله'!F:F,MATCH(Table210[[#This Row],[كد تفصيلي]],'مانده سوفاله'!A:A,0)),0)</f>
        <v>339</v>
      </c>
    </row>
    <row r="163" spans="1:7" ht="27" customHeight="1" x14ac:dyDescent="0.35">
      <c r="A163" s="26">
        <v>79120</v>
      </c>
      <c r="B163" s="56" t="s">
        <v>195</v>
      </c>
      <c r="C163" s="10">
        <f>IFERROR(INDEX('حسابهای دریافتنی'!H:H,MATCH(Table210[[#This Row],[كد تفصيلي]],'حسابهای دریافتنی'!A:A,0)),0)</f>
        <v>-15776160000</v>
      </c>
      <c r="D163" s="11">
        <f>IFERROR(INDEX('درجریان وصول'!F:F,MATCH(Table210[[#This Row],[كد تفصيلي]],'درجریان وصول'!A:A,0)),0)</f>
        <v>0</v>
      </c>
      <c r="E163" s="11">
        <f>IFERROR(INDEX('چکهای دریافتنی'!F:F,MATCH(Table210[[#This Row],[كد تفصيلي]],'چکهای دریافتنی'!A:A,0)),0)</f>
        <v>0</v>
      </c>
      <c r="F163" s="11">
        <f>Table210[[#This Row],[حسابهای دریافتنی]]+Table210[[#This Row],[چکهای در جریان وصول]]+Table210[[#This Row],[چکهای نزد صندوق]]</f>
        <v>-15776160000</v>
      </c>
      <c r="G163" s="12">
        <f>IFERROR(INDEX('مانده سوفاله'!F:F,MATCH(Table210[[#This Row],[كد تفصيلي]],'مانده سوفاله'!A:A,0)),0)</f>
        <v>0</v>
      </c>
    </row>
    <row r="164" spans="1:7" ht="27" customHeight="1" x14ac:dyDescent="0.35">
      <c r="A164" s="27">
        <v>10104</v>
      </c>
      <c r="B164" s="55" t="s">
        <v>293</v>
      </c>
      <c r="C164" s="10">
        <f>IFERROR(INDEX('حسابهای دریافتنی'!H:H,MATCH(Table210[[#This Row],[كد تفصيلي]],'حسابهای دریافتنی'!A:A,0)),0)</f>
        <v>0</v>
      </c>
      <c r="D164" s="11">
        <f>IFERROR(INDEX('درجریان وصول'!F:F,MATCH(Table210[[#This Row],[كد تفصيلي]],'درجریان وصول'!A:A,0)),0)</f>
        <v>0</v>
      </c>
      <c r="E164" s="11">
        <f>IFERROR(INDEX('چکهای دریافتنی'!F:F,MATCH(Table210[[#This Row],[كد تفصيلي]],'چکهای دریافتنی'!A:A,0)),0)</f>
        <v>0</v>
      </c>
      <c r="F164" s="11">
        <f>Table210[[#This Row],[حسابهای دریافتنی]]+Table210[[#This Row],[چکهای در جریان وصول]]+Table210[[#This Row],[چکهای نزد صندوق]]</f>
        <v>0</v>
      </c>
      <c r="G164" s="12">
        <f>IFERROR(INDEX('مانده سوفاله'!F:F,MATCH(Table210[[#This Row],[كد تفصيلي]],'مانده سوفاله'!A:A,0)),0)</f>
        <v>4065</v>
      </c>
    </row>
    <row r="165" spans="1:7" ht="27" customHeight="1" x14ac:dyDescent="0.35">
      <c r="A165" s="26">
        <v>50005</v>
      </c>
      <c r="B165" s="56" t="s">
        <v>148</v>
      </c>
      <c r="C165" s="10">
        <f>IFERROR(INDEX('حسابهای دریافتنی'!H:H,MATCH(Table210[[#This Row],[كد تفصيلي]],'حسابهای دریافتنی'!A:A,0)),0)</f>
        <v>0</v>
      </c>
      <c r="D165" s="11">
        <f>IFERROR(INDEX('درجریان وصول'!F:F,MATCH(Table210[[#This Row],[كد تفصيلي]],'درجریان وصول'!A:A,0)),0)</f>
        <v>0</v>
      </c>
      <c r="E165" s="11">
        <f>IFERROR(INDEX('چکهای دریافتنی'!F:F,MATCH(Table210[[#This Row],[كد تفصيلي]],'چکهای دریافتنی'!A:A,0)),0)</f>
        <v>0</v>
      </c>
      <c r="F165" s="11">
        <f>Table210[[#This Row],[حسابهای دریافتنی]]+Table210[[#This Row],[چکهای در جریان وصول]]+Table210[[#This Row],[چکهای نزد صندوق]]</f>
        <v>0</v>
      </c>
      <c r="G165" s="12">
        <f>IFERROR(INDEX('مانده سوفاله'!F:F,MATCH(Table210[[#This Row],[كد تفصيلي]],'مانده سوفاله'!A:A,0)),0)</f>
        <v>0</v>
      </c>
    </row>
    <row r="166" spans="1:7" ht="27" customHeight="1" x14ac:dyDescent="0.35">
      <c r="A166" s="27">
        <v>30190</v>
      </c>
      <c r="B166" s="55" t="s">
        <v>459</v>
      </c>
      <c r="C166" s="10">
        <f>IFERROR(INDEX('حسابهای دریافتنی'!H:H,MATCH(Table210[[#This Row],[كد تفصيلي]],'حسابهای دریافتنی'!A:A,0)),0)</f>
        <v>328477520</v>
      </c>
      <c r="D166" s="11">
        <f>IFERROR(INDEX('درجریان وصول'!F:F,MATCH(Table210[[#This Row],[كد تفصيلي]],'درجریان وصول'!A:A,0)),0)</f>
        <v>0</v>
      </c>
      <c r="E166" s="11">
        <f>IFERROR(INDEX('چکهای دریافتنی'!F:F,MATCH(Table210[[#This Row],[كد تفصيلي]],'چکهای دریافتنی'!A:A,0)),0)</f>
        <v>0</v>
      </c>
      <c r="F166" s="11">
        <f>Table210[[#This Row],[حسابهای دریافتنی]]+Table210[[#This Row],[چکهای در جریان وصول]]+Table210[[#This Row],[چکهای نزد صندوق]]</f>
        <v>328477520</v>
      </c>
      <c r="G166" s="12">
        <f>IFERROR(INDEX('مانده سوفاله'!F:F,MATCH(Table210[[#This Row],[كد تفصيلي]],'مانده سوفاله'!A:A,0)),0)</f>
        <v>1790</v>
      </c>
    </row>
    <row r="167" spans="1:7" ht="27" customHeight="1" x14ac:dyDescent="0.35">
      <c r="A167" s="27">
        <v>79043</v>
      </c>
      <c r="B167" s="55" t="s">
        <v>156</v>
      </c>
      <c r="C167" s="10">
        <f>IFERROR(INDEX('حسابهای دریافتنی'!H:H,MATCH(Table210[[#This Row],[كد تفصيلي]],'حسابهای دریافتنی'!A:A,0)),0)</f>
        <v>-16110730000</v>
      </c>
      <c r="D167" s="11">
        <f>IFERROR(INDEX('درجریان وصول'!F:F,MATCH(Table210[[#This Row],[كد تفصيلي]],'درجریان وصول'!A:A,0)),0)</f>
        <v>0</v>
      </c>
      <c r="E167" s="11">
        <f>IFERROR(INDEX('چکهای دریافتنی'!F:F,MATCH(Table210[[#This Row],[كد تفصيلي]],'چکهای دریافتنی'!A:A,0)),0)</f>
        <v>0</v>
      </c>
      <c r="F167" s="11">
        <f>Table210[[#This Row],[حسابهای دریافتنی]]+Table210[[#This Row],[چکهای در جریان وصول]]+Table210[[#This Row],[چکهای نزد صندوق]]</f>
        <v>-16110730000</v>
      </c>
      <c r="G167" s="12">
        <f>IFERROR(INDEX('مانده سوفاله'!F:F,MATCH(Table210[[#This Row],[كد تفصيلي]],'مانده سوفاله'!A:A,0)),0)</f>
        <v>0</v>
      </c>
    </row>
    <row r="168" spans="1:7" ht="27" customHeight="1" x14ac:dyDescent="0.35">
      <c r="A168" s="36"/>
      <c r="B168" s="37"/>
      <c r="C168" s="38">
        <f>SUBTOTAL(109,Table210[حسابهای دریافتنی])</f>
        <v>54217390479</v>
      </c>
      <c r="D168" s="38">
        <f>SUBTOTAL(109,Table210[چکهای در جریان وصول])</f>
        <v>0</v>
      </c>
      <c r="E168" s="38">
        <f>SUBTOTAL(109,Table210[چکهای نزد صندوق])</f>
        <v>62507828942</v>
      </c>
      <c r="F168" s="38"/>
      <c r="G168" s="39">
        <f>SUBTOTAL(109,Table210[مانده سوفاله])</f>
        <v>-123462.5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67"/>
  <sheetViews>
    <sheetView rightToLeft="1" topLeftCell="A154" workbookViewId="0">
      <selection activeCell="A128" sqref="A128:XFD128"/>
    </sheetView>
  </sheetViews>
  <sheetFormatPr defaultColWidth="9.08984375" defaultRowHeight="23.25" customHeight="1" x14ac:dyDescent="0.35"/>
  <cols>
    <col min="1" max="1" width="11.7265625" style="5" customWidth="1"/>
    <col min="2" max="2" width="25.453125" style="5" customWidth="1"/>
    <col min="3" max="3" width="20.26953125" style="3" customWidth="1"/>
    <col min="4" max="4" width="17.9062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7.5" customHeight="1" thickBot="1" x14ac:dyDescent="0.4">
      <c r="A1" s="97" t="s">
        <v>472</v>
      </c>
      <c r="B1" s="98"/>
      <c r="C1" s="98"/>
      <c r="D1" s="98"/>
      <c r="E1" s="98"/>
      <c r="F1" s="98"/>
      <c r="G1" s="99"/>
    </row>
    <row r="2" spans="1:7" s="2" customFormat="1" ht="23.2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3.25" customHeight="1" x14ac:dyDescent="0.3">
      <c r="A3" s="29">
        <v>30127</v>
      </c>
      <c r="B3" s="25" t="s">
        <v>163</v>
      </c>
      <c r="C3" s="10">
        <f>IFERROR(INDEX('حسابهای دریافتنی'!H:H,MATCH(Table211[[#This Row],[كد تفصيلي]],'حسابهای دریافتنی'!A:A,0)),0)</f>
        <v>31800110000</v>
      </c>
      <c r="D3" s="11">
        <f>IFERROR(INDEX('درجریان وصول'!F:F,MATCH(Table211[[#This Row],[كد تفصيلي]],'درجریان وصول'!A:A,0)),0)</f>
        <v>0</v>
      </c>
      <c r="E3" s="11">
        <f>IFERROR(INDEX('چکهای دریافتنی'!F:F,MATCH(Table211[[#This Row],[كد تفصيلي]],'چکهای دریافتنی'!A:A,0)),0)</f>
        <v>0</v>
      </c>
      <c r="F3" s="11">
        <f>Table211[[#This Row],[حسابهای دریافتنی]]+Table211[[#This Row],[چکهای در جریان وصول]]+Table211[[#This Row],[چکهای نزد صندوق]]</f>
        <v>31800110000</v>
      </c>
      <c r="G3" s="12">
        <f>IFERROR(INDEX('مانده سوفاله'!F:F,MATCH(Table211[[#This Row],[كد تفصيلي]],'مانده سوفاله'!A:A,0)),0)</f>
        <v>-18472</v>
      </c>
    </row>
    <row r="4" spans="1:7" ht="23.25" customHeight="1" x14ac:dyDescent="0.3">
      <c r="A4" s="28">
        <v>10055</v>
      </c>
      <c r="B4" s="24" t="s">
        <v>162</v>
      </c>
      <c r="C4" s="10">
        <f>IFERROR(INDEX('حسابهای دریافتنی'!H:H,MATCH(Table211[[#This Row],[كد تفصيلي]],'حسابهای دریافتنی'!A:A,0)),0)</f>
        <v>10460111325</v>
      </c>
      <c r="D4" s="11">
        <f>IFERROR(INDEX('درجریان وصول'!F:F,MATCH(Table211[[#This Row],[كد تفصيلي]],'درجریان وصول'!A:A,0)),0)</f>
        <v>0</v>
      </c>
      <c r="E4" s="11">
        <f>IFERROR(INDEX('چکهای دریافتنی'!F:F,MATCH(Table211[[#This Row],[كد تفصيلي]],'چکهای دریافتنی'!A:A,0)),0)</f>
        <v>2783298655</v>
      </c>
      <c r="F4" s="11">
        <f>Table211[[#This Row],[حسابهای دریافتنی]]+Table211[[#This Row],[چکهای در جریان وصول]]+Table211[[#This Row],[چکهای نزد صندوق]]</f>
        <v>13243409980</v>
      </c>
      <c r="G4" s="12">
        <f>IFERROR(INDEX('مانده سوفاله'!F:F,MATCH(Table211[[#This Row],[كد تفصيلي]],'مانده سوفاله'!A:A,0)),0)</f>
        <v>-12714</v>
      </c>
    </row>
    <row r="5" spans="1:7" ht="23.25" customHeight="1" x14ac:dyDescent="0.3">
      <c r="A5" s="28">
        <v>10003</v>
      </c>
      <c r="B5" s="24" t="s">
        <v>10</v>
      </c>
      <c r="C5" s="10">
        <f>IFERROR(INDEX('حسابهای دریافتنی'!H:H,MATCH(Table211[[#This Row],[كد تفصيلي]],'حسابهای دریافتنی'!A:A,0)),0)</f>
        <v>10804267992</v>
      </c>
      <c r="D5" s="11">
        <f>IFERROR(INDEX('درجریان وصول'!F:F,MATCH(Table211[[#This Row],[كد تفصيلي]],'درجریان وصول'!A:A,0)),0)</f>
        <v>0</v>
      </c>
      <c r="E5" s="11">
        <f>IFERROR(INDEX('چکهای دریافتنی'!F:F,MATCH(Table211[[#This Row],[كد تفصيلي]],'چکهای دریافتنی'!A:A,0)),0)</f>
        <v>13698001280</v>
      </c>
      <c r="F5" s="11">
        <f>Table211[[#This Row],[حسابهای دریافتنی]]+Table211[[#This Row],[چکهای در جریان وصول]]+Table211[[#This Row],[چکهای نزد صندوق]]</f>
        <v>24502269272</v>
      </c>
      <c r="G5" s="12">
        <f>IFERROR(INDEX('مانده سوفاله'!F:F,MATCH(Table211[[#This Row],[كد تفصيلي]],'مانده سوفاله'!A:A,0)),0)</f>
        <v>-39886</v>
      </c>
    </row>
    <row r="6" spans="1:7" ht="23.25" customHeight="1" x14ac:dyDescent="0.3">
      <c r="A6" s="29">
        <v>30004</v>
      </c>
      <c r="B6" s="25" t="s">
        <v>54</v>
      </c>
      <c r="C6" s="10">
        <f>IFERROR(INDEX('حسابهای دریافتنی'!H:H,MATCH(Table211[[#This Row],[كد تفصيلي]],'حسابهای دریافتنی'!A:A,0)),0)</f>
        <v>7598548260</v>
      </c>
      <c r="D6" s="11">
        <f>IFERROR(INDEX('درجریان وصول'!F:F,MATCH(Table211[[#This Row],[كد تفصيلي]],'درجریان وصول'!A:A,0)),0)</f>
        <v>0</v>
      </c>
      <c r="E6" s="11">
        <f>IFERROR(INDEX('چکهای دریافتنی'!F:F,MATCH(Table211[[#This Row],[كد تفصيلي]],'چکهای دریافتنی'!A:A,0)),0)</f>
        <v>11698760000</v>
      </c>
      <c r="F6" s="11">
        <f>Table211[[#This Row],[حسابهای دریافتنی]]+Table211[[#This Row],[چکهای در جریان وصول]]+Table211[[#This Row],[چکهای نزد صندوق]]</f>
        <v>19297308260</v>
      </c>
      <c r="G6" s="12">
        <f>IFERROR(INDEX('مانده سوفاله'!F:F,MATCH(Table211[[#This Row],[كد تفصيلي]],'مانده سوفاله'!A:A,0)),0)</f>
        <v>-4237</v>
      </c>
    </row>
    <row r="7" spans="1:7" ht="23.25" customHeight="1" x14ac:dyDescent="0.3">
      <c r="A7" s="29">
        <v>10026</v>
      </c>
      <c r="B7" s="25" t="s">
        <v>32</v>
      </c>
      <c r="C7" s="10">
        <f>IFERROR(INDEX('حسابهای دریافتنی'!H:H,MATCH(Table211[[#This Row],[كد تفصيلي]],'حسابهای دریافتنی'!A:A,0)),0)</f>
        <v>3795031844</v>
      </c>
      <c r="D7" s="11">
        <f>IFERROR(INDEX('درجریان وصول'!F:F,MATCH(Table211[[#This Row],[كد تفصيلي]],'درجریان وصول'!A:A,0)),0)</f>
        <v>0</v>
      </c>
      <c r="E7" s="11">
        <f>IFERROR(INDEX('چکهای دریافتنی'!F:F,MATCH(Table211[[#This Row],[كد تفصيلي]],'چکهای دریافتنی'!A:A,0)),0)</f>
        <v>2690000000</v>
      </c>
      <c r="F7" s="11">
        <f>Table211[[#This Row],[حسابهای دریافتنی]]+Table211[[#This Row],[چکهای در جریان وصول]]+Table211[[#This Row],[چکهای نزد صندوق]]</f>
        <v>6485031844</v>
      </c>
      <c r="G7" s="12">
        <f>IFERROR(INDEX('مانده سوفاله'!F:F,MATCH(Table211[[#This Row],[كد تفصيلي]],'مانده سوفاله'!A:A,0)),0)</f>
        <v>-12543</v>
      </c>
    </row>
    <row r="8" spans="1:7" ht="23.25" customHeight="1" x14ac:dyDescent="0.3">
      <c r="A8" s="28">
        <v>30058</v>
      </c>
      <c r="B8" s="24" t="s">
        <v>103</v>
      </c>
      <c r="C8" s="10">
        <f>IFERROR(INDEX('حسابهای دریافتنی'!H:H,MATCH(Table211[[#This Row],[كد تفصيلي]],'حسابهای دریافتنی'!A:A,0)),0)</f>
        <v>1700045560</v>
      </c>
      <c r="D8" s="11">
        <f>IFERROR(INDEX('درجریان وصول'!F:F,MATCH(Table211[[#This Row],[كد تفصيلي]],'درجریان وصول'!A:A,0)),0)</f>
        <v>0</v>
      </c>
      <c r="E8" s="11">
        <f>IFERROR(INDEX('چکهای دریافتنی'!F:F,MATCH(Table211[[#This Row],[كد تفصيلي]],'چکهای دریافتنی'!A:A,0)),0)</f>
        <v>0</v>
      </c>
      <c r="F8" s="11">
        <f>Table211[[#This Row],[حسابهای دریافتنی]]+Table211[[#This Row],[چکهای در جریان وصول]]+Table211[[#This Row],[چکهای نزد صندوق]]</f>
        <v>1700045560</v>
      </c>
      <c r="G8" s="12">
        <f>IFERROR(INDEX('مانده سوفاله'!F:F,MATCH(Table211[[#This Row],[كد تفصيلي]],'مانده سوفاله'!A:A,0)),0)</f>
        <v>-225</v>
      </c>
    </row>
    <row r="9" spans="1:7" ht="23.25" customHeight="1" x14ac:dyDescent="0.3">
      <c r="A9" s="28">
        <v>30009</v>
      </c>
      <c r="B9" s="24" t="s">
        <v>164</v>
      </c>
      <c r="C9" s="10">
        <f>IFERROR(INDEX('حسابهای دریافتنی'!H:H,MATCH(Table211[[#This Row],[كد تفصيلي]],'حسابهای دریافتنی'!A:A,0)),0)</f>
        <v>7853844277</v>
      </c>
      <c r="D9" s="11">
        <f>IFERROR(INDEX('درجریان وصول'!F:F,MATCH(Table211[[#This Row],[كد تفصيلي]],'درجریان وصول'!A:A,0)),0)</f>
        <v>0</v>
      </c>
      <c r="E9" s="11">
        <f>IFERROR(INDEX('چکهای دریافتنی'!F:F,MATCH(Table211[[#This Row],[كد تفصيلي]],'چکهای دریافتنی'!A:A,0)),0)</f>
        <v>6474835380</v>
      </c>
      <c r="F9" s="11">
        <f>Table211[[#This Row],[حسابهای دریافتنی]]+Table211[[#This Row],[چکهای در جریان وصول]]+Table211[[#This Row],[چکهای نزد صندوق]]</f>
        <v>14328679657</v>
      </c>
      <c r="G9" s="12">
        <f>IFERROR(INDEX('مانده سوفاله'!F:F,MATCH(Table211[[#This Row],[كد تفصيلي]],'مانده سوفاله'!A:A,0)),0)</f>
        <v>-11452</v>
      </c>
    </row>
    <row r="10" spans="1:7" ht="23.25" customHeight="1" x14ac:dyDescent="0.3">
      <c r="A10" s="28">
        <v>30017</v>
      </c>
      <c r="B10" s="24" t="s">
        <v>65</v>
      </c>
      <c r="C10" s="10">
        <f>IFERROR(INDEX('حسابهای دریافتنی'!H:H,MATCH(Table211[[#This Row],[كد تفصيلي]],'حسابهای دریافتنی'!A:A,0)),0)</f>
        <v>905000830</v>
      </c>
      <c r="D10" s="11">
        <f>IFERROR(INDEX('درجریان وصول'!F:F,MATCH(Table211[[#This Row],[كد تفصيلي]],'درجریان وصول'!A:A,0)),0)</f>
        <v>0</v>
      </c>
      <c r="E10" s="11">
        <f>IFERROR(INDEX('چکهای دریافتنی'!F:F,MATCH(Table211[[#This Row],[كد تفصيلي]],'چکهای دریافتنی'!A:A,0)),0)</f>
        <v>0</v>
      </c>
      <c r="F10" s="11">
        <f>Table211[[#This Row],[حسابهای دریافتنی]]+Table211[[#This Row],[چکهای در جریان وصول]]+Table211[[#This Row],[چکهای نزد صندوق]]</f>
        <v>905000830</v>
      </c>
      <c r="G10" s="12">
        <f>IFERROR(INDEX('مانده سوفاله'!F:F,MATCH(Table211[[#This Row],[كد تفصيلي]],'مانده سوفاله'!A:A,0)),0)</f>
        <v>-2186</v>
      </c>
    </row>
    <row r="11" spans="1:7" ht="23.25" customHeight="1" x14ac:dyDescent="0.3">
      <c r="A11" s="29">
        <v>30081</v>
      </c>
      <c r="B11" s="25" t="s">
        <v>126</v>
      </c>
      <c r="C11" s="10">
        <f>IFERROR(INDEX('حسابهای دریافتنی'!H:H,MATCH(Table211[[#This Row],[كد تفصيلي]],'حسابهای دریافتنی'!A:A,0)),0)</f>
        <v>1148992373</v>
      </c>
      <c r="D11" s="11">
        <f>IFERROR(INDEX('درجریان وصول'!F:F,MATCH(Table211[[#This Row],[كد تفصيلي]],'درجریان وصول'!A:A,0)),0)</f>
        <v>0</v>
      </c>
      <c r="E11" s="11">
        <f>IFERROR(INDEX('چکهای دریافتنی'!F:F,MATCH(Table211[[#This Row],[كد تفصيلي]],'چکهای دریافتنی'!A:A,0)),0)</f>
        <v>0</v>
      </c>
      <c r="F11" s="11">
        <f>Table211[[#This Row],[حسابهای دریافتنی]]+Table211[[#This Row],[چکهای در جریان وصول]]+Table211[[#This Row],[چکهای نزد صندوق]]</f>
        <v>1148992373</v>
      </c>
      <c r="G11" s="12">
        <f>IFERROR(INDEX('مانده سوفاله'!F:F,MATCH(Table211[[#This Row],[كد تفصيلي]],'مانده سوفاله'!A:A,0)),0)</f>
        <v>-6924</v>
      </c>
    </row>
    <row r="12" spans="1:7" ht="23.25" customHeight="1" x14ac:dyDescent="0.3">
      <c r="A12" s="29">
        <v>10123</v>
      </c>
      <c r="B12" s="25" t="s">
        <v>340</v>
      </c>
      <c r="C12" s="10">
        <f>IFERROR(INDEX('حسابهای دریافتنی'!H:H,MATCH(Table211[[#This Row],[كد تفصيلي]],'حسابهای دریافتنی'!A:A,0)),0)</f>
        <v>-50813000</v>
      </c>
      <c r="D12" s="11">
        <f>IFERROR(INDEX('درجریان وصول'!F:F,MATCH(Table211[[#This Row],[كد تفصيلي]],'درجریان وصول'!A:A,0)),0)</f>
        <v>0</v>
      </c>
      <c r="E12" s="11">
        <f>IFERROR(INDEX('چکهای دریافتنی'!F:F,MATCH(Table211[[#This Row],[كد تفصيلي]],'چکهای دریافتنی'!A:A,0)),0)</f>
        <v>0</v>
      </c>
      <c r="F12" s="11">
        <f>Table211[[#This Row],[حسابهای دریافتنی]]+Table211[[#This Row],[چکهای در جریان وصول]]+Table211[[#This Row],[چکهای نزد صندوق]]</f>
        <v>-50813000</v>
      </c>
      <c r="G12" s="12">
        <f>IFERROR(INDEX('مانده سوفاله'!F:F,MATCH(Table211[[#This Row],[كد تفصيلي]],'مانده سوفاله'!A:A,0)),0)</f>
        <v>0</v>
      </c>
    </row>
    <row r="13" spans="1:7" ht="23.25" customHeight="1" x14ac:dyDescent="0.3">
      <c r="A13" s="28">
        <v>30066</v>
      </c>
      <c r="B13" s="24" t="s">
        <v>111</v>
      </c>
      <c r="C13" s="10">
        <f>IFERROR(INDEX('حسابهای دریافتنی'!H:H,MATCH(Table211[[#This Row],[كد تفصيلي]],'حسابهای دریافتنی'!A:A,0)),0)</f>
        <v>6484147500</v>
      </c>
      <c r="D13" s="11">
        <f>IFERROR(INDEX('درجریان وصول'!F:F,MATCH(Table211[[#This Row],[كد تفصيلي]],'درجریان وصول'!A:A,0)),0)</f>
        <v>0</v>
      </c>
      <c r="E13" s="11">
        <f>IFERROR(INDEX('چکهای دریافتنی'!F:F,MATCH(Table211[[#This Row],[كد تفصيلي]],'چکهای دریافتنی'!A:A,0)),0)</f>
        <v>0</v>
      </c>
      <c r="F13" s="11">
        <f>Table211[[#This Row],[حسابهای دریافتنی]]+Table211[[#This Row],[چکهای در جریان وصول]]+Table211[[#This Row],[چکهای نزد صندوق]]</f>
        <v>6484147500</v>
      </c>
      <c r="G13" s="12">
        <f>IFERROR(INDEX('مانده سوفاله'!F:F,MATCH(Table211[[#This Row],[كد تفصيلي]],'مانده سوفاله'!A:A,0)),0)</f>
        <v>-1320</v>
      </c>
    </row>
    <row r="14" spans="1:7" ht="23.25" customHeight="1" x14ac:dyDescent="0.3">
      <c r="A14" s="28">
        <v>30162</v>
      </c>
      <c r="B14" s="24" t="s">
        <v>301</v>
      </c>
      <c r="C14" s="10">
        <f>IFERROR(INDEX('حسابهای دریافتنی'!H:H,MATCH(Table211[[#This Row],[كد تفصيلي]],'حسابهای دریافتنی'!A:A,0)),0)</f>
        <v>204890235</v>
      </c>
      <c r="D14" s="11">
        <f>IFERROR(INDEX('درجریان وصول'!F:F,MATCH(Table211[[#This Row],[كد تفصيلي]],'درجریان وصول'!A:A,0)),0)</f>
        <v>0</v>
      </c>
      <c r="E14" s="11">
        <f>IFERROR(INDEX('چکهای دریافتنی'!F:F,MATCH(Table211[[#This Row],[كد تفصيلي]],'چکهای دریافتنی'!A:A,0)),0)</f>
        <v>0</v>
      </c>
      <c r="F14" s="11">
        <f>Table211[[#This Row],[حسابهای دریافتنی]]+Table211[[#This Row],[چکهای در جریان وصول]]+Table211[[#This Row],[چکهای نزد صندوق]]</f>
        <v>204890235</v>
      </c>
      <c r="G14" s="12">
        <f>IFERROR(INDEX('مانده سوفاله'!F:F,MATCH(Table211[[#This Row],[كد تفصيلي]],'مانده سوفاله'!A:A,0)),0)</f>
        <v>-251</v>
      </c>
    </row>
    <row r="15" spans="1:7" ht="23.25" customHeight="1" x14ac:dyDescent="0.3">
      <c r="A15" s="28">
        <v>10057</v>
      </c>
      <c r="B15" s="24" t="s">
        <v>225</v>
      </c>
      <c r="C15" s="10">
        <f>IFERROR(INDEX('حسابهای دریافتنی'!H:H,MATCH(Table211[[#This Row],[كد تفصيلي]],'حسابهای دریافتنی'!A:A,0)),0)</f>
        <v>1390485500</v>
      </c>
      <c r="D15" s="11">
        <f>IFERROR(INDEX('درجریان وصول'!F:F,MATCH(Table211[[#This Row],[كد تفصيلي]],'درجریان وصول'!A:A,0)),0)</f>
        <v>0</v>
      </c>
      <c r="E15" s="11">
        <f>IFERROR(INDEX('چکهای دریافتنی'!F:F,MATCH(Table211[[#This Row],[كد تفصيلي]],'چکهای دریافتنی'!A:A,0)),0)</f>
        <v>0</v>
      </c>
      <c r="F15" s="11">
        <f>Table211[[#This Row],[حسابهای دریافتنی]]+Table211[[#This Row],[چکهای در جریان وصول]]+Table211[[#This Row],[چکهای نزد صندوق]]</f>
        <v>1390485500</v>
      </c>
      <c r="G15" s="12">
        <f>IFERROR(INDEX('مانده سوفاله'!F:F,MATCH(Table211[[#This Row],[كد تفصيلي]],'مانده سوفاله'!A:A,0)),0)</f>
        <v>-2044</v>
      </c>
    </row>
    <row r="16" spans="1:7" ht="23.25" customHeight="1" x14ac:dyDescent="0.3">
      <c r="A16" s="29">
        <v>10056</v>
      </c>
      <c r="B16" s="25" t="s">
        <v>166</v>
      </c>
      <c r="C16" s="10">
        <f>IFERROR(INDEX('حسابهای دریافتنی'!H:H,MATCH(Table211[[#This Row],[كد تفصيلي]],'حسابهای دریافتنی'!A:A,0)),0)</f>
        <v>812653500</v>
      </c>
      <c r="D16" s="11">
        <f>IFERROR(INDEX('درجریان وصول'!F:F,MATCH(Table211[[#This Row],[كد تفصيلي]],'درجریان وصول'!A:A,0)),0)</f>
        <v>0</v>
      </c>
      <c r="E16" s="11">
        <f>IFERROR(INDEX('چکهای دریافتنی'!F:F,MATCH(Table211[[#This Row],[كد تفصيلي]],'چکهای دریافتنی'!A:A,0)),0)</f>
        <v>0</v>
      </c>
      <c r="F16" s="11">
        <f>Table211[[#This Row],[حسابهای دریافتنی]]+Table211[[#This Row],[چکهای در جریان وصول]]+Table211[[#This Row],[چکهای نزد صندوق]]</f>
        <v>812653500</v>
      </c>
      <c r="G16" s="12">
        <f>IFERROR(INDEX('مانده سوفاله'!F:F,MATCH(Table211[[#This Row],[كد تفصيلي]],'مانده سوفاله'!A:A,0)),0)</f>
        <v>0</v>
      </c>
    </row>
    <row r="17" spans="1:7" ht="23.25" customHeight="1" x14ac:dyDescent="0.3">
      <c r="A17" s="29">
        <v>10002</v>
      </c>
      <c r="B17" s="25" t="s">
        <v>9</v>
      </c>
      <c r="C17" s="10">
        <f>IFERROR(INDEX('حسابهای دریافتنی'!H:H,MATCH(Table211[[#This Row],[كد تفصيلي]],'حسابهای دریافتنی'!A:A,0)),0)</f>
        <v>-3600000000</v>
      </c>
      <c r="D17" s="11">
        <f>IFERROR(INDEX('درجریان وصول'!F:F,MATCH(Table211[[#This Row],[كد تفصيلي]],'درجریان وصول'!A:A,0)),0)</f>
        <v>0</v>
      </c>
      <c r="E17" s="11">
        <f>IFERROR(INDEX('چکهای دریافتنی'!F:F,MATCH(Table211[[#This Row],[كد تفصيلي]],'چکهای دریافتنی'!A:A,0)),0)</f>
        <v>0</v>
      </c>
      <c r="F17" s="11">
        <f>Table211[[#This Row],[حسابهای دریافتنی]]+Table211[[#This Row],[چکهای در جریان وصول]]+Table211[[#This Row],[چکهای نزد صندوق]]</f>
        <v>-3600000000</v>
      </c>
      <c r="G17" s="12">
        <f>IFERROR(INDEX('مانده سوفاله'!F:F,MATCH(Table211[[#This Row],[كد تفصيلي]],'مانده سوفاله'!A:A,0)),0)</f>
        <v>0</v>
      </c>
    </row>
    <row r="18" spans="1:7" ht="23.25" customHeight="1" x14ac:dyDescent="0.3">
      <c r="A18" s="29">
        <v>10020</v>
      </c>
      <c r="B18" s="25" t="s">
        <v>27</v>
      </c>
      <c r="C18" s="10">
        <f>IFERROR(INDEX('حسابهای دریافتنی'!H:H,MATCH(Table211[[#This Row],[كد تفصيلي]],'حسابهای دریافتنی'!A:A,0)),0)</f>
        <v>57999963</v>
      </c>
      <c r="D18" s="11">
        <f>IFERROR(INDEX('درجریان وصول'!F:F,MATCH(Table211[[#This Row],[كد تفصيلي]],'درجریان وصول'!A:A,0)),0)</f>
        <v>0</v>
      </c>
      <c r="E18" s="11">
        <f>IFERROR(INDEX('چکهای دریافتنی'!F:F,MATCH(Table211[[#This Row],[كد تفصيلي]],'چکهای دریافتنی'!A:A,0)),0)</f>
        <v>728000000</v>
      </c>
      <c r="F18" s="11">
        <f>Table211[[#This Row],[حسابهای دریافتنی]]+Table211[[#This Row],[چکهای در جریان وصول]]+Table211[[#This Row],[چکهای نزد صندوق]]</f>
        <v>785999963</v>
      </c>
      <c r="G18" s="12">
        <f>IFERROR(INDEX('مانده سوفاله'!F:F,MATCH(Table211[[#This Row],[كد تفصيلي]],'مانده سوفاله'!A:A,0)),0)</f>
        <v>-1031</v>
      </c>
    </row>
    <row r="19" spans="1:7" ht="23.25" customHeight="1" x14ac:dyDescent="0.3">
      <c r="A19" s="28">
        <v>50011</v>
      </c>
      <c r="B19" s="24" t="s">
        <v>147</v>
      </c>
      <c r="C19" s="10">
        <f>IFERROR(INDEX('حسابهای دریافتنی'!H:H,MATCH(Table211[[#This Row],[كد تفصيلي]],'حسابهای دریافتنی'!A:A,0)),0)</f>
        <v>832182413</v>
      </c>
      <c r="D19" s="11">
        <f>IFERROR(INDEX('درجریان وصول'!F:F,MATCH(Table211[[#This Row],[كد تفصيلي]],'درجریان وصول'!A:A,0)),0)</f>
        <v>0</v>
      </c>
      <c r="E19" s="11">
        <f>IFERROR(INDEX('چکهای دریافتنی'!F:F,MATCH(Table211[[#This Row],[كد تفصيلي]],'چکهای دریافتنی'!A:A,0)),0)</f>
        <v>0</v>
      </c>
      <c r="F19" s="11">
        <f>Table211[[#This Row],[حسابهای دریافتنی]]+Table211[[#This Row],[چکهای در جریان وصول]]+Table211[[#This Row],[چکهای نزد صندوق]]</f>
        <v>832182413</v>
      </c>
      <c r="G19" s="12">
        <f>IFERROR(INDEX('مانده سوفاله'!F:F,MATCH(Table211[[#This Row],[كد تفصيلي]],'مانده سوفاله'!A:A,0)),0)</f>
        <v>30</v>
      </c>
    </row>
    <row r="20" spans="1:7" ht="23.25" customHeight="1" x14ac:dyDescent="0.3">
      <c r="A20" s="29">
        <v>30014</v>
      </c>
      <c r="B20" s="25" t="s">
        <v>63</v>
      </c>
      <c r="C20" s="10">
        <f>IFERROR(INDEX('حسابهای دریافتنی'!H:H,MATCH(Table211[[#This Row],[كد تفصيلي]],'حسابهای دریافتنی'!A:A,0)),0)</f>
        <v>1762223932</v>
      </c>
      <c r="D20" s="11">
        <f>IFERROR(INDEX('درجریان وصول'!F:F,MATCH(Table211[[#This Row],[كد تفصيلي]],'درجریان وصول'!A:A,0)),0)</f>
        <v>0</v>
      </c>
      <c r="E20" s="11">
        <f>IFERROR(INDEX('چکهای دریافتنی'!F:F,MATCH(Table211[[#This Row],[كد تفصيلي]],'چکهای دریافتنی'!A:A,0)),0)</f>
        <v>0</v>
      </c>
      <c r="F20" s="11">
        <f>Table211[[#This Row],[حسابهای دریافتنی]]+Table211[[#This Row],[چکهای در جریان وصول]]+Table211[[#This Row],[چکهای نزد صندوق]]</f>
        <v>1762223932</v>
      </c>
      <c r="G20" s="12">
        <f>IFERROR(INDEX('مانده سوفاله'!F:F,MATCH(Table211[[#This Row],[كد تفصيلي]],'مانده سوفاله'!A:A,0)),0)</f>
        <v>-1368</v>
      </c>
    </row>
    <row r="21" spans="1:7" ht="23.25" customHeight="1" x14ac:dyDescent="0.3">
      <c r="A21" s="28">
        <v>30140</v>
      </c>
      <c r="B21" s="24" t="s">
        <v>259</v>
      </c>
      <c r="C21" s="10">
        <f>IFERROR(INDEX('حسابهای دریافتنی'!H:H,MATCH(Table211[[#This Row],[كد تفصيلي]],'حسابهای دریافتنی'!A:A,0)),0)</f>
        <v>553728200</v>
      </c>
      <c r="D21" s="11">
        <f>IFERROR(INDEX('درجریان وصول'!F:F,MATCH(Table211[[#This Row],[كد تفصيلي]],'درجریان وصول'!A:A,0)),0)</f>
        <v>0</v>
      </c>
      <c r="E21" s="11">
        <f>IFERROR(INDEX('چکهای دریافتنی'!F:F,MATCH(Table211[[#This Row],[كد تفصيلي]],'چکهای دریافتنی'!A:A,0)),0)</f>
        <v>1030000000</v>
      </c>
      <c r="F21" s="11">
        <f>Table211[[#This Row],[حسابهای دریافتنی]]+Table211[[#This Row],[چکهای در جریان وصول]]+Table211[[#This Row],[چکهای نزد صندوق]]</f>
        <v>1583728200</v>
      </c>
      <c r="G21" s="12">
        <f>IFERROR(INDEX('مانده سوفاله'!F:F,MATCH(Table211[[#This Row],[كد تفصيلي]],'مانده سوفاله'!A:A,0)),0)</f>
        <v>-12630</v>
      </c>
    </row>
    <row r="22" spans="1:7" ht="23.25" customHeight="1" x14ac:dyDescent="0.3">
      <c r="A22" s="29">
        <v>10008</v>
      </c>
      <c r="B22" s="25" t="s">
        <v>15</v>
      </c>
      <c r="C22" s="10">
        <f>IFERROR(INDEX('حسابهای دریافتنی'!H:H,MATCH(Table211[[#This Row],[كد تفصيلي]],'حسابهای دریافتنی'!A:A,0)),0)</f>
        <v>597342000</v>
      </c>
      <c r="D22" s="11">
        <f>IFERROR(INDEX('درجریان وصول'!F:F,MATCH(Table211[[#This Row],[كد تفصيلي]],'درجریان وصول'!A:A,0)),0)</f>
        <v>0</v>
      </c>
      <c r="E22" s="11">
        <f>IFERROR(INDEX('چکهای دریافتنی'!F:F,MATCH(Table211[[#This Row],[كد تفصيلي]],'چکهای دریافتنی'!A:A,0)),0)</f>
        <v>0</v>
      </c>
      <c r="F22" s="11">
        <f>Table211[[#This Row],[حسابهای دریافتنی]]+Table211[[#This Row],[چکهای در جریان وصول]]+Table211[[#This Row],[چکهای نزد صندوق]]</f>
        <v>597342000</v>
      </c>
      <c r="G22" s="12">
        <f>IFERROR(INDEX('مانده سوفاله'!F:F,MATCH(Table211[[#This Row],[كد تفصيلي]],'مانده سوفاله'!A:A,0)),0)</f>
        <v>-578</v>
      </c>
    </row>
    <row r="23" spans="1:7" ht="23.25" customHeight="1" x14ac:dyDescent="0.3">
      <c r="A23" s="28">
        <v>10069</v>
      </c>
      <c r="B23" s="24" t="s">
        <v>204</v>
      </c>
      <c r="C23" s="10">
        <f>IFERROR(INDEX('حسابهای دریافتنی'!H:H,MATCH(Table211[[#This Row],[كد تفصيلي]],'حسابهای دریافتنی'!A:A,0)),0)</f>
        <v>952500</v>
      </c>
      <c r="D23" s="11">
        <f>IFERROR(INDEX('درجریان وصول'!F:F,MATCH(Table211[[#This Row],[كد تفصيلي]],'درجریان وصول'!A:A,0)),0)</f>
        <v>0</v>
      </c>
      <c r="E23" s="11">
        <f>IFERROR(INDEX('چکهای دریافتنی'!F:F,MATCH(Table211[[#This Row],[كد تفصيلي]],'چکهای دریافتنی'!A:A,0)),0)</f>
        <v>73000000</v>
      </c>
      <c r="F23" s="11">
        <f>Table211[[#This Row],[حسابهای دریافتنی]]+Table211[[#This Row],[چکهای در جریان وصول]]+Table211[[#This Row],[چکهای نزد صندوق]]</f>
        <v>73952500</v>
      </c>
      <c r="G23" s="12">
        <f>IFERROR(INDEX('مانده سوفاله'!F:F,MATCH(Table211[[#This Row],[كد تفصيلي]],'مانده سوفاله'!A:A,0)),0)</f>
        <v>339</v>
      </c>
    </row>
    <row r="24" spans="1:7" ht="23.25" customHeight="1" x14ac:dyDescent="0.3">
      <c r="A24" s="28">
        <v>30070</v>
      </c>
      <c r="B24" s="24" t="s">
        <v>115</v>
      </c>
      <c r="C24" s="10">
        <f>IFERROR(INDEX('حسابهای دریافتنی'!H:H,MATCH(Table211[[#This Row],[كد تفصيلي]],'حسابهای دریافتنی'!A:A,0)),0)</f>
        <v>2651728820</v>
      </c>
      <c r="D24" s="11">
        <f>IFERROR(INDEX('درجریان وصول'!F:F,MATCH(Table211[[#This Row],[كد تفصيلي]],'درجریان وصول'!A:A,0)),0)</f>
        <v>0</v>
      </c>
      <c r="E24" s="11">
        <f>IFERROR(INDEX('چکهای دریافتنی'!F:F,MATCH(Table211[[#This Row],[كد تفصيلي]],'چکهای دریافتنی'!A:A,0)),0)</f>
        <v>3660000000</v>
      </c>
      <c r="F24" s="11">
        <f>Table211[[#This Row],[حسابهای دریافتنی]]+Table211[[#This Row],[چکهای در جریان وصول]]+Table211[[#This Row],[چکهای نزد صندوق]]</f>
        <v>6311728820</v>
      </c>
      <c r="G24" s="12">
        <f>IFERROR(INDEX('مانده سوفاله'!F:F,MATCH(Table211[[#This Row],[كد تفصيلي]],'مانده سوفاله'!A:A,0)),0)</f>
        <v>4378</v>
      </c>
    </row>
    <row r="25" spans="1:7" ht="23.25" customHeight="1" x14ac:dyDescent="0.3">
      <c r="A25" s="29">
        <v>30187</v>
      </c>
      <c r="B25" s="25" t="s">
        <v>369</v>
      </c>
      <c r="C25" s="10">
        <f>IFERROR(INDEX('حسابهای دریافتنی'!H:H,MATCH(Table211[[#This Row],[كد تفصيلي]],'حسابهای دریافتنی'!A:A,0)),0)</f>
        <v>337825500</v>
      </c>
      <c r="D25" s="11">
        <f>IFERROR(INDEX('درجریان وصول'!F:F,MATCH(Table211[[#This Row],[كد تفصيلي]],'درجریان وصول'!A:A,0)),0)</f>
        <v>0</v>
      </c>
      <c r="E25" s="11">
        <f>IFERROR(INDEX('چکهای دریافتنی'!F:F,MATCH(Table211[[#This Row],[كد تفصيلي]],'چکهای دریافتنی'!A:A,0)),0)</f>
        <v>0</v>
      </c>
      <c r="F25" s="11">
        <f>Table211[[#This Row],[حسابهای دریافتنی]]+Table211[[#This Row],[چکهای در جریان وصول]]+Table211[[#This Row],[چکهای نزد صندوق]]</f>
        <v>337825500</v>
      </c>
      <c r="G25" s="12">
        <f>IFERROR(INDEX('مانده سوفاله'!F:F,MATCH(Table211[[#This Row],[كد تفصيلي]],'مانده سوفاله'!A:A,0)),0)</f>
        <v>-108</v>
      </c>
    </row>
    <row r="26" spans="1:7" ht="23.25" customHeight="1" x14ac:dyDescent="0.3">
      <c r="A26" s="29">
        <v>10084</v>
      </c>
      <c r="B26" s="25" t="s">
        <v>217</v>
      </c>
      <c r="C26" s="10">
        <f>IFERROR(INDEX('حسابهای دریافتنی'!H:H,MATCH(Table211[[#This Row],[كد تفصيلي]],'حسابهای دریافتنی'!A:A,0)),0)</f>
        <v>358092810</v>
      </c>
      <c r="D26" s="11">
        <f>IFERROR(INDEX('درجریان وصول'!F:F,MATCH(Table211[[#This Row],[كد تفصيلي]],'درجریان وصول'!A:A,0)),0)</f>
        <v>0</v>
      </c>
      <c r="E26" s="11">
        <f>IFERROR(INDEX('چکهای دریافتنی'!F:F,MATCH(Table211[[#This Row],[كد تفصيلي]],'چکهای دریافتنی'!A:A,0)),0)</f>
        <v>870000000</v>
      </c>
      <c r="F26" s="11">
        <f>Table211[[#This Row],[حسابهای دریافتنی]]+Table211[[#This Row],[چکهای در جریان وصول]]+Table211[[#This Row],[چکهای نزد صندوق]]</f>
        <v>1228092810</v>
      </c>
      <c r="G26" s="12">
        <f>IFERROR(INDEX('مانده سوفاله'!F:F,MATCH(Table211[[#This Row],[كد تفصيلي]],'مانده سوفاله'!A:A,0)),0)</f>
        <v>-1656</v>
      </c>
    </row>
    <row r="27" spans="1:7" ht="23.25" customHeight="1" x14ac:dyDescent="0.3">
      <c r="A27" s="28">
        <v>10027</v>
      </c>
      <c r="B27" s="24" t="s">
        <v>33</v>
      </c>
      <c r="C27" s="10">
        <f>IFERROR(INDEX('حسابهای دریافتنی'!H:H,MATCH(Table211[[#This Row],[كد تفصيلي]],'حسابهای دریافتنی'!A:A,0)),0)</f>
        <v>33078340</v>
      </c>
      <c r="D27" s="11">
        <f>IFERROR(INDEX('درجریان وصول'!F:F,MATCH(Table211[[#This Row],[كد تفصيلي]],'درجریان وصول'!A:A,0)),0)</f>
        <v>0</v>
      </c>
      <c r="E27" s="11">
        <f>IFERROR(INDEX('چکهای دریافتنی'!F:F,MATCH(Table211[[#This Row],[كد تفصيلي]],'چکهای دریافتنی'!A:A,0)),0)</f>
        <v>1588359160</v>
      </c>
      <c r="F27" s="11">
        <f>Table211[[#This Row],[حسابهای دریافتنی]]+Table211[[#This Row],[چکهای در جریان وصول]]+Table211[[#This Row],[چکهای نزد صندوق]]</f>
        <v>1621437500</v>
      </c>
      <c r="G27" s="12">
        <f>IFERROR(INDEX('مانده سوفاله'!F:F,MATCH(Table211[[#This Row],[كد تفصيلي]],'مانده سوفاله'!A:A,0)),0)</f>
        <v>-647</v>
      </c>
    </row>
    <row r="28" spans="1:7" ht="23.25" customHeight="1" x14ac:dyDescent="0.3">
      <c r="A28" s="29">
        <v>10127</v>
      </c>
      <c r="B28" s="25" t="s">
        <v>371</v>
      </c>
      <c r="C28" s="10">
        <f>IFERROR(INDEX('حسابهای دریافتنی'!H:H,MATCH(Table211[[#This Row],[كد تفصيلي]],'حسابهای دریافتنی'!A:A,0)),0)</f>
        <v>803728000</v>
      </c>
      <c r="D28" s="11">
        <f>IFERROR(INDEX('درجریان وصول'!F:F,MATCH(Table211[[#This Row],[كد تفصيلي]],'درجریان وصول'!A:A,0)),0)</f>
        <v>0</v>
      </c>
      <c r="E28" s="11">
        <f>IFERROR(INDEX('چکهای دریافتنی'!F:F,MATCH(Table211[[#This Row],[كد تفصيلي]],'چکهای دریافتنی'!A:A,0)),0)</f>
        <v>0</v>
      </c>
      <c r="F28" s="11">
        <f>Table211[[#This Row],[حسابهای دریافتنی]]+Table211[[#This Row],[چکهای در جریان وصول]]+Table211[[#This Row],[چکهای نزد صندوق]]</f>
        <v>803728000</v>
      </c>
      <c r="G28" s="12">
        <f>IFERROR(INDEX('مانده سوفاله'!F:F,MATCH(Table211[[#This Row],[كد تفصيلي]],'مانده سوفاله'!A:A,0)),0)</f>
        <v>-1469</v>
      </c>
    </row>
    <row r="29" spans="1:7" ht="23.25" customHeight="1" x14ac:dyDescent="0.3">
      <c r="A29" s="29">
        <v>10070</v>
      </c>
      <c r="B29" s="25" t="s">
        <v>230</v>
      </c>
      <c r="C29" s="10">
        <f>IFERROR(INDEX('حسابهای دریافتنی'!H:H,MATCH(Table211[[#This Row],[كد تفصيلي]],'حسابهای دریافتنی'!A:A,0)),0)</f>
        <v>508152500</v>
      </c>
      <c r="D29" s="11">
        <f>IFERROR(INDEX('درجریان وصول'!F:F,MATCH(Table211[[#This Row],[كد تفصيلي]],'درجریان وصول'!A:A,0)),0)</f>
        <v>0</v>
      </c>
      <c r="E29" s="11">
        <f>IFERROR(INDEX('چکهای دریافتنی'!F:F,MATCH(Table211[[#This Row],[كد تفصيلي]],'چکهای دریافتنی'!A:A,0)),0)</f>
        <v>570000000</v>
      </c>
      <c r="F29" s="11">
        <f>Table211[[#This Row],[حسابهای دریافتنی]]+Table211[[#This Row],[چکهای در جریان وصول]]+Table211[[#This Row],[چکهای نزد صندوق]]</f>
        <v>1078152500</v>
      </c>
      <c r="G29" s="12">
        <f>IFERROR(INDEX('مانده سوفاله'!F:F,MATCH(Table211[[#This Row],[كد تفصيلي]],'مانده سوفاله'!A:A,0)),0)</f>
        <v>-3170</v>
      </c>
    </row>
    <row r="30" spans="1:7" ht="23.25" customHeight="1" x14ac:dyDescent="0.3">
      <c r="A30" s="29">
        <v>30099</v>
      </c>
      <c r="B30" s="25" t="s">
        <v>167</v>
      </c>
      <c r="C30" s="10">
        <f>IFERROR(INDEX('حسابهای دریافتنی'!H:H,MATCH(Table211[[#This Row],[كد تفصيلي]],'حسابهای دریافتنی'!A:A,0)),0)</f>
        <v>1398393484</v>
      </c>
      <c r="D30" s="11">
        <f>IFERROR(INDEX('درجریان وصول'!F:F,MATCH(Table211[[#This Row],[كد تفصيلي]],'درجریان وصول'!A:A,0)),0)</f>
        <v>0</v>
      </c>
      <c r="E30" s="11">
        <f>IFERROR(INDEX('چکهای دریافتنی'!F:F,MATCH(Table211[[#This Row],[كد تفصيلي]],'چکهای دریافتنی'!A:A,0)),0)</f>
        <v>583000000</v>
      </c>
      <c r="F30" s="11">
        <f>Table211[[#This Row],[حسابهای دریافتنی]]+Table211[[#This Row],[چکهای در جریان وصول]]+Table211[[#This Row],[چکهای نزد صندوق]]</f>
        <v>1981393484</v>
      </c>
      <c r="G30" s="12">
        <f>IFERROR(INDEX('مانده سوفاله'!F:F,MATCH(Table211[[#This Row],[كد تفصيلي]],'مانده سوفاله'!A:A,0)),0)</f>
        <v>-332</v>
      </c>
    </row>
    <row r="31" spans="1:7" ht="23.25" customHeight="1" x14ac:dyDescent="0.3">
      <c r="A31" s="29">
        <v>30018</v>
      </c>
      <c r="B31" s="25" t="s">
        <v>66</v>
      </c>
      <c r="C31" s="10">
        <f>IFERROR(INDEX('حسابهای دریافتنی'!H:H,MATCH(Table211[[#This Row],[كد تفصيلي]],'حسابهای دریافتنی'!A:A,0)),0)</f>
        <v>1901077182</v>
      </c>
      <c r="D31" s="11">
        <f>IFERROR(INDEX('درجریان وصول'!F:F,MATCH(Table211[[#This Row],[كد تفصيلي]],'درجریان وصول'!A:A,0)),0)</f>
        <v>0</v>
      </c>
      <c r="E31" s="11">
        <f>IFERROR(INDEX('چکهای دریافتنی'!F:F,MATCH(Table211[[#This Row],[كد تفصيلي]],'چکهای دریافتنی'!A:A,0)),0)</f>
        <v>0</v>
      </c>
      <c r="F31" s="11">
        <f>Table211[[#This Row],[حسابهای دریافتنی]]+Table211[[#This Row],[چکهای در جریان وصول]]+Table211[[#This Row],[چکهای نزد صندوق]]</f>
        <v>1901077182</v>
      </c>
      <c r="G31" s="12">
        <f>IFERROR(INDEX('مانده سوفاله'!F:F,MATCH(Table211[[#This Row],[كد تفصيلي]],'مانده سوفاله'!A:A,0)),0)</f>
        <v>-3024</v>
      </c>
    </row>
    <row r="32" spans="1:7" ht="23.25" customHeight="1" x14ac:dyDescent="0.3">
      <c r="A32" s="29">
        <v>30155</v>
      </c>
      <c r="B32" s="25" t="s">
        <v>289</v>
      </c>
      <c r="C32" s="10">
        <f>IFERROR(INDEX('حسابهای دریافتنی'!H:H,MATCH(Table211[[#This Row],[كد تفصيلي]],'حسابهای دریافتنی'!A:A,0)),0)</f>
        <v>-454985417</v>
      </c>
      <c r="D32" s="11">
        <f>IFERROR(INDEX('درجریان وصول'!F:F,MATCH(Table211[[#This Row],[كد تفصيلي]],'درجریان وصول'!A:A,0)),0)</f>
        <v>0</v>
      </c>
      <c r="E32" s="11">
        <f>IFERROR(INDEX('چکهای دریافتنی'!F:F,MATCH(Table211[[#This Row],[كد تفصيلي]],'چکهای دریافتنی'!A:A,0)),0)</f>
        <v>1379936267</v>
      </c>
      <c r="F32" s="11">
        <f>Table211[[#This Row],[حسابهای دریافتنی]]+Table211[[#This Row],[چکهای در جریان وصول]]+Table211[[#This Row],[چکهای نزد صندوق]]</f>
        <v>924950850</v>
      </c>
      <c r="G32" s="12">
        <f>IFERROR(INDEX('مانده سوفاله'!F:F,MATCH(Table211[[#This Row],[كد تفصيلي]],'مانده سوفاله'!A:A,0)),0)</f>
        <v>0</v>
      </c>
    </row>
    <row r="33" spans="1:7" ht="23.25" customHeight="1" x14ac:dyDescent="0.3">
      <c r="A33" s="28">
        <v>30182</v>
      </c>
      <c r="B33" s="24" t="s">
        <v>342</v>
      </c>
      <c r="C33" s="10">
        <f>IFERROR(INDEX('حسابهای دریافتنی'!H:H,MATCH(Table211[[#This Row],[كد تفصيلي]],'حسابهای دریافتنی'!A:A,0)),0)</f>
        <v>-528256400</v>
      </c>
      <c r="D33" s="11">
        <f>IFERROR(INDEX('درجریان وصول'!F:F,MATCH(Table211[[#This Row],[كد تفصيلي]],'درجریان وصول'!A:A,0)),0)</f>
        <v>0</v>
      </c>
      <c r="E33" s="11">
        <f>IFERROR(INDEX('چکهای دریافتنی'!F:F,MATCH(Table211[[#This Row],[كد تفصيلي]],'چکهای دریافتنی'!A:A,0)),0)</f>
        <v>0</v>
      </c>
      <c r="F33" s="11">
        <f>Table211[[#This Row],[حسابهای دریافتنی]]+Table211[[#This Row],[چکهای در جریان وصول]]+Table211[[#This Row],[چکهای نزد صندوق]]</f>
        <v>-528256400</v>
      </c>
      <c r="G33" s="12">
        <f>IFERROR(INDEX('مانده سوفاله'!F:F,MATCH(Table211[[#This Row],[كد تفصيلي]],'مانده سوفاله'!A:A,0)),0)</f>
        <v>0</v>
      </c>
    </row>
    <row r="34" spans="1:7" ht="23.25" customHeight="1" x14ac:dyDescent="0.3">
      <c r="A34" s="28">
        <v>30124</v>
      </c>
      <c r="B34" s="24" t="s">
        <v>246</v>
      </c>
      <c r="C34" s="10">
        <f>IFERROR(INDEX('حسابهای دریافتنی'!H:H,MATCH(Table211[[#This Row],[كد تفصيلي]],'حسابهای دریافتنی'!A:A,0)),0)</f>
        <v>0</v>
      </c>
      <c r="D34" s="11">
        <f>IFERROR(INDEX('درجریان وصول'!F:F,MATCH(Table211[[#This Row],[كد تفصيلي]],'درجریان وصول'!A:A,0)),0)</f>
        <v>0</v>
      </c>
      <c r="E34" s="11">
        <f>IFERROR(INDEX('چکهای دریافتنی'!F:F,MATCH(Table211[[#This Row],[كد تفصيلي]],'چکهای دریافتنی'!A:A,0)),0)</f>
        <v>505676000</v>
      </c>
      <c r="F34" s="11">
        <f>Table211[[#This Row],[حسابهای دریافتنی]]+Table211[[#This Row],[چکهای در جریان وصول]]+Table211[[#This Row],[چکهای نزد صندوق]]</f>
        <v>505676000</v>
      </c>
      <c r="G34" s="12">
        <f>IFERROR(INDEX('مانده سوفاله'!F:F,MATCH(Table211[[#This Row],[كد تفصيلي]],'مانده سوفاله'!A:A,0)),0)</f>
        <v>1498</v>
      </c>
    </row>
    <row r="35" spans="1:7" ht="23.25" customHeight="1" x14ac:dyDescent="0.3">
      <c r="A35" s="28">
        <v>30003</v>
      </c>
      <c r="B35" s="24" t="s">
        <v>53</v>
      </c>
      <c r="C35" s="10">
        <f>IFERROR(INDEX('حسابهای دریافتنی'!H:H,MATCH(Table211[[#This Row],[كد تفصيلي]],'حسابهای دریافتنی'!A:A,0)),0)</f>
        <v>754765900</v>
      </c>
      <c r="D35" s="11">
        <f>IFERROR(INDEX('درجریان وصول'!F:F,MATCH(Table211[[#This Row],[كد تفصيلي]],'درجریان وصول'!A:A,0)),0)</f>
        <v>0</v>
      </c>
      <c r="E35" s="11">
        <f>IFERROR(INDEX('چکهای دریافتنی'!F:F,MATCH(Table211[[#This Row],[كد تفصيلي]],'چکهای دریافتنی'!A:A,0)),0)</f>
        <v>571000000</v>
      </c>
      <c r="F35" s="11">
        <f>Table211[[#This Row],[حسابهای دریافتنی]]+Table211[[#This Row],[چکهای در جریان وصول]]+Table211[[#This Row],[چکهای نزد صندوق]]</f>
        <v>1325765900</v>
      </c>
      <c r="G35" s="12">
        <f>IFERROR(INDEX('مانده سوفاله'!F:F,MATCH(Table211[[#This Row],[كد تفصيلي]],'مانده سوفاله'!A:A,0)),0)</f>
        <v>-3538</v>
      </c>
    </row>
    <row r="36" spans="1:7" ht="23.25" customHeight="1" x14ac:dyDescent="0.3">
      <c r="A36" s="29">
        <v>30055</v>
      </c>
      <c r="B36" s="25" t="s">
        <v>100</v>
      </c>
      <c r="C36" s="10">
        <f>IFERROR(INDEX('حسابهای دریافتنی'!H:H,MATCH(Table211[[#This Row],[كد تفصيلي]],'حسابهای دریافتنی'!A:A,0)),0)</f>
        <v>0</v>
      </c>
      <c r="D36" s="11">
        <f>IFERROR(INDEX('درجریان وصول'!F:F,MATCH(Table211[[#This Row],[كد تفصيلي]],'درجریان وصول'!A:A,0)),0)</f>
        <v>0</v>
      </c>
      <c r="E36" s="11">
        <f>IFERROR(INDEX('چکهای دریافتنی'!F:F,MATCH(Table211[[#This Row],[كد تفصيلي]],'چکهای دریافتنی'!A:A,0)),0)</f>
        <v>0</v>
      </c>
      <c r="F36" s="11">
        <f>Table211[[#This Row],[حسابهای دریافتنی]]+Table211[[#This Row],[چکهای در جریان وصول]]+Table211[[#This Row],[چکهای نزد صندوق]]</f>
        <v>0</v>
      </c>
      <c r="G36" s="12">
        <f>IFERROR(INDEX('مانده سوفاله'!F:F,MATCH(Table211[[#This Row],[كد تفصيلي]],'مانده سوفاله'!A:A,0)),0)</f>
        <v>48</v>
      </c>
    </row>
    <row r="37" spans="1:7" ht="23.25" customHeight="1" x14ac:dyDescent="0.3">
      <c r="A37" s="29">
        <v>30101</v>
      </c>
      <c r="B37" s="25" t="s">
        <v>196</v>
      </c>
      <c r="C37" s="10">
        <f>IFERROR(INDEX('حسابهای دریافتنی'!H:H,MATCH(Table211[[#This Row],[كد تفصيلي]],'حسابهای دریافتنی'!A:A,0)),0)</f>
        <v>203336095</v>
      </c>
      <c r="D37" s="11">
        <f>IFERROR(INDEX('درجریان وصول'!F:F,MATCH(Table211[[#This Row],[كد تفصيلي]],'درجریان وصول'!A:A,0)),0)</f>
        <v>0</v>
      </c>
      <c r="E37" s="11">
        <f>IFERROR(INDEX('چکهای دریافتنی'!F:F,MATCH(Table211[[#This Row],[كد تفصيلي]],'چکهای دریافتنی'!A:A,0)),0)</f>
        <v>0</v>
      </c>
      <c r="F37" s="11">
        <f>Table211[[#This Row],[حسابهای دریافتنی]]+Table211[[#This Row],[چکهای در جریان وصول]]+Table211[[#This Row],[چکهای نزد صندوق]]</f>
        <v>203336095</v>
      </c>
      <c r="G37" s="12">
        <f>IFERROR(INDEX('مانده سوفاله'!F:F,MATCH(Table211[[#This Row],[كد تفصيلي]],'مانده سوفاله'!A:A,0)),0)</f>
        <v>15</v>
      </c>
    </row>
    <row r="38" spans="1:7" ht="23.25" customHeight="1" x14ac:dyDescent="0.3">
      <c r="A38" s="29">
        <v>10133</v>
      </c>
      <c r="B38" s="25" t="s">
        <v>474</v>
      </c>
      <c r="C38" s="10">
        <f>IFERROR(INDEX('حسابهای دریافتنی'!H:H,MATCH(Table211[[#This Row],[كد تفصيلي]],'حسابهای دریافتنی'!A:A,0)),0)</f>
        <v>-1249039000</v>
      </c>
      <c r="D38" s="11">
        <f>IFERROR(INDEX('درجریان وصول'!F:F,MATCH(Table211[[#This Row],[كد تفصيلي]],'درجریان وصول'!A:A,0)),0)</f>
        <v>0</v>
      </c>
      <c r="E38" s="11">
        <f>IFERROR(INDEX('چکهای دریافتنی'!F:F,MATCH(Table211[[#This Row],[كد تفصيلي]],'چکهای دریافتنی'!A:A,0)),0)</f>
        <v>0</v>
      </c>
      <c r="F38" s="11">
        <f>Table211[[#This Row],[حسابهای دریافتنی]]+Table211[[#This Row],[چکهای در جریان وصول]]+Table211[[#This Row],[چکهای نزد صندوق]]</f>
        <v>-1249039000</v>
      </c>
      <c r="G38" s="12">
        <f>IFERROR(INDEX('مانده سوفاله'!F:F,MATCH(Table211[[#This Row],[كد تفصيلي]],'مانده سوفاله'!A:A,0)),0)</f>
        <v>0</v>
      </c>
    </row>
    <row r="39" spans="1:7" ht="23.25" customHeight="1" x14ac:dyDescent="0.3">
      <c r="A39" s="28">
        <v>30086</v>
      </c>
      <c r="B39" s="24" t="s">
        <v>131</v>
      </c>
      <c r="C39" s="10">
        <f>IFERROR(INDEX('حسابهای دریافتنی'!H:H,MATCH(Table211[[#This Row],[كد تفصيلي]],'حسابهای دریافتنی'!A:A,0)),0)</f>
        <v>187376603</v>
      </c>
      <c r="D39" s="11">
        <f>IFERROR(INDEX('درجریان وصول'!F:F,MATCH(Table211[[#This Row],[كد تفصيلي]],'درجریان وصول'!A:A,0)),0)</f>
        <v>0</v>
      </c>
      <c r="E39" s="11">
        <f>IFERROR(INDEX('چکهای دریافتنی'!F:F,MATCH(Table211[[#This Row],[كد تفصيلي]],'چکهای دریافتنی'!A:A,0)),0)</f>
        <v>0</v>
      </c>
      <c r="F39" s="11">
        <f>Table211[[#This Row],[حسابهای دریافتنی]]+Table211[[#This Row],[چکهای در جریان وصول]]+Table211[[#This Row],[چکهای نزد صندوق]]</f>
        <v>187376603</v>
      </c>
      <c r="G39" s="12">
        <f>IFERROR(INDEX('مانده سوفاله'!F:F,MATCH(Table211[[#This Row],[كد تفصيلي]],'مانده سوفاله'!A:A,0)),0)</f>
        <v>1549</v>
      </c>
    </row>
    <row r="40" spans="1:7" ht="23.25" customHeight="1" x14ac:dyDescent="0.3">
      <c r="A40" s="28">
        <v>30191</v>
      </c>
      <c r="B40" s="24" t="s">
        <v>460</v>
      </c>
      <c r="C40" s="10">
        <f>IFERROR(INDEX('حسابهای دریافتنی'!H:H,MATCH(Table211[[#This Row],[كد تفصيلي]],'حسابهای دریافتنی'!A:A,0)),0)</f>
        <v>792933000</v>
      </c>
      <c r="D40" s="11">
        <f>IFERROR(INDEX('درجریان وصول'!F:F,MATCH(Table211[[#This Row],[كد تفصيلي]],'درجریان وصول'!A:A,0)),0)</f>
        <v>0</v>
      </c>
      <c r="E40" s="11">
        <f>IFERROR(INDEX('چکهای دریافتنی'!F:F,MATCH(Table211[[#This Row],[كد تفصيلي]],'چکهای دریافتنی'!A:A,0)),0)</f>
        <v>0</v>
      </c>
      <c r="F40" s="11">
        <f>Table211[[#This Row],[حسابهای دریافتنی]]+Table211[[#This Row],[چکهای در جریان وصول]]+Table211[[#This Row],[چکهای نزد صندوق]]</f>
        <v>792933000</v>
      </c>
      <c r="G40" s="12">
        <f>IFERROR(INDEX('مانده سوفاله'!F:F,MATCH(Table211[[#This Row],[كد تفصيلي]],'مانده سوفاله'!A:A,0)),0)</f>
        <v>134</v>
      </c>
    </row>
    <row r="41" spans="1:7" ht="23.25" customHeight="1" x14ac:dyDescent="0.3">
      <c r="A41" s="28">
        <v>10131</v>
      </c>
      <c r="B41" s="24" t="s">
        <v>473</v>
      </c>
      <c r="C41" s="10">
        <f>IFERROR(INDEX('حسابهای دریافتنی'!H:H,MATCH(Table211[[#This Row],[كد تفصيلي]],'حسابهای دریافتنی'!A:A,0)),0)</f>
        <v>-1194000</v>
      </c>
      <c r="D41" s="11">
        <f>IFERROR(INDEX('درجریان وصول'!F:F,MATCH(Table211[[#This Row],[كد تفصيلي]],'درجریان وصول'!A:A,0)),0)</f>
        <v>0</v>
      </c>
      <c r="E41" s="11">
        <f>IFERROR(INDEX('چکهای دریافتنی'!F:F,MATCH(Table211[[#This Row],[كد تفصيلي]],'چکهای دریافتنی'!A:A,0)),0)</f>
        <v>0</v>
      </c>
      <c r="F41" s="11">
        <f>Table211[[#This Row],[حسابهای دریافتنی]]+Table211[[#This Row],[چکهای در جریان وصول]]+Table211[[#This Row],[چکهای نزد صندوق]]</f>
        <v>-1194000</v>
      </c>
      <c r="G41" s="12">
        <f>IFERROR(INDEX('مانده سوفاله'!F:F,MATCH(Table211[[#This Row],[كد تفصيلي]],'مانده سوفاله'!A:A,0)),0)</f>
        <v>1</v>
      </c>
    </row>
    <row r="42" spans="1:7" ht="23.25" customHeight="1" x14ac:dyDescent="0.3">
      <c r="A42" s="29">
        <v>10092</v>
      </c>
      <c r="B42" s="25" t="s">
        <v>260</v>
      </c>
      <c r="C42" s="10">
        <f>IFERROR(INDEX('حسابهای دریافتنی'!H:H,MATCH(Table211[[#This Row],[كد تفصيلي]],'حسابهای دریافتنی'!A:A,0)),0)</f>
        <v>-1749946500</v>
      </c>
      <c r="D42" s="11">
        <f>IFERROR(INDEX('درجریان وصول'!F:F,MATCH(Table211[[#This Row],[كد تفصيلي]],'درجریان وصول'!A:A,0)),0)</f>
        <v>0</v>
      </c>
      <c r="E42" s="11">
        <f>IFERROR(INDEX('چکهای دریافتنی'!F:F,MATCH(Table211[[#This Row],[كد تفصيلي]],'چکهای دریافتنی'!A:A,0)),0)</f>
        <v>300000000</v>
      </c>
      <c r="F42" s="11">
        <f>Table211[[#This Row],[حسابهای دریافتنی]]+Table211[[#This Row],[چکهای در جریان وصول]]+Table211[[#This Row],[چکهای نزد صندوق]]</f>
        <v>-1449946500</v>
      </c>
      <c r="G42" s="12">
        <f>IFERROR(INDEX('مانده سوفاله'!F:F,MATCH(Table211[[#This Row],[كد تفصيلي]],'مانده سوفاله'!A:A,0)),0)</f>
        <v>0</v>
      </c>
    </row>
    <row r="43" spans="1:7" ht="23.25" customHeight="1" x14ac:dyDescent="0.3">
      <c r="A43" s="28">
        <v>30019</v>
      </c>
      <c r="B43" s="24" t="s">
        <v>67</v>
      </c>
      <c r="C43" s="10">
        <f>IFERROR(INDEX('حسابهای دریافتنی'!H:H,MATCH(Table211[[#This Row],[كد تفصيلي]],'حسابهای دریافتنی'!A:A,0)),0)</f>
        <v>823484840</v>
      </c>
      <c r="D43" s="11">
        <f>IFERROR(INDEX('درجریان وصول'!F:F,MATCH(Table211[[#This Row],[كد تفصيلي]],'درجریان وصول'!A:A,0)),0)</f>
        <v>0</v>
      </c>
      <c r="E43" s="11">
        <f>IFERROR(INDEX('چکهای دریافتنی'!F:F,MATCH(Table211[[#This Row],[كد تفصيلي]],'چکهای دریافتنی'!A:A,0)),0)</f>
        <v>0</v>
      </c>
      <c r="F43" s="11">
        <f>Table211[[#This Row],[حسابهای دریافتنی]]+Table211[[#This Row],[چکهای در جریان وصول]]+Table211[[#This Row],[چکهای نزد صندوق]]</f>
        <v>823484840</v>
      </c>
      <c r="G43" s="12">
        <f>IFERROR(INDEX('مانده سوفاله'!F:F,MATCH(Table211[[#This Row],[كد تفصيلي]],'مانده سوفاله'!A:A,0)),0)</f>
        <v>612</v>
      </c>
    </row>
    <row r="44" spans="1:7" ht="23.25" customHeight="1" x14ac:dyDescent="0.3">
      <c r="A44" s="29">
        <v>30006</v>
      </c>
      <c r="B44" s="25" t="s">
        <v>56</v>
      </c>
      <c r="C44" s="10">
        <f>IFERROR(INDEX('حسابهای دریافتنی'!H:H,MATCH(Table211[[#This Row],[كد تفصيلي]],'حسابهای دریافتنی'!A:A,0)),0)</f>
        <v>-162677545</v>
      </c>
      <c r="D44" s="11">
        <f>IFERROR(INDEX('درجریان وصول'!F:F,MATCH(Table211[[#This Row],[كد تفصيلي]],'درجریان وصول'!A:A,0)),0)</f>
        <v>0</v>
      </c>
      <c r="E44" s="11">
        <f>IFERROR(INDEX('چکهای دریافتنی'!F:F,MATCH(Table211[[#This Row],[كد تفصيلي]],'چکهای دریافتنی'!A:A,0)),0)</f>
        <v>0</v>
      </c>
      <c r="F44" s="11">
        <f>Table211[[#This Row],[حسابهای دریافتنی]]+Table211[[#This Row],[چکهای در جریان وصول]]+Table211[[#This Row],[چکهای نزد صندوق]]</f>
        <v>-162677545</v>
      </c>
      <c r="G44" s="12">
        <f>IFERROR(INDEX('مانده سوفاله'!F:F,MATCH(Table211[[#This Row],[كد تفصيلي]],'مانده سوفاله'!A:A,0)),0)</f>
        <v>-6</v>
      </c>
    </row>
    <row r="45" spans="1:7" ht="23.25" customHeight="1" x14ac:dyDescent="0.3">
      <c r="A45" s="29">
        <v>10096</v>
      </c>
      <c r="B45" s="25" t="s">
        <v>271</v>
      </c>
      <c r="C45" s="10">
        <f>IFERROR(INDEX('حسابهای دریافتنی'!H:H,MATCH(Table211[[#This Row],[كد تفصيلي]],'حسابهای دریافتنی'!A:A,0)),0)</f>
        <v>36455500</v>
      </c>
      <c r="D45" s="11">
        <f>IFERROR(INDEX('درجریان وصول'!F:F,MATCH(Table211[[#This Row],[كد تفصيلي]],'درجریان وصول'!A:A,0)),0)</f>
        <v>0</v>
      </c>
      <c r="E45" s="11">
        <f>IFERROR(INDEX('چکهای دریافتنی'!F:F,MATCH(Table211[[#This Row],[كد تفصيلي]],'چکهای دریافتنی'!A:A,0)),0)</f>
        <v>0</v>
      </c>
      <c r="F45" s="11">
        <f>Table211[[#This Row],[حسابهای دریافتنی]]+Table211[[#This Row],[چکهای در جریان وصول]]+Table211[[#This Row],[چکهای نزد صندوق]]</f>
        <v>36455500</v>
      </c>
      <c r="G45" s="12">
        <f>IFERROR(INDEX('مانده سوفاله'!F:F,MATCH(Table211[[#This Row],[كد تفصيلي]],'مانده سوفاله'!A:A,0)),0)</f>
        <v>0</v>
      </c>
    </row>
    <row r="46" spans="1:7" ht="23.25" customHeight="1" x14ac:dyDescent="0.3">
      <c r="A46" s="28">
        <v>30025</v>
      </c>
      <c r="B46" s="24" t="s">
        <v>73</v>
      </c>
      <c r="C46" s="10">
        <f>IFERROR(INDEX('حسابهای دریافتنی'!H:H,MATCH(Table211[[#This Row],[كد تفصيلي]],'حسابهای دریافتنی'!A:A,0)),0)</f>
        <v>35598920</v>
      </c>
      <c r="D46" s="11">
        <f>IFERROR(INDEX('درجریان وصول'!F:F,MATCH(Table211[[#This Row],[كد تفصيلي]],'درجریان وصول'!A:A,0)),0)</f>
        <v>0</v>
      </c>
      <c r="E46" s="11">
        <f>IFERROR(INDEX('چکهای دریافتنی'!F:F,MATCH(Table211[[#This Row],[كد تفصيلي]],'چکهای دریافتنی'!A:A,0)),0)</f>
        <v>0</v>
      </c>
      <c r="F46" s="11">
        <f>Table211[[#This Row],[حسابهای دریافتنی]]+Table211[[#This Row],[چکهای در جریان وصول]]+Table211[[#This Row],[چکهای نزد صندوق]]</f>
        <v>35598920</v>
      </c>
      <c r="G46" s="12">
        <f>IFERROR(INDEX('مانده سوفاله'!F:F,MATCH(Table211[[#This Row],[كد تفصيلي]],'مانده سوفاله'!A:A,0)),0)</f>
        <v>-165</v>
      </c>
    </row>
    <row r="47" spans="1:7" ht="23.25" customHeight="1" x14ac:dyDescent="0.3">
      <c r="A47" s="28">
        <v>30005</v>
      </c>
      <c r="B47" s="24" t="s">
        <v>55</v>
      </c>
      <c r="C47" s="10">
        <f>IFERROR(INDEX('حسابهای دریافتنی'!H:H,MATCH(Table211[[#This Row],[كد تفصيلي]],'حسابهای دریافتنی'!A:A,0)),0)</f>
        <v>35368209</v>
      </c>
      <c r="D47" s="11">
        <f>IFERROR(INDEX('درجریان وصول'!F:F,MATCH(Table211[[#This Row],[كد تفصيلي]],'درجریان وصول'!A:A,0)),0)</f>
        <v>0</v>
      </c>
      <c r="E47" s="11">
        <f>IFERROR(INDEX('چکهای دریافتنی'!F:F,MATCH(Table211[[#This Row],[كد تفصيلي]],'چکهای دریافتنی'!A:A,0)),0)</f>
        <v>0</v>
      </c>
      <c r="F47" s="11">
        <f>Table211[[#This Row],[حسابهای دریافتنی]]+Table211[[#This Row],[چکهای در جریان وصول]]+Table211[[#This Row],[چکهای نزد صندوق]]</f>
        <v>35368209</v>
      </c>
      <c r="G47" s="12">
        <f>IFERROR(INDEX('مانده سوفاله'!F:F,MATCH(Table211[[#This Row],[كد تفصيلي]],'مانده سوفاله'!A:A,0)),0)</f>
        <v>61</v>
      </c>
    </row>
    <row r="48" spans="1:7" ht="23.25" customHeight="1" x14ac:dyDescent="0.3">
      <c r="A48" s="29">
        <v>30093</v>
      </c>
      <c r="B48" s="25" t="s">
        <v>151</v>
      </c>
      <c r="C48" s="10">
        <f>IFERROR(INDEX('حسابهای دریافتنی'!H:H,MATCH(Table211[[#This Row],[كد تفصيلي]],'حسابهای دریافتنی'!A:A,0)),0)</f>
        <v>0</v>
      </c>
      <c r="D48" s="11">
        <f>IFERROR(INDEX('درجریان وصول'!F:F,MATCH(Table211[[#This Row],[كد تفصيلي]],'درجریان وصول'!A:A,0)),0)</f>
        <v>0</v>
      </c>
      <c r="E48" s="11">
        <f>IFERROR(INDEX('چکهای دریافتنی'!F:F,MATCH(Table211[[#This Row],[كد تفصيلي]],'چکهای دریافتنی'!A:A,0)),0)</f>
        <v>0</v>
      </c>
      <c r="F48" s="11">
        <f>Table211[[#This Row],[حسابهای دریافتنی]]+Table211[[#This Row],[چکهای در جریان وصول]]+Table211[[#This Row],[چکهای نزد صندوق]]</f>
        <v>0</v>
      </c>
      <c r="G48" s="12">
        <v>77</v>
      </c>
    </row>
    <row r="49" spans="1:7" ht="23.25" customHeight="1" x14ac:dyDescent="0.3">
      <c r="A49" s="29">
        <v>30008</v>
      </c>
      <c r="B49" s="25" t="s">
        <v>58</v>
      </c>
      <c r="C49" s="10">
        <f>IFERROR(INDEX('حسابهای دریافتنی'!H:H,MATCH(Table211[[#This Row],[كد تفصيلي]],'حسابهای دریافتنی'!A:A,0)),0)</f>
        <v>15520000</v>
      </c>
      <c r="D49" s="11">
        <f>IFERROR(INDEX('درجریان وصول'!F:F,MATCH(Table211[[#This Row],[كد تفصيلي]],'درجریان وصول'!A:A,0)),0)</f>
        <v>0</v>
      </c>
      <c r="E49" s="11">
        <f>IFERROR(INDEX('چکهای دریافتنی'!F:F,MATCH(Table211[[#This Row],[كد تفصيلي]],'چکهای دریافتنی'!A:A,0)),0)</f>
        <v>0</v>
      </c>
      <c r="F49" s="11">
        <f>Table211[[#This Row],[حسابهای دریافتنی]]+Table211[[#This Row],[چکهای در جریان وصول]]+Table211[[#This Row],[چکهای نزد صندوق]]</f>
        <v>15520000</v>
      </c>
      <c r="G49" s="12">
        <f>IFERROR(INDEX('مانده سوفاله'!F:F,MATCH(Table211[[#This Row],[كد تفصيلي]],'مانده سوفاله'!A:A,0)),0)</f>
        <v>0</v>
      </c>
    </row>
    <row r="50" spans="1:7" ht="23.25" customHeight="1" x14ac:dyDescent="0.3">
      <c r="A50" s="28">
        <v>10007</v>
      </c>
      <c r="B50" s="24" t="s">
        <v>14</v>
      </c>
      <c r="C50" s="10">
        <f>IFERROR(INDEX('حسابهای دریافتنی'!H:H,MATCH(Table211[[#This Row],[كد تفصيلي]],'حسابهای دریافتنی'!A:A,0)),0)</f>
        <v>12770000</v>
      </c>
      <c r="D50" s="11">
        <f>IFERROR(INDEX('درجریان وصول'!F:F,MATCH(Table211[[#This Row],[كد تفصيلي]],'درجریان وصول'!A:A,0)),0)</f>
        <v>0</v>
      </c>
      <c r="E50" s="11">
        <f>IFERROR(INDEX('چکهای دریافتنی'!F:F,MATCH(Table211[[#This Row],[كد تفصيلي]],'چکهای دریافتنی'!A:A,0)),0)</f>
        <v>0</v>
      </c>
      <c r="F50" s="11">
        <f>Table211[[#This Row],[حسابهای دریافتنی]]+Table211[[#This Row],[چکهای در جریان وصول]]+Table211[[#This Row],[چکهای نزد صندوق]]</f>
        <v>12770000</v>
      </c>
      <c r="G50" s="12">
        <f>IFERROR(INDEX('مانده سوفاله'!F:F,MATCH(Table211[[#This Row],[كد تفصيلي]],'مانده سوفاله'!A:A,0)),0)</f>
        <v>-52.5</v>
      </c>
    </row>
    <row r="51" spans="1:7" ht="23.25" customHeight="1" x14ac:dyDescent="0.3">
      <c r="A51" s="29">
        <v>30131</v>
      </c>
      <c r="B51" s="25" t="s">
        <v>213</v>
      </c>
      <c r="C51" s="10">
        <f>IFERROR(INDEX('حسابهای دریافتنی'!H:H,MATCH(Table211[[#This Row],[كد تفصيلي]],'حسابهای دریافتنی'!A:A,0)),0)</f>
        <v>-6228486500</v>
      </c>
      <c r="D51" s="11">
        <f>IFERROR(INDEX('درجریان وصول'!F:F,MATCH(Table211[[#This Row],[كد تفصيلي]],'درجریان وصول'!A:A,0)),0)</f>
        <v>0</v>
      </c>
      <c r="E51" s="11">
        <f>IFERROR(INDEX('چکهای دریافتنی'!F:F,MATCH(Table211[[#This Row],[كد تفصيلي]],'چکهای دریافتنی'!A:A,0)),0)</f>
        <v>0</v>
      </c>
      <c r="F51" s="11">
        <f>Table211[[#This Row],[حسابهای دریافتنی]]+Table211[[#This Row],[چکهای در جریان وصول]]+Table211[[#This Row],[چکهای نزد صندوق]]</f>
        <v>-6228486500</v>
      </c>
      <c r="G51" s="12">
        <f>IFERROR(INDEX('مانده سوفاله'!F:F,MATCH(Table211[[#This Row],[كد تفصيلي]],'مانده سوفاله'!A:A,0)),0)</f>
        <v>222</v>
      </c>
    </row>
    <row r="52" spans="1:7" ht="23.25" customHeight="1" x14ac:dyDescent="0.3">
      <c r="A52" s="29">
        <v>30012</v>
      </c>
      <c r="B52" s="25" t="s">
        <v>61</v>
      </c>
      <c r="C52" s="10">
        <f>IFERROR(INDEX('حسابهای دریافتنی'!H:H,MATCH(Table211[[#This Row],[كد تفصيلي]],'حسابهای دریافتنی'!A:A,0)),0)</f>
        <v>-46099000</v>
      </c>
      <c r="D52" s="11">
        <f>IFERROR(INDEX('درجریان وصول'!F:F,MATCH(Table211[[#This Row],[كد تفصيلي]],'درجریان وصول'!A:A,0)),0)</f>
        <v>0</v>
      </c>
      <c r="E52" s="11">
        <f>IFERROR(INDEX('چکهای دریافتنی'!F:F,MATCH(Table211[[#This Row],[كد تفصيلي]],'چکهای دریافتنی'!A:A,0)),0)</f>
        <v>348650000</v>
      </c>
      <c r="F52" s="11">
        <f>Table211[[#This Row],[حسابهای دریافتنی]]+Table211[[#This Row],[چکهای در جریان وصول]]+Table211[[#This Row],[چکهای نزد صندوق]]</f>
        <v>302551000</v>
      </c>
      <c r="G52" s="12">
        <f>IFERROR(INDEX('مانده سوفاله'!F:F,MATCH(Table211[[#This Row],[كد تفصيلي]],'مانده سوفاله'!A:A,0)),0)</f>
        <v>141</v>
      </c>
    </row>
    <row r="53" spans="1:7" ht="23.25" customHeight="1" x14ac:dyDescent="0.3">
      <c r="A53" s="29">
        <v>30145</v>
      </c>
      <c r="B53" s="25" t="s">
        <v>265</v>
      </c>
      <c r="C53" s="10">
        <f>IFERROR(INDEX('حسابهای دریافتنی'!H:H,MATCH(Table211[[#This Row],[كد تفصيلي]],'حسابهای دریافتنی'!A:A,0)),0)</f>
        <v>6442500</v>
      </c>
      <c r="D53" s="11">
        <f>IFERROR(INDEX('درجریان وصول'!F:F,MATCH(Table211[[#This Row],[كد تفصيلي]],'درجریان وصول'!A:A,0)),0)</f>
        <v>0</v>
      </c>
      <c r="E53" s="11">
        <f>IFERROR(INDEX('چکهای دریافتنی'!F:F,MATCH(Table211[[#This Row],[كد تفصيلي]],'چکهای دریافتنی'!A:A,0)),0)</f>
        <v>0</v>
      </c>
      <c r="F53" s="11">
        <f>Table211[[#This Row],[حسابهای دریافتنی]]+Table211[[#This Row],[چکهای در جریان وصول]]+Table211[[#This Row],[چکهای نزد صندوق]]</f>
        <v>6442500</v>
      </c>
      <c r="G53" s="12">
        <f>IFERROR(INDEX('مانده سوفاله'!F:F,MATCH(Table211[[#This Row],[كد تفصيلي]],'مانده سوفاله'!A:A,0)),0)</f>
        <v>0</v>
      </c>
    </row>
    <row r="54" spans="1:7" ht="23.25" customHeight="1" x14ac:dyDescent="0.3">
      <c r="A54" s="28">
        <v>30184</v>
      </c>
      <c r="B54" s="24" t="s">
        <v>368</v>
      </c>
      <c r="C54" s="10">
        <f>IFERROR(INDEX('حسابهای دریافتنی'!H:H,MATCH(Table211[[#This Row],[كد تفصيلي]],'حسابهای دریافتنی'!A:A,0)),0)</f>
        <v>904890480</v>
      </c>
      <c r="D54" s="11">
        <f>IFERROR(INDEX('درجریان وصول'!F:F,MATCH(Table211[[#This Row],[كد تفصيلي]],'درجریان وصول'!A:A,0)),0)</f>
        <v>0</v>
      </c>
      <c r="E54" s="11">
        <f>IFERROR(INDEX('چکهای دریافتنی'!F:F,MATCH(Table211[[#This Row],[كد تفصيلي]],'چکهای دریافتنی'!A:A,0)),0)</f>
        <v>0</v>
      </c>
      <c r="F54" s="11">
        <f>Table211[[#This Row],[حسابهای دریافتنی]]+Table211[[#This Row],[چکهای در جریان وصول]]+Table211[[#This Row],[چکهای نزد صندوق]]</f>
        <v>904890480</v>
      </c>
      <c r="G54" s="12">
        <f>IFERROR(INDEX('مانده سوفاله'!F:F,MATCH(Table211[[#This Row],[كد تفصيلي]],'مانده سوفاله'!A:A,0)),0)</f>
        <v>-100</v>
      </c>
    </row>
    <row r="55" spans="1:7" ht="23.25" customHeight="1" x14ac:dyDescent="0.3">
      <c r="A55" s="28">
        <v>30047</v>
      </c>
      <c r="B55" s="24" t="s">
        <v>94</v>
      </c>
      <c r="C55" s="10">
        <f>IFERROR(INDEX('حسابهای دریافتنی'!H:H,MATCH(Table211[[#This Row],[كد تفصيلي]],'حسابهای دریافتنی'!A:A,0)),0)</f>
        <v>5794900</v>
      </c>
      <c r="D55" s="11">
        <f>IFERROR(INDEX('درجریان وصول'!F:F,MATCH(Table211[[#This Row],[كد تفصيلي]],'درجریان وصول'!A:A,0)),0)</f>
        <v>0</v>
      </c>
      <c r="E55" s="11">
        <f>IFERROR(INDEX('چکهای دریافتنی'!F:F,MATCH(Table211[[#This Row],[كد تفصيلي]],'چکهای دریافتنی'!A:A,0)),0)</f>
        <v>0</v>
      </c>
      <c r="F55" s="11">
        <f>Table211[[#This Row],[حسابهای دریافتنی]]+Table211[[#This Row],[چکهای در جریان وصول]]+Table211[[#This Row],[چکهای نزد صندوق]]</f>
        <v>5794900</v>
      </c>
      <c r="G55" s="12">
        <f>IFERROR(INDEX('مانده سوفاله'!F:F,MATCH(Table211[[#This Row],[كد تفصيلي]],'مانده سوفاله'!A:A,0)),0)</f>
        <v>-630</v>
      </c>
    </row>
    <row r="56" spans="1:7" ht="23.25" customHeight="1" x14ac:dyDescent="0.3">
      <c r="A56" s="28">
        <v>30011</v>
      </c>
      <c r="B56" s="24" t="s">
        <v>60</v>
      </c>
      <c r="C56" s="10">
        <f>IFERROR(INDEX('حسابهای دریافتنی'!H:H,MATCH(Table211[[#This Row],[كد تفصيلي]],'حسابهای دریافتنی'!A:A,0)),0)</f>
        <v>5595200</v>
      </c>
      <c r="D56" s="11">
        <f>IFERROR(INDEX('درجریان وصول'!F:F,MATCH(Table211[[#This Row],[كد تفصيلي]],'درجریان وصول'!A:A,0)),0)</f>
        <v>0</v>
      </c>
      <c r="E56" s="11">
        <f>IFERROR(INDEX('چکهای دریافتنی'!F:F,MATCH(Table211[[#This Row],[كد تفصيلي]],'چکهای دریافتنی'!A:A,0)),0)</f>
        <v>0</v>
      </c>
      <c r="F56" s="11">
        <f>Table211[[#This Row],[حسابهای دریافتنی]]+Table211[[#This Row],[چکهای در جریان وصول]]+Table211[[#This Row],[چکهای نزد صندوق]]</f>
        <v>5595200</v>
      </c>
      <c r="G56" s="12">
        <f>IFERROR(INDEX('مانده سوفاله'!F:F,MATCH(Table211[[#This Row],[كد تفصيلي]],'مانده سوفاله'!A:A,0)),0)</f>
        <v>-5</v>
      </c>
    </row>
    <row r="57" spans="1:7" ht="23.25" customHeight="1" x14ac:dyDescent="0.3">
      <c r="A57" s="28">
        <v>30146</v>
      </c>
      <c r="B57" s="24" t="s">
        <v>266</v>
      </c>
      <c r="C57" s="10">
        <f>IFERROR(INDEX('حسابهای دریافتنی'!H:H,MATCH(Table211[[#This Row],[كد تفصيلي]],'حسابهای دریافتنی'!A:A,0)),0)</f>
        <v>-4146512500</v>
      </c>
      <c r="D57" s="11">
        <f>IFERROR(INDEX('درجریان وصول'!F:F,MATCH(Table211[[#This Row],[كد تفصيلي]],'درجریان وصول'!A:A,0)),0)</f>
        <v>0</v>
      </c>
      <c r="E57" s="11">
        <f>IFERROR(INDEX('چکهای دریافتنی'!F:F,MATCH(Table211[[#This Row],[كد تفصيلي]],'چکهای دریافتنی'!A:A,0)),0)</f>
        <v>0</v>
      </c>
      <c r="F57" s="11">
        <f>Table211[[#This Row],[حسابهای دریافتنی]]+Table211[[#This Row],[چکهای در جریان وصول]]+Table211[[#This Row],[چکهای نزد صندوق]]</f>
        <v>-4146512500</v>
      </c>
      <c r="G57" s="12">
        <f>IFERROR(INDEX('مانده سوفاله'!F:F,MATCH(Table211[[#This Row],[كد تفصيلي]],'مانده سوفاله'!A:A,0)),0)</f>
        <v>2823</v>
      </c>
    </row>
    <row r="58" spans="1:7" ht="23.25" customHeight="1" x14ac:dyDescent="0.3">
      <c r="A58" s="29">
        <v>10080</v>
      </c>
      <c r="B58" s="25" t="s">
        <v>214</v>
      </c>
      <c r="C58" s="10">
        <f>IFERROR(INDEX('حسابهای دریافتنی'!H:H,MATCH(Table211[[#This Row],[كد تفصيلي]],'حسابهای دریافتنی'!A:A,0)),0)</f>
        <v>5395000</v>
      </c>
      <c r="D58" s="11">
        <f>IFERROR(INDEX('درجریان وصول'!F:F,MATCH(Table211[[#This Row],[كد تفصيلي]],'درجریان وصول'!A:A,0)),0)</f>
        <v>0</v>
      </c>
      <c r="E58" s="11">
        <f>IFERROR(INDEX('چکهای دریافتنی'!F:F,MATCH(Table211[[#This Row],[كد تفصيلي]],'چکهای دریافتنی'!A:A,0)),0)</f>
        <v>0</v>
      </c>
      <c r="F58" s="11">
        <f>Table211[[#This Row],[حسابهای دریافتنی]]+Table211[[#This Row],[چکهای در جریان وصول]]+Table211[[#This Row],[چکهای نزد صندوق]]</f>
        <v>5395000</v>
      </c>
      <c r="G58" s="12">
        <f>IFERROR(INDEX('مانده سوفاله'!F:F,MATCH(Table211[[#This Row],[كد تفصيلي]],'مانده سوفاله'!A:A,0)),0)</f>
        <v>0</v>
      </c>
    </row>
    <row r="59" spans="1:7" ht="23.25" customHeight="1" x14ac:dyDescent="0.3">
      <c r="A59" s="28">
        <v>30114</v>
      </c>
      <c r="B59" s="24" t="s">
        <v>175</v>
      </c>
      <c r="C59" s="10">
        <f>IFERROR(INDEX('حسابهای دریافتنی'!H:H,MATCH(Table211[[#This Row],[كد تفصيلي]],'حسابهای دریافتنی'!A:A,0)),0)</f>
        <v>5385600</v>
      </c>
      <c r="D59" s="11">
        <f>IFERROR(INDEX('درجریان وصول'!F:F,MATCH(Table211[[#This Row],[كد تفصيلي]],'درجریان وصول'!A:A,0)),0)</f>
        <v>0</v>
      </c>
      <c r="E59" s="11">
        <f>IFERROR(INDEX('چکهای دریافتنی'!F:F,MATCH(Table211[[#This Row],[كد تفصيلي]],'چکهای دریافتنی'!A:A,0)),0)</f>
        <v>0</v>
      </c>
      <c r="F59" s="11">
        <f>Table211[[#This Row],[حسابهای دریافتنی]]+Table211[[#This Row],[چکهای در جریان وصول]]+Table211[[#This Row],[چکهای نزد صندوق]]</f>
        <v>5385600</v>
      </c>
      <c r="G59" s="12">
        <f>IFERROR(INDEX('مانده سوفاله'!F:F,MATCH(Table211[[#This Row],[كد تفصيلي]],'مانده سوفاله'!A:A,0)),0)</f>
        <v>0</v>
      </c>
    </row>
    <row r="60" spans="1:7" ht="23.25" customHeight="1" x14ac:dyDescent="0.3">
      <c r="A60" s="29">
        <v>30123</v>
      </c>
      <c r="B60" s="25" t="s">
        <v>208</v>
      </c>
      <c r="C60" s="10">
        <f>IFERROR(INDEX('حسابهای دریافتنی'!H:H,MATCH(Table211[[#This Row],[كد تفصيلي]],'حسابهای دریافتنی'!A:A,0)),0)</f>
        <v>4138250</v>
      </c>
      <c r="D60" s="11">
        <f>IFERROR(INDEX('درجریان وصول'!F:F,MATCH(Table211[[#This Row],[كد تفصيلي]],'درجریان وصول'!A:A,0)),0)</f>
        <v>0</v>
      </c>
      <c r="E60" s="11">
        <f>IFERROR(INDEX('چکهای دریافتنی'!F:F,MATCH(Table211[[#This Row],[كد تفصيلي]],'چکهای دریافتنی'!A:A,0)),0)</f>
        <v>0</v>
      </c>
      <c r="F60" s="11">
        <f>Table211[[#This Row],[حسابهای دریافتنی]]+Table211[[#This Row],[چکهای در جریان وصول]]+Table211[[#This Row],[چکهای نزد صندوق]]</f>
        <v>4138250</v>
      </c>
      <c r="G60" s="12">
        <f>IFERROR(INDEX('مانده سوفاله'!F:F,MATCH(Table211[[#This Row],[كد تفصيلي]],'مانده سوفاله'!A:A,0)),0)</f>
        <v>-20</v>
      </c>
    </row>
    <row r="61" spans="1:7" ht="23.25" customHeight="1" x14ac:dyDescent="0.3">
      <c r="A61" s="28">
        <v>10116</v>
      </c>
      <c r="B61" s="24" t="s">
        <v>321</v>
      </c>
      <c r="C61" s="10">
        <f>IFERROR(INDEX('حسابهای دریافتنی'!H:H,MATCH(Table211[[#This Row],[كد تفصيلي]],'حسابهای دریافتنی'!A:A,0)),0)</f>
        <v>3892500</v>
      </c>
      <c r="D61" s="11">
        <f>IFERROR(INDEX('درجریان وصول'!F:F,MATCH(Table211[[#This Row],[كد تفصيلي]],'درجریان وصول'!A:A,0)),0)</f>
        <v>0</v>
      </c>
      <c r="E61" s="11">
        <f>IFERROR(INDEX('چکهای دریافتنی'!F:F,MATCH(Table211[[#This Row],[كد تفصيلي]],'چکهای دریافتنی'!A:A,0)),0)</f>
        <v>0</v>
      </c>
      <c r="F61" s="11">
        <f>Table211[[#This Row],[حسابهای دریافتنی]]+Table211[[#This Row],[چکهای در جریان وصول]]+Table211[[#This Row],[چکهای نزد صندوق]]</f>
        <v>3892500</v>
      </c>
      <c r="G61" s="12">
        <f>IFERROR(INDEX('مانده سوفاله'!F:F,MATCH(Table211[[#This Row],[كد تفصيلي]],'مانده سوفاله'!A:A,0)),0)</f>
        <v>0</v>
      </c>
    </row>
    <row r="62" spans="1:7" ht="23.25" customHeight="1" x14ac:dyDescent="0.3">
      <c r="A62" s="28">
        <v>10101</v>
      </c>
      <c r="B62" s="24" t="s">
        <v>281</v>
      </c>
      <c r="C62" s="10">
        <f>IFERROR(INDEX('حسابهای دریافتنی'!H:H,MATCH(Table211[[#This Row],[كد تفصيلي]],'حسابهای دریافتنی'!A:A,0)),0)</f>
        <v>0</v>
      </c>
      <c r="D62" s="11">
        <f>IFERROR(INDEX('درجریان وصول'!F:F,MATCH(Table211[[#This Row],[كد تفصيلي]],'درجریان وصول'!A:A,0)),0)</f>
        <v>0</v>
      </c>
      <c r="E62" s="11">
        <f>IFERROR(INDEX('چکهای دریافتنی'!F:F,MATCH(Table211[[#This Row],[كد تفصيلي]],'چکهای دریافتنی'!A:A,0)),0)</f>
        <v>0</v>
      </c>
      <c r="F62" s="11">
        <f>Table211[[#This Row],[حسابهای دریافتنی]]+Table211[[#This Row],[چکهای در جریان وصول]]+Table211[[#This Row],[چکهای نزد صندوق]]</f>
        <v>0</v>
      </c>
      <c r="G62" s="12">
        <f>IFERROR(INDEX('مانده سوفاله'!F:F,MATCH(Table211[[#This Row],[كد تفصيلي]],'مانده سوفاله'!A:A,0)),0)</f>
        <v>0</v>
      </c>
    </row>
    <row r="63" spans="1:7" ht="23.25" customHeight="1" x14ac:dyDescent="0.3">
      <c r="A63" s="29">
        <v>10030</v>
      </c>
      <c r="B63" s="25" t="s">
        <v>36</v>
      </c>
      <c r="C63" s="10">
        <f>IFERROR(INDEX('حسابهای دریافتنی'!H:H,MATCH(Table211[[#This Row],[كد تفصيلي]],'حسابهای دریافتنی'!A:A,0)),0)</f>
        <v>3272000</v>
      </c>
      <c r="D63" s="11">
        <f>IFERROR(INDEX('درجریان وصول'!F:F,MATCH(Table211[[#This Row],[كد تفصيلي]],'درجریان وصول'!A:A,0)),0)</f>
        <v>0</v>
      </c>
      <c r="E63" s="11">
        <f>IFERROR(INDEX('چکهای دریافتنی'!F:F,MATCH(Table211[[#This Row],[كد تفصيلي]],'چکهای دریافتنی'!A:A,0)),0)</f>
        <v>0</v>
      </c>
      <c r="F63" s="11">
        <f>Table211[[#This Row],[حسابهای دریافتنی]]+Table211[[#This Row],[چکهای در جریان وصول]]+Table211[[#This Row],[چکهای نزد صندوق]]</f>
        <v>3272000</v>
      </c>
      <c r="G63" s="12">
        <f>IFERROR(INDEX('مانده سوفاله'!F:F,MATCH(Table211[[#This Row],[كد تفصيلي]],'مانده سوفاله'!A:A,0)),0)</f>
        <v>-222</v>
      </c>
    </row>
    <row r="64" spans="1:7" ht="23.25" customHeight="1" x14ac:dyDescent="0.3">
      <c r="A64" s="28">
        <v>30178</v>
      </c>
      <c r="B64" s="24" t="s">
        <v>335</v>
      </c>
      <c r="C64" s="10">
        <f>IFERROR(INDEX('حسابهای دریافتنی'!H:H,MATCH(Table211[[#This Row],[كد تفصيلي]],'حسابهای دریافتنی'!A:A,0)),0)</f>
        <v>3040000</v>
      </c>
      <c r="D64" s="11">
        <f>IFERROR(INDEX('درجریان وصول'!F:F,MATCH(Table211[[#This Row],[كد تفصيلي]],'درجریان وصول'!A:A,0)),0)</f>
        <v>0</v>
      </c>
      <c r="E64" s="11">
        <f>IFERROR(INDEX('چکهای دریافتنی'!F:F,MATCH(Table211[[#This Row],[كد تفصيلي]],'چکهای دریافتنی'!A:A,0)),0)</f>
        <v>0</v>
      </c>
      <c r="F64" s="11">
        <f>Table211[[#This Row],[حسابهای دریافتنی]]+Table211[[#This Row],[چکهای در جریان وصول]]+Table211[[#This Row],[چکهای نزد صندوق]]</f>
        <v>3040000</v>
      </c>
      <c r="G64" s="12">
        <f>IFERROR(INDEX('مانده سوفاله'!F:F,MATCH(Table211[[#This Row],[كد تفصيلي]],'مانده سوفاله'!A:A,0)),0)</f>
        <v>0</v>
      </c>
    </row>
    <row r="65" spans="1:7" ht="23.25" customHeight="1" x14ac:dyDescent="0.3">
      <c r="A65" s="29">
        <v>10004</v>
      </c>
      <c r="B65" s="25" t="s">
        <v>11</v>
      </c>
      <c r="C65" s="10">
        <f>IFERROR(INDEX('حسابهای دریافتنی'!H:H,MATCH(Table211[[#This Row],[كد تفصيلي]],'حسابهای دریافتنی'!A:A,0)),0)</f>
        <v>853000</v>
      </c>
      <c r="D65" s="11">
        <f>IFERROR(INDEX('درجریان وصول'!F:F,MATCH(Table211[[#This Row],[كد تفصيلي]],'درجریان وصول'!A:A,0)),0)</f>
        <v>0</v>
      </c>
      <c r="E65" s="11">
        <f>IFERROR(INDEX('چکهای دریافتنی'!F:F,MATCH(Table211[[#This Row],[كد تفصيلي]],'چکهای دریافتنی'!A:A,0)),0)</f>
        <v>341000000</v>
      </c>
      <c r="F65" s="11">
        <f>Table211[[#This Row],[حسابهای دریافتنی]]+Table211[[#This Row],[چکهای در جریان وصول]]+Table211[[#This Row],[چکهای نزد صندوق]]</f>
        <v>341853000</v>
      </c>
      <c r="G65" s="12">
        <f>IFERROR(INDEX('مانده سوفاله'!F:F,MATCH(Table211[[#This Row],[كد تفصيلي]],'مانده سوفاله'!A:A,0)),0)</f>
        <v>-12</v>
      </c>
    </row>
    <row r="66" spans="1:7" ht="23.25" customHeight="1" x14ac:dyDescent="0.3">
      <c r="A66" s="28">
        <v>30084</v>
      </c>
      <c r="B66" s="24" t="s">
        <v>129</v>
      </c>
      <c r="C66" s="10">
        <f>IFERROR(INDEX('حسابهای دریافتنی'!H:H,MATCH(Table211[[#This Row],[كد تفصيلي]],'حسابهای دریافتنی'!A:A,0)),0)</f>
        <v>1220000</v>
      </c>
      <c r="D66" s="11">
        <f>IFERROR(INDEX('درجریان وصول'!F:F,MATCH(Table211[[#This Row],[كد تفصيلي]],'درجریان وصول'!A:A,0)),0)</f>
        <v>0</v>
      </c>
      <c r="E66" s="11">
        <f>IFERROR(INDEX('چکهای دریافتنی'!F:F,MATCH(Table211[[#This Row],[كد تفصيلي]],'چکهای دریافتنی'!A:A,0)),0)</f>
        <v>0</v>
      </c>
      <c r="F66" s="11">
        <f>Table211[[#This Row],[حسابهای دریافتنی]]+Table211[[#This Row],[چکهای در جریان وصول]]+Table211[[#This Row],[چکهای نزد صندوق]]</f>
        <v>1220000</v>
      </c>
      <c r="G66" s="12">
        <f>IFERROR(INDEX('مانده سوفاله'!F:F,MATCH(Table211[[#This Row],[كد تفصيلي]],'مانده سوفاله'!A:A,0)),0)</f>
        <v>0</v>
      </c>
    </row>
    <row r="67" spans="1:7" ht="23.25" customHeight="1" x14ac:dyDescent="0.3">
      <c r="A67" s="29">
        <v>79055</v>
      </c>
      <c r="B67" s="25" t="s">
        <v>297</v>
      </c>
      <c r="C67" s="10">
        <f>IFERROR(INDEX('حسابهای دریافتنی'!H:H,MATCH(Table211[[#This Row],[كد تفصيلي]],'حسابهای دریافتنی'!A:A,0)),0)</f>
        <v>896500</v>
      </c>
      <c r="D67" s="11">
        <f>IFERROR(INDEX('درجریان وصول'!F:F,MATCH(Table211[[#This Row],[كد تفصيلي]],'درجریان وصول'!A:A,0)),0)</f>
        <v>0</v>
      </c>
      <c r="E67" s="11">
        <f>IFERROR(INDEX('چکهای دریافتنی'!F:F,MATCH(Table211[[#This Row],[كد تفصيلي]],'چکهای دریافتنی'!A:A,0)),0)</f>
        <v>0</v>
      </c>
      <c r="F67" s="11">
        <f>Table211[[#This Row],[حسابهای دریافتنی]]+Table211[[#This Row],[چکهای در جریان وصول]]+Table211[[#This Row],[چکهای نزد صندوق]]</f>
        <v>896500</v>
      </c>
      <c r="G67" s="12">
        <f>IFERROR(INDEX('مانده سوفاله'!F:F,MATCH(Table211[[#This Row],[كد تفصيلي]],'مانده سوفاله'!A:A,0)),0)</f>
        <v>0</v>
      </c>
    </row>
    <row r="68" spans="1:7" ht="23.25" customHeight="1" x14ac:dyDescent="0.3">
      <c r="A68" s="29">
        <v>30030</v>
      </c>
      <c r="B68" s="25" t="s">
        <v>77</v>
      </c>
      <c r="C68" s="10">
        <f>IFERROR(INDEX('حسابهای دریافتنی'!H:H,MATCH(Table211[[#This Row],[كد تفصيلي]],'حسابهای دریافتنی'!A:A,0)),0)</f>
        <v>850500</v>
      </c>
      <c r="D68" s="11">
        <f>IFERROR(INDEX('درجریان وصول'!F:F,MATCH(Table211[[#This Row],[كد تفصيلي]],'درجریان وصول'!A:A,0)),0)</f>
        <v>0</v>
      </c>
      <c r="E68" s="11">
        <f>IFERROR(INDEX('چکهای دریافتنی'!F:F,MATCH(Table211[[#This Row],[كد تفصيلي]],'چکهای دریافتنی'!A:A,0)),0)</f>
        <v>0</v>
      </c>
      <c r="F68" s="11">
        <f>Table211[[#This Row],[حسابهای دریافتنی]]+Table211[[#This Row],[چکهای در جریان وصول]]+Table211[[#This Row],[چکهای نزد صندوق]]</f>
        <v>850500</v>
      </c>
      <c r="G68" s="12">
        <f>IFERROR(INDEX('مانده سوفاله'!F:F,MATCH(Table211[[#This Row],[كد تفصيلي]],'مانده سوفاله'!A:A,0)),0)</f>
        <v>-49</v>
      </c>
    </row>
    <row r="69" spans="1:7" ht="23.25" customHeight="1" x14ac:dyDescent="0.3">
      <c r="A69" s="29">
        <v>30129</v>
      </c>
      <c r="B69" s="25" t="s">
        <v>178</v>
      </c>
      <c r="C69" s="10">
        <f>IFERROR(INDEX('حسابهای دریافتنی'!H:H,MATCH(Table211[[#This Row],[كد تفصيلي]],'حسابهای دریافتنی'!A:A,0)),0)</f>
        <v>783000</v>
      </c>
      <c r="D69" s="11">
        <f>IFERROR(INDEX('درجریان وصول'!F:F,MATCH(Table211[[#This Row],[كد تفصيلي]],'درجریان وصول'!A:A,0)),0)</f>
        <v>0</v>
      </c>
      <c r="E69" s="11">
        <f>IFERROR(INDEX('چکهای دریافتنی'!F:F,MATCH(Table211[[#This Row],[كد تفصيلي]],'چکهای دریافتنی'!A:A,0)),0)</f>
        <v>0</v>
      </c>
      <c r="F69" s="11">
        <f>Table211[[#This Row],[حسابهای دریافتنی]]+Table211[[#This Row],[چکهای در جریان وصول]]+Table211[[#This Row],[چکهای نزد صندوق]]</f>
        <v>783000</v>
      </c>
      <c r="G69" s="12">
        <f>IFERROR(INDEX('مانده سوفاله'!F:F,MATCH(Table211[[#This Row],[كد تفصيلي]],'مانده سوفاله'!A:A,0)),0)</f>
        <v>0</v>
      </c>
    </row>
    <row r="70" spans="1:7" ht="23.25" customHeight="1" x14ac:dyDescent="0.3">
      <c r="A70" s="28">
        <v>30090</v>
      </c>
      <c r="B70" s="24" t="s">
        <v>144</v>
      </c>
      <c r="C70" s="10">
        <f>IFERROR(INDEX('حسابهای دریافتنی'!H:H,MATCH(Table211[[#This Row],[كد تفصيلي]],'حسابهای دریافتنی'!A:A,0)),0)</f>
        <v>640100</v>
      </c>
      <c r="D70" s="11">
        <f>IFERROR(INDEX('درجریان وصول'!F:F,MATCH(Table211[[#This Row],[كد تفصيلي]],'درجریان وصول'!A:A,0)),0)</f>
        <v>0</v>
      </c>
      <c r="E70" s="11">
        <f>IFERROR(INDEX('چکهای دریافتنی'!F:F,MATCH(Table211[[#This Row],[كد تفصيلي]],'چکهای دریافتنی'!A:A,0)),0)</f>
        <v>0</v>
      </c>
      <c r="F70" s="11">
        <f>Table211[[#This Row],[حسابهای دریافتنی]]+Table211[[#This Row],[چکهای در جریان وصول]]+Table211[[#This Row],[چکهای نزد صندوق]]</f>
        <v>640100</v>
      </c>
      <c r="G70" s="12">
        <f>IFERROR(INDEX('مانده سوفاله'!F:F,MATCH(Table211[[#This Row],[كد تفصيلي]],'مانده سوفاله'!A:A,0)),0)</f>
        <v>0</v>
      </c>
    </row>
    <row r="71" spans="1:7" ht="23.25" customHeight="1" x14ac:dyDescent="0.3">
      <c r="A71" s="29">
        <v>30109</v>
      </c>
      <c r="B71" s="25" t="s">
        <v>165</v>
      </c>
      <c r="C71" s="10">
        <f>IFERROR(INDEX('حسابهای دریافتنی'!H:H,MATCH(Table211[[#This Row],[كد تفصيلي]],'حسابهای دریافتنی'!A:A,0)),0)</f>
        <v>607300</v>
      </c>
      <c r="D71" s="11">
        <f>IFERROR(INDEX('درجریان وصول'!F:F,MATCH(Table211[[#This Row],[كد تفصيلي]],'درجریان وصول'!A:A,0)),0)</f>
        <v>0</v>
      </c>
      <c r="E71" s="11">
        <f>IFERROR(INDEX('چکهای دریافتنی'!F:F,MATCH(Table211[[#This Row],[كد تفصيلي]],'چکهای دریافتنی'!A:A,0)),0)</f>
        <v>0</v>
      </c>
      <c r="F71" s="11">
        <f>Table211[[#This Row],[حسابهای دریافتنی]]+Table211[[#This Row],[چکهای در جریان وصول]]+Table211[[#This Row],[چکهای نزد صندوق]]</f>
        <v>607300</v>
      </c>
      <c r="G71" s="12">
        <f>IFERROR(INDEX('مانده سوفاله'!F:F,MATCH(Table211[[#This Row],[كد تفصيلي]],'مانده سوفاله'!A:A,0)),0)</f>
        <v>0</v>
      </c>
    </row>
    <row r="72" spans="1:7" ht="23.25" customHeight="1" x14ac:dyDescent="0.3">
      <c r="A72" s="28">
        <v>10097</v>
      </c>
      <c r="B72" s="24" t="s">
        <v>270</v>
      </c>
      <c r="C72" s="10">
        <f>IFERROR(INDEX('حسابهای دریافتنی'!H:H,MATCH(Table211[[#This Row],[كد تفصيلي]],'حسابهای دریافتنی'!A:A,0)),0)</f>
        <v>270642500</v>
      </c>
      <c r="D72" s="11">
        <f>IFERROR(INDEX('درجریان وصول'!F:F,MATCH(Table211[[#This Row],[كد تفصيلي]],'درجریان وصول'!A:A,0)),0)</f>
        <v>0</v>
      </c>
      <c r="E72" s="11">
        <f>IFERROR(INDEX('چکهای دریافتنی'!F:F,MATCH(Table211[[#This Row],[كد تفصيلي]],'چکهای دریافتنی'!A:A,0)),0)</f>
        <v>287000000</v>
      </c>
      <c r="F72" s="11">
        <f>Table211[[#This Row],[حسابهای دریافتنی]]+Table211[[#This Row],[چکهای در جریان وصول]]+Table211[[#This Row],[چکهای نزد صندوق]]</f>
        <v>557642500</v>
      </c>
      <c r="G72" s="12">
        <f>IFERROR(INDEX('مانده سوفاله'!F:F,MATCH(Table211[[#This Row],[كد تفصيلي]],'مانده سوفاله'!A:A,0)),0)</f>
        <v>0</v>
      </c>
    </row>
    <row r="73" spans="1:7" ht="23.25" customHeight="1" x14ac:dyDescent="0.3">
      <c r="A73" s="29">
        <v>30010</v>
      </c>
      <c r="B73" s="25" t="s">
        <v>59</v>
      </c>
      <c r="C73" s="10">
        <f>IFERROR(INDEX('حسابهای دریافتنی'!H:H,MATCH(Table211[[#This Row],[كد تفصيلي]],'حسابهای دریافتنی'!A:A,0)),0)</f>
        <v>366215</v>
      </c>
      <c r="D73" s="11">
        <f>IFERROR(INDEX('درجریان وصول'!F:F,MATCH(Table211[[#This Row],[كد تفصيلي]],'درجریان وصول'!A:A,0)),0)</f>
        <v>0</v>
      </c>
      <c r="E73" s="11">
        <f>IFERROR(INDEX('چکهای دریافتنی'!F:F,MATCH(Table211[[#This Row],[كد تفصيلي]],'چکهای دریافتنی'!A:A,0)),0)</f>
        <v>0</v>
      </c>
      <c r="F73" s="11">
        <f>Table211[[#This Row],[حسابهای دریافتنی]]+Table211[[#This Row],[چکهای در جریان وصول]]+Table211[[#This Row],[چکهای نزد صندوق]]</f>
        <v>366215</v>
      </c>
      <c r="G73" s="12">
        <f>IFERROR(INDEX('مانده سوفاله'!F:F,MATCH(Table211[[#This Row],[كد تفصيلي]],'مانده سوفاله'!A:A,0)),0)</f>
        <v>8</v>
      </c>
    </row>
    <row r="74" spans="1:7" ht="23.25" customHeight="1" x14ac:dyDescent="0.3">
      <c r="A74" s="28">
        <v>30027</v>
      </c>
      <c r="B74" s="24" t="s">
        <v>75</v>
      </c>
      <c r="C74" s="10">
        <f>IFERROR(INDEX('حسابهای دریافتنی'!H:H,MATCH(Table211[[#This Row],[كد تفصيلي]],'حسابهای دریافتنی'!A:A,0)),0)</f>
        <v>326950</v>
      </c>
      <c r="D74" s="11">
        <f>IFERROR(INDEX('درجریان وصول'!F:F,MATCH(Table211[[#This Row],[كد تفصيلي]],'درجریان وصول'!A:A,0)),0)</f>
        <v>0</v>
      </c>
      <c r="E74" s="11">
        <f>IFERROR(INDEX('چکهای دریافتنی'!F:F,MATCH(Table211[[#This Row],[كد تفصيلي]],'چکهای دریافتنی'!A:A,0)),0)</f>
        <v>0</v>
      </c>
      <c r="F74" s="11">
        <f>Table211[[#This Row],[حسابهای دریافتنی]]+Table211[[#This Row],[چکهای در جریان وصول]]+Table211[[#This Row],[چکهای نزد صندوق]]</f>
        <v>326950</v>
      </c>
      <c r="G74" s="12">
        <f>IFERROR(INDEX('مانده سوفاله'!F:F,MATCH(Table211[[#This Row],[كد تفصيلي]],'مانده سوفاله'!A:A,0)),0)</f>
        <v>0</v>
      </c>
    </row>
    <row r="75" spans="1:7" ht="23.25" customHeight="1" x14ac:dyDescent="0.3">
      <c r="A75" s="29">
        <v>30135</v>
      </c>
      <c r="B75" s="25" t="s">
        <v>179</v>
      </c>
      <c r="C75" s="10">
        <f>IFERROR(INDEX('حسابهای دریافتنی'!H:H,MATCH(Table211[[#This Row],[كد تفصيلي]],'حسابهای دریافتنی'!A:A,0)),0)</f>
        <v>195000</v>
      </c>
      <c r="D75" s="11">
        <f>IFERROR(INDEX('درجریان وصول'!F:F,MATCH(Table211[[#This Row],[كد تفصيلي]],'درجریان وصول'!A:A,0)),0)</f>
        <v>0</v>
      </c>
      <c r="E75" s="11">
        <f>IFERROR(INDEX('چکهای دریافتنی'!F:F,MATCH(Table211[[#This Row],[كد تفصيلي]],'چکهای دریافتنی'!A:A,0)),0)</f>
        <v>0</v>
      </c>
      <c r="F75" s="11">
        <f>Table211[[#This Row],[حسابهای دریافتنی]]+Table211[[#This Row],[چکهای در جریان وصول]]+Table211[[#This Row],[چکهای نزد صندوق]]</f>
        <v>195000</v>
      </c>
      <c r="G75" s="12">
        <f>IFERROR(INDEX('مانده سوفاله'!F:F,MATCH(Table211[[#This Row],[كد تفصيلي]],'مانده سوفاله'!A:A,0)),0)</f>
        <v>-5</v>
      </c>
    </row>
    <row r="76" spans="1:7" ht="23.25" customHeight="1" x14ac:dyDescent="0.3">
      <c r="A76" s="29">
        <v>30020</v>
      </c>
      <c r="B76" s="25" t="s">
        <v>68</v>
      </c>
      <c r="C76" s="10">
        <f>IFERROR(INDEX('حسابهای دریافتنی'!H:H,MATCH(Table211[[#This Row],[كد تفصيلي]],'حسابهای دریافتنی'!A:A,0)),0)</f>
        <v>2253500</v>
      </c>
      <c r="D76" s="11">
        <f>IFERROR(INDEX('درجریان وصول'!F:F,MATCH(Table211[[#This Row],[كد تفصيلي]],'درجریان وصول'!A:A,0)),0)</f>
        <v>0</v>
      </c>
      <c r="E76" s="11">
        <f>IFERROR(INDEX('چکهای دریافتنی'!F:F,MATCH(Table211[[#This Row],[كد تفصيلي]],'چکهای دریافتنی'!A:A,0)),0)</f>
        <v>0</v>
      </c>
      <c r="F76" s="11">
        <f>Table211[[#This Row],[حسابهای دریافتنی]]+Table211[[#This Row],[چکهای در جریان وصول]]+Table211[[#This Row],[چکهای نزد صندوق]]</f>
        <v>2253500</v>
      </c>
      <c r="G76" s="12">
        <f>IFERROR(INDEX('مانده سوفاله'!F:F,MATCH(Table211[[#This Row],[كد تفصيلي]],'مانده سوفاله'!A:A,0)),0)</f>
        <v>4</v>
      </c>
    </row>
    <row r="77" spans="1:7" ht="23.25" customHeight="1" x14ac:dyDescent="0.3">
      <c r="A77" s="29">
        <v>10010</v>
      </c>
      <c r="B77" s="25" t="s">
        <v>17</v>
      </c>
      <c r="C77" s="10">
        <f>IFERROR(INDEX('حسابهای دریافتنی'!H:H,MATCH(Table211[[#This Row],[كد تفصيلي]],'حسابهای دریافتنی'!A:A,0)),0)</f>
        <v>0</v>
      </c>
      <c r="D77" s="11">
        <f>IFERROR(INDEX('درجریان وصول'!F:F,MATCH(Table211[[#This Row],[كد تفصيلي]],'درجریان وصول'!A:A,0)),0)</f>
        <v>0</v>
      </c>
      <c r="E77" s="11">
        <f>IFERROR(INDEX('چکهای دریافتنی'!F:F,MATCH(Table211[[#This Row],[كد تفصيلي]],'چکهای دریافتنی'!A:A,0)),0)</f>
        <v>0</v>
      </c>
      <c r="F77" s="11">
        <f>Table211[[#This Row],[حسابهای دریافتنی]]+Table211[[#This Row],[چکهای در جریان وصول]]+Table211[[#This Row],[چکهای نزد صندوق]]</f>
        <v>0</v>
      </c>
      <c r="G77" s="12">
        <f>IFERROR(INDEX('مانده سوفاله'!F:F,MATCH(Table211[[#This Row],[كد تفصيلي]],'مانده سوفاله'!A:A,0)),0)</f>
        <v>8</v>
      </c>
    </row>
    <row r="78" spans="1:7" ht="23.25" customHeight="1" x14ac:dyDescent="0.3">
      <c r="A78" s="28">
        <v>10023</v>
      </c>
      <c r="B78" s="24" t="s">
        <v>155</v>
      </c>
      <c r="C78" s="10">
        <f>IFERROR(INDEX('حسابهای دریافتنی'!H:H,MATCH(Table211[[#This Row],[كد تفصيلي]],'حسابهای دریافتنی'!A:A,0)),0)</f>
        <v>0</v>
      </c>
      <c r="D78" s="11">
        <f>IFERROR(INDEX('درجریان وصول'!F:F,MATCH(Table211[[#This Row],[كد تفصيلي]],'درجریان وصول'!A:A,0)),0)</f>
        <v>0</v>
      </c>
      <c r="E78" s="11">
        <f>IFERROR(INDEX('چکهای دریافتنی'!F:F,MATCH(Table211[[#This Row],[كد تفصيلي]],'چکهای دریافتنی'!A:A,0)),0)</f>
        <v>0</v>
      </c>
      <c r="F78" s="11">
        <f>Table211[[#This Row],[حسابهای دریافتنی]]+Table211[[#This Row],[چکهای در جریان وصول]]+Table211[[#This Row],[چکهای نزد صندوق]]</f>
        <v>0</v>
      </c>
      <c r="G78" s="12">
        <f>IFERROR(INDEX('مانده سوفاله'!F:F,MATCH(Table211[[#This Row],[كد تفصيلي]],'مانده سوفاله'!A:A,0)),0)</f>
        <v>6</v>
      </c>
    </row>
    <row r="79" spans="1:7" ht="23.25" customHeight="1" x14ac:dyDescent="0.3">
      <c r="A79" s="28">
        <v>10039</v>
      </c>
      <c r="B79" s="24" t="s">
        <v>45</v>
      </c>
      <c r="C79" s="10">
        <f>IFERROR(INDEX('حسابهای دریافتنی'!H:H,MATCH(Table211[[#This Row],[كد تفصيلي]],'حسابهای دریافتنی'!A:A,0)),0)</f>
        <v>0</v>
      </c>
      <c r="D79" s="11">
        <f>IFERROR(INDEX('درجریان وصول'!F:F,MATCH(Table211[[#This Row],[كد تفصيلي]],'درجریان وصول'!A:A,0)),0)</f>
        <v>0</v>
      </c>
      <c r="E79" s="11">
        <f>IFERROR(INDEX('چکهای دریافتنی'!F:F,MATCH(Table211[[#This Row],[كد تفصيلي]],'چکهای دریافتنی'!A:A,0)),0)</f>
        <v>0</v>
      </c>
      <c r="F79" s="11">
        <f>Table211[[#This Row],[حسابهای دریافتنی]]+Table211[[#This Row],[چکهای در جریان وصول]]+Table211[[#This Row],[چکهای نزد صندوق]]</f>
        <v>0</v>
      </c>
      <c r="G79" s="12">
        <f>IFERROR(INDEX('مانده سوفاله'!F:F,MATCH(Table211[[#This Row],[كد تفصيلي]],'مانده سوفاله'!A:A,0)),0)</f>
        <v>4</v>
      </c>
    </row>
    <row r="80" spans="1:7" customFormat="1" ht="23.25" customHeight="1" x14ac:dyDescent="0.35">
      <c r="A80" s="51">
        <v>10046</v>
      </c>
      <c r="B80" s="25" t="s">
        <v>51</v>
      </c>
      <c r="C80" s="10">
        <f>IFERROR(INDEX('حسابهای دریافتنی'!H:H,MATCH(Table211[[#This Row],[كد تفصيلي]],'حسابهای دریافتنی'!A:A,0)),0)</f>
        <v>0</v>
      </c>
      <c r="D80" s="11">
        <f>IFERROR(INDEX('درجریان وصول'!F:F,MATCH(Table211[[#This Row],[كد تفصيلي]],'درجریان وصول'!A:A,0)),0)</f>
        <v>0</v>
      </c>
      <c r="E80" s="11">
        <f>IFERROR(INDEX('چکهای دریافتنی'!F:F,MATCH(Table211[[#This Row],[كد تفصيلي]],'چکهای دریافتنی'!A:A,0)),0)</f>
        <v>0</v>
      </c>
      <c r="F80" s="11">
        <f>Table211[[#This Row],[حسابهای دریافتنی]]+Table211[[#This Row],[چکهای در جریان وصول]]+Table211[[#This Row],[چکهای نزد صندوق]]</f>
        <v>0</v>
      </c>
      <c r="G80" s="12">
        <f>IFERROR(INDEX('مانده سوفاله'!F:F,MATCH(Table211[[#This Row],[كد تفصيلي]],'مانده سوفاله'!A:A,0)),0)</f>
        <v>118</v>
      </c>
    </row>
    <row r="81" spans="1:7" customFormat="1" ht="23.25" customHeight="1" x14ac:dyDescent="0.35">
      <c r="A81" s="51">
        <v>10048</v>
      </c>
      <c r="B81" s="25" t="s">
        <v>191</v>
      </c>
      <c r="C81" s="10">
        <f>IFERROR(INDEX('حسابهای دریافتنی'!H:H,MATCH(Table211[[#This Row],[كد تفصيلي]],'حسابهای دریافتنی'!A:A,0)),0)</f>
        <v>0</v>
      </c>
      <c r="D81" s="11">
        <f>IFERROR(INDEX('درجریان وصول'!F:F,MATCH(Table211[[#This Row],[كد تفصيلي]],'درجریان وصول'!A:A,0)),0)</f>
        <v>0</v>
      </c>
      <c r="E81" s="11">
        <f>IFERROR(INDEX('چکهای دریافتنی'!F:F,MATCH(Table211[[#This Row],[كد تفصيلي]],'چکهای دریافتنی'!A:A,0)),0)</f>
        <v>0</v>
      </c>
      <c r="F81" s="11">
        <f>Table211[[#This Row],[حسابهای دریافتنی]]+Table211[[#This Row],[چکهای در جریان وصول]]+Table211[[#This Row],[چکهای نزد صندوق]]</f>
        <v>0</v>
      </c>
      <c r="G81" s="12">
        <f>IFERROR(INDEX('مانده سوفاله'!F:F,MATCH(Table211[[#This Row],[كد تفصيلي]],'مانده سوفاله'!A:A,0)),0)</f>
        <v>-1097</v>
      </c>
    </row>
    <row r="82" spans="1:7" customFormat="1" ht="23.25" customHeight="1" x14ac:dyDescent="0.35">
      <c r="A82" s="52">
        <v>10065</v>
      </c>
      <c r="B82" s="24" t="s">
        <v>228</v>
      </c>
      <c r="C82" s="10">
        <f>IFERROR(INDEX('حسابهای دریافتنی'!H:H,MATCH(Table211[[#This Row],[كد تفصيلي]],'حسابهای دریافتنی'!A:A,0)),0)</f>
        <v>0</v>
      </c>
      <c r="D82" s="11">
        <f>IFERROR(INDEX('درجریان وصول'!F:F,MATCH(Table211[[#This Row],[كد تفصيلي]],'درجریان وصول'!A:A,0)),0)</f>
        <v>0</v>
      </c>
      <c r="E82" s="11">
        <f>IFERROR(INDEX('چکهای دریافتنی'!F:F,MATCH(Table211[[#This Row],[كد تفصيلي]],'چکهای دریافتنی'!A:A,0)),0)</f>
        <v>0</v>
      </c>
      <c r="F82" s="11">
        <f>Table211[[#This Row],[حسابهای دریافتنی]]+Table211[[#This Row],[چکهای در جریان وصول]]+Table211[[#This Row],[چکهای نزد صندوق]]</f>
        <v>0</v>
      </c>
      <c r="G82" s="12">
        <f>IFERROR(INDEX('مانده سوفاله'!F:F,MATCH(Table211[[#This Row],[كد تفصيلي]],'مانده سوفاله'!A:A,0)),0)</f>
        <v>127</v>
      </c>
    </row>
    <row r="83" spans="1:7" customFormat="1" ht="23.25" customHeight="1" x14ac:dyDescent="0.35">
      <c r="A83" s="51">
        <v>10076</v>
      </c>
      <c r="B83" s="25" t="s">
        <v>182</v>
      </c>
      <c r="C83" s="10">
        <f>IFERROR(INDEX('حسابهای دریافتنی'!H:H,MATCH(Table211[[#This Row],[كد تفصيلي]],'حسابهای دریافتنی'!A:A,0)),0)</f>
        <v>0</v>
      </c>
      <c r="D83" s="11">
        <f>IFERROR(INDEX('درجریان وصول'!F:F,MATCH(Table211[[#This Row],[كد تفصيلي]],'درجریان وصول'!A:A,0)),0)</f>
        <v>0</v>
      </c>
      <c r="E83" s="11">
        <f>IFERROR(INDEX('چکهای دریافتنی'!F:F,MATCH(Table211[[#This Row],[كد تفصيلي]],'چکهای دریافتنی'!A:A,0)),0)</f>
        <v>0</v>
      </c>
      <c r="F83" s="11">
        <f>Table211[[#This Row],[حسابهای دریافتنی]]+Table211[[#This Row],[چکهای در جریان وصول]]+Table211[[#This Row],[چکهای نزد صندوق]]</f>
        <v>0</v>
      </c>
      <c r="G83" s="12">
        <f>IFERROR(INDEX('مانده سوفاله'!F:F,MATCH(Table211[[#This Row],[كد تفصيلي]],'مانده سوفاله'!A:A,0)),0)</f>
        <v>-13</v>
      </c>
    </row>
    <row r="84" spans="1:7" ht="23.25" customHeight="1" x14ac:dyDescent="0.3">
      <c r="A84" s="28">
        <v>30013</v>
      </c>
      <c r="B84" s="24" t="s">
        <v>62</v>
      </c>
      <c r="C84" s="10">
        <f>IFERROR(INDEX('حسابهای دریافتنی'!H:H,MATCH(Table211[[#This Row],[كد تفصيلي]],'حسابهای دریافتنی'!A:A,0)),0)</f>
        <v>-2744620</v>
      </c>
      <c r="D84" s="11">
        <f>IFERROR(INDEX('درجریان وصول'!F:F,MATCH(Table211[[#This Row],[كد تفصيلي]],'درجریان وصول'!A:A,0)),0)</f>
        <v>0</v>
      </c>
      <c r="E84" s="11">
        <f>IFERROR(INDEX('چکهای دریافتنی'!F:F,MATCH(Table211[[#This Row],[كد تفصيلي]],'چکهای دریافتنی'!A:A,0)),0)</f>
        <v>0</v>
      </c>
      <c r="F84" s="11">
        <f>Table211[[#This Row],[حسابهای دریافتنی]]+Table211[[#This Row],[چکهای در جریان وصول]]+Table211[[#This Row],[چکهای نزد صندوق]]</f>
        <v>-2744620</v>
      </c>
      <c r="G84" s="12">
        <f>IFERROR(INDEX('مانده سوفاله'!F:F,MATCH(Table211[[#This Row],[كد تفصيلي]],'مانده سوفاله'!A:A,0)),0)</f>
        <v>0</v>
      </c>
    </row>
    <row r="85" spans="1:7" ht="23.25" customHeight="1" x14ac:dyDescent="0.3">
      <c r="A85" s="29">
        <v>30065</v>
      </c>
      <c r="B85" s="25" t="s">
        <v>110</v>
      </c>
      <c r="C85" s="10">
        <f>IFERROR(INDEX('حسابهای دریافتنی'!H:H,MATCH(Table211[[#This Row],[كد تفصيلي]],'حسابهای دریافتنی'!A:A,0)),0)</f>
        <v>0</v>
      </c>
      <c r="D85" s="11">
        <f>IFERROR(INDEX('درجریان وصول'!F:F,MATCH(Table211[[#This Row],[كد تفصيلي]],'درجریان وصول'!A:A,0)),0)</f>
        <v>0</v>
      </c>
      <c r="E85" s="11">
        <f>IFERROR(INDEX('چکهای دریافتنی'!F:F,MATCH(Table211[[#This Row],[كد تفصيلي]],'چکهای دریافتنی'!A:A,0)),0)</f>
        <v>0</v>
      </c>
      <c r="F85" s="11">
        <f>Table211[[#This Row],[حسابهای دریافتنی]]+Table211[[#This Row],[چکهای در جریان وصول]]+Table211[[#This Row],[چکهای نزد صندوق]]</f>
        <v>0</v>
      </c>
      <c r="G85" s="12">
        <f>IFERROR(INDEX('مانده سوفاله'!F:F,MATCH(Table211[[#This Row],[كد تفصيلي]],'مانده سوفاله'!A:A,0)),0)</f>
        <v>33</v>
      </c>
    </row>
    <row r="86" spans="1:7" ht="23.25" customHeight="1" x14ac:dyDescent="0.3">
      <c r="A86" s="29">
        <v>30071</v>
      </c>
      <c r="B86" s="25" t="s">
        <v>116</v>
      </c>
      <c r="C86" s="10">
        <f>IFERROR(INDEX('حسابهای دریافتنی'!H:H,MATCH(Table211[[#This Row],[كد تفصيلي]],'حسابهای دریافتنی'!A:A,0)),0)</f>
        <v>0</v>
      </c>
      <c r="D86" s="11">
        <f>IFERROR(INDEX('درجریان وصول'!F:F,MATCH(Table211[[#This Row],[كد تفصيلي]],'درجریان وصول'!A:A,0)),0)</f>
        <v>0</v>
      </c>
      <c r="E86" s="11">
        <f>IFERROR(INDEX('چکهای دریافتنی'!F:F,MATCH(Table211[[#This Row],[كد تفصيلي]],'چکهای دریافتنی'!A:A,0)),0)</f>
        <v>0</v>
      </c>
      <c r="F86" s="11">
        <f>Table211[[#This Row],[حسابهای دریافتنی]]+Table211[[#This Row],[چکهای در جریان وصول]]+Table211[[#This Row],[چکهای نزد صندوق]]</f>
        <v>0</v>
      </c>
      <c r="G86" s="12">
        <f>IFERROR(INDEX('مانده سوفاله'!F:F,MATCH(Table211[[#This Row],[كد تفصيلي]],'مانده سوفاله'!A:A,0)),0)</f>
        <v>3</v>
      </c>
    </row>
    <row r="87" spans="1:7" ht="23.25" customHeight="1" x14ac:dyDescent="0.3">
      <c r="A87" s="29">
        <v>30077</v>
      </c>
      <c r="B87" s="25" t="s">
        <v>122</v>
      </c>
      <c r="C87" s="10">
        <f>IFERROR(INDEX('حسابهای دریافتنی'!H:H,MATCH(Table211[[#This Row],[كد تفصيلي]],'حسابهای دریافتنی'!A:A,0)),0)</f>
        <v>360000</v>
      </c>
      <c r="D87" s="11">
        <f>IFERROR(INDEX('درجریان وصول'!F:F,MATCH(Table211[[#This Row],[كد تفصيلي]],'درجریان وصول'!A:A,0)),0)</f>
        <v>0</v>
      </c>
      <c r="E87" s="11">
        <f>IFERROR(INDEX('چکهای دریافتنی'!F:F,MATCH(Table211[[#This Row],[كد تفصيلي]],'چکهای دریافتنی'!A:A,0)),0)</f>
        <v>0</v>
      </c>
      <c r="F87" s="11">
        <f>Table211[[#This Row],[حسابهای دریافتنی]]+Table211[[#This Row],[چکهای در جریان وصول]]+Table211[[#This Row],[چکهای نزد صندوق]]</f>
        <v>360000</v>
      </c>
      <c r="G87" s="12">
        <f>IFERROR(INDEX('مانده سوفاله'!F:F,MATCH(Table211[[#This Row],[كد تفصيلي]],'مانده سوفاله'!A:A,0)),0)</f>
        <v>-32</v>
      </c>
    </row>
    <row r="88" spans="1:7" ht="23.25" customHeight="1" x14ac:dyDescent="0.3">
      <c r="A88" s="29">
        <v>30079</v>
      </c>
      <c r="B88" s="25" t="s">
        <v>124</v>
      </c>
      <c r="C88" s="10">
        <f>IFERROR(INDEX('حسابهای دریافتنی'!H:H,MATCH(Table211[[#This Row],[كد تفصيلي]],'حسابهای دریافتنی'!A:A,0)),0)</f>
        <v>0</v>
      </c>
      <c r="D88" s="11">
        <f>IFERROR(INDEX('درجریان وصول'!F:F,MATCH(Table211[[#This Row],[كد تفصيلي]],'درجریان وصول'!A:A,0)),0)</f>
        <v>0</v>
      </c>
      <c r="E88" s="11">
        <f>IFERROR(INDEX('چکهای دریافتنی'!F:F,MATCH(Table211[[#This Row],[كد تفصيلي]],'چکهای دریافتنی'!A:A,0)),0)</f>
        <v>0</v>
      </c>
      <c r="F88" s="11">
        <f>Table211[[#This Row],[حسابهای دریافتنی]]+Table211[[#This Row],[چکهای در جریان وصول]]+Table211[[#This Row],[چکهای نزد صندوق]]</f>
        <v>0</v>
      </c>
      <c r="G88" s="12">
        <f>IFERROR(INDEX('مانده سوفاله'!F:F,MATCH(Table211[[#This Row],[كد تفصيلي]],'مانده سوفاله'!A:A,0)),0)</f>
        <v>-85</v>
      </c>
    </row>
    <row r="89" spans="1:7" ht="23.25" customHeight="1" x14ac:dyDescent="0.3">
      <c r="A89" s="29">
        <v>30097</v>
      </c>
      <c r="B89" s="25" t="s">
        <v>188</v>
      </c>
      <c r="C89" s="10">
        <f>IFERROR(INDEX('حسابهای دریافتنی'!H:H,MATCH(Table211[[#This Row],[كد تفصيلي]],'حسابهای دریافتنی'!A:A,0)),0)</f>
        <v>0</v>
      </c>
      <c r="D89" s="11">
        <f>IFERROR(INDEX('درجریان وصول'!F:F,MATCH(Table211[[#This Row],[كد تفصيلي]],'درجریان وصول'!A:A,0)),0)</f>
        <v>0</v>
      </c>
      <c r="E89" s="11">
        <f>IFERROR(INDEX('چکهای دریافتنی'!F:F,MATCH(Table211[[#This Row],[كد تفصيلي]],'چکهای دریافتنی'!A:A,0)),0)</f>
        <v>0</v>
      </c>
      <c r="F89" s="11">
        <f>Table211[[#This Row],[حسابهای دریافتنی]]+Table211[[#This Row],[چکهای در جریان وصول]]+Table211[[#This Row],[چکهای نزد صندوق]]</f>
        <v>0</v>
      </c>
      <c r="G89" s="12">
        <f>IFERROR(INDEX('مانده سوفاله'!F:F,MATCH(Table211[[#This Row],[كد تفصيلي]],'مانده سوفاله'!A:A,0)),0)</f>
        <v>-82</v>
      </c>
    </row>
    <row r="90" spans="1:7" ht="23.25" customHeight="1" x14ac:dyDescent="0.3">
      <c r="A90" s="28">
        <v>30118</v>
      </c>
      <c r="B90" s="24" t="s">
        <v>205</v>
      </c>
      <c r="C90" s="10">
        <f>IFERROR(INDEX('حسابهای دریافتنی'!H:H,MATCH(Table211[[#This Row],[كد تفصيلي]],'حسابهای دریافتنی'!A:A,0)),0)</f>
        <v>0</v>
      </c>
      <c r="D90" s="11">
        <f>IFERROR(INDEX('درجریان وصول'!F:F,MATCH(Table211[[#This Row],[كد تفصيلي]],'درجریان وصول'!A:A,0)),0)</f>
        <v>0</v>
      </c>
      <c r="E90" s="11">
        <f>IFERROR(INDEX('چکهای دریافتنی'!F:F,MATCH(Table211[[#This Row],[كد تفصيلي]],'چکهای دریافتنی'!A:A,0)),0)</f>
        <v>0</v>
      </c>
      <c r="F90" s="11">
        <f>Table211[[#This Row],[حسابهای دریافتنی]]+Table211[[#This Row],[چکهای در جریان وصول]]+Table211[[#This Row],[چکهای نزد صندوق]]</f>
        <v>0</v>
      </c>
      <c r="G90" s="12">
        <f>IFERROR(INDEX('مانده سوفاله'!F:F,MATCH(Table211[[#This Row],[كد تفصيلي]],'مانده سوفاله'!A:A,0)),0)</f>
        <v>-20</v>
      </c>
    </row>
    <row r="91" spans="1:7" ht="23.25" customHeight="1" x14ac:dyDescent="0.3">
      <c r="A91" s="29">
        <v>30137</v>
      </c>
      <c r="B91" s="25" t="s">
        <v>218</v>
      </c>
      <c r="C91" s="10">
        <f>IFERROR(INDEX('حسابهای دریافتنی'!H:H,MATCH(Table211[[#This Row],[كد تفصيلي]],'حسابهای دریافتنی'!A:A,0)),0)</f>
        <v>0</v>
      </c>
      <c r="D91" s="11">
        <f>IFERROR(INDEX('درجریان وصول'!F:F,MATCH(Table211[[#This Row],[كد تفصيلي]],'درجریان وصول'!A:A,0)),0)</f>
        <v>0</v>
      </c>
      <c r="E91" s="11">
        <f>IFERROR(INDEX('چکهای دریافتنی'!F:F,MATCH(Table211[[#This Row],[كد تفصيلي]],'چکهای دریافتنی'!A:A,0)),0)</f>
        <v>213182200</v>
      </c>
      <c r="F91" s="11">
        <f>Table211[[#This Row],[حسابهای دریافتنی]]+Table211[[#This Row],[چکهای در جریان وصول]]+Table211[[#This Row],[چکهای نزد صندوق]]</f>
        <v>213182200</v>
      </c>
      <c r="G91" s="12">
        <f>IFERROR(INDEX('مانده سوفاله'!F:F,MATCH(Table211[[#This Row],[كد تفصيلي]],'مانده سوفاله'!A:A,0)),0)</f>
        <v>0</v>
      </c>
    </row>
    <row r="92" spans="1:7" ht="23.25" customHeight="1" x14ac:dyDescent="0.3">
      <c r="A92" s="29">
        <v>30141</v>
      </c>
      <c r="B92" s="25" t="s">
        <v>261</v>
      </c>
      <c r="C92" s="10">
        <f>IFERROR(INDEX('حسابهای دریافتنی'!H:H,MATCH(Table211[[#This Row],[كد تفصيلي]],'حسابهای دریافتنی'!A:A,0)),0)</f>
        <v>0</v>
      </c>
      <c r="D92" s="11">
        <f>IFERROR(INDEX('درجریان وصول'!F:F,MATCH(Table211[[#This Row],[كد تفصيلي]],'درجریان وصول'!A:A,0)),0)</f>
        <v>0</v>
      </c>
      <c r="E92" s="11">
        <f>IFERROR(INDEX('چکهای دریافتنی'!F:F,MATCH(Table211[[#This Row],[كد تفصيلي]],'چکهای دریافتنی'!A:A,0)),0)</f>
        <v>0</v>
      </c>
      <c r="F92" s="11">
        <f>Table211[[#This Row],[حسابهای دریافتنی]]+Table211[[#This Row],[چکهای در جریان وصول]]+Table211[[#This Row],[چکهای نزد صندوق]]</f>
        <v>0</v>
      </c>
      <c r="G92" s="12">
        <f>IFERROR(INDEX('مانده سوفاله'!F:F,MATCH(Table211[[#This Row],[كد تفصيلي]],'مانده سوفاله'!A:A,0)),0)</f>
        <v>-42</v>
      </c>
    </row>
    <row r="93" spans="1:7" ht="23.25" customHeight="1" x14ac:dyDescent="0.3">
      <c r="A93" s="28">
        <v>30142</v>
      </c>
      <c r="B93" s="24" t="s">
        <v>263</v>
      </c>
      <c r="C93" s="10">
        <f>IFERROR(INDEX('حسابهای دریافتنی'!H:H,MATCH(Table211[[#This Row],[كد تفصيلي]],'حسابهای دریافتنی'!A:A,0)),0)</f>
        <v>0</v>
      </c>
      <c r="D93" s="11">
        <f>IFERROR(INDEX('درجریان وصول'!F:F,MATCH(Table211[[#This Row],[كد تفصيلي]],'درجریان وصول'!A:A,0)),0)</f>
        <v>0</v>
      </c>
      <c r="E93" s="11">
        <f>IFERROR(INDEX('چکهای دریافتنی'!F:F,MATCH(Table211[[#This Row],[كد تفصيلي]],'چکهای دریافتنی'!A:A,0)),0)</f>
        <v>0</v>
      </c>
      <c r="F93" s="11">
        <f>Table211[[#This Row],[حسابهای دریافتنی]]+Table211[[#This Row],[چکهای در جریان وصول]]+Table211[[#This Row],[چکهای نزد صندوق]]</f>
        <v>0</v>
      </c>
      <c r="G93" s="12">
        <f>IFERROR(INDEX('مانده سوفاله'!F:F,MATCH(Table211[[#This Row],[كد تفصيلي]],'مانده سوفاله'!A:A,0)),0)</f>
        <v>13</v>
      </c>
    </row>
    <row r="94" spans="1:7" ht="23.25" customHeight="1" x14ac:dyDescent="0.3">
      <c r="A94" s="28">
        <v>30186</v>
      </c>
      <c r="B94" s="24" t="s">
        <v>367</v>
      </c>
      <c r="C94" s="10">
        <f>IFERROR(INDEX('حسابهای دریافتنی'!H:H,MATCH(Table211[[#This Row],[كد تفصيلي]],'حسابهای دریافتنی'!A:A,0)),0)</f>
        <v>986425000</v>
      </c>
      <c r="D94" s="11">
        <f>IFERROR(INDEX('درجریان وصول'!F:F,MATCH(Table211[[#This Row],[كد تفصيلي]],'درجریان وصول'!A:A,0)),0)</f>
        <v>0</v>
      </c>
      <c r="E94" s="11">
        <f>IFERROR(INDEX('چکهای دریافتنی'!F:F,MATCH(Table211[[#This Row],[كد تفصيلي]],'چکهای دریافتنی'!A:A,0)),0)</f>
        <v>5982430000</v>
      </c>
      <c r="F94" s="11">
        <f>Table211[[#This Row],[حسابهای دریافتنی]]+Table211[[#This Row],[چکهای در جریان وصول]]+Table211[[#This Row],[چکهای نزد صندوق]]</f>
        <v>6968855000</v>
      </c>
      <c r="G94" s="12">
        <f>IFERROR(INDEX('مانده سوفاله'!F:F,MATCH(Table211[[#This Row],[كد تفصيلي]],'مانده سوفاله'!A:A,0)),0)</f>
        <v>-7388</v>
      </c>
    </row>
    <row r="95" spans="1:7" ht="23.25" customHeight="1" x14ac:dyDescent="0.3">
      <c r="A95" s="29">
        <v>79010</v>
      </c>
      <c r="B95" s="25" t="s">
        <v>176</v>
      </c>
      <c r="C95" s="10">
        <f>IFERROR(INDEX('حسابهای دریافتنی'!H:H,MATCH(Table211[[#This Row],[كد تفصيلي]],'حسابهای دریافتنی'!A:A,0)),0)</f>
        <v>0</v>
      </c>
      <c r="D95" s="11">
        <f>IFERROR(INDEX('درجریان وصول'!F:F,MATCH(Table211[[#This Row],[كد تفصيلي]],'درجریان وصول'!A:A,0)),0)</f>
        <v>0</v>
      </c>
      <c r="E95" s="11">
        <f>IFERROR(INDEX('چکهای دریافتنی'!F:F,MATCH(Table211[[#This Row],[كد تفصيلي]],'چکهای دریافتنی'!A:A,0)),0)</f>
        <v>0</v>
      </c>
      <c r="F95" s="11">
        <f>Table211[[#This Row],[حسابهای دریافتنی]]+Table211[[#This Row],[چکهای در جریان وصول]]+Table211[[#This Row],[چکهای نزد صندوق]]</f>
        <v>0</v>
      </c>
      <c r="G95" s="12">
        <f>IFERROR(INDEX('مانده سوفاله'!F:F,MATCH(Table211[[#This Row],[كد تفصيلي]],'مانده سوفاله'!A:A,0)),0)</f>
        <v>-110</v>
      </c>
    </row>
    <row r="96" spans="1:7" ht="23.25" customHeight="1" x14ac:dyDescent="0.3">
      <c r="A96" s="29">
        <v>30026</v>
      </c>
      <c r="B96" s="25" t="s">
        <v>74</v>
      </c>
      <c r="C96" s="10">
        <f>IFERROR(INDEX('حسابهای دریافتنی'!H:H,MATCH(Table211[[#This Row],[كد تفصيلي]],'حسابهای دریافتنی'!A:A,0)),0)</f>
        <v>5689439</v>
      </c>
      <c r="D96" s="11">
        <f>IFERROR(INDEX('درجریان وصول'!F:F,MATCH(Table211[[#This Row],[كد تفصيلي]],'درجریان وصول'!A:A,0)),0)</f>
        <v>0</v>
      </c>
      <c r="E96" s="11">
        <f>IFERROR(INDEX('چکهای دریافتنی'!F:F,MATCH(Table211[[#This Row],[كد تفصيلي]],'چکهای دریافتنی'!A:A,0)),0)</f>
        <v>0</v>
      </c>
      <c r="F96" s="11">
        <f>Table211[[#This Row],[حسابهای دریافتنی]]+Table211[[#This Row],[چکهای در جریان وصول]]+Table211[[#This Row],[چکهای نزد صندوق]]</f>
        <v>5689439</v>
      </c>
      <c r="G96" s="12">
        <f>IFERROR(INDEX('مانده سوفاله'!F:F,MATCH(Table211[[#This Row],[كد تفصيلي]],'مانده سوفاله'!A:A,0)),0)</f>
        <v>764</v>
      </c>
    </row>
    <row r="97" spans="1:7" ht="23.25" customHeight="1" x14ac:dyDescent="0.3">
      <c r="A97" s="28">
        <v>30164</v>
      </c>
      <c r="B97" s="24" t="s">
        <v>304</v>
      </c>
      <c r="C97" s="10">
        <f>IFERROR(INDEX('حسابهای دریافتنی'!H:H,MATCH(Table211[[#This Row],[كد تفصيلي]],'حسابهای دریافتنی'!A:A,0)),0)</f>
        <v>184944000</v>
      </c>
      <c r="D97" s="11">
        <f>IFERROR(INDEX('درجریان وصول'!F:F,MATCH(Table211[[#This Row],[كد تفصيلي]],'درجریان وصول'!A:A,0)),0)</f>
        <v>0</v>
      </c>
      <c r="E97" s="11">
        <f>IFERROR(INDEX('چکهای دریافتنی'!F:F,MATCH(Table211[[#This Row],[كد تفصيلي]],'چکهای دریافتنی'!A:A,0)),0)</f>
        <v>0</v>
      </c>
      <c r="F97" s="11">
        <f>Table211[[#This Row],[حسابهای دریافتنی]]+Table211[[#This Row],[چکهای در جریان وصول]]+Table211[[#This Row],[چکهای نزد صندوق]]</f>
        <v>184944000</v>
      </c>
      <c r="G97" s="12">
        <f>IFERROR(INDEX('مانده سوفاله'!F:F,MATCH(Table211[[#This Row],[كد تفصيلي]],'مانده سوفاله'!A:A,0)),0)</f>
        <v>561</v>
      </c>
    </row>
    <row r="98" spans="1:7" ht="23.25" customHeight="1" x14ac:dyDescent="0.3">
      <c r="A98" s="29">
        <v>10109</v>
      </c>
      <c r="B98" s="25" t="s">
        <v>303</v>
      </c>
      <c r="C98" s="10">
        <f>IFERROR(INDEX('حسابهای دریافتنی'!H:H,MATCH(Table211[[#This Row],[كد تفصيلي]],'حسابهای دریافتنی'!A:A,0)),0)</f>
        <v>-1124737000</v>
      </c>
      <c r="D98" s="11">
        <f>IFERROR(INDEX('درجریان وصول'!F:F,MATCH(Table211[[#This Row],[كد تفصيلي]],'درجریان وصول'!A:A,0)),0)</f>
        <v>0</v>
      </c>
      <c r="E98" s="11">
        <f>IFERROR(INDEX('چکهای دریافتنی'!F:F,MATCH(Table211[[#This Row],[كد تفصيلي]],'چکهای دریافتنی'!A:A,0)),0)</f>
        <v>0</v>
      </c>
      <c r="F98" s="11">
        <f>Table211[[#This Row],[حسابهای دریافتنی]]+Table211[[#This Row],[چکهای در جریان وصول]]+Table211[[#This Row],[چکهای نزد صندوق]]</f>
        <v>-1124737000</v>
      </c>
      <c r="G98" s="12">
        <f>IFERROR(INDEX('مانده سوفاله'!F:F,MATCH(Table211[[#This Row],[كد تفصيلي]],'مانده سوفاله'!A:A,0)),0)</f>
        <v>-241</v>
      </c>
    </row>
    <row r="99" spans="1:7" ht="23.25" customHeight="1" x14ac:dyDescent="0.3">
      <c r="A99" s="28">
        <v>30021</v>
      </c>
      <c r="B99" s="24" t="s">
        <v>69</v>
      </c>
      <c r="C99" s="10">
        <f>IFERROR(INDEX('حسابهای دریافتنی'!H:H,MATCH(Table211[[#This Row],[كد تفصيلي]],'حسابهای دریافتنی'!A:A,0)),0)</f>
        <v>-122000</v>
      </c>
      <c r="D99" s="11">
        <f>IFERROR(INDEX('درجریان وصول'!F:F,MATCH(Table211[[#This Row],[كد تفصيلي]],'درجریان وصول'!A:A,0)),0)</f>
        <v>0</v>
      </c>
      <c r="E99" s="11">
        <f>IFERROR(INDEX('چکهای دریافتنی'!F:F,MATCH(Table211[[#This Row],[كد تفصيلي]],'چکهای دریافتنی'!A:A,0)),0)</f>
        <v>0</v>
      </c>
      <c r="F99" s="11">
        <f>Table211[[#This Row],[حسابهای دریافتنی]]+Table211[[#This Row],[چکهای در جریان وصول]]+Table211[[#This Row],[چکهای نزد صندوق]]</f>
        <v>-122000</v>
      </c>
      <c r="G99" s="12">
        <f>IFERROR(INDEX('مانده سوفاله'!F:F,MATCH(Table211[[#This Row],[كد تفصيلي]],'مانده سوفاله'!A:A,0)),0)</f>
        <v>0</v>
      </c>
    </row>
    <row r="100" spans="1:7" ht="23.25" customHeight="1" x14ac:dyDescent="0.3">
      <c r="A100" s="29">
        <v>10066</v>
      </c>
      <c r="B100" s="25" t="s">
        <v>262</v>
      </c>
      <c r="C100" s="10">
        <f>IFERROR(INDEX('حسابهای دریافتنی'!H:H,MATCH(Table211[[#This Row],[كد تفصيلي]],'حسابهای دریافتنی'!A:A,0)),0)</f>
        <v>-191500</v>
      </c>
      <c r="D100" s="11">
        <f>IFERROR(INDEX('درجریان وصول'!F:F,MATCH(Table211[[#This Row],[كد تفصيلي]],'درجریان وصول'!A:A,0)),0)</f>
        <v>0</v>
      </c>
      <c r="E100" s="11">
        <f>IFERROR(INDEX('چکهای دریافتنی'!F:F,MATCH(Table211[[#This Row],[كد تفصيلي]],'چکهای دریافتنی'!A:A,0)),0)</f>
        <v>0</v>
      </c>
      <c r="F100" s="11">
        <f>Table211[[#This Row],[حسابهای دریافتنی]]+Table211[[#This Row],[چکهای در جریان وصول]]+Table211[[#This Row],[چکهای نزد صندوق]]</f>
        <v>-191500</v>
      </c>
      <c r="G100" s="12">
        <f>IFERROR(INDEX('مانده سوفاله'!F:F,MATCH(Table211[[#This Row],[كد تفصيلي]],'مانده سوفاله'!A:A,0)),0)</f>
        <v>2</v>
      </c>
    </row>
    <row r="101" spans="1:7" ht="23.25" customHeight="1" x14ac:dyDescent="0.3">
      <c r="A101" s="29">
        <v>30167</v>
      </c>
      <c r="B101" s="25" t="s">
        <v>311</v>
      </c>
      <c r="C101" s="10">
        <f>IFERROR(INDEX('حسابهای دریافتنی'!H:H,MATCH(Table211[[#This Row],[كد تفصيلي]],'حسابهای دریافتنی'!A:A,0)),0)</f>
        <v>-221000</v>
      </c>
      <c r="D101" s="11">
        <f>IFERROR(INDEX('درجریان وصول'!F:F,MATCH(Table211[[#This Row],[كد تفصيلي]],'درجریان وصول'!A:A,0)),0)</f>
        <v>0</v>
      </c>
      <c r="E101" s="11">
        <f>IFERROR(INDEX('چکهای دریافتنی'!F:F,MATCH(Table211[[#This Row],[كد تفصيلي]],'چکهای دریافتنی'!A:A,0)),0)</f>
        <v>0</v>
      </c>
      <c r="F101" s="11">
        <f>Table211[[#This Row],[حسابهای دریافتنی]]+Table211[[#This Row],[چکهای در جریان وصول]]+Table211[[#This Row],[چکهای نزد صندوق]]</f>
        <v>-221000</v>
      </c>
      <c r="G101" s="12">
        <f>IFERROR(INDEX('مانده سوفاله'!F:F,MATCH(Table211[[#This Row],[كد تفصيلي]],'مانده سوفاله'!A:A,0)),0)</f>
        <v>6</v>
      </c>
    </row>
    <row r="102" spans="1:7" ht="23.25" customHeight="1" x14ac:dyDescent="0.3">
      <c r="A102" s="28">
        <v>10077</v>
      </c>
      <c r="B102" s="24" t="s">
        <v>210</v>
      </c>
      <c r="C102" s="10">
        <f>IFERROR(INDEX('حسابهای دریافتنی'!H:H,MATCH(Table211[[#This Row],[كد تفصيلي]],'حسابهای دریافتنی'!A:A,0)),0)</f>
        <v>-238500</v>
      </c>
      <c r="D102" s="11">
        <f>IFERROR(INDEX('درجریان وصول'!F:F,MATCH(Table211[[#This Row],[كد تفصيلي]],'درجریان وصول'!A:A,0)),0)</f>
        <v>0</v>
      </c>
      <c r="E102" s="11">
        <f>IFERROR(INDEX('چکهای دریافتنی'!F:F,MATCH(Table211[[#This Row],[كد تفصيلي]],'چکهای دریافتنی'!A:A,0)),0)</f>
        <v>0</v>
      </c>
      <c r="F102" s="11">
        <f>Table211[[#This Row],[حسابهای دریافتنی]]+Table211[[#This Row],[چکهای در جریان وصول]]+Table211[[#This Row],[چکهای نزد صندوق]]</f>
        <v>-238500</v>
      </c>
      <c r="G102" s="12">
        <f>IFERROR(INDEX('مانده سوفاله'!F:F,MATCH(Table211[[#This Row],[كد تفصيلي]],'مانده سوفاله'!A:A,0)),0)</f>
        <v>0</v>
      </c>
    </row>
    <row r="103" spans="1:7" ht="23.25" customHeight="1" x14ac:dyDescent="0.3">
      <c r="A103" s="29">
        <v>10012</v>
      </c>
      <c r="B103" s="25" t="s">
        <v>19</v>
      </c>
      <c r="C103" s="10">
        <f>IFERROR(INDEX('حسابهای دریافتنی'!H:H,MATCH(Table211[[#This Row],[كد تفصيلي]],'حسابهای دریافتنی'!A:A,0)),0)</f>
        <v>-244000</v>
      </c>
      <c r="D103" s="11">
        <f>IFERROR(INDEX('درجریان وصول'!F:F,MATCH(Table211[[#This Row],[كد تفصيلي]],'درجریان وصول'!A:A,0)),0)</f>
        <v>0</v>
      </c>
      <c r="E103" s="11">
        <f>IFERROR(INDEX('چکهای دریافتنی'!F:F,MATCH(Table211[[#This Row],[كد تفصيلي]],'چکهای دریافتنی'!A:A,0)),0)</f>
        <v>0</v>
      </c>
      <c r="F103" s="11">
        <f>Table211[[#This Row],[حسابهای دریافتنی]]+Table211[[#This Row],[چکهای در جریان وصول]]+Table211[[#This Row],[چکهای نزد صندوق]]</f>
        <v>-244000</v>
      </c>
      <c r="G103" s="12">
        <f>IFERROR(INDEX('مانده سوفاله'!F:F,MATCH(Table211[[#This Row],[كد تفصيلي]],'مانده سوفاله'!A:A,0)),0)</f>
        <v>0</v>
      </c>
    </row>
    <row r="104" spans="1:7" ht="23.25" customHeight="1" x14ac:dyDescent="0.3">
      <c r="A104" s="28">
        <v>30088</v>
      </c>
      <c r="B104" s="24" t="s">
        <v>142</v>
      </c>
      <c r="C104" s="10">
        <f>IFERROR(INDEX('حسابهای دریافتنی'!H:H,MATCH(Table211[[#This Row],[كد تفصيلي]],'حسابهای دریافتنی'!A:A,0)),0)</f>
        <v>-252000</v>
      </c>
      <c r="D104" s="11">
        <f>IFERROR(INDEX('درجریان وصول'!F:F,MATCH(Table211[[#This Row],[كد تفصيلي]],'درجریان وصول'!A:A,0)),0)</f>
        <v>0</v>
      </c>
      <c r="E104" s="11">
        <f>IFERROR(INDEX('چکهای دریافتنی'!F:F,MATCH(Table211[[#This Row],[كد تفصيلي]],'چکهای دریافتنی'!A:A,0)),0)</f>
        <v>0</v>
      </c>
      <c r="F104" s="11">
        <f>Table211[[#This Row],[حسابهای دریافتنی]]+Table211[[#This Row],[چکهای در جریان وصول]]+Table211[[#This Row],[چکهای نزد صندوق]]</f>
        <v>-252000</v>
      </c>
      <c r="G104" s="12">
        <f>IFERROR(INDEX('مانده سوفاله'!F:F,MATCH(Table211[[#This Row],[كد تفصيلي]],'مانده سوفاله'!A:A,0)),0)</f>
        <v>0</v>
      </c>
    </row>
    <row r="105" spans="1:7" ht="23.25" customHeight="1" x14ac:dyDescent="0.3">
      <c r="A105" s="28">
        <v>10128</v>
      </c>
      <c r="B105" s="24" t="s">
        <v>372</v>
      </c>
      <c r="C105" s="10">
        <f>IFERROR(INDEX('حسابهای دریافتنی'!H:H,MATCH(Table211[[#This Row],[كد تفصيلي]],'حسابهای دریافتنی'!A:A,0)),0)</f>
        <v>-45000</v>
      </c>
      <c r="D105" s="11">
        <f>IFERROR(INDEX('درجریان وصول'!F:F,MATCH(Table211[[#This Row],[كد تفصيلي]],'درجریان وصول'!A:A,0)),0)</f>
        <v>0</v>
      </c>
      <c r="E105" s="11">
        <f>IFERROR(INDEX('چکهای دریافتنی'!F:F,MATCH(Table211[[#This Row],[كد تفصيلي]],'چکهای دریافتنی'!A:A,0)),0)</f>
        <v>0</v>
      </c>
      <c r="F105" s="11">
        <f>Table211[[#This Row],[حسابهای دریافتنی]]+Table211[[#This Row],[چکهای در جریان وصول]]+Table211[[#This Row],[چکهای نزد صندوق]]</f>
        <v>-45000</v>
      </c>
      <c r="G105" s="12">
        <f>IFERROR(INDEX('مانده سوفاله'!F:F,MATCH(Table211[[#This Row],[كد تفصيلي]],'مانده سوفاله'!A:A,0)),0)</f>
        <v>6</v>
      </c>
    </row>
    <row r="106" spans="1:7" ht="23.25" customHeight="1" x14ac:dyDescent="0.3">
      <c r="A106" s="28">
        <v>10045</v>
      </c>
      <c r="B106" s="24" t="s">
        <v>50</v>
      </c>
      <c r="C106" s="10">
        <f>IFERROR(INDEX('حسابهای دریافتنی'!H:H,MATCH(Table211[[#This Row],[كد تفصيلي]],'حسابهای دریافتنی'!A:A,0)),0)</f>
        <v>-383000</v>
      </c>
      <c r="D106" s="11">
        <f>IFERROR(INDEX('درجریان وصول'!F:F,MATCH(Table211[[#This Row],[كد تفصيلي]],'درجریان وصول'!A:A,0)),0)</f>
        <v>0</v>
      </c>
      <c r="E106" s="11">
        <f>IFERROR(INDEX('چکهای دریافتنی'!F:F,MATCH(Table211[[#This Row],[كد تفصيلي]],'چکهای دریافتنی'!A:A,0)),0)</f>
        <v>0</v>
      </c>
      <c r="F106" s="11">
        <f>Table211[[#This Row],[حسابهای دریافتنی]]+Table211[[#This Row],[چکهای در جریان وصول]]+Table211[[#This Row],[چکهای نزد صندوق]]</f>
        <v>-383000</v>
      </c>
      <c r="G106" s="12">
        <f>IFERROR(INDEX('مانده سوفاله'!F:F,MATCH(Table211[[#This Row],[كد تفصيلي]],'مانده سوفاله'!A:A,0)),0)</f>
        <v>-30</v>
      </c>
    </row>
    <row r="107" spans="1:7" ht="23.25" customHeight="1" x14ac:dyDescent="0.3">
      <c r="A107" s="28">
        <v>30051</v>
      </c>
      <c r="B107" s="24" t="s">
        <v>98</v>
      </c>
      <c r="C107" s="10">
        <f>IFERROR(INDEX('حسابهای دریافتنی'!H:H,MATCH(Table211[[#This Row],[كد تفصيلي]],'حسابهای دریافتنی'!A:A,0)),0)</f>
        <v>-384000</v>
      </c>
      <c r="D107" s="11">
        <f>IFERROR(INDEX('درجریان وصول'!F:F,MATCH(Table211[[#This Row],[كد تفصيلي]],'درجریان وصول'!A:A,0)),0)</f>
        <v>0</v>
      </c>
      <c r="E107" s="11">
        <f>IFERROR(INDEX('چکهای دریافتنی'!F:F,MATCH(Table211[[#This Row],[كد تفصيلي]],'چکهای دریافتنی'!A:A,0)),0)</f>
        <v>0</v>
      </c>
      <c r="F107" s="11">
        <f>Table211[[#This Row],[حسابهای دریافتنی]]+Table211[[#This Row],[چکهای در جریان وصول]]+Table211[[#This Row],[چکهای نزد صندوق]]</f>
        <v>-384000</v>
      </c>
      <c r="G107" s="12">
        <f>IFERROR(INDEX('مانده سوفاله'!F:F,MATCH(Table211[[#This Row],[كد تفصيلي]],'مانده سوفاله'!A:A,0)),0)</f>
        <v>0</v>
      </c>
    </row>
    <row r="108" spans="1:7" ht="23.25" customHeight="1" x14ac:dyDescent="0.3">
      <c r="A108" s="29">
        <v>30044</v>
      </c>
      <c r="B108" s="25" t="s">
        <v>91</v>
      </c>
      <c r="C108" s="10">
        <f>IFERROR(INDEX('حسابهای دریافتنی'!H:H,MATCH(Table211[[#This Row],[كد تفصيلي]],'حسابهای دریافتنی'!A:A,0)),0)</f>
        <v>-492500</v>
      </c>
      <c r="D108" s="11">
        <f>IFERROR(INDEX('درجریان وصول'!F:F,MATCH(Table211[[#This Row],[كد تفصيلي]],'درجریان وصول'!A:A,0)),0)</f>
        <v>0</v>
      </c>
      <c r="E108" s="11">
        <f>IFERROR(INDEX('چکهای دریافتنی'!F:F,MATCH(Table211[[#This Row],[كد تفصيلي]],'چکهای دریافتنی'!A:A,0)),0)</f>
        <v>0</v>
      </c>
      <c r="F108" s="11">
        <f>Table211[[#This Row],[حسابهای دریافتنی]]+Table211[[#This Row],[چکهای در جریان وصول]]+Table211[[#This Row],[چکهای نزد صندوق]]</f>
        <v>-492500</v>
      </c>
      <c r="G108" s="12">
        <f>IFERROR(INDEX('مانده سوفاله'!F:F,MATCH(Table211[[#This Row],[كد تفصيلي]],'مانده سوفاله'!A:A,0)),0)</f>
        <v>2</v>
      </c>
    </row>
    <row r="109" spans="1:7" ht="23.25" customHeight="1" x14ac:dyDescent="0.3">
      <c r="A109" s="28">
        <v>10095</v>
      </c>
      <c r="B109" s="24" t="s">
        <v>268</v>
      </c>
      <c r="C109" s="10">
        <f>IFERROR(INDEX('حسابهای دریافتنی'!H:H,MATCH(Table211[[#This Row],[كد تفصيلي]],'حسابهای دریافتنی'!A:A,0)),0)</f>
        <v>-496500</v>
      </c>
      <c r="D109" s="11">
        <f>IFERROR(INDEX('درجریان وصول'!F:F,MATCH(Table211[[#This Row],[كد تفصيلي]],'درجریان وصول'!A:A,0)),0)</f>
        <v>0</v>
      </c>
      <c r="E109" s="11">
        <f>IFERROR(INDEX('چکهای دریافتنی'!F:F,MATCH(Table211[[#This Row],[كد تفصيلي]],'چکهای دریافتنی'!A:A,0)),0)</f>
        <v>0</v>
      </c>
      <c r="F109" s="11">
        <f>Table211[[#This Row],[حسابهای دریافتنی]]+Table211[[#This Row],[چکهای در جریان وصول]]+Table211[[#This Row],[چکهای نزد صندوق]]</f>
        <v>-496500</v>
      </c>
      <c r="G109" s="12">
        <f>IFERROR(INDEX('مانده سوفاله'!F:F,MATCH(Table211[[#This Row],[كد تفصيلي]],'مانده سوفاله'!A:A,0)),0)</f>
        <v>0</v>
      </c>
    </row>
    <row r="110" spans="1:7" ht="23.25" customHeight="1" x14ac:dyDescent="0.3">
      <c r="A110" s="29">
        <v>30052</v>
      </c>
      <c r="B110" s="25" t="s">
        <v>149</v>
      </c>
      <c r="C110" s="10">
        <f>IFERROR(INDEX('حسابهای دریافتنی'!H:H,MATCH(Table211[[#This Row],[كد تفصيلي]],'حسابهای دریافتنی'!A:A,0)),0)</f>
        <v>-539000</v>
      </c>
      <c r="D110" s="11">
        <f>IFERROR(INDEX('درجریان وصول'!F:F,MATCH(Table211[[#This Row],[كد تفصيلي]],'درجریان وصول'!A:A,0)),0)</f>
        <v>0</v>
      </c>
      <c r="E110" s="11">
        <f>IFERROR(INDEX('چکهای دریافتنی'!F:F,MATCH(Table211[[#This Row],[كد تفصيلي]],'چکهای دریافتنی'!A:A,0)),0)</f>
        <v>0</v>
      </c>
      <c r="F110" s="11">
        <f>Table211[[#This Row],[حسابهای دریافتنی]]+Table211[[#This Row],[چکهای در جریان وصول]]+Table211[[#This Row],[چکهای نزد صندوق]]</f>
        <v>-539000</v>
      </c>
      <c r="G110" s="12">
        <f>IFERROR(INDEX('مانده سوفاله'!F:F,MATCH(Table211[[#This Row],[كد تفصيلي]],'مانده سوفاله'!A:A,0)),0)</f>
        <v>0</v>
      </c>
    </row>
    <row r="111" spans="1:7" ht="23.25" customHeight="1" x14ac:dyDescent="0.3">
      <c r="A111" s="28">
        <v>10061</v>
      </c>
      <c r="B111" s="24" t="s">
        <v>194</v>
      </c>
      <c r="C111" s="10">
        <f>IFERROR(INDEX('حسابهای دریافتنی'!H:H,MATCH(Table211[[#This Row],[كد تفصيلي]],'حسابهای دریافتنی'!A:A,0)),0)</f>
        <v>-565500</v>
      </c>
      <c r="D111" s="11">
        <f>IFERROR(INDEX('درجریان وصول'!F:F,MATCH(Table211[[#This Row],[كد تفصيلي]],'درجریان وصول'!A:A,0)),0)</f>
        <v>0</v>
      </c>
      <c r="E111" s="11">
        <f>IFERROR(INDEX('چکهای دریافتنی'!F:F,MATCH(Table211[[#This Row],[كد تفصيلي]],'چکهای دریافتنی'!A:A,0)),0)</f>
        <v>0</v>
      </c>
      <c r="F111" s="11">
        <f>Table211[[#This Row],[حسابهای دریافتنی]]+Table211[[#This Row],[چکهای در جریان وصول]]+Table211[[#This Row],[چکهای نزد صندوق]]</f>
        <v>-565500</v>
      </c>
      <c r="G111" s="12">
        <f>IFERROR(INDEX('مانده سوفاله'!F:F,MATCH(Table211[[#This Row],[كد تفصيلي]],'مانده سوفاله'!A:A,0)),0)</f>
        <v>0</v>
      </c>
    </row>
    <row r="112" spans="1:7" ht="23.25" customHeight="1" x14ac:dyDescent="0.3">
      <c r="A112" s="28">
        <v>10118</v>
      </c>
      <c r="B112" s="24" t="s">
        <v>334</v>
      </c>
      <c r="C112" s="10">
        <f>IFERROR(INDEX('حسابهای دریافتنی'!H:H,MATCH(Table211[[#This Row],[كد تفصيلي]],'حسابهای دریافتنی'!A:A,0)),0)</f>
        <v>-587500</v>
      </c>
      <c r="D112" s="11">
        <f>IFERROR(INDEX('درجریان وصول'!F:F,MATCH(Table211[[#This Row],[كد تفصيلي]],'درجریان وصول'!A:A,0)),0)</f>
        <v>0</v>
      </c>
      <c r="E112" s="11">
        <f>IFERROR(INDEX('چکهای دریافتنی'!F:F,MATCH(Table211[[#This Row],[كد تفصيلي]],'چکهای دریافتنی'!A:A,0)),0)</f>
        <v>0</v>
      </c>
      <c r="F112" s="11">
        <f>Table211[[#This Row],[حسابهای دریافتنی]]+Table211[[#This Row],[چکهای در جریان وصول]]+Table211[[#This Row],[چکهای نزد صندوق]]</f>
        <v>-587500</v>
      </c>
      <c r="G112" s="12">
        <f>IFERROR(INDEX('مانده سوفاله'!F:F,MATCH(Table211[[#This Row],[كد تفصيلي]],'مانده سوفاله'!A:A,0)),0)</f>
        <v>0</v>
      </c>
    </row>
    <row r="113" spans="1:7" ht="23.25" customHeight="1" x14ac:dyDescent="0.3">
      <c r="A113" s="29">
        <v>10018</v>
      </c>
      <c r="B113" s="25" t="s">
        <v>25</v>
      </c>
      <c r="C113" s="10">
        <f>IFERROR(INDEX('حسابهای دریافتنی'!H:H,MATCH(Table211[[#This Row],[كد تفصيلي]],'حسابهای دریافتنی'!A:A,0)),0)</f>
        <v>95282000</v>
      </c>
      <c r="D113" s="11">
        <f>IFERROR(INDEX('درجریان وصول'!F:F,MATCH(Table211[[#This Row],[كد تفصيلي]],'درجریان وصول'!A:A,0)),0)</f>
        <v>0</v>
      </c>
      <c r="E113" s="11">
        <f>IFERROR(INDEX('چکهای دریافتنی'!F:F,MATCH(Table211[[#This Row],[كد تفصيلي]],'چکهای دریافتنی'!A:A,0)),0)</f>
        <v>0</v>
      </c>
      <c r="F113" s="11">
        <f>Table211[[#This Row],[حسابهای دریافتنی]]+Table211[[#This Row],[چکهای در جریان وصول]]+Table211[[#This Row],[چکهای نزد صندوق]]</f>
        <v>95282000</v>
      </c>
      <c r="G113" s="12">
        <f>IFERROR(INDEX('مانده سوفاله'!F:F,MATCH(Table211[[#This Row],[كد تفصيلي]],'مانده سوفاله'!A:A,0)),0)</f>
        <v>-32</v>
      </c>
    </row>
    <row r="114" spans="1:7" ht="23.25" customHeight="1" x14ac:dyDescent="0.3">
      <c r="A114" s="28">
        <v>30112</v>
      </c>
      <c r="B114" s="24" t="s">
        <v>201</v>
      </c>
      <c r="C114" s="10">
        <f>IFERROR(INDEX('حسابهای دریافتنی'!H:H,MATCH(Table211[[#This Row],[كد تفصيلي]],'حسابهای دریافتنی'!A:A,0)),0)</f>
        <v>-720500</v>
      </c>
      <c r="D114" s="11">
        <f>IFERROR(INDEX('درجریان وصول'!F:F,MATCH(Table211[[#This Row],[كد تفصيلي]],'درجریان وصول'!A:A,0)),0)</f>
        <v>0</v>
      </c>
      <c r="E114" s="11">
        <f>IFERROR(INDEX('چکهای دریافتنی'!F:F,MATCH(Table211[[#This Row],[كد تفصيلي]],'چکهای دریافتنی'!A:A,0)),0)</f>
        <v>0</v>
      </c>
      <c r="F114" s="11">
        <f>Table211[[#This Row],[حسابهای دریافتنی]]+Table211[[#This Row],[چکهای در جریان وصول]]+Table211[[#This Row],[چکهای نزد صندوق]]</f>
        <v>-720500</v>
      </c>
      <c r="G114" s="12">
        <f>IFERROR(INDEX('مانده سوفاله'!F:F,MATCH(Table211[[#This Row],[كد تفصيلي]],'مانده سوفاله'!A:A,0)),0)</f>
        <v>36</v>
      </c>
    </row>
    <row r="115" spans="1:7" ht="23.25" customHeight="1" x14ac:dyDescent="0.3">
      <c r="A115" s="28">
        <v>10013</v>
      </c>
      <c r="B115" s="24" t="s">
        <v>20</v>
      </c>
      <c r="C115" s="10">
        <f>IFERROR(INDEX('حسابهای دریافتنی'!H:H,MATCH(Table211[[#This Row],[كد تفصيلي]],'حسابهای دریافتنی'!A:A,0)),0)</f>
        <v>-915000</v>
      </c>
      <c r="D115" s="11">
        <f>IFERROR(INDEX('درجریان وصول'!F:F,MATCH(Table211[[#This Row],[كد تفصيلي]],'درجریان وصول'!A:A,0)),0)</f>
        <v>0</v>
      </c>
      <c r="E115" s="11">
        <f>IFERROR(INDEX('چکهای دریافتنی'!F:F,MATCH(Table211[[#This Row],[كد تفصيلي]],'چکهای دریافتنی'!A:A,0)),0)</f>
        <v>0</v>
      </c>
      <c r="F115" s="11">
        <f>Table211[[#This Row],[حسابهای دریافتنی]]+Table211[[#This Row],[چکهای در جریان وصول]]+Table211[[#This Row],[چکهای نزد صندوق]]</f>
        <v>-915000</v>
      </c>
      <c r="G115" s="12">
        <f>IFERROR(INDEX('مانده سوفاله'!F:F,MATCH(Table211[[#This Row],[كد تفصيلي]],'مانده سوفاله'!A:A,0)),0)</f>
        <v>0</v>
      </c>
    </row>
    <row r="116" spans="1:7" ht="23.25" customHeight="1" x14ac:dyDescent="0.3">
      <c r="A116" s="29">
        <v>10042</v>
      </c>
      <c r="B116" s="25" t="s">
        <v>47</v>
      </c>
      <c r="C116" s="10">
        <f>IFERROR(INDEX('حسابهای دریافتنی'!H:H,MATCH(Table211[[#This Row],[كد تفصيلي]],'حسابهای دریافتنی'!A:A,0)),0)</f>
        <v>-1120000</v>
      </c>
      <c r="D116" s="11">
        <f>IFERROR(INDEX('درجریان وصول'!F:F,MATCH(Table211[[#This Row],[كد تفصيلي]],'درجریان وصول'!A:A,0)),0)</f>
        <v>0</v>
      </c>
      <c r="E116" s="11">
        <f>IFERROR(INDEX('چکهای دریافتنی'!F:F,MATCH(Table211[[#This Row],[كد تفصيلي]],'چکهای دریافتنی'!A:A,0)),0)</f>
        <v>0</v>
      </c>
      <c r="F116" s="11">
        <f>Table211[[#This Row],[حسابهای دریافتنی]]+Table211[[#This Row],[چکهای در جریان وصول]]+Table211[[#This Row],[چکهای نزد صندوق]]</f>
        <v>-1120000</v>
      </c>
      <c r="G116" s="12">
        <f>IFERROR(INDEX('مانده سوفاله'!F:F,MATCH(Table211[[#This Row],[كد تفصيلي]],'مانده سوفاله'!A:A,0)),0)</f>
        <v>2</v>
      </c>
    </row>
    <row r="117" spans="1:7" ht="23.25" customHeight="1" x14ac:dyDescent="0.3">
      <c r="A117" s="29">
        <v>30032</v>
      </c>
      <c r="B117" s="25" t="s">
        <v>79</v>
      </c>
      <c r="C117" s="10">
        <f>IFERROR(INDEX('حسابهای دریافتنی'!H:H,MATCH(Table211[[#This Row],[كد تفصيلي]],'حسابهای دریافتنی'!A:A,0)),0)</f>
        <v>-1347000</v>
      </c>
      <c r="D117" s="11">
        <f>IFERROR(INDEX('درجریان وصول'!F:F,MATCH(Table211[[#This Row],[كد تفصيلي]],'درجریان وصول'!A:A,0)),0)</f>
        <v>0</v>
      </c>
      <c r="E117" s="11">
        <f>IFERROR(INDEX('چکهای دریافتنی'!F:F,MATCH(Table211[[#This Row],[كد تفصيلي]],'چکهای دریافتنی'!A:A,0)),0)</f>
        <v>0</v>
      </c>
      <c r="F117" s="11">
        <f>Table211[[#This Row],[حسابهای دریافتنی]]+Table211[[#This Row],[چکهای در جریان وصول]]+Table211[[#This Row],[چکهای نزد صندوق]]</f>
        <v>-1347000</v>
      </c>
      <c r="G117" s="12">
        <f>IFERROR(INDEX('مانده سوفاله'!F:F,MATCH(Table211[[#This Row],[كد تفصيلي]],'مانده سوفاله'!A:A,0)),0)</f>
        <v>0</v>
      </c>
    </row>
    <row r="118" spans="1:7" ht="23.25" customHeight="1" x14ac:dyDescent="0.3">
      <c r="A118" s="29">
        <v>30171</v>
      </c>
      <c r="B118" s="25" t="s">
        <v>322</v>
      </c>
      <c r="C118" s="10">
        <f>IFERROR(INDEX('حسابهای دریافتنی'!H:H,MATCH(Table211[[#This Row],[كد تفصيلي]],'حسابهای دریافتنی'!A:A,0)),0)</f>
        <v>-1500000</v>
      </c>
      <c r="D118" s="11">
        <f>IFERROR(INDEX('درجریان وصول'!F:F,MATCH(Table211[[#This Row],[كد تفصيلي]],'درجریان وصول'!A:A,0)),0)</f>
        <v>0</v>
      </c>
      <c r="E118" s="11">
        <f>IFERROR(INDEX('چکهای دریافتنی'!F:F,MATCH(Table211[[#This Row],[كد تفصيلي]],'چکهای دریافتنی'!A:A,0)),0)</f>
        <v>0</v>
      </c>
      <c r="F118" s="11">
        <f>Table211[[#This Row],[حسابهای دریافتنی]]+Table211[[#This Row],[چکهای در جریان وصول]]+Table211[[#This Row],[چکهای نزد صندوق]]</f>
        <v>-1500000</v>
      </c>
      <c r="G118" s="12">
        <f>IFERROR(INDEX('مانده سوفاله'!F:F,MATCH(Table211[[#This Row],[كد تفصيلي]],'مانده سوفاله'!A:A,0)),0)</f>
        <v>0</v>
      </c>
    </row>
    <row r="119" spans="1:7" ht="23.25" customHeight="1" x14ac:dyDescent="0.3">
      <c r="A119" s="28">
        <v>10103</v>
      </c>
      <c r="B119" s="24" t="s">
        <v>283</v>
      </c>
      <c r="C119" s="10">
        <f>IFERROR(INDEX('حسابهای دریافتنی'!H:H,MATCH(Table211[[#This Row],[كد تفصيلي]],'حسابهای دریافتنی'!A:A,0)),0)</f>
        <v>-1580000</v>
      </c>
      <c r="D119" s="11">
        <f>IFERROR(INDEX('درجریان وصول'!F:F,MATCH(Table211[[#This Row],[كد تفصيلي]],'درجریان وصول'!A:A,0)),0)</f>
        <v>0</v>
      </c>
      <c r="E119" s="11">
        <f>IFERROR(INDEX('چکهای دریافتنی'!F:F,MATCH(Table211[[#This Row],[كد تفصيلي]],'چکهای دریافتنی'!A:A,0)),0)</f>
        <v>0</v>
      </c>
      <c r="F119" s="11">
        <f>Table211[[#This Row],[حسابهای دریافتنی]]+Table211[[#This Row],[چکهای در جریان وصول]]+Table211[[#This Row],[چکهای نزد صندوق]]</f>
        <v>-1580000</v>
      </c>
      <c r="G119" s="12">
        <f>IFERROR(INDEX('مانده سوفاله'!F:F,MATCH(Table211[[#This Row],[كد تفصيلي]],'مانده سوفاله'!A:A,0)),0)</f>
        <v>0</v>
      </c>
    </row>
    <row r="120" spans="1:7" ht="23.25" customHeight="1" x14ac:dyDescent="0.3">
      <c r="A120" s="29">
        <v>10125</v>
      </c>
      <c r="B120" s="25" t="s">
        <v>345</v>
      </c>
      <c r="C120" s="10">
        <f>IFERROR(INDEX('حسابهای دریافتنی'!H:H,MATCH(Table211[[#This Row],[كد تفصيلي]],'حسابهای دریافتنی'!A:A,0)),0)</f>
        <v>-1650000</v>
      </c>
      <c r="D120" s="11">
        <f>IFERROR(INDEX('درجریان وصول'!F:F,MATCH(Table211[[#This Row],[كد تفصيلي]],'درجریان وصول'!A:A,0)),0)</f>
        <v>0</v>
      </c>
      <c r="E120" s="11">
        <f>IFERROR(INDEX('چکهای دریافتنی'!F:F,MATCH(Table211[[#This Row],[كد تفصيلي]],'چکهای دریافتنی'!A:A,0)),0)</f>
        <v>0</v>
      </c>
      <c r="F120" s="11">
        <f>Table211[[#This Row],[حسابهای دریافتنی]]+Table211[[#This Row],[چکهای در جریان وصول]]+Table211[[#This Row],[چکهای نزد صندوق]]</f>
        <v>-1650000</v>
      </c>
      <c r="G120" s="12">
        <f>IFERROR(INDEX('مانده سوفاله'!F:F,MATCH(Table211[[#This Row],[كد تفصيلي]],'مانده سوفاله'!A:A,0)),0)</f>
        <v>0</v>
      </c>
    </row>
    <row r="121" spans="1:7" ht="23.25" customHeight="1" x14ac:dyDescent="0.3">
      <c r="A121" s="28">
        <v>10110</v>
      </c>
      <c r="B121" s="24" t="s">
        <v>306</v>
      </c>
      <c r="C121" s="10">
        <f>IFERROR(INDEX('حسابهای دریافتنی'!H:H,MATCH(Table211[[#This Row],[كد تفصيلي]],'حسابهای دریافتنی'!A:A,0)),0)</f>
        <v>-1817500</v>
      </c>
      <c r="D121" s="11">
        <f>IFERROR(INDEX('درجریان وصول'!F:F,MATCH(Table211[[#This Row],[كد تفصيلي]],'درجریان وصول'!A:A,0)),0)</f>
        <v>0</v>
      </c>
      <c r="E121" s="11">
        <f>IFERROR(INDEX('چکهای دریافتنی'!F:F,MATCH(Table211[[#This Row],[كد تفصيلي]],'چکهای دریافتنی'!A:A,0)),0)</f>
        <v>0</v>
      </c>
      <c r="F121" s="11">
        <f>Table211[[#This Row],[حسابهای دریافتنی]]+Table211[[#This Row],[چکهای در جریان وصول]]+Table211[[#This Row],[چکهای نزد صندوق]]</f>
        <v>-1817500</v>
      </c>
      <c r="G121" s="12">
        <f>IFERROR(INDEX('مانده سوفاله'!F:F,MATCH(Table211[[#This Row],[كد تفصيلي]],'مانده سوفاله'!A:A,0)),0)</f>
        <v>7</v>
      </c>
    </row>
    <row r="122" spans="1:7" ht="23.25" customHeight="1" x14ac:dyDescent="0.3">
      <c r="A122" s="29">
        <v>30103</v>
      </c>
      <c r="B122" s="25" t="s">
        <v>240</v>
      </c>
      <c r="C122" s="10">
        <f>IFERROR(INDEX('حسابهای دریافتنی'!H:H,MATCH(Table211[[#This Row],[كد تفصيلي]],'حسابهای دریافتنی'!A:A,0)),0)</f>
        <v>-1820000</v>
      </c>
      <c r="D122" s="11">
        <f>IFERROR(INDEX('درجریان وصول'!F:F,MATCH(Table211[[#This Row],[كد تفصيلي]],'درجریان وصول'!A:A,0)),0)</f>
        <v>0</v>
      </c>
      <c r="E122" s="11">
        <f>IFERROR(INDEX('چکهای دریافتنی'!F:F,MATCH(Table211[[#This Row],[كد تفصيلي]],'چکهای دریافتنی'!A:A,0)),0)</f>
        <v>0</v>
      </c>
      <c r="F122" s="11">
        <f>Table211[[#This Row],[حسابهای دریافتنی]]+Table211[[#This Row],[چکهای در جریان وصول]]+Table211[[#This Row],[چکهای نزد صندوق]]</f>
        <v>-1820000</v>
      </c>
      <c r="G122" s="12">
        <f>IFERROR(INDEX('مانده سوفاله'!F:F,MATCH(Table211[[#This Row],[كد تفصيلي]],'مانده سوفاله'!A:A,0)),0)</f>
        <v>0</v>
      </c>
    </row>
    <row r="123" spans="1:7" ht="23.25" customHeight="1" x14ac:dyDescent="0.3">
      <c r="A123" s="28">
        <v>30174</v>
      </c>
      <c r="B123" s="24" t="s">
        <v>327</v>
      </c>
      <c r="C123" s="10">
        <f>IFERROR(INDEX('حسابهای دریافتنی'!H:H,MATCH(Table211[[#This Row],[كد تفصيلي]],'حسابهای دریافتنی'!A:A,0)),0)</f>
        <v>-5000</v>
      </c>
      <c r="D123" s="11">
        <f>IFERROR(INDEX('درجریان وصول'!F:F,MATCH(Table211[[#This Row],[كد تفصيلي]],'درجریان وصول'!A:A,0)),0)</f>
        <v>0</v>
      </c>
      <c r="E123" s="11">
        <f>IFERROR(INDEX('چکهای دریافتنی'!F:F,MATCH(Table211[[#This Row],[كد تفصيلي]],'چکهای دریافتنی'!A:A,0)),0)</f>
        <v>0</v>
      </c>
      <c r="F123" s="11">
        <f>Table211[[#This Row],[حسابهای دریافتنی]]+Table211[[#This Row],[چکهای در جریان وصول]]+Table211[[#This Row],[چکهای نزد صندوق]]</f>
        <v>-5000</v>
      </c>
      <c r="G123" s="12">
        <f>IFERROR(INDEX('مانده سوفاله'!F:F,MATCH(Table211[[#This Row],[كد تفصيلي]],'مانده سوفاله'!A:A,0)),0)</f>
        <v>0</v>
      </c>
    </row>
    <row r="124" spans="1:7" ht="23.25" customHeight="1" x14ac:dyDescent="0.3">
      <c r="A124" s="28">
        <v>30128</v>
      </c>
      <c r="B124" s="24" t="s">
        <v>212</v>
      </c>
      <c r="C124" s="10">
        <f>IFERROR(INDEX('حسابهای دریافتنی'!H:H,MATCH(Table211[[#This Row],[كد تفصيلي]],'حسابهای دریافتنی'!A:A,0)),0)</f>
        <v>-2451320</v>
      </c>
      <c r="D124" s="11">
        <f>IFERROR(INDEX('درجریان وصول'!F:F,MATCH(Table211[[#This Row],[كد تفصيلي]],'درجریان وصول'!A:A,0)),0)</f>
        <v>0</v>
      </c>
      <c r="E124" s="11">
        <f>IFERROR(INDEX('چکهای دریافتنی'!F:F,MATCH(Table211[[#This Row],[كد تفصيلي]],'چکهای دریافتنی'!A:A,0)),0)</f>
        <v>0</v>
      </c>
      <c r="F124" s="11">
        <f>Table211[[#This Row],[حسابهای دریافتنی]]+Table211[[#This Row],[چکهای در جریان وصول]]+Table211[[#This Row],[چکهای نزد صندوق]]</f>
        <v>-2451320</v>
      </c>
      <c r="G124" s="12">
        <f>IFERROR(INDEX('مانده سوفاله'!F:F,MATCH(Table211[[#This Row],[كد تفصيلي]],'مانده سوفاله'!A:A,0)),0)</f>
        <v>0</v>
      </c>
    </row>
    <row r="125" spans="1:7" ht="23.25" customHeight="1" x14ac:dyDescent="0.3">
      <c r="A125" s="28">
        <v>30015</v>
      </c>
      <c r="B125" s="24" t="s">
        <v>64</v>
      </c>
      <c r="C125" s="10">
        <f>IFERROR(INDEX('حسابهای دریافتنی'!H:H,MATCH(Table211[[#This Row],[كد تفصيلي]],'حسابهای دریافتنی'!A:A,0)),0)</f>
        <v>-3105895</v>
      </c>
      <c r="D125" s="11">
        <f>IFERROR(INDEX('درجریان وصول'!F:F,MATCH(Table211[[#This Row],[كد تفصيلي]],'درجریان وصول'!A:A,0)),0)</f>
        <v>0</v>
      </c>
      <c r="E125" s="11">
        <f>IFERROR(INDEX('چکهای دریافتنی'!F:F,MATCH(Table211[[#This Row],[كد تفصيلي]],'چکهای دریافتنی'!A:A,0)),0)</f>
        <v>0</v>
      </c>
      <c r="F125" s="11">
        <f>Table211[[#This Row],[حسابهای دریافتنی]]+Table211[[#This Row],[چکهای در جریان وصول]]+Table211[[#This Row],[چکهای نزد صندوق]]</f>
        <v>-3105895</v>
      </c>
      <c r="G125" s="12">
        <f>IFERROR(INDEX('مانده سوفاله'!F:F,MATCH(Table211[[#This Row],[كد تفصيلي]],'مانده سوفاله'!A:A,0)),0)</f>
        <v>0</v>
      </c>
    </row>
    <row r="126" spans="1:7" ht="23.25" customHeight="1" x14ac:dyDescent="0.3">
      <c r="A126" s="28">
        <v>30110</v>
      </c>
      <c r="B126" s="24" t="s">
        <v>200</v>
      </c>
      <c r="C126" s="10">
        <f>IFERROR(INDEX('حسابهای دریافتنی'!H:H,MATCH(Table211[[#This Row],[كد تفصيلي]],'حسابهای دریافتنی'!A:A,0)),0)</f>
        <v>-3492360</v>
      </c>
      <c r="D126" s="11">
        <f>IFERROR(INDEX('درجریان وصول'!F:F,MATCH(Table211[[#This Row],[كد تفصيلي]],'درجریان وصول'!A:A,0)),0)</f>
        <v>0</v>
      </c>
      <c r="E126" s="11">
        <f>IFERROR(INDEX('چکهای دریافتنی'!F:F,MATCH(Table211[[#This Row],[كد تفصيلي]],'چکهای دریافتنی'!A:A,0)),0)</f>
        <v>0</v>
      </c>
      <c r="F126" s="11">
        <f>Table211[[#This Row],[حسابهای دریافتنی]]+Table211[[#This Row],[چکهای در جریان وصول]]+Table211[[#This Row],[چکهای نزد صندوق]]</f>
        <v>-3492360</v>
      </c>
      <c r="G126" s="12">
        <f>IFERROR(INDEX('مانده سوفاله'!F:F,MATCH(Table211[[#This Row],[كد تفصيلي]],'مانده سوفاله'!A:A,0)),0)</f>
        <v>0</v>
      </c>
    </row>
    <row r="127" spans="1:7" ht="23.25" customHeight="1" x14ac:dyDescent="0.3">
      <c r="A127" s="28">
        <v>10049</v>
      </c>
      <c r="B127" s="24" t="s">
        <v>157</v>
      </c>
      <c r="C127" s="10">
        <f>IFERROR(INDEX('حسابهای دریافتنی'!H:H,MATCH(Table211[[#This Row],[كد تفصيلي]],'حسابهای دریافتنی'!A:A,0)),0)</f>
        <v>-32909500</v>
      </c>
      <c r="D127" s="11">
        <f>IFERROR(INDEX('درجریان وصول'!F:F,MATCH(Table211[[#This Row],[كد تفصيلي]],'درجریان وصول'!A:A,0)),0)</f>
        <v>0</v>
      </c>
      <c r="E127" s="11">
        <f>IFERROR(INDEX('چکهای دریافتنی'!F:F,MATCH(Table211[[#This Row],[كد تفصيلي]],'چکهای دریافتنی'!A:A,0)),0)</f>
        <v>0</v>
      </c>
      <c r="F127" s="11">
        <f>Table211[[#This Row],[حسابهای دریافتنی]]+Table211[[#This Row],[چکهای در جریان وصول]]+Table211[[#This Row],[چکهای نزد صندوق]]</f>
        <v>-32909500</v>
      </c>
      <c r="G127" s="12">
        <f>IFERROR(INDEX('مانده سوفاله'!F:F,MATCH(Table211[[#This Row],[كد تفصيلي]],'مانده سوفاله'!A:A,0)),0)</f>
        <v>0</v>
      </c>
    </row>
    <row r="128" spans="1:7" customFormat="1" ht="23.25" customHeight="1" x14ac:dyDescent="0.35">
      <c r="A128" s="52">
        <v>10015</v>
      </c>
      <c r="B128" s="24" t="s">
        <v>22</v>
      </c>
      <c r="C128" s="10">
        <f>IFERROR(INDEX('حسابهای دریافتنی'!H:H,MATCH(Table211[[#This Row],[كد تفصيلي]],'حسابهای دریافتنی'!A:A,0)),0)</f>
        <v>-4735000</v>
      </c>
      <c r="D128" s="11">
        <f>IFERROR(INDEX('درجریان وصول'!F:F,MATCH(Table211[[#This Row],[كد تفصيلي]],'درجریان وصول'!A:A,0)),0)</f>
        <v>0</v>
      </c>
      <c r="E128" s="11">
        <f>IFERROR(INDEX('چکهای دریافتنی'!F:F,MATCH(Table211[[#This Row],[كد تفصيلي]],'چکهای دریافتنی'!A:A,0)),0)</f>
        <v>0</v>
      </c>
      <c r="F128" s="11">
        <f>Table211[[#This Row],[حسابهای دریافتنی]]+Table211[[#This Row],[چکهای در جریان وصول]]+Table211[[#This Row],[چکهای نزد صندوق]]</f>
        <v>-4735000</v>
      </c>
      <c r="G128" s="12">
        <f>IFERROR(INDEX('مانده سوفاله'!F:F,MATCH(Table211[[#This Row],[كد تفصيلي]],'مانده سوفاله'!A:A,0)),0)</f>
        <v>12</v>
      </c>
    </row>
    <row r="129" spans="1:7" customFormat="1" ht="23.25" customHeight="1" x14ac:dyDescent="0.35">
      <c r="A129" s="52">
        <v>30023</v>
      </c>
      <c r="B129" s="24" t="s">
        <v>71</v>
      </c>
      <c r="C129" s="10">
        <f>IFERROR(INDEX('حسابهای دریافتنی'!H:H,MATCH(Table211[[#This Row],[كد تفصيلي]],'حسابهای دریافتنی'!A:A,0)),0)</f>
        <v>-5793600</v>
      </c>
      <c r="D129" s="11">
        <f>IFERROR(INDEX('درجریان وصول'!F:F,MATCH(Table211[[#This Row],[كد تفصيلي]],'درجریان وصول'!A:A,0)),0)</f>
        <v>0</v>
      </c>
      <c r="E129" s="11">
        <f>IFERROR(INDEX('چکهای دریافتنی'!F:F,MATCH(Table211[[#This Row],[كد تفصيلي]],'چکهای دریافتنی'!A:A,0)),0)</f>
        <v>0</v>
      </c>
      <c r="F129" s="11">
        <f>Table211[[#This Row],[حسابهای دریافتنی]]+Table211[[#This Row],[چکهای در جریان وصول]]+Table211[[#This Row],[چکهای نزد صندوق]]</f>
        <v>-5793600</v>
      </c>
      <c r="G129" s="12">
        <f>IFERROR(INDEX('مانده سوفاله'!F:F,MATCH(Table211[[#This Row],[كد تفصيلي]],'مانده سوفاله'!A:A,0)),0)</f>
        <v>0</v>
      </c>
    </row>
    <row r="130" spans="1:7" customFormat="1" ht="23.25" customHeight="1" x14ac:dyDescent="0.35">
      <c r="A130" s="52">
        <v>10091</v>
      </c>
      <c r="B130" s="24" t="s">
        <v>258</v>
      </c>
      <c r="C130" s="10">
        <f>IFERROR(INDEX('حسابهای دریافتنی'!H:H,MATCH(Table211[[#This Row],[كد تفصيلي]],'حسابهای دریافتنی'!A:A,0)),0)</f>
        <v>59321500</v>
      </c>
      <c r="D130" s="11">
        <f>IFERROR(INDEX('درجریان وصول'!F:F,MATCH(Table211[[#This Row],[كد تفصيلي]],'درجریان وصول'!A:A,0)),0)</f>
        <v>0</v>
      </c>
      <c r="E130" s="11">
        <f>IFERROR(INDEX('چکهای دریافتنی'!F:F,MATCH(Table211[[#This Row],[كد تفصيلي]],'چکهای دریافتنی'!A:A,0)),0)</f>
        <v>0</v>
      </c>
      <c r="F130" s="11">
        <f>Table211[[#This Row],[حسابهای دریافتنی]]+Table211[[#This Row],[چکهای در جریان وصول]]+Table211[[#This Row],[چکهای نزد صندوق]]</f>
        <v>59321500</v>
      </c>
      <c r="G130" s="12">
        <f>IFERROR(INDEX('مانده سوفاله'!F:F,MATCH(Table211[[#This Row],[كد تفصيلي]],'مانده سوفاله'!A:A,0)),0)</f>
        <v>0</v>
      </c>
    </row>
    <row r="131" spans="1:7" customFormat="1" ht="23.25" customHeight="1" x14ac:dyDescent="0.35">
      <c r="A131" s="51">
        <v>10088</v>
      </c>
      <c r="B131" s="25" t="s">
        <v>254</v>
      </c>
      <c r="C131" s="10">
        <f>IFERROR(INDEX('حسابهای دریافتنی'!H:H,MATCH(Table211[[#This Row],[كد تفصيلي]],'حسابهای دریافتنی'!A:A,0)),0)</f>
        <v>113500</v>
      </c>
      <c r="D131" s="11">
        <f>IFERROR(INDEX('درجریان وصول'!F:F,MATCH(Table211[[#This Row],[كد تفصيلي]],'درجریان وصول'!A:A,0)),0)</f>
        <v>0</v>
      </c>
      <c r="E131" s="11">
        <f>IFERROR(INDEX('چکهای دریافتنی'!F:F,MATCH(Table211[[#This Row],[كد تفصيلي]],'چکهای دریافتنی'!A:A,0)),0)</f>
        <v>0</v>
      </c>
      <c r="F131" s="11">
        <f>Table211[[#This Row],[حسابهای دریافتنی]]+Table211[[#This Row],[چکهای در جریان وصول]]+Table211[[#This Row],[چکهای نزد صندوق]]</f>
        <v>113500</v>
      </c>
      <c r="G131" s="12">
        <f>IFERROR(INDEX('مانده سوفاله'!F:F,MATCH(Table211[[#This Row],[كد تفصيلي]],'مانده سوفاله'!A:A,0)),0)</f>
        <v>0</v>
      </c>
    </row>
    <row r="132" spans="1:7" customFormat="1" ht="23.25" customHeight="1" x14ac:dyDescent="0.35">
      <c r="A132" s="52">
        <v>30176</v>
      </c>
      <c r="B132" s="24" t="s">
        <v>332</v>
      </c>
      <c r="C132" s="10">
        <f>IFERROR(INDEX('حسابهای دریافتنی'!H:H,MATCH(Table211[[#This Row],[كد تفصيلي]],'حسابهای دریافتنی'!A:A,0)),0)</f>
        <v>-7540075</v>
      </c>
      <c r="D132" s="11">
        <f>IFERROR(INDEX('درجریان وصول'!F:F,MATCH(Table211[[#This Row],[كد تفصيلي]],'درجریان وصول'!A:A,0)),0)</f>
        <v>0</v>
      </c>
      <c r="E132" s="11">
        <f>IFERROR(INDEX('چکهای دریافتنی'!F:F,MATCH(Table211[[#This Row],[كد تفصيلي]],'چکهای دریافتنی'!A:A,0)),0)</f>
        <v>0</v>
      </c>
      <c r="F132" s="11">
        <f>Table211[[#This Row],[حسابهای دریافتنی]]+Table211[[#This Row],[چکهای در جریان وصول]]+Table211[[#This Row],[چکهای نزد صندوق]]</f>
        <v>-7540075</v>
      </c>
      <c r="G132" s="12">
        <f>IFERROR(INDEX('مانده سوفاله'!F:F,MATCH(Table211[[#This Row],[كد تفصيلي]],'مانده سوفاله'!A:A,0)),0)</f>
        <v>0</v>
      </c>
    </row>
    <row r="133" spans="1:7" customFormat="1" ht="23.25" customHeight="1" x14ac:dyDescent="0.35">
      <c r="A133" s="52">
        <v>10106</v>
      </c>
      <c r="B133" s="24" t="s">
        <v>298</v>
      </c>
      <c r="C133" s="10">
        <f>IFERROR(INDEX('حسابهای دریافتنی'!H:H,MATCH(Table211[[#This Row],[كد تفصيلي]],'حسابهای دریافتنی'!A:A,0)),0)</f>
        <v>-9134000</v>
      </c>
      <c r="D133" s="11">
        <f>IFERROR(INDEX('درجریان وصول'!F:F,MATCH(Table211[[#This Row],[كد تفصيلي]],'درجریان وصول'!A:A,0)),0)</f>
        <v>0</v>
      </c>
      <c r="E133" s="11">
        <f>IFERROR(INDEX('چکهای دریافتنی'!F:F,MATCH(Table211[[#This Row],[كد تفصيلي]],'چکهای دریافتنی'!A:A,0)),0)</f>
        <v>0</v>
      </c>
      <c r="F133" s="11">
        <f>Table211[[#This Row],[حسابهای دریافتنی]]+Table211[[#This Row],[چکهای در جریان وصول]]+Table211[[#This Row],[چکهای نزد صندوق]]</f>
        <v>-9134000</v>
      </c>
      <c r="G133" s="12">
        <f>IFERROR(INDEX('مانده سوفاله'!F:F,MATCH(Table211[[#This Row],[كد تفصيلي]],'مانده سوفاله'!A:A,0)),0)</f>
        <v>0</v>
      </c>
    </row>
    <row r="134" spans="1:7" customFormat="1" ht="23.25" customHeight="1" x14ac:dyDescent="0.35">
      <c r="A134" s="51">
        <v>10102</v>
      </c>
      <c r="B134" s="25" t="s">
        <v>282</v>
      </c>
      <c r="C134" s="10">
        <f>IFERROR(INDEX('حسابهای دریافتنی'!H:H,MATCH(Table211[[#This Row],[كد تفصيلي]],'حسابهای دریافتنی'!A:A,0)),0)</f>
        <v>-10374000</v>
      </c>
      <c r="D134" s="11">
        <f>IFERROR(INDEX('درجریان وصول'!F:F,MATCH(Table211[[#This Row],[كد تفصيلي]],'درجریان وصول'!A:A,0)),0)</f>
        <v>0</v>
      </c>
      <c r="E134" s="11">
        <f>IFERROR(INDEX('چکهای دریافتنی'!F:F,MATCH(Table211[[#This Row],[كد تفصيلي]],'چکهای دریافتنی'!A:A,0)),0)</f>
        <v>0</v>
      </c>
      <c r="F134" s="11">
        <f>Table211[[#This Row],[حسابهای دریافتنی]]+Table211[[#This Row],[چکهای در جریان وصول]]+Table211[[#This Row],[چکهای نزد صندوق]]</f>
        <v>-10374000</v>
      </c>
      <c r="G134" s="12">
        <f>IFERROR(INDEX('مانده سوفاله'!F:F,MATCH(Table211[[#This Row],[كد تفصيلي]],'مانده سوفاله'!A:A,0)),0)</f>
        <v>0</v>
      </c>
    </row>
    <row r="135" spans="1:7" customFormat="1" ht="23.25" customHeight="1" x14ac:dyDescent="0.35">
      <c r="A135" s="52">
        <v>30189</v>
      </c>
      <c r="B135" s="24" t="s">
        <v>458</v>
      </c>
      <c r="C135" s="10">
        <f>IFERROR(INDEX('حسابهای دریافتنی'!H:H,MATCH(Table211[[#This Row],[كد تفصيلي]],'حسابهای دریافتنی'!A:A,0)),0)</f>
        <v>20776490</v>
      </c>
      <c r="D135" s="11">
        <f>IFERROR(INDEX('درجریان وصول'!F:F,MATCH(Table211[[#This Row],[كد تفصيلي]],'درجریان وصول'!A:A,0)),0)</f>
        <v>0</v>
      </c>
      <c r="E135" s="11">
        <f>IFERROR(INDEX('چکهای دریافتنی'!F:F,MATCH(Table211[[#This Row],[كد تفصيلي]],'چکهای دریافتنی'!A:A,0)),0)</f>
        <v>0</v>
      </c>
      <c r="F135" s="11">
        <f>Table211[[#This Row],[حسابهای دریافتنی]]+Table211[[#This Row],[چکهای در جریان وصول]]+Table211[[#This Row],[چکهای نزد صندوق]]</f>
        <v>20776490</v>
      </c>
      <c r="G135" s="12">
        <f>IFERROR(INDEX('مانده سوفاله'!F:F,MATCH(Table211[[#This Row],[كد تفصيلي]],'مانده سوفاله'!A:A,0)),0)</f>
        <v>0</v>
      </c>
    </row>
    <row r="136" spans="1:7" customFormat="1" ht="23.25" customHeight="1" x14ac:dyDescent="0.35">
      <c r="A136" s="51">
        <v>10058</v>
      </c>
      <c r="B136" s="25" t="s">
        <v>173</v>
      </c>
      <c r="C136" s="10">
        <f>IFERROR(INDEX('حسابهای دریافتنی'!H:H,MATCH(Table211[[#This Row],[كد تفصيلي]],'حسابهای دریافتنی'!A:A,0)),0)</f>
        <v>-13650000</v>
      </c>
      <c r="D136" s="11">
        <f>IFERROR(INDEX('درجریان وصول'!F:F,MATCH(Table211[[#This Row],[كد تفصيلي]],'درجریان وصول'!A:A,0)),0)</f>
        <v>0</v>
      </c>
      <c r="E136" s="11">
        <f>IFERROR(INDEX('چکهای دریافتنی'!F:F,MATCH(Table211[[#This Row],[كد تفصيلي]],'چکهای دریافتنی'!A:A,0)),0)</f>
        <v>0</v>
      </c>
      <c r="F136" s="11">
        <f>Table211[[#This Row],[حسابهای دریافتنی]]+Table211[[#This Row],[چکهای در جریان وصول]]+Table211[[#This Row],[چکهای نزد صندوق]]</f>
        <v>-13650000</v>
      </c>
      <c r="G136" s="12">
        <f>IFERROR(INDEX('مانده سوفاله'!F:F,MATCH(Table211[[#This Row],[كد تفصيلي]],'مانده سوفاله'!A:A,0)),0)</f>
        <v>0</v>
      </c>
    </row>
    <row r="137" spans="1:7" customFormat="1" ht="23.25" customHeight="1" x14ac:dyDescent="0.35">
      <c r="A137" s="52">
        <v>10126</v>
      </c>
      <c r="B137" s="24" t="s">
        <v>370</v>
      </c>
      <c r="C137" s="10">
        <f>IFERROR(INDEX('حسابهای دریافتنی'!H:H,MATCH(Table211[[#This Row],[كد تفصيلي]],'حسابهای دریافتنی'!A:A,0)),0)</f>
        <v>12165000</v>
      </c>
      <c r="D137" s="11">
        <f>IFERROR(INDEX('درجریان وصول'!F:F,MATCH(Table211[[#This Row],[كد تفصيلي]],'درجریان وصول'!A:A,0)),0)</f>
        <v>0</v>
      </c>
      <c r="E137" s="11">
        <f>IFERROR(INDEX('چکهای دریافتنی'!F:F,MATCH(Table211[[#This Row],[كد تفصيلي]],'چکهای دریافتنی'!A:A,0)),0)</f>
        <v>0</v>
      </c>
      <c r="F137" s="11">
        <f>Table211[[#This Row],[حسابهای دریافتنی]]+Table211[[#This Row],[چکهای در جریان وصول]]+Table211[[#This Row],[چکهای نزد صندوق]]</f>
        <v>12165000</v>
      </c>
      <c r="G137" s="12">
        <f>IFERROR(INDEX('مانده سوفاله'!F:F,MATCH(Table211[[#This Row],[كد تفصيلي]],'مانده سوفاله'!A:A,0)),0)</f>
        <v>0</v>
      </c>
    </row>
    <row r="138" spans="1:7" customFormat="1" ht="23.25" customHeight="1" x14ac:dyDescent="0.35">
      <c r="A138" s="52">
        <v>30082</v>
      </c>
      <c r="B138" s="24" t="s">
        <v>127</v>
      </c>
      <c r="C138" s="10">
        <f>IFERROR(INDEX('حسابهای دریافتنی'!H:H,MATCH(Table211[[#This Row],[كد تفصيلي]],'حسابهای دریافتنی'!A:A,0)),0)</f>
        <v>-15037000</v>
      </c>
      <c r="D138" s="11">
        <f>IFERROR(INDEX('درجریان وصول'!F:F,MATCH(Table211[[#This Row],[كد تفصيلي]],'درجریان وصول'!A:A,0)),0)</f>
        <v>0</v>
      </c>
      <c r="E138" s="11">
        <f>IFERROR(INDEX('چکهای دریافتنی'!F:F,MATCH(Table211[[#This Row],[كد تفصيلي]],'چکهای دریافتنی'!A:A,0)),0)</f>
        <v>0</v>
      </c>
      <c r="F138" s="11">
        <f>Table211[[#This Row],[حسابهای دریافتنی]]+Table211[[#This Row],[چکهای در جریان وصول]]+Table211[[#This Row],[چکهای نزد صندوق]]</f>
        <v>-15037000</v>
      </c>
      <c r="G138" s="12">
        <f>IFERROR(INDEX('مانده سوفاله'!F:F,MATCH(Table211[[#This Row],[كد تفصيلي]],'مانده سوفاله'!A:A,0)),0)</f>
        <v>-16</v>
      </c>
    </row>
    <row r="139" spans="1:7" customFormat="1" ht="23.25" customHeight="1" x14ac:dyDescent="0.35">
      <c r="A139" s="51">
        <v>30034</v>
      </c>
      <c r="B139" s="25" t="s">
        <v>81</v>
      </c>
      <c r="C139" s="10">
        <f>IFERROR(INDEX('حسابهای دریافتنی'!H:H,MATCH(Table211[[#This Row],[كد تفصيلي]],'حسابهای دریافتنی'!A:A,0)),0)</f>
        <v>388329200</v>
      </c>
      <c r="D139" s="11">
        <f>IFERROR(INDEX('درجریان وصول'!F:F,MATCH(Table211[[#This Row],[كد تفصيلي]],'درجریان وصول'!A:A,0)),0)</f>
        <v>0</v>
      </c>
      <c r="E139" s="11">
        <f>IFERROR(INDEX('چکهای دریافتنی'!F:F,MATCH(Table211[[#This Row],[كد تفصيلي]],'چکهای دریافتنی'!A:A,0)),0)</f>
        <v>0</v>
      </c>
      <c r="F139" s="11">
        <f>Table211[[#This Row],[حسابهای دریافتنی]]+Table211[[#This Row],[چکهای در جریان وصول]]+Table211[[#This Row],[چکهای نزد صندوق]]</f>
        <v>388329200</v>
      </c>
      <c r="G139" s="12">
        <f>IFERROR(INDEX('مانده سوفاله'!F:F,MATCH(Table211[[#This Row],[كد تفصيلي]],'مانده سوفاله'!A:A,0)),0)</f>
        <v>2886</v>
      </c>
    </row>
    <row r="140" spans="1:7" customFormat="1" ht="23.25" customHeight="1" x14ac:dyDescent="0.35">
      <c r="A140" s="51">
        <v>30042</v>
      </c>
      <c r="B140" s="25" t="s">
        <v>89</v>
      </c>
      <c r="C140" s="10">
        <f>IFERROR(INDEX('حسابهای دریافتنی'!H:H,MATCH(Table211[[#This Row],[كد تفصيلي]],'حسابهای دریافتنی'!A:A,0)),0)</f>
        <v>-18303540</v>
      </c>
      <c r="D140" s="11">
        <f>IFERROR(INDEX('درجریان وصول'!F:F,MATCH(Table211[[#This Row],[كد تفصيلي]],'درجریان وصول'!A:A,0)),0)</f>
        <v>0</v>
      </c>
      <c r="E140" s="11">
        <f>IFERROR(INDEX('چکهای دریافتنی'!F:F,MATCH(Table211[[#This Row],[كد تفصيلي]],'چکهای دریافتنی'!A:A,0)),0)</f>
        <v>0</v>
      </c>
      <c r="F140" s="11">
        <f>Table211[[#This Row],[حسابهای دریافتنی]]+Table211[[#This Row],[چکهای در جریان وصول]]+Table211[[#This Row],[چکهای نزد صندوق]]</f>
        <v>-18303540</v>
      </c>
      <c r="G140" s="12">
        <f>IFERROR(INDEX('مانده سوفاله'!F:F,MATCH(Table211[[#This Row],[كد تفصيلي]],'مانده سوفاله'!A:A,0)),0)</f>
        <v>0</v>
      </c>
    </row>
    <row r="141" spans="1:7" customFormat="1" ht="23.25" customHeight="1" x14ac:dyDescent="0.35">
      <c r="A141" s="51">
        <v>30022</v>
      </c>
      <c r="B141" s="25" t="s">
        <v>70</v>
      </c>
      <c r="C141" s="10">
        <f>IFERROR(INDEX('حسابهای دریافتنی'!H:H,MATCH(Table211[[#This Row],[كد تفصيلي]],'حسابهای دریافتنی'!A:A,0)),0)</f>
        <v>2933770530</v>
      </c>
      <c r="D141" s="11">
        <f>IFERROR(INDEX('درجریان وصول'!F:F,MATCH(Table211[[#This Row],[كد تفصيلي]],'درجریان وصول'!A:A,0)),0)</f>
        <v>0</v>
      </c>
      <c r="E141" s="11">
        <f>IFERROR(INDEX('چکهای دریافتنی'!F:F,MATCH(Table211[[#This Row],[كد تفصيلي]],'چکهای دریافتنی'!A:A,0)),0)</f>
        <v>0</v>
      </c>
      <c r="F141" s="11">
        <f>Table211[[#This Row],[حسابهای دریافتنی]]+Table211[[#This Row],[چکهای در جریان وصول]]+Table211[[#This Row],[چکهای نزد صندوق]]</f>
        <v>2933770530</v>
      </c>
      <c r="G141" s="12">
        <f>IFERROR(INDEX('مانده سوفاله'!F:F,MATCH(Table211[[#This Row],[كد تفصيلي]],'مانده سوفاله'!A:A,0)),0)</f>
        <v>-14747</v>
      </c>
    </row>
    <row r="142" spans="1:7" customFormat="1" ht="23.25" customHeight="1" x14ac:dyDescent="0.35">
      <c r="A142" s="51">
        <v>10119</v>
      </c>
      <c r="B142" s="25" t="s">
        <v>333</v>
      </c>
      <c r="C142" s="10">
        <f>IFERROR(INDEX('حسابهای دریافتنی'!H:H,MATCH(Table211[[#This Row],[كد تفصيلي]],'حسابهای دریافتنی'!A:A,0)),0)</f>
        <v>-2592000</v>
      </c>
      <c r="D142" s="11">
        <f>IFERROR(INDEX('درجریان وصول'!F:F,MATCH(Table211[[#This Row],[كد تفصيلي]],'درجریان وصول'!A:A,0)),0)</f>
        <v>0</v>
      </c>
      <c r="E142" s="11">
        <f>IFERROR(INDEX('چکهای دریافتنی'!F:F,MATCH(Table211[[#This Row],[كد تفصيلي]],'چکهای دریافتنی'!A:A,0)),0)</f>
        <v>0</v>
      </c>
      <c r="F142" s="11">
        <f>Table211[[#This Row],[حسابهای دریافتنی]]+Table211[[#This Row],[چکهای در جریان وصول]]+Table211[[#This Row],[چکهای نزد صندوق]]</f>
        <v>-2592000</v>
      </c>
      <c r="G142" s="12">
        <f>IFERROR(INDEX('مانده سوفاله'!F:F,MATCH(Table211[[#This Row],[كد تفصيلي]],'مانده سوفاله'!A:A,0)),0)</f>
        <v>353</v>
      </c>
    </row>
    <row r="143" spans="1:7" customFormat="1" ht="23.25" customHeight="1" x14ac:dyDescent="0.35">
      <c r="A143" s="51">
        <v>30028</v>
      </c>
      <c r="B143" s="25" t="s">
        <v>76</v>
      </c>
      <c r="C143" s="10">
        <f>IFERROR(INDEX('حسابهای دریافتنی'!H:H,MATCH(Table211[[#This Row],[كد تفصيلي]],'حسابهای دریافتنی'!A:A,0)),0)</f>
        <v>-23665000</v>
      </c>
      <c r="D143" s="11">
        <f>IFERROR(INDEX('درجریان وصول'!F:F,MATCH(Table211[[#This Row],[كد تفصيلي]],'درجریان وصول'!A:A,0)),0)</f>
        <v>0</v>
      </c>
      <c r="E143" s="11">
        <f>IFERROR(INDEX('چکهای دریافتنی'!F:F,MATCH(Table211[[#This Row],[كد تفصيلي]],'چکهای دریافتنی'!A:A,0)),0)</f>
        <v>0</v>
      </c>
      <c r="F143" s="11">
        <f>Table211[[#This Row],[حسابهای دریافتنی]]+Table211[[#This Row],[چکهای در جریان وصول]]+Table211[[#This Row],[چکهای نزد صندوق]]</f>
        <v>-23665000</v>
      </c>
      <c r="G143" s="12">
        <f>IFERROR(INDEX('مانده سوفاله'!F:F,MATCH(Table211[[#This Row],[كد تفصيلي]],'مانده سوفاله'!A:A,0)),0)</f>
        <v>0</v>
      </c>
    </row>
    <row r="144" spans="1:7" customFormat="1" ht="23.25" customHeight="1" x14ac:dyDescent="0.35">
      <c r="A144" s="52">
        <v>30160</v>
      </c>
      <c r="B144" s="24" t="s">
        <v>296</v>
      </c>
      <c r="C144" s="10">
        <f>IFERROR(INDEX('حسابهای دریافتنی'!H:H,MATCH(Table211[[#This Row],[كد تفصيلي]],'حسابهای دریافتنی'!A:A,0)),0)</f>
        <v>0</v>
      </c>
      <c r="D144" s="11">
        <f>IFERROR(INDEX('درجریان وصول'!F:F,MATCH(Table211[[#This Row],[كد تفصيلي]],'درجریان وصول'!A:A,0)),0)</f>
        <v>0</v>
      </c>
      <c r="E144" s="11">
        <f>IFERROR(INDEX('چکهای دریافتنی'!F:F,MATCH(Table211[[#This Row],[كد تفصيلي]],'چکهای دریافتنی'!A:A,0)),0)</f>
        <v>0</v>
      </c>
      <c r="F144" s="11">
        <f>Table211[[#This Row],[حسابهای دریافتنی]]+Table211[[#This Row],[چکهای در جریان وصول]]+Table211[[#This Row],[چکهای نزد صندوق]]</f>
        <v>0</v>
      </c>
      <c r="G144" s="12">
        <f>IFERROR(INDEX('مانده سوفاله'!F:F,MATCH(Table211[[#This Row],[كد تفصيلي]],'مانده سوفاله'!A:A,0)),0)</f>
        <v>-425</v>
      </c>
    </row>
    <row r="145" spans="1:7" customFormat="1" ht="23.25" customHeight="1" x14ac:dyDescent="0.35">
      <c r="A145" s="52">
        <v>30072</v>
      </c>
      <c r="B145" s="24" t="s">
        <v>117</v>
      </c>
      <c r="C145" s="10">
        <f>IFERROR(INDEX('حسابهای دریافتنی'!H:H,MATCH(Table211[[#This Row],[كد تفصيلي]],'حسابهای دریافتنی'!A:A,0)),0)</f>
        <v>-30178900</v>
      </c>
      <c r="D145" s="11">
        <f>IFERROR(INDEX('درجریان وصول'!F:F,MATCH(Table211[[#This Row],[كد تفصيلي]],'درجریان وصول'!A:A,0)),0)</f>
        <v>0</v>
      </c>
      <c r="E145" s="11">
        <f>IFERROR(INDEX('چکهای دریافتنی'!F:F,MATCH(Table211[[#This Row],[كد تفصيلي]],'چکهای دریافتنی'!A:A,0)),0)</f>
        <v>0</v>
      </c>
      <c r="F145" s="11">
        <f>Table211[[#This Row],[حسابهای دریافتنی]]+Table211[[#This Row],[چکهای در جریان وصول]]+Table211[[#This Row],[چکهای نزد صندوق]]</f>
        <v>-30178900</v>
      </c>
      <c r="G145" s="12">
        <f>IFERROR(INDEX('مانده سوفاله'!F:F,MATCH(Table211[[#This Row],[كد تفصيلي]],'مانده سوفاله'!A:A,0)),0)</f>
        <v>-79</v>
      </c>
    </row>
    <row r="146" spans="1:7" customFormat="1" ht="23.25" customHeight="1" x14ac:dyDescent="0.35">
      <c r="A146" s="51">
        <v>30000</v>
      </c>
      <c r="B146" s="25" t="s">
        <v>189</v>
      </c>
      <c r="C146" s="10">
        <f>IFERROR(INDEX('حسابهای دریافتنی'!H:H,MATCH(Table211[[#This Row],[كد تفصيلي]],'حسابهای دریافتنی'!A:A,0)),0)</f>
        <v>-55440000</v>
      </c>
      <c r="D146" s="11">
        <f>IFERROR(INDEX('درجریان وصول'!F:F,MATCH(Table211[[#This Row],[كد تفصيلي]],'درجریان وصول'!A:A,0)),0)</f>
        <v>0</v>
      </c>
      <c r="E146" s="11">
        <f>IFERROR(INDEX('چکهای دریافتنی'!F:F,MATCH(Table211[[#This Row],[كد تفصيلي]],'چکهای دریافتنی'!A:A,0)),0)</f>
        <v>0</v>
      </c>
      <c r="F146" s="11">
        <f>Table211[[#This Row],[حسابهای دریافتنی]]+Table211[[#This Row],[چکهای در جریان وصول]]+Table211[[#This Row],[چکهای نزد صندوق]]</f>
        <v>-55440000</v>
      </c>
      <c r="G146" s="12">
        <f>IFERROR(INDEX('مانده سوفاله'!F:F,MATCH(Table211[[#This Row],[كد تفصيلي]],'مانده سوفاله'!A:A,0)),0)</f>
        <v>0</v>
      </c>
    </row>
    <row r="147" spans="1:7" customFormat="1" ht="23.25" customHeight="1" x14ac:dyDescent="0.35">
      <c r="A147" s="51">
        <v>30133</v>
      </c>
      <c r="B147" s="25" t="s">
        <v>251</v>
      </c>
      <c r="C147" s="10">
        <f>IFERROR(INDEX('حسابهای دریافتنی'!H:H,MATCH(Table211[[#This Row],[كد تفصيلي]],'حسابهای دریافتنی'!A:A,0)),0)</f>
        <v>-66889500</v>
      </c>
      <c r="D147" s="11">
        <f>IFERROR(INDEX('درجریان وصول'!F:F,MATCH(Table211[[#This Row],[كد تفصيلي]],'درجریان وصول'!A:A,0)),0)</f>
        <v>0</v>
      </c>
      <c r="E147" s="11">
        <f>IFERROR(INDEX('چکهای دریافتنی'!F:F,MATCH(Table211[[#This Row],[كد تفصيلي]],'چکهای دریافتنی'!A:A,0)),0)</f>
        <v>0</v>
      </c>
      <c r="F147" s="11">
        <f>Table211[[#This Row],[حسابهای دریافتنی]]+Table211[[#This Row],[چکهای در جریان وصول]]+Table211[[#This Row],[چکهای نزد صندوق]]</f>
        <v>-66889500</v>
      </c>
      <c r="G147" s="12">
        <f>IFERROR(INDEX('مانده سوفاله'!F:F,MATCH(Table211[[#This Row],[كد تفصيلي]],'مانده سوفاله'!A:A,0)),0)</f>
        <v>0</v>
      </c>
    </row>
    <row r="148" spans="1:7" customFormat="1" ht="23.25" customHeight="1" x14ac:dyDescent="0.35">
      <c r="A148" s="52">
        <v>10089</v>
      </c>
      <c r="B148" s="24" t="s">
        <v>255</v>
      </c>
      <c r="C148" s="10">
        <f>IFERROR(INDEX('حسابهای دریافتنی'!H:H,MATCH(Table211[[#This Row],[كد تفصيلي]],'حسابهای دریافتنی'!A:A,0)),0)</f>
        <v>-143944000</v>
      </c>
      <c r="D148" s="11">
        <f>IFERROR(INDEX('درجریان وصول'!F:F,MATCH(Table211[[#This Row],[كد تفصيلي]],'درجریان وصول'!A:A,0)),0)</f>
        <v>0</v>
      </c>
      <c r="E148" s="11">
        <f>IFERROR(INDEX('چکهای دریافتنی'!F:F,MATCH(Table211[[#This Row],[كد تفصيلي]],'چکهای دریافتنی'!A:A,0)),0)</f>
        <v>0</v>
      </c>
      <c r="F148" s="11">
        <f>Table211[[#This Row],[حسابهای دریافتنی]]+Table211[[#This Row],[چکهای در جریان وصول]]+Table211[[#This Row],[چکهای نزد صندوق]]</f>
        <v>-143944000</v>
      </c>
      <c r="G148" s="12">
        <f>IFERROR(INDEX('مانده سوفاله'!F:F,MATCH(Table211[[#This Row],[كد تفصيلي]],'مانده سوفاله'!A:A,0)),0)</f>
        <v>-948</v>
      </c>
    </row>
    <row r="149" spans="1:7" customFormat="1" ht="23.25" customHeight="1" x14ac:dyDescent="0.35">
      <c r="A149" s="52">
        <v>30001</v>
      </c>
      <c r="B149" s="24" t="s">
        <v>190</v>
      </c>
      <c r="C149" s="10">
        <f>IFERROR(INDEX('حسابهای دریافتنی'!H:H,MATCH(Table211[[#This Row],[كد تفصيلي]],'حسابهای دریافتنی'!A:A,0)),0)</f>
        <v>119647176</v>
      </c>
      <c r="D149" s="11">
        <f>IFERROR(INDEX('درجریان وصول'!F:F,MATCH(Table211[[#This Row],[كد تفصيلي]],'درجریان وصول'!A:A,0)),0)</f>
        <v>0</v>
      </c>
      <c r="E149" s="11">
        <f>IFERROR(INDEX('چکهای دریافتنی'!F:F,MATCH(Table211[[#This Row],[كد تفصيلي]],'چکهای دریافتنی'!A:A,0)),0)</f>
        <v>0</v>
      </c>
      <c r="F149" s="11">
        <f>Table211[[#This Row],[حسابهای دریافتنی]]+Table211[[#This Row],[چکهای در جریان وصول]]+Table211[[#This Row],[چکهای نزد صندوق]]</f>
        <v>119647176</v>
      </c>
      <c r="G149" s="12">
        <f>IFERROR(INDEX('مانده سوفاله'!F:F,MATCH(Table211[[#This Row],[كد تفصيلي]],'مانده سوفاله'!A:A,0)),0)</f>
        <v>123</v>
      </c>
    </row>
    <row r="150" spans="1:7" customFormat="1" ht="23.25" customHeight="1" x14ac:dyDescent="0.35">
      <c r="A150" s="51">
        <v>30016</v>
      </c>
      <c r="B150" s="25" t="s">
        <v>253</v>
      </c>
      <c r="C150" s="10">
        <f>IFERROR(INDEX('حسابهای دریافتنی'!H:H,MATCH(Table211[[#This Row],[كد تفصيلي]],'حسابهای دریافتنی'!A:A,0)),0)</f>
        <v>0</v>
      </c>
      <c r="D150" s="11">
        <f>IFERROR(INDEX('درجریان وصول'!F:F,MATCH(Table211[[#This Row],[كد تفصيلي]],'درجریان وصول'!A:A,0)),0)</f>
        <v>0</v>
      </c>
      <c r="E150" s="11">
        <f>IFERROR(INDEX('چکهای دریافتنی'!F:F,MATCH(Table211[[#This Row],[كد تفصيلي]],'چکهای دریافتنی'!A:A,0)),0)</f>
        <v>0</v>
      </c>
      <c r="F150" s="11">
        <f>Table211[[#This Row],[حسابهای دریافتنی]]+Table211[[#This Row],[چکهای در جریان وصول]]+Table211[[#This Row],[چکهای نزد صندوق]]</f>
        <v>0</v>
      </c>
      <c r="G150" s="12">
        <f>IFERROR(INDEX('مانده سوفاله'!F:F,MATCH(Table211[[#This Row],[كد تفصيلي]],'مانده سوفاله'!A:A,0)),0)</f>
        <v>0</v>
      </c>
    </row>
    <row r="151" spans="1:7" customFormat="1" ht="23.25" customHeight="1" x14ac:dyDescent="0.35">
      <c r="A151" s="52">
        <v>10079</v>
      </c>
      <c r="B151" s="24" t="s">
        <v>174</v>
      </c>
      <c r="C151" s="10">
        <f>IFERROR(INDEX('حسابهای دریافتنی'!H:H,MATCH(Table211[[#This Row],[كد تفصيلي]],'حسابهای دریافتنی'!A:A,0)),0)</f>
        <v>-226593500</v>
      </c>
      <c r="D151" s="11">
        <f>IFERROR(INDEX('درجریان وصول'!F:F,MATCH(Table211[[#This Row],[كد تفصيلي]],'درجریان وصول'!A:A,0)),0)</f>
        <v>0</v>
      </c>
      <c r="E151" s="11">
        <f>IFERROR(INDEX('چکهای دریافتنی'!F:F,MATCH(Table211[[#This Row],[كد تفصيلي]],'چکهای دریافتنی'!A:A,0)),0)</f>
        <v>0</v>
      </c>
      <c r="F151" s="11">
        <f>Table211[[#This Row],[حسابهای دریافتنی]]+Table211[[#This Row],[چکهای در جریان وصول]]+Table211[[#This Row],[چکهای نزد صندوق]]</f>
        <v>-226593500</v>
      </c>
      <c r="G151" s="12">
        <f>IFERROR(INDEX('مانده سوفاله'!F:F,MATCH(Table211[[#This Row],[كد تفصيلي]],'مانده سوفاله'!A:A,0)),0)</f>
        <v>0</v>
      </c>
    </row>
    <row r="152" spans="1:7" customFormat="1" ht="23.25" customHeight="1" x14ac:dyDescent="0.35">
      <c r="A152" s="52">
        <v>10009</v>
      </c>
      <c r="B152" s="24" t="s">
        <v>16</v>
      </c>
      <c r="C152" s="10">
        <f>IFERROR(INDEX('حسابهای دریافتنی'!H:H,MATCH(Table211[[#This Row],[كد تفصيلي]],'حسابهای دریافتنی'!A:A,0)),0)</f>
        <v>-4260580000</v>
      </c>
      <c r="D152" s="11">
        <f>IFERROR(INDEX('درجریان وصول'!F:F,MATCH(Table211[[#This Row],[كد تفصيلي]],'درجریان وصول'!A:A,0)),0)</f>
        <v>0</v>
      </c>
      <c r="E152" s="11">
        <f>IFERROR(INDEX('چکهای دریافتنی'!F:F,MATCH(Table211[[#This Row],[كد تفصيلي]],'چکهای دریافتنی'!A:A,0)),0)</f>
        <v>1600000000</v>
      </c>
      <c r="F152" s="11">
        <f>Table211[[#This Row],[حسابهای دریافتنی]]+Table211[[#This Row],[چکهای در جریان وصول]]+Table211[[#This Row],[چکهای نزد صندوق]]</f>
        <v>-2660580000</v>
      </c>
      <c r="G152" s="12">
        <f>IFERROR(INDEX('مانده سوفاله'!F:F,MATCH(Table211[[#This Row],[كد تفصيلي]],'مانده سوفاله'!A:A,0)),0)</f>
        <v>9952</v>
      </c>
    </row>
    <row r="153" spans="1:7" customFormat="1" ht="23.25" customHeight="1" x14ac:dyDescent="0.35">
      <c r="A153" s="52">
        <v>30156</v>
      </c>
      <c r="B153" s="24" t="s">
        <v>290</v>
      </c>
      <c r="C153" s="10">
        <f>IFERROR(INDEX('حسابهای دریافتنی'!H:H,MATCH(Table211[[#This Row],[كد تفصيلي]],'حسابهای دریافتنی'!A:A,0)),0)</f>
        <v>-180917500</v>
      </c>
      <c r="D153" s="11">
        <f>IFERROR(INDEX('درجریان وصول'!F:F,MATCH(Table211[[#This Row],[كد تفصيلي]],'درجریان وصول'!A:A,0)),0)</f>
        <v>0</v>
      </c>
      <c r="E153" s="11">
        <f>IFERROR(INDEX('چکهای دریافتنی'!F:F,MATCH(Table211[[#This Row],[كد تفصيلي]],'چکهای دریافتنی'!A:A,0)),0)</f>
        <v>0</v>
      </c>
      <c r="F153" s="11">
        <f>Table211[[#This Row],[حسابهای دریافتنی]]+Table211[[#This Row],[چکهای در جریان وصول]]+Table211[[#This Row],[چکهای نزد صندوق]]</f>
        <v>-180917500</v>
      </c>
      <c r="G153" s="12">
        <f>IFERROR(INDEX('مانده سوفاله'!F:F,MATCH(Table211[[#This Row],[كد تفصيلي]],'مانده سوفاله'!A:A,0)),0)</f>
        <v>0</v>
      </c>
    </row>
    <row r="154" spans="1:7" ht="23.25" customHeight="1" x14ac:dyDescent="0.3">
      <c r="A154" s="29">
        <v>10072</v>
      </c>
      <c r="B154" s="25" t="s">
        <v>177</v>
      </c>
      <c r="C154" s="10">
        <f>IFERROR(INDEX('حسابهای دریافتنی'!H:H,MATCH(Table211[[#This Row],[كد تفصيلي]],'حسابهای دریافتنی'!A:A,0)),0)</f>
        <v>55880</v>
      </c>
      <c r="D154" s="11">
        <f>IFERROR(INDEX('درجریان وصول'!F:F,MATCH(Table211[[#This Row],[كد تفصيلي]],'درجریان وصول'!A:A,0)),0)</f>
        <v>0</v>
      </c>
      <c r="E154" s="11">
        <f>IFERROR(INDEX('چکهای دریافتنی'!F:F,MATCH(Table211[[#This Row],[كد تفصيلي]],'چکهای دریافتنی'!A:A,0)),0)</f>
        <v>427700000</v>
      </c>
      <c r="F154" s="11">
        <f>Table211[[#This Row],[حسابهای دریافتنی]]+Table211[[#This Row],[چکهای در جریان وصول]]+Table211[[#This Row],[چکهای نزد صندوق]]</f>
        <v>427755880</v>
      </c>
      <c r="G154" s="12">
        <f>IFERROR(INDEX('مانده سوفاله'!F:F,MATCH(Table211[[#This Row],[كد تفصيلي]],'مانده سوفاله'!A:A,0)),0)</f>
        <v>0</v>
      </c>
    </row>
    <row r="155" spans="1:7" ht="23.25" customHeight="1" x14ac:dyDescent="0.3">
      <c r="A155" s="28">
        <v>10029</v>
      </c>
      <c r="B155" s="24" t="s">
        <v>35</v>
      </c>
      <c r="C155" s="10">
        <f>IFERROR(INDEX('حسابهای دریافتنی'!H:H,MATCH(Table211[[#This Row],[كد تفصيلي]],'حسابهای دریافتنی'!A:A,0)),0)</f>
        <v>-1038298620</v>
      </c>
      <c r="D155" s="11">
        <f>IFERROR(INDEX('درجریان وصول'!F:F,MATCH(Table211[[#This Row],[كد تفصيلي]],'درجریان وصول'!A:A,0)),0)</f>
        <v>0</v>
      </c>
      <c r="E155" s="11">
        <f>IFERROR(INDEX('چکهای دریافتنی'!F:F,MATCH(Table211[[#This Row],[كد تفصيلي]],'چکهای دریافتنی'!A:A,0)),0)</f>
        <v>2019000000</v>
      </c>
      <c r="F155" s="11">
        <f>Table211[[#This Row],[حسابهای دریافتنی]]+Table211[[#This Row],[چکهای در جریان وصول]]+Table211[[#This Row],[چکهای نزد صندوق]]</f>
        <v>980701380</v>
      </c>
      <c r="G155" s="12">
        <f>IFERROR(INDEX('مانده سوفاله'!F:F,MATCH(Table211[[#This Row],[كد تفصيلي]],'مانده سوفاله'!A:A,0)),0)</f>
        <v>6603</v>
      </c>
    </row>
    <row r="156" spans="1:7" ht="23.25" customHeight="1" x14ac:dyDescent="0.3">
      <c r="A156" s="29">
        <v>50008</v>
      </c>
      <c r="B156" s="25" t="s">
        <v>146</v>
      </c>
      <c r="C156" s="10">
        <f>IFERROR(INDEX('حسابهای دریافتنی'!H:H,MATCH(Table211[[#This Row],[كد تفصيلي]],'حسابهای دریافتنی'!A:A,0)),0)</f>
        <v>-406230000</v>
      </c>
      <c r="D156" s="11">
        <f>IFERROR(INDEX('درجریان وصول'!F:F,MATCH(Table211[[#This Row],[كد تفصيلي]],'درجریان وصول'!A:A,0)),0)</f>
        <v>0</v>
      </c>
      <c r="E156" s="11">
        <f>IFERROR(INDEX('چکهای دریافتنی'!F:F,MATCH(Table211[[#This Row],[كد تفصيلي]],'چکهای دریافتنی'!A:A,0)),0)</f>
        <v>0</v>
      </c>
      <c r="F156" s="11">
        <f>Table211[[#This Row],[حسابهای دریافتنی]]+Table211[[#This Row],[چکهای در جریان وصول]]+Table211[[#This Row],[چکهای نزد صندوق]]</f>
        <v>-406230000</v>
      </c>
      <c r="G156" s="12">
        <f>IFERROR(INDEX('مانده سوفاله'!F:F,MATCH(Table211[[#This Row],[كد تفصيلي]],'مانده سوفاله'!A:A,0)),0)</f>
        <v>0</v>
      </c>
    </row>
    <row r="157" spans="1:7" ht="23.25" customHeight="1" x14ac:dyDescent="0.3">
      <c r="A157" s="29">
        <v>30040</v>
      </c>
      <c r="B157" s="25" t="s">
        <v>87</v>
      </c>
      <c r="C157" s="10">
        <f>IFERROR(INDEX('حسابهای دریافتنی'!H:H,MATCH(Table211[[#This Row],[كد تفصيلي]],'حسابهای دریافتنی'!A:A,0)),0)</f>
        <v>0</v>
      </c>
      <c r="D157" s="11">
        <f>IFERROR(INDEX('درجریان وصول'!F:F,MATCH(Table211[[#This Row],[كد تفصيلي]],'درجریان وصول'!A:A,0)),0)</f>
        <v>0</v>
      </c>
      <c r="E157" s="11">
        <f>IFERROR(INDEX('چکهای دریافتنی'!F:F,MATCH(Table211[[#This Row],[كد تفصيلي]],'چکهای دریافتنی'!A:A,0)),0)</f>
        <v>0</v>
      </c>
      <c r="F157" s="11">
        <f>Table211[[#This Row],[حسابهای دریافتنی]]+Table211[[#This Row],[چکهای در جریان وصول]]+Table211[[#This Row],[چکهای نزد صندوق]]</f>
        <v>0</v>
      </c>
      <c r="G157" s="12">
        <f>IFERROR(INDEX('مانده سوفاله'!F:F,MATCH(Table211[[#This Row],[كد تفصيلي]],'مانده سوفاله'!A:A,0)),0)</f>
        <v>0</v>
      </c>
    </row>
    <row r="158" spans="1:7" ht="23.25" customHeight="1" x14ac:dyDescent="0.3">
      <c r="A158" s="28">
        <v>10105</v>
      </c>
      <c r="B158" s="24" t="s">
        <v>294</v>
      </c>
      <c r="C158" s="10">
        <f>IFERROR(INDEX('حسابهای دریافتنی'!H:H,MATCH(Table211[[#This Row],[كد تفصيلي]],'حسابهای دریافتنی'!A:A,0)),0)</f>
        <v>7630000</v>
      </c>
      <c r="D158" s="11">
        <f>IFERROR(INDEX('درجریان وصول'!F:F,MATCH(Table211[[#This Row],[كد تفصيلي]],'درجریان وصول'!A:A,0)),0)</f>
        <v>0</v>
      </c>
      <c r="E158" s="11">
        <f>IFERROR(INDEX('چکهای دریافتنی'!F:F,MATCH(Table211[[#This Row],[كد تفصيلي]],'چکهای دریافتنی'!A:A,0)),0)</f>
        <v>0</v>
      </c>
      <c r="F158" s="11">
        <f>Table211[[#This Row],[حسابهای دریافتنی]]+Table211[[#This Row],[چکهای در جریان وصول]]+Table211[[#This Row],[چکهای نزد صندوق]]</f>
        <v>7630000</v>
      </c>
      <c r="G158" s="12">
        <f>IFERROR(INDEX('مانده سوفاله'!F:F,MATCH(Table211[[#This Row],[كد تفصيلي]],'مانده سوفاله'!A:A,0)),0)</f>
        <v>0</v>
      </c>
    </row>
    <row r="159" spans="1:7" ht="23.25" customHeight="1" x14ac:dyDescent="0.3">
      <c r="A159" s="28">
        <v>79120</v>
      </c>
      <c r="B159" s="24" t="s">
        <v>195</v>
      </c>
      <c r="C159" s="10">
        <f>IFERROR(INDEX('حسابهای دریافتنی'!H:H,MATCH(Table211[[#This Row],[كد تفصيلي]],'حسابهای دریافتنی'!A:A,0)),0)</f>
        <v>-15776160000</v>
      </c>
      <c r="D159" s="11">
        <f>IFERROR(INDEX('درجریان وصول'!F:F,MATCH(Table211[[#This Row],[كد تفصيلي]],'درجریان وصول'!A:A,0)),0)</f>
        <v>0</v>
      </c>
      <c r="E159" s="11">
        <f>IFERROR(INDEX('چکهای دریافتنی'!F:F,MATCH(Table211[[#This Row],[كد تفصيلي]],'چکهای دریافتنی'!A:A,0)),0)</f>
        <v>0</v>
      </c>
      <c r="F159" s="11">
        <f>Table211[[#This Row],[حسابهای دریافتنی]]+Table211[[#This Row],[چکهای در جریان وصول]]+Table211[[#This Row],[چکهای نزد صندوق]]</f>
        <v>-15776160000</v>
      </c>
      <c r="G159" s="12">
        <f>IFERROR(INDEX('مانده سوفاله'!F:F,MATCH(Table211[[#This Row],[كد تفصيلي]],'مانده سوفاله'!A:A,0)),0)</f>
        <v>0</v>
      </c>
    </row>
    <row r="160" spans="1:7" ht="23.25" customHeight="1" x14ac:dyDescent="0.3">
      <c r="A160" s="29">
        <v>30069</v>
      </c>
      <c r="B160" s="25" t="s">
        <v>114</v>
      </c>
      <c r="C160" s="10">
        <f>IFERROR(INDEX('حسابهای دریافتنی'!H:H,MATCH(Table211[[#This Row],[كد تفصيلي]],'حسابهای دریافتنی'!A:A,0)),0)</f>
        <v>377909400</v>
      </c>
      <c r="D160" s="11">
        <f>IFERROR(INDEX('درجریان وصول'!F:F,MATCH(Table211[[#This Row],[كد تفصيلي]],'درجریان وصول'!A:A,0)),0)</f>
        <v>0</v>
      </c>
      <c r="E160" s="11">
        <f>IFERROR(INDEX('چکهای دریافتنی'!F:F,MATCH(Table211[[#This Row],[كد تفصيلي]],'چکهای دریافتنی'!A:A,0)),0)</f>
        <v>0</v>
      </c>
      <c r="F160" s="11">
        <f>Table211[[#This Row],[حسابهای دریافتنی]]+Table211[[#This Row],[چکهای در جریان وصول]]+Table211[[#This Row],[چکهای نزد صندوق]]</f>
        <v>377909400</v>
      </c>
      <c r="G160" s="12">
        <f>IFERROR(INDEX('مانده سوفاله'!F:F,MATCH(Table211[[#This Row],[كد تفصيلي]],'مانده سوفاله'!A:A,0)),0)</f>
        <v>66</v>
      </c>
    </row>
    <row r="161" spans="1:7" ht="23.25" customHeight="1" x14ac:dyDescent="0.3">
      <c r="A161" s="29">
        <v>10104</v>
      </c>
      <c r="B161" s="25" t="s">
        <v>293</v>
      </c>
      <c r="C161" s="10">
        <f>IFERROR(INDEX('حسابهای دریافتنی'!H:H,MATCH(Table211[[#This Row],[كد تفصيلي]],'حسابهای دریافتنی'!A:A,0)),0)</f>
        <v>0</v>
      </c>
      <c r="D161" s="11">
        <f>IFERROR(INDEX('درجریان وصول'!F:F,MATCH(Table211[[#This Row],[كد تفصيلي]],'درجریان وصول'!A:A,0)),0)</f>
        <v>0</v>
      </c>
      <c r="E161" s="11">
        <f>IFERROR(INDEX('چکهای دریافتنی'!F:F,MATCH(Table211[[#This Row],[كد تفصيلي]],'چکهای دریافتنی'!A:A,0)),0)</f>
        <v>0</v>
      </c>
      <c r="F161" s="11">
        <f>Table211[[#This Row],[حسابهای دریافتنی]]+Table211[[#This Row],[چکهای در جریان وصول]]+Table211[[#This Row],[چکهای نزد صندوق]]</f>
        <v>0</v>
      </c>
      <c r="G161" s="12">
        <f>IFERROR(INDEX('مانده سوفاله'!F:F,MATCH(Table211[[#This Row],[كد تفصيلي]],'مانده سوفاله'!A:A,0)),0)</f>
        <v>4065</v>
      </c>
    </row>
    <row r="162" spans="1:7" ht="23.25" customHeight="1" x14ac:dyDescent="0.3">
      <c r="A162" s="29">
        <v>30169</v>
      </c>
      <c r="B162" s="25" t="s">
        <v>318</v>
      </c>
      <c r="C162" s="10">
        <f>IFERROR(INDEX('حسابهای دریافتنی'!H:H,MATCH(Table211[[#This Row],[كد تفصيلي]],'حسابهای دریافتنی'!A:A,0)),0)</f>
        <v>-658993316</v>
      </c>
      <c r="D162" s="11">
        <f>IFERROR(INDEX('درجریان وصول'!F:F,MATCH(Table211[[#This Row],[كد تفصيلي]],'درجریان وصول'!A:A,0)),0)</f>
        <v>0</v>
      </c>
      <c r="E162" s="11">
        <f>IFERROR(INDEX('چکهای دریافتنی'!F:F,MATCH(Table211[[#This Row],[كد تفصيلي]],'چکهای دریافتنی'!A:A,0)),0)</f>
        <v>2085000000</v>
      </c>
      <c r="F162" s="11">
        <f>Table211[[#This Row],[حسابهای دریافتنی]]+Table211[[#This Row],[چکهای در جریان وصول]]+Table211[[#This Row],[چکهای نزد صندوق]]</f>
        <v>1426006684</v>
      </c>
      <c r="G162" s="12">
        <f>IFERROR(INDEX('مانده سوفاله'!F:F,MATCH(Table211[[#This Row],[كد تفصيلي]],'مانده سوفاله'!A:A,0)),0)</f>
        <v>0</v>
      </c>
    </row>
    <row r="163" spans="1:7" ht="23.25" customHeight="1" x14ac:dyDescent="0.3">
      <c r="A163" s="28">
        <v>50005</v>
      </c>
      <c r="B163" s="24" t="s">
        <v>148</v>
      </c>
      <c r="C163" s="10">
        <f>IFERROR(INDEX('حسابهای دریافتنی'!H:H,MATCH(Table211[[#This Row],[كد تفصيلي]],'حسابهای دریافتنی'!A:A,0)),0)</f>
        <v>0</v>
      </c>
      <c r="D163" s="11">
        <f>IFERROR(INDEX('درجریان وصول'!F:F,MATCH(Table211[[#This Row],[كد تفصيلي]],'درجریان وصول'!A:A,0)),0)</f>
        <v>0</v>
      </c>
      <c r="E163" s="11">
        <f>IFERROR(INDEX('چکهای دریافتنی'!F:F,MATCH(Table211[[#This Row],[كد تفصيلي]],'چکهای دریافتنی'!A:A,0)),0)</f>
        <v>0</v>
      </c>
      <c r="F163" s="11">
        <f>Table211[[#This Row],[حسابهای دریافتنی]]+Table211[[#This Row],[چکهای در جریان وصول]]+Table211[[#This Row],[چکهای نزد صندوق]]</f>
        <v>0</v>
      </c>
      <c r="G163" s="12">
        <f>IFERROR(INDEX('مانده سوفاله'!F:F,MATCH(Table211[[#This Row],[كد تفصيلي]],'مانده سوفاله'!A:A,0)),0)</f>
        <v>0</v>
      </c>
    </row>
    <row r="164" spans="1:7" ht="23.25" customHeight="1" x14ac:dyDescent="0.3">
      <c r="A164" s="29">
        <v>30190</v>
      </c>
      <c r="B164" s="25" t="s">
        <v>459</v>
      </c>
      <c r="C164" s="10">
        <f>IFERROR(INDEX('حسابهای دریافتنی'!H:H,MATCH(Table211[[#This Row],[كد تفصيلي]],'حسابهای دریافتنی'!A:A,0)),0)</f>
        <v>328477520</v>
      </c>
      <c r="D164" s="11">
        <f>IFERROR(INDEX('درجریان وصول'!F:F,MATCH(Table211[[#This Row],[كد تفصيلي]],'درجریان وصول'!A:A,0)),0)</f>
        <v>0</v>
      </c>
      <c r="E164" s="11">
        <f>IFERROR(INDEX('چکهای دریافتنی'!F:F,MATCH(Table211[[#This Row],[كد تفصيلي]],'چکهای دریافتنی'!A:A,0)),0)</f>
        <v>0</v>
      </c>
      <c r="F164" s="11">
        <f>Table211[[#This Row],[حسابهای دریافتنی]]+Table211[[#This Row],[چکهای در جریان وصول]]+Table211[[#This Row],[چکهای نزد صندوق]]</f>
        <v>328477520</v>
      </c>
      <c r="G164" s="12">
        <f>IFERROR(INDEX('مانده سوفاله'!F:F,MATCH(Table211[[#This Row],[كد تفصيلي]],'مانده سوفاله'!A:A,0)),0)</f>
        <v>1790</v>
      </c>
    </row>
    <row r="165" spans="1:7" ht="23.25" customHeight="1" x14ac:dyDescent="0.3">
      <c r="A165" s="29">
        <v>79043</v>
      </c>
      <c r="B165" s="25" t="s">
        <v>156</v>
      </c>
      <c r="C165" s="10">
        <f>IFERROR(INDEX('حسابهای دریافتنی'!H:H,MATCH(Table211[[#This Row],[كد تفصيلي]],'حسابهای دریافتنی'!A:A,0)),0)</f>
        <v>-16110730000</v>
      </c>
      <c r="D165" s="11">
        <f>IFERROR(INDEX('درجریان وصول'!F:F,MATCH(Table211[[#This Row],[كد تفصيلي]],'درجریان وصول'!A:A,0)),0)</f>
        <v>0</v>
      </c>
      <c r="E165" s="11">
        <f>IFERROR(INDEX('چکهای دریافتنی'!F:F,MATCH(Table211[[#This Row],[كد تفصيلي]],'چکهای دریافتنی'!A:A,0)),0)</f>
        <v>0</v>
      </c>
      <c r="F165" s="11">
        <f>Table211[[#This Row],[حسابهای دریافتنی]]+Table211[[#This Row],[چکهای در جریان وصول]]+Table211[[#This Row],[چکهای نزد صندوق]]</f>
        <v>-16110730000</v>
      </c>
      <c r="G165" s="12">
        <f>IFERROR(INDEX('مانده سوفاله'!F:F,MATCH(Table211[[#This Row],[كد تفصيلي]],'مانده سوفاله'!A:A,0)),0)</f>
        <v>0</v>
      </c>
    </row>
    <row r="166" spans="1:7" ht="23.25" customHeight="1" x14ac:dyDescent="0.3">
      <c r="A166" s="29">
        <v>50016</v>
      </c>
      <c r="B166" s="25" t="s">
        <v>160</v>
      </c>
      <c r="C166" s="10">
        <f>IFERROR(INDEX('حسابهای دریافتنی'!H:H,MATCH(Table211[[#This Row],[كد تفصيلي]],'حسابهای دریافتنی'!A:A,0)),0)</f>
        <v>6344545550</v>
      </c>
      <c r="D166" s="11">
        <f>IFERROR(INDEX('درجریان وصول'!F:F,MATCH(Table211[[#This Row],[كد تفصيلي]],'درجریان وصول'!A:A,0)),0)</f>
        <v>0</v>
      </c>
      <c r="E166" s="11">
        <f>IFERROR(INDEX('چکهای دریافتنی'!F:F,MATCH(Table211[[#This Row],[كد تفصيلي]],'چکهای دریافتنی'!A:A,0)),0)</f>
        <v>0</v>
      </c>
      <c r="F166" s="11">
        <f>Table211[[#This Row],[حسابهای دریافتنی]]+Table211[[#This Row],[چکهای در جریان وصول]]+Table211[[#This Row],[چکهای نزد صندوق]]</f>
        <v>6344545550</v>
      </c>
      <c r="G166" s="12">
        <f>IFERROR(INDEX('مانده سوفاله'!F:F,MATCH(Table211[[#This Row],[كد تفصيلي]],'مانده سوفاله'!A:A,0)),0)</f>
        <v>5508</v>
      </c>
    </row>
    <row r="167" spans="1:7" ht="23.25" customHeight="1" x14ac:dyDescent="0.35">
      <c r="A167" s="36"/>
      <c r="B167" s="37"/>
      <c r="C167" s="38">
        <f>SUBTOTAL(109,Table211[حسابهای دریافتنی])</f>
        <v>54274699979</v>
      </c>
      <c r="D167" s="38">
        <f>SUBTOTAL(109,Table211[چکهای در جریان وصول])</f>
        <v>0</v>
      </c>
      <c r="E167" s="38">
        <f>SUBTOTAL(109,Table211[چکهای نزد صندوق])</f>
        <v>62507828942</v>
      </c>
      <c r="F167" s="38"/>
      <c r="G167" s="39">
        <f>SUBTOTAL(109,Table211[مانده سوفاله])</f>
        <v>-123462.5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66"/>
  <sheetViews>
    <sheetView rightToLeft="1" workbookViewId="0">
      <selection activeCell="A161" sqref="A161:XFD161"/>
    </sheetView>
  </sheetViews>
  <sheetFormatPr defaultColWidth="9.08984375" defaultRowHeight="24.75" customHeight="1" x14ac:dyDescent="0.35"/>
  <cols>
    <col min="1" max="1" width="14.36328125" style="5" customWidth="1"/>
    <col min="2" max="2" width="31.7265625" style="5" customWidth="1"/>
    <col min="3" max="3" width="20.26953125" style="3" customWidth="1"/>
    <col min="4" max="4" width="19.90625" style="3" customWidth="1"/>
    <col min="5" max="5" width="20.363281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3.5" customHeight="1" thickBot="1" x14ac:dyDescent="0.4">
      <c r="A1" s="97" t="s">
        <v>476</v>
      </c>
      <c r="B1" s="98"/>
      <c r="C1" s="98"/>
      <c r="D1" s="98"/>
      <c r="E1" s="98"/>
      <c r="F1" s="98"/>
      <c r="G1" s="99"/>
    </row>
    <row r="2" spans="1:7" s="2" customFormat="1" ht="48.7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.75" customHeight="1" x14ac:dyDescent="0.35">
      <c r="A3" s="26">
        <v>10003</v>
      </c>
      <c r="B3" s="56" t="s">
        <v>10</v>
      </c>
      <c r="C3" s="10">
        <f>IFERROR(INDEX('حسابهای دریافتنی'!H:H,MATCH(Table212[[#This Row],[كد تفصيلي]],'حسابهای دریافتنی'!A:A,0)),0)</f>
        <v>10804267992</v>
      </c>
      <c r="D3" s="11">
        <f>IFERROR(INDEX('درجریان وصول'!F:F,MATCH(Table212[[#This Row],[كد تفصيلي]],'درجریان وصول'!A:A,0)),0)</f>
        <v>0</v>
      </c>
      <c r="E3" s="11">
        <f>IFERROR(INDEX('چکهای دریافتنی'!F:F,MATCH(Table212[[#This Row],[كد تفصيلي]],'چکهای دریافتنی'!A:A,0)),0)</f>
        <v>13698001280</v>
      </c>
      <c r="F3" s="11">
        <f>Table212[[#This Row],[حسابهای دریافتنی]]+Table212[[#This Row],[چکهای در جریان وصول]]+Table212[[#This Row],[چکهای نزد صندوق]]</f>
        <v>24502269272</v>
      </c>
      <c r="G3" s="12">
        <f>IFERROR(INDEX('مانده سوفاله'!F:F,MATCH(Table212[[#This Row],[كد تفصيلي]],'مانده سوفاله'!A:A,0)),0)</f>
        <v>-39886</v>
      </c>
    </row>
    <row r="4" spans="1:7" ht="24.75" customHeight="1" x14ac:dyDescent="0.35">
      <c r="A4" s="26">
        <v>10055</v>
      </c>
      <c r="B4" s="56" t="s">
        <v>162</v>
      </c>
      <c r="C4" s="10">
        <f>IFERROR(INDEX('حسابهای دریافتنی'!H:H,MATCH(Table212[[#This Row],[كد تفصيلي]],'حسابهای دریافتنی'!A:A,0)),0)</f>
        <v>10460111325</v>
      </c>
      <c r="D4" s="11">
        <f>IFERROR(INDEX('درجریان وصول'!F:F,MATCH(Table212[[#This Row],[كد تفصيلي]],'درجریان وصول'!A:A,0)),0)</f>
        <v>0</v>
      </c>
      <c r="E4" s="11">
        <f>IFERROR(INDEX('چکهای دریافتنی'!F:F,MATCH(Table212[[#This Row],[كد تفصيلي]],'چکهای دریافتنی'!A:A,0)),0)</f>
        <v>2783298655</v>
      </c>
      <c r="F4" s="11">
        <f>Table212[[#This Row],[حسابهای دریافتنی]]+Table212[[#This Row],[چکهای در جریان وصول]]+Table212[[#This Row],[چکهای نزد صندوق]]</f>
        <v>13243409980</v>
      </c>
      <c r="G4" s="12">
        <f>IFERROR(INDEX('مانده سوفاله'!F:F,MATCH(Table212[[#This Row],[كد تفصيلي]],'مانده سوفاله'!A:A,0)),0)</f>
        <v>-12714</v>
      </c>
    </row>
    <row r="5" spans="1:7" ht="24.75" customHeight="1" x14ac:dyDescent="0.35">
      <c r="A5" s="27">
        <v>30004</v>
      </c>
      <c r="B5" s="55" t="s">
        <v>54</v>
      </c>
      <c r="C5" s="10">
        <f>IFERROR(INDEX('حسابهای دریافتنی'!H:H,MATCH(Table212[[#This Row],[كد تفصيلي]],'حسابهای دریافتنی'!A:A,0)),0)</f>
        <v>7598548260</v>
      </c>
      <c r="D5" s="11">
        <f>IFERROR(INDEX('درجریان وصول'!F:F,MATCH(Table212[[#This Row],[كد تفصيلي]],'درجریان وصول'!A:A,0)),0)</f>
        <v>0</v>
      </c>
      <c r="E5" s="11">
        <f>IFERROR(INDEX('چکهای دریافتنی'!F:F,MATCH(Table212[[#This Row],[كد تفصيلي]],'چکهای دریافتنی'!A:A,0)),0)</f>
        <v>11698760000</v>
      </c>
      <c r="F5" s="11">
        <f>Table212[[#This Row],[حسابهای دریافتنی]]+Table212[[#This Row],[چکهای در جریان وصول]]+Table212[[#This Row],[چکهای نزد صندوق]]</f>
        <v>19297308260</v>
      </c>
      <c r="G5" s="12">
        <f>IFERROR(INDEX('مانده سوفاله'!F:F,MATCH(Table212[[#This Row],[كد تفصيلي]],'مانده سوفاله'!A:A,0)),0)</f>
        <v>-4237</v>
      </c>
    </row>
    <row r="6" spans="1:7" ht="24.75" customHeight="1" x14ac:dyDescent="0.35">
      <c r="A6" s="26">
        <v>30009</v>
      </c>
      <c r="B6" s="56" t="s">
        <v>164</v>
      </c>
      <c r="C6" s="10">
        <f>IFERROR(INDEX('حسابهای دریافتنی'!H:H,MATCH(Table212[[#This Row],[كد تفصيلي]],'حسابهای دریافتنی'!A:A,0)),0)</f>
        <v>7853844277</v>
      </c>
      <c r="D6" s="11">
        <f>IFERROR(INDEX('درجریان وصول'!F:F,MATCH(Table212[[#This Row],[كد تفصيلي]],'درجریان وصول'!A:A,0)),0)</f>
        <v>0</v>
      </c>
      <c r="E6" s="11">
        <f>IFERROR(INDEX('چکهای دریافتنی'!F:F,MATCH(Table212[[#This Row],[كد تفصيلي]],'چکهای دریافتنی'!A:A,0)),0)</f>
        <v>6474835380</v>
      </c>
      <c r="F6" s="11">
        <f>Table212[[#This Row],[حسابهای دریافتنی]]+Table212[[#This Row],[چکهای در جریان وصول]]+Table212[[#This Row],[چکهای نزد صندوق]]</f>
        <v>14328679657</v>
      </c>
      <c r="G6" s="12">
        <f>IFERROR(INDEX('مانده سوفاله'!F:F,MATCH(Table212[[#This Row],[كد تفصيلي]],'مانده سوفاله'!A:A,0)),0)</f>
        <v>-11452</v>
      </c>
    </row>
    <row r="7" spans="1:7" ht="24.75" customHeight="1" x14ac:dyDescent="0.35">
      <c r="A7" s="27">
        <v>10026</v>
      </c>
      <c r="B7" s="55" t="s">
        <v>32</v>
      </c>
      <c r="C7" s="10">
        <f>IFERROR(INDEX('حسابهای دریافتنی'!H:H,MATCH(Table212[[#This Row],[كد تفصيلي]],'حسابهای دریافتنی'!A:A,0)),0)</f>
        <v>3795031844</v>
      </c>
      <c r="D7" s="11">
        <f>IFERROR(INDEX('درجریان وصول'!F:F,MATCH(Table212[[#This Row],[كد تفصيلي]],'درجریان وصول'!A:A,0)),0)</f>
        <v>0</v>
      </c>
      <c r="E7" s="11">
        <f>IFERROR(INDEX('چکهای دریافتنی'!F:F,MATCH(Table212[[#This Row],[كد تفصيلي]],'چکهای دریافتنی'!A:A,0)),0)</f>
        <v>2690000000</v>
      </c>
      <c r="F7" s="11">
        <f>Table212[[#This Row],[حسابهای دریافتنی]]+Table212[[#This Row],[چکهای در جریان وصول]]+Table212[[#This Row],[چکهای نزد صندوق]]</f>
        <v>6485031844</v>
      </c>
      <c r="G7" s="12">
        <f>IFERROR(INDEX('مانده سوفاله'!F:F,MATCH(Table212[[#This Row],[كد تفصيلي]],'مانده سوفاله'!A:A,0)),0)</f>
        <v>-12543</v>
      </c>
    </row>
    <row r="8" spans="1:7" ht="24.75" customHeight="1" x14ac:dyDescent="0.35">
      <c r="A8" s="26">
        <v>30058</v>
      </c>
      <c r="B8" s="56" t="s">
        <v>103</v>
      </c>
      <c r="C8" s="10">
        <f>IFERROR(INDEX('حسابهای دریافتنی'!H:H,MATCH(Table212[[#This Row],[كد تفصيلي]],'حسابهای دریافتنی'!A:A,0)),0)</f>
        <v>1700045560</v>
      </c>
      <c r="D8" s="11">
        <f>IFERROR(INDEX('درجریان وصول'!F:F,MATCH(Table212[[#This Row],[كد تفصيلي]],'درجریان وصول'!A:A,0)),0)</f>
        <v>0</v>
      </c>
      <c r="E8" s="11">
        <f>IFERROR(INDEX('چکهای دریافتنی'!F:F,MATCH(Table212[[#This Row],[كد تفصيلي]],'چکهای دریافتنی'!A:A,0)),0)</f>
        <v>0</v>
      </c>
      <c r="F8" s="11">
        <f>Table212[[#This Row],[حسابهای دریافتنی]]+Table212[[#This Row],[چکهای در جریان وصول]]+Table212[[#This Row],[چکهای نزد صندوق]]</f>
        <v>1700045560</v>
      </c>
      <c r="G8" s="12">
        <f>IFERROR(INDEX('مانده سوفاله'!F:F,MATCH(Table212[[#This Row],[كد تفصيلي]],'مانده سوفاله'!A:A,0)),0)</f>
        <v>-225</v>
      </c>
    </row>
    <row r="9" spans="1:7" ht="24.75" customHeight="1" x14ac:dyDescent="0.35">
      <c r="A9" s="26">
        <v>30017</v>
      </c>
      <c r="B9" s="56" t="s">
        <v>65</v>
      </c>
      <c r="C9" s="10">
        <f>IFERROR(INDEX('حسابهای دریافتنی'!H:H,MATCH(Table212[[#This Row],[كد تفصيلي]],'حسابهای دریافتنی'!A:A,0)),0)</f>
        <v>905000830</v>
      </c>
      <c r="D9" s="11">
        <f>IFERROR(INDEX('درجریان وصول'!F:F,MATCH(Table212[[#This Row],[كد تفصيلي]],'درجریان وصول'!A:A,0)),0)</f>
        <v>0</v>
      </c>
      <c r="E9" s="11">
        <f>IFERROR(INDEX('چکهای دریافتنی'!F:F,MATCH(Table212[[#This Row],[كد تفصيلي]],'چکهای دریافتنی'!A:A,0)),0)</f>
        <v>0</v>
      </c>
      <c r="F9" s="11">
        <f>Table212[[#This Row],[حسابهای دریافتنی]]+Table212[[#This Row],[چکهای در جریان وصول]]+Table212[[#This Row],[چکهای نزد صندوق]]</f>
        <v>905000830</v>
      </c>
      <c r="G9" s="12">
        <f>IFERROR(INDEX('مانده سوفاله'!F:F,MATCH(Table212[[#This Row],[كد تفصيلي]],'مانده سوفاله'!A:A,0)),0)</f>
        <v>-2186</v>
      </c>
    </row>
    <row r="10" spans="1:7" ht="24.75" customHeight="1" x14ac:dyDescent="0.35">
      <c r="A10" s="27">
        <v>30081</v>
      </c>
      <c r="B10" s="55" t="s">
        <v>126</v>
      </c>
      <c r="C10" s="10">
        <f>IFERROR(INDEX('حسابهای دریافتنی'!H:H,MATCH(Table212[[#This Row],[كد تفصيلي]],'حسابهای دریافتنی'!A:A,0)),0)</f>
        <v>1148992373</v>
      </c>
      <c r="D10" s="11">
        <f>IFERROR(INDEX('درجریان وصول'!F:F,MATCH(Table212[[#This Row],[كد تفصيلي]],'درجریان وصول'!A:A,0)),0)</f>
        <v>0</v>
      </c>
      <c r="E10" s="11">
        <f>IFERROR(INDEX('چکهای دریافتنی'!F:F,MATCH(Table212[[#This Row],[كد تفصيلي]],'چکهای دریافتنی'!A:A,0)),0)</f>
        <v>0</v>
      </c>
      <c r="F10" s="11">
        <f>Table212[[#This Row],[حسابهای دریافتنی]]+Table212[[#This Row],[چکهای در جریان وصول]]+Table212[[#This Row],[چکهای نزد صندوق]]</f>
        <v>1148992373</v>
      </c>
      <c r="G10" s="12">
        <f>IFERROR(INDEX('مانده سوفاله'!F:F,MATCH(Table212[[#This Row],[كد تفصيلي]],'مانده سوفاله'!A:A,0)),0)</f>
        <v>-6924</v>
      </c>
    </row>
    <row r="11" spans="1:7" ht="24.75" customHeight="1" x14ac:dyDescent="0.35">
      <c r="A11" s="27">
        <v>10123</v>
      </c>
      <c r="B11" s="55" t="s">
        <v>340</v>
      </c>
      <c r="C11" s="10">
        <f>IFERROR(INDEX('حسابهای دریافتنی'!H:H,MATCH(Table212[[#This Row],[كد تفصيلي]],'حسابهای دریافتنی'!A:A,0)),0)</f>
        <v>-50813000</v>
      </c>
      <c r="D11" s="11">
        <f>IFERROR(INDEX('درجریان وصول'!F:F,MATCH(Table212[[#This Row],[كد تفصيلي]],'درجریان وصول'!A:A,0)),0)</f>
        <v>0</v>
      </c>
      <c r="E11" s="11">
        <f>IFERROR(INDEX('چکهای دریافتنی'!F:F,MATCH(Table212[[#This Row],[كد تفصيلي]],'چکهای دریافتنی'!A:A,0)),0)</f>
        <v>0</v>
      </c>
      <c r="F11" s="11">
        <f>Table212[[#This Row],[حسابهای دریافتنی]]+Table212[[#This Row],[چکهای در جریان وصول]]+Table212[[#This Row],[چکهای نزد صندوق]]</f>
        <v>-50813000</v>
      </c>
      <c r="G11" s="12">
        <f>IFERROR(INDEX('مانده سوفاله'!F:F,MATCH(Table212[[#This Row],[كد تفصيلي]],'مانده سوفاله'!A:A,0)),0)</f>
        <v>0</v>
      </c>
    </row>
    <row r="12" spans="1:7" ht="24.75" customHeight="1" x14ac:dyDescent="0.35">
      <c r="A12" s="26">
        <v>30066</v>
      </c>
      <c r="B12" s="56" t="s">
        <v>111</v>
      </c>
      <c r="C12" s="10">
        <f>IFERROR(INDEX('حسابهای دریافتنی'!H:H,MATCH(Table212[[#This Row],[كد تفصيلي]],'حسابهای دریافتنی'!A:A,0)),0)</f>
        <v>6484147500</v>
      </c>
      <c r="D12" s="11">
        <f>IFERROR(INDEX('درجریان وصول'!F:F,MATCH(Table212[[#This Row],[كد تفصيلي]],'درجریان وصول'!A:A,0)),0)</f>
        <v>0</v>
      </c>
      <c r="E12" s="11">
        <f>IFERROR(INDEX('چکهای دریافتنی'!F:F,MATCH(Table212[[#This Row],[كد تفصيلي]],'چکهای دریافتنی'!A:A,0)),0)</f>
        <v>0</v>
      </c>
      <c r="F12" s="11">
        <f>Table212[[#This Row],[حسابهای دریافتنی]]+Table212[[#This Row],[چکهای در جریان وصول]]+Table212[[#This Row],[چکهای نزد صندوق]]</f>
        <v>6484147500</v>
      </c>
      <c r="G12" s="12">
        <f>IFERROR(INDEX('مانده سوفاله'!F:F,MATCH(Table212[[#This Row],[كد تفصيلي]],'مانده سوفاله'!A:A,0)),0)</f>
        <v>-1320</v>
      </c>
    </row>
    <row r="13" spans="1:7" ht="24.75" customHeight="1" x14ac:dyDescent="0.35">
      <c r="A13" s="26">
        <v>30162</v>
      </c>
      <c r="B13" s="56" t="s">
        <v>301</v>
      </c>
      <c r="C13" s="10">
        <f>IFERROR(INDEX('حسابهای دریافتنی'!H:H,MATCH(Table212[[#This Row],[كد تفصيلي]],'حسابهای دریافتنی'!A:A,0)),0)</f>
        <v>204890235</v>
      </c>
      <c r="D13" s="11">
        <f>IFERROR(INDEX('درجریان وصول'!F:F,MATCH(Table212[[#This Row],[كد تفصيلي]],'درجریان وصول'!A:A,0)),0)</f>
        <v>0</v>
      </c>
      <c r="E13" s="11">
        <f>IFERROR(INDEX('چکهای دریافتنی'!F:F,MATCH(Table212[[#This Row],[كد تفصيلي]],'چکهای دریافتنی'!A:A,0)),0)</f>
        <v>0</v>
      </c>
      <c r="F13" s="11">
        <f>Table212[[#This Row],[حسابهای دریافتنی]]+Table212[[#This Row],[چکهای در جریان وصول]]+Table212[[#This Row],[چکهای نزد صندوق]]</f>
        <v>204890235</v>
      </c>
      <c r="G13" s="12">
        <f>IFERROR(INDEX('مانده سوفاله'!F:F,MATCH(Table212[[#This Row],[كد تفصيلي]],'مانده سوفاله'!A:A,0)),0)</f>
        <v>-251</v>
      </c>
    </row>
    <row r="14" spans="1:7" ht="24.75" customHeight="1" x14ac:dyDescent="0.35">
      <c r="A14" s="26">
        <v>10057</v>
      </c>
      <c r="B14" s="56" t="s">
        <v>225</v>
      </c>
      <c r="C14" s="10">
        <f>IFERROR(INDEX('حسابهای دریافتنی'!H:H,MATCH(Table212[[#This Row],[كد تفصيلي]],'حسابهای دریافتنی'!A:A,0)),0)</f>
        <v>1390485500</v>
      </c>
      <c r="D14" s="11">
        <f>IFERROR(INDEX('درجریان وصول'!F:F,MATCH(Table212[[#This Row],[كد تفصيلي]],'درجریان وصول'!A:A,0)),0)</f>
        <v>0</v>
      </c>
      <c r="E14" s="11">
        <f>IFERROR(INDEX('چکهای دریافتنی'!F:F,MATCH(Table212[[#This Row],[كد تفصيلي]],'چکهای دریافتنی'!A:A,0)),0)</f>
        <v>0</v>
      </c>
      <c r="F14" s="11">
        <f>Table212[[#This Row],[حسابهای دریافتنی]]+Table212[[#This Row],[چکهای در جریان وصول]]+Table212[[#This Row],[چکهای نزد صندوق]]</f>
        <v>1390485500</v>
      </c>
      <c r="G14" s="12">
        <f>IFERROR(INDEX('مانده سوفاله'!F:F,MATCH(Table212[[#This Row],[كد تفصيلي]],'مانده سوفاله'!A:A,0)),0)</f>
        <v>-2044</v>
      </c>
    </row>
    <row r="15" spans="1:7" ht="24.75" customHeight="1" x14ac:dyDescent="0.35">
      <c r="A15" s="27">
        <v>10056</v>
      </c>
      <c r="B15" s="55" t="s">
        <v>166</v>
      </c>
      <c r="C15" s="10">
        <f>IFERROR(INDEX('حسابهای دریافتنی'!H:H,MATCH(Table212[[#This Row],[كد تفصيلي]],'حسابهای دریافتنی'!A:A,0)),0)</f>
        <v>812653500</v>
      </c>
      <c r="D15" s="11">
        <f>IFERROR(INDEX('درجریان وصول'!F:F,MATCH(Table212[[#This Row],[كد تفصيلي]],'درجریان وصول'!A:A,0)),0)</f>
        <v>0</v>
      </c>
      <c r="E15" s="11">
        <f>IFERROR(INDEX('چکهای دریافتنی'!F:F,MATCH(Table212[[#This Row],[كد تفصيلي]],'چکهای دریافتنی'!A:A,0)),0)</f>
        <v>0</v>
      </c>
      <c r="F15" s="11">
        <f>Table212[[#This Row],[حسابهای دریافتنی]]+Table212[[#This Row],[چکهای در جریان وصول]]+Table212[[#This Row],[چکهای نزد صندوق]]</f>
        <v>812653500</v>
      </c>
      <c r="G15" s="12">
        <f>IFERROR(INDEX('مانده سوفاله'!F:F,MATCH(Table212[[#This Row],[كد تفصيلي]],'مانده سوفاله'!A:A,0)),0)</f>
        <v>0</v>
      </c>
    </row>
    <row r="16" spans="1:7" ht="24.75" customHeight="1" x14ac:dyDescent="0.35">
      <c r="A16" s="26">
        <v>10027</v>
      </c>
      <c r="B16" s="56" t="s">
        <v>33</v>
      </c>
      <c r="C16" s="10">
        <f>IFERROR(INDEX('حسابهای دریافتنی'!H:H,MATCH(Table212[[#This Row],[كد تفصيلي]],'حسابهای دریافتنی'!A:A,0)),0)</f>
        <v>33078340</v>
      </c>
      <c r="D16" s="11">
        <f>IFERROR(INDEX('درجریان وصول'!F:F,MATCH(Table212[[#This Row],[كد تفصيلي]],'درجریان وصول'!A:A,0)),0)</f>
        <v>0</v>
      </c>
      <c r="E16" s="11">
        <f>IFERROR(INDEX('چکهای دریافتنی'!F:F,MATCH(Table212[[#This Row],[كد تفصيلي]],'چکهای دریافتنی'!A:A,0)),0)</f>
        <v>1588359160</v>
      </c>
      <c r="F16" s="11">
        <f>Table212[[#This Row],[حسابهای دریافتنی]]+Table212[[#This Row],[چکهای در جریان وصول]]+Table212[[#This Row],[چکهای نزد صندوق]]</f>
        <v>1621437500</v>
      </c>
      <c r="G16" s="12">
        <f>IFERROR(INDEX('مانده سوفاله'!F:F,MATCH(Table212[[#This Row],[كد تفصيلي]],'مانده سوفاله'!A:A,0)),0)</f>
        <v>-647</v>
      </c>
    </row>
    <row r="17" spans="1:7" ht="24.75" customHeight="1" x14ac:dyDescent="0.35">
      <c r="A17" s="27">
        <v>10002</v>
      </c>
      <c r="B17" s="55" t="s">
        <v>9</v>
      </c>
      <c r="C17" s="10">
        <f>IFERROR(INDEX('حسابهای دریافتنی'!H:H,MATCH(Table212[[#This Row],[كد تفصيلي]],'حسابهای دریافتنی'!A:A,0)),0)</f>
        <v>-3600000000</v>
      </c>
      <c r="D17" s="11">
        <f>IFERROR(INDEX('درجریان وصول'!F:F,MATCH(Table212[[#This Row],[كد تفصيلي]],'درجریان وصول'!A:A,0)),0)</f>
        <v>0</v>
      </c>
      <c r="E17" s="11">
        <f>IFERROR(INDEX('چکهای دریافتنی'!F:F,MATCH(Table212[[#This Row],[كد تفصيلي]],'چکهای دریافتنی'!A:A,0)),0)</f>
        <v>0</v>
      </c>
      <c r="F17" s="11">
        <f>Table212[[#This Row],[حسابهای دریافتنی]]+Table212[[#This Row],[چکهای در جریان وصول]]+Table212[[#This Row],[چکهای نزد صندوق]]</f>
        <v>-3600000000</v>
      </c>
      <c r="G17" s="12">
        <f>IFERROR(INDEX('مانده سوفاله'!F:F,MATCH(Table212[[#This Row],[كد تفصيلي]],'مانده سوفاله'!A:A,0)),0)</f>
        <v>0</v>
      </c>
    </row>
    <row r="18" spans="1:7" ht="24.75" customHeight="1" x14ac:dyDescent="0.35">
      <c r="A18" s="27">
        <v>30006</v>
      </c>
      <c r="B18" s="55" t="s">
        <v>56</v>
      </c>
      <c r="C18" s="10">
        <f>IFERROR(INDEX('حسابهای دریافتنی'!H:H,MATCH(Table212[[#This Row],[كد تفصيلي]],'حسابهای دریافتنی'!A:A,0)),0)</f>
        <v>-162677545</v>
      </c>
      <c r="D18" s="11">
        <f>IFERROR(INDEX('درجریان وصول'!F:F,MATCH(Table212[[#This Row],[كد تفصيلي]],'درجریان وصول'!A:A,0)),0)</f>
        <v>0</v>
      </c>
      <c r="E18" s="11">
        <f>IFERROR(INDEX('چکهای دریافتنی'!F:F,MATCH(Table212[[#This Row],[كد تفصيلي]],'چکهای دریافتنی'!A:A,0)),0)</f>
        <v>0</v>
      </c>
      <c r="F18" s="11">
        <f>Table212[[#This Row],[حسابهای دریافتنی]]+Table212[[#This Row],[چکهای در جریان وصول]]+Table212[[#This Row],[چکهای نزد صندوق]]</f>
        <v>-162677545</v>
      </c>
      <c r="G18" s="12">
        <f>IFERROR(INDEX('مانده سوفاله'!F:F,MATCH(Table212[[#This Row],[كد تفصيلي]],'مانده سوفاله'!A:A,0)),0)</f>
        <v>-6</v>
      </c>
    </row>
    <row r="19" spans="1:7" ht="24.75" customHeight="1" x14ac:dyDescent="0.35">
      <c r="A19" s="27">
        <v>30014</v>
      </c>
      <c r="B19" s="55" t="s">
        <v>63</v>
      </c>
      <c r="C19" s="10">
        <f>IFERROR(INDEX('حسابهای دریافتنی'!H:H,MATCH(Table212[[#This Row],[كد تفصيلي]],'حسابهای دریافتنی'!A:A,0)),0)</f>
        <v>1762223932</v>
      </c>
      <c r="D19" s="11">
        <f>IFERROR(INDEX('درجریان وصول'!F:F,MATCH(Table212[[#This Row],[كد تفصيلي]],'درجریان وصول'!A:A,0)),0)</f>
        <v>0</v>
      </c>
      <c r="E19" s="11">
        <f>IFERROR(INDEX('چکهای دریافتنی'!F:F,MATCH(Table212[[#This Row],[كد تفصيلي]],'چکهای دریافتنی'!A:A,0)),0)</f>
        <v>0</v>
      </c>
      <c r="F19" s="11">
        <f>Table212[[#This Row],[حسابهای دریافتنی]]+Table212[[#This Row],[چکهای در جریان وصول]]+Table212[[#This Row],[چکهای نزد صندوق]]</f>
        <v>1762223932</v>
      </c>
      <c r="G19" s="12">
        <f>IFERROR(INDEX('مانده سوفاله'!F:F,MATCH(Table212[[#This Row],[كد تفصيلي]],'مانده سوفاله'!A:A,0)),0)</f>
        <v>-1368</v>
      </c>
    </row>
    <row r="20" spans="1:7" ht="24.75" customHeight="1" x14ac:dyDescent="0.35">
      <c r="A20" s="27">
        <v>10020</v>
      </c>
      <c r="B20" s="55" t="s">
        <v>27</v>
      </c>
      <c r="C20" s="10">
        <f>IFERROR(INDEX('حسابهای دریافتنی'!H:H,MATCH(Table212[[#This Row],[كد تفصيلي]],'حسابهای دریافتنی'!A:A,0)),0)</f>
        <v>57999963</v>
      </c>
      <c r="D20" s="11">
        <f>IFERROR(INDEX('درجریان وصول'!F:F,MATCH(Table212[[#This Row],[كد تفصيلي]],'درجریان وصول'!A:A,0)),0)</f>
        <v>0</v>
      </c>
      <c r="E20" s="11">
        <f>IFERROR(INDEX('چکهای دریافتنی'!F:F,MATCH(Table212[[#This Row],[كد تفصيلي]],'چکهای دریافتنی'!A:A,0)),0)</f>
        <v>728000000</v>
      </c>
      <c r="F20" s="11">
        <f>Table212[[#This Row],[حسابهای دریافتنی]]+Table212[[#This Row],[چکهای در جریان وصول]]+Table212[[#This Row],[چکهای نزد صندوق]]</f>
        <v>785999963</v>
      </c>
      <c r="G20" s="12">
        <f>IFERROR(INDEX('مانده سوفاله'!F:F,MATCH(Table212[[#This Row],[كد تفصيلي]],'مانده سوفاله'!A:A,0)),0)</f>
        <v>-1031</v>
      </c>
    </row>
    <row r="21" spans="1:7" ht="24.75" customHeight="1" x14ac:dyDescent="0.35">
      <c r="A21" s="26">
        <v>50011</v>
      </c>
      <c r="B21" s="56" t="s">
        <v>147</v>
      </c>
      <c r="C21" s="10">
        <f>IFERROR(INDEX('حسابهای دریافتنی'!H:H,MATCH(Table212[[#This Row],[كد تفصيلي]],'حسابهای دریافتنی'!A:A,0)),0)</f>
        <v>832182413</v>
      </c>
      <c r="D21" s="11">
        <f>IFERROR(INDEX('درجریان وصول'!F:F,MATCH(Table212[[#This Row],[كد تفصيلي]],'درجریان وصول'!A:A,0)),0)</f>
        <v>0</v>
      </c>
      <c r="E21" s="11">
        <f>IFERROR(INDEX('چکهای دریافتنی'!F:F,MATCH(Table212[[#This Row],[كد تفصيلي]],'چکهای دریافتنی'!A:A,0)),0)</f>
        <v>0</v>
      </c>
      <c r="F21" s="11">
        <f>Table212[[#This Row],[حسابهای دریافتنی]]+Table212[[#This Row],[چکهای در جریان وصول]]+Table212[[#This Row],[چکهای نزد صندوق]]</f>
        <v>832182413</v>
      </c>
      <c r="G21" s="12">
        <f>IFERROR(INDEX('مانده سوفاله'!F:F,MATCH(Table212[[#This Row],[كد تفصيلي]],'مانده سوفاله'!A:A,0)),0)</f>
        <v>30</v>
      </c>
    </row>
    <row r="22" spans="1:7" ht="24.75" customHeight="1" x14ac:dyDescent="0.35">
      <c r="A22" s="27">
        <v>50016</v>
      </c>
      <c r="B22" s="55" t="s">
        <v>160</v>
      </c>
      <c r="C22" s="10">
        <f>IFERROR(INDEX('حسابهای دریافتنی'!H:H,MATCH(Table212[[#This Row],[كد تفصيلي]],'حسابهای دریافتنی'!A:A,0)),0)</f>
        <v>6344545550</v>
      </c>
      <c r="D22" s="11">
        <f>IFERROR(INDEX('درجریان وصول'!F:F,MATCH(Table212[[#This Row],[كد تفصيلي]],'درجریان وصول'!A:A,0)),0)</f>
        <v>0</v>
      </c>
      <c r="E22" s="11">
        <f>IFERROR(INDEX('چکهای دریافتنی'!F:F,MATCH(Table212[[#This Row],[كد تفصيلي]],'چکهای دریافتنی'!A:A,0)),0)</f>
        <v>0</v>
      </c>
      <c r="F22" s="11">
        <f>Table212[[#This Row],[حسابهای دریافتنی]]+Table212[[#This Row],[چکهای در جریان وصول]]+Table212[[#This Row],[چکهای نزد صندوق]]</f>
        <v>6344545550</v>
      </c>
      <c r="G22" s="12">
        <f>IFERROR(INDEX('مانده سوفاله'!F:F,MATCH(Table212[[#This Row],[كد تفصيلي]],'مانده سوفاله'!A:A,0)),0)</f>
        <v>5508</v>
      </c>
    </row>
    <row r="23" spans="1:7" ht="24.75" customHeight="1" x14ac:dyDescent="0.35">
      <c r="A23" s="26">
        <v>30140</v>
      </c>
      <c r="B23" s="56" t="s">
        <v>259</v>
      </c>
      <c r="C23" s="10">
        <f>IFERROR(INDEX('حسابهای دریافتنی'!H:H,MATCH(Table212[[#This Row],[كد تفصيلي]],'حسابهای دریافتنی'!A:A,0)),0)</f>
        <v>553728200</v>
      </c>
      <c r="D23" s="11">
        <f>IFERROR(INDEX('درجریان وصول'!F:F,MATCH(Table212[[#This Row],[كد تفصيلي]],'درجریان وصول'!A:A,0)),0)</f>
        <v>0</v>
      </c>
      <c r="E23" s="11">
        <f>IFERROR(INDEX('چکهای دریافتنی'!F:F,MATCH(Table212[[#This Row],[كد تفصيلي]],'چکهای دریافتنی'!A:A,0)),0)</f>
        <v>1030000000</v>
      </c>
      <c r="F23" s="11">
        <f>Table212[[#This Row],[حسابهای دریافتنی]]+Table212[[#This Row],[چکهای در جریان وصول]]+Table212[[#This Row],[چکهای نزد صندوق]]</f>
        <v>1583728200</v>
      </c>
      <c r="G23" s="12">
        <f>IFERROR(INDEX('مانده سوفاله'!F:F,MATCH(Table212[[#This Row],[كد تفصيلي]],'مانده سوفاله'!A:A,0)),0)</f>
        <v>-12630</v>
      </c>
    </row>
    <row r="24" spans="1:7" ht="24.75" customHeight="1" x14ac:dyDescent="0.35">
      <c r="A24" s="26">
        <v>30191</v>
      </c>
      <c r="B24" s="56" t="s">
        <v>460</v>
      </c>
      <c r="C24" s="10">
        <f>IFERROR(INDEX('حسابهای دریافتنی'!H:H,MATCH(Table212[[#This Row],[كد تفصيلي]],'حسابهای دریافتنی'!A:A,0)),0)</f>
        <v>792933000</v>
      </c>
      <c r="D24" s="11">
        <f>IFERROR(INDEX('درجریان وصول'!F:F,MATCH(Table212[[#This Row],[كد تفصيلي]],'درجریان وصول'!A:A,0)),0)</f>
        <v>0</v>
      </c>
      <c r="E24" s="11">
        <f>IFERROR(INDEX('چکهای دریافتنی'!F:F,MATCH(Table212[[#This Row],[كد تفصيلي]],'چکهای دریافتنی'!A:A,0)),0)</f>
        <v>0</v>
      </c>
      <c r="F24" s="11">
        <f>Table212[[#This Row],[حسابهای دریافتنی]]+Table212[[#This Row],[چکهای در جریان وصول]]+Table212[[#This Row],[چکهای نزد صندوق]]</f>
        <v>792933000</v>
      </c>
      <c r="G24" s="12">
        <f>IFERROR(INDEX('مانده سوفاله'!F:F,MATCH(Table212[[#This Row],[كد تفصيلي]],'مانده سوفاله'!A:A,0)),0)</f>
        <v>134</v>
      </c>
    </row>
    <row r="25" spans="1:7" ht="24.75" customHeight="1" x14ac:dyDescent="0.35">
      <c r="A25" s="27">
        <v>10008</v>
      </c>
      <c r="B25" s="55" t="s">
        <v>15</v>
      </c>
      <c r="C25" s="10">
        <f>IFERROR(INDEX('حسابهای دریافتنی'!H:H,MATCH(Table212[[#This Row],[كد تفصيلي]],'حسابهای دریافتنی'!A:A,0)),0)</f>
        <v>597342000</v>
      </c>
      <c r="D25" s="11">
        <f>IFERROR(INDEX('درجریان وصول'!F:F,MATCH(Table212[[#This Row],[كد تفصيلي]],'درجریان وصول'!A:A,0)),0)</f>
        <v>0</v>
      </c>
      <c r="E25" s="11">
        <f>IFERROR(INDEX('چکهای دریافتنی'!F:F,MATCH(Table212[[#This Row],[كد تفصيلي]],'چکهای دریافتنی'!A:A,0)),0)</f>
        <v>0</v>
      </c>
      <c r="F25" s="11">
        <f>Table212[[#This Row],[حسابهای دریافتنی]]+Table212[[#This Row],[چکهای در جریان وصول]]+Table212[[#This Row],[چکهای نزد صندوق]]</f>
        <v>597342000</v>
      </c>
      <c r="G25" s="12">
        <f>IFERROR(INDEX('مانده سوفاله'!F:F,MATCH(Table212[[#This Row],[كد تفصيلي]],'مانده سوفاله'!A:A,0)),0)</f>
        <v>-578</v>
      </c>
    </row>
    <row r="26" spans="1:7" ht="24.75" customHeight="1" x14ac:dyDescent="0.35">
      <c r="A26" s="26">
        <v>30146</v>
      </c>
      <c r="B26" s="56" t="s">
        <v>266</v>
      </c>
      <c r="C26" s="10">
        <f>IFERROR(INDEX('حسابهای دریافتنی'!H:H,MATCH(Table212[[#This Row],[كد تفصيلي]],'حسابهای دریافتنی'!A:A,0)),0)</f>
        <v>-4146512500</v>
      </c>
      <c r="D26" s="11">
        <f>IFERROR(INDEX('درجریان وصول'!F:F,MATCH(Table212[[#This Row],[كد تفصيلي]],'درجریان وصول'!A:A,0)),0)</f>
        <v>0</v>
      </c>
      <c r="E26" s="11">
        <f>IFERROR(INDEX('چکهای دریافتنی'!F:F,MATCH(Table212[[#This Row],[كد تفصيلي]],'چکهای دریافتنی'!A:A,0)),0)</f>
        <v>0</v>
      </c>
      <c r="F26" s="11">
        <f>Table212[[#This Row],[حسابهای دریافتنی]]+Table212[[#This Row],[چکهای در جریان وصول]]+Table212[[#This Row],[چکهای نزد صندوق]]</f>
        <v>-4146512500</v>
      </c>
      <c r="G26" s="12">
        <f>IFERROR(INDEX('مانده سوفاله'!F:F,MATCH(Table212[[#This Row],[كد تفصيلي]],'مانده سوفاله'!A:A,0)),0)</f>
        <v>2823</v>
      </c>
    </row>
    <row r="27" spans="1:7" ht="24.75" customHeight="1" x14ac:dyDescent="0.35">
      <c r="A27" s="26">
        <v>10069</v>
      </c>
      <c r="B27" s="56" t="s">
        <v>204</v>
      </c>
      <c r="C27" s="10">
        <f>IFERROR(INDEX('حسابهای دریافتنی'!H:H,MATCH(Table212[[#This Row],[كد تفصيلي]],'حسابهای دریافتنی'!A:A,0)),0)</f>
        <v>952500</v>
      </c>
      <c r="D27" s="11">
        <f>IFERROR(INDEX('درجریان وصول'!F:F,MATCH(Table212[[#This Row],[كد تفصيلي]],'درجریان وصول'!A:A,0)),0)</f>
        <v>0</v>
      </c>
      <c r="E27" s="11">
        <f>IFERROR(INDEX('چکهای دریافتنی'!F:F,MATCH(Table212[[#This Row],[كد تفصيلي]],'چکهای دریافتنی'!A:A,0)),0)</f>
        <v>73000000</v>
      </c>
      <c r="F27" s="11">
        <f>Table212[[#This Row],[حسابهای دریافتنی]]+Table212[[#This Row],[چکهای در جریان وصول]]+Table212[[#This Row],[چکهای نزد صندوق]]</f>
        <v>73952500</v>
      </c>
      <c r="G27" s="12">
        <f>IFERROR(INDEX('مانده سوفاله'!F:F,MATCH(Table212[[#This Row],[كد تفصيلي]],'مانده سوفاله'!A:A,0)),0)</f>
        <v>339</v>
      </c>
    </row>
    <row r="28" spans="1:7" ht="24.75" customHeight="1" x14ac:dyDescent="0.35">
      <c r="A28" s="26">
        <v>30070</v>
      </c>
      <c r="B28" s="56" t="s">
        <v>115</v>
      </c>
      <c r="C28" s="10">
        <f>IFERROR(INDEX('حسابهای دریافتنی'!H:H,MATCH(Table212[[#This Row],[كد تفصيلي]],'حسابهای دریافتنی'!A:A,0)),0)</f>
        <v>2651728820</v>
      </c>
      <c r="D28" s="11">
        <f>IFERROR(INDEX('درجریان وصول'!F:F,MATCH(Table212[[#This Row],[كد تفصيلي]],'درجریان وصول'!A:A,0)),0)</f>
        <v>0</v>
      </c>
      <c r="E28" s="11">
        <f>IFERROR(INDEX('چکهای دریافتنی'!F:F,MATCH(Table212[[#This Row],[كد تفصيلي]],'چکهای دریافتنی'!A:A,0)),0)</f>
        <v>3660000000</v>
      </c>
      <c r="F28" s="11">
        <f>Table212[[#This Row],[حسابهای دریافتنی]]+Table212[[#This Row],[چکهای در جریان وصول]]+Table212[[#This Row],[چکهای نزد صندوق]]</f>
        <v>6311728820</v>
      </c>
      <c r="G28" s="12">
        <f>IFERROR(INDEX('مانده سوفاله'!F:F,MATCH(Table212[[#This Row],[كد تفصيلي]],'مانده سوفاله'!A:A,0)),0)</f>
        <v>4378</v>
      </c>
    </row>
    <row r="29" spans="1:7" ht="24.75" customHeight="1" x14ac:dyDescent="0.35">
      <c r="A29" s="27">
        <v>30187</v>
      </c>
      <c r="B29" s="55" t="s">
        <v>369</v>
      </c>
      <c r="C29" s="10">
        <f>IFERROR(INDEX('حسابهای دریافتنی'!H:H,MATCH(Table212[[#This Row],[كد تفصيلي]],'حسابهای دریافتنی'!A:A,0)),0)</f>
        <v>337825500</v>
      </c>
      <c r="D29" s="11">
        <f>IFERROR(INDEX('درجریان وصول'!F:F,MATCH(Table212[[#This Row],[كد تفصيلي]],'درجریان وصول'!A:A,0)),0)</f>
        <v>0</v>
      </c>
      <c r="E29" s="11">
        <f>IFERROR(INDEX('چکهای دریافتنی'!F:F,MATCH(Table212[[#This Row],[كد تفصيلي]],'چکهای دریافتنی'!A:A,0)),0)</f>
        <v>0</v>
      </c>
      <c r="F29" s="11">
        <f>Table212[[#This Row],[حسابهای دریافتنی]]+Table212[[#This Row],[چکهای در جریان وصول]]+Table212[[#This Row],[چکهای نزد صندوق]]</f>
        <v>337825500</v>
      </c>
      <c r="G29" s="12">
        <f>IFERROR(INDEX('مانده سوفاله'!F:F,MATCH(Table212[[#This Row],[كد تفصيلي]],'مانده سوفاله'!A:A,0)),0)</f>
        <v>-108</v>
      </c>
    </row>
    <row r="30" spans="1:7" ht="24.75" customHeight="1" x14ac:dyDescent="0.35">
      <c r="A30" s="27">
        <v>10084</v>
      </c>
      <c r="B30" s="55" t="s">
        <v>217</v>
      </c>
      <c r="C30" s="10">
        <f>IFERROR(INDEX('حسابهای دریافتنی'!H:H,MATCH(Table212[[#This Row],[كد تفصيلي]],'حسابهای دریافتنی'!A:A,0)),0)</f>
        <v>358092810</v>
      </c>
      <c r="D30" s="11">
        <f>IFERROR(INDEX('درجریان وصول'!F:F,MATCH(Table212[[#This Row],[كد تفصيلي]],'درجریان وصول'!A:A,0)),0)</f>
        <v>0</v>
      </c>
      <c r="E30" s="11">
        <f>IFERROR(INDEX('چکهای دریافتنی'!F:F,MATCH(Table212[[#This Row],[كد تفصيلي]],'چکهای دریافتنی'!A:A,0)),0)</f>
        <v>870000000</v>
      </c>
      <c r="F30" s="11">
        <f>Table212[[#This Row],[حسابهای دریافتنی]]+Table212[[#This Row],[چکهای در جریان وصول]]+Table212[[#This Row],[چکهای نزد صندوق]]</f>
        <v>1228092810</v>
      </c>
      <c r="G30" s="12">
        <f>IFERROR(INDEX('مانده سوفاله'!F:F,MATCH(Table212[[#This Row],[كد تفصيلي]],'مانده سوفاله'!A:A,0)),0)</f>
        <v>-1656</v>
      </c>
    </row>
    <row r="31" spans="1:7" ht="24.75" customHeight="1" x14ac:dyDescent="0.35">
      <c r="A31" s="27">
        <v>30069</v>
      </c>
      <c r="B31" s="55" t="s">
        <v>114</v>
      </c>
      <c r="C31" s="10">
        <f>IFERROR(INDEX('حسابهای دریافتنی'!H:H,MATCH(Table212[[#This Row],[كد تفصيلي]],'حسابهای دریافتنی'!A:A,0)),0)</f>
        <v>377909400</v>
      </c>
      <c r="D31" s="11">
        <f>IFERROR(INDEX('درجریان وصول'!F:F,MATCH(Table212[[#This Row],[كد تفصيلي]],'درجریان وصول'!A:A,0)),0)</f>
        <v>0</v>
      </c>
      <c r="E31" s="11">
        <f>IFERROR(INDEX('چکهای دریافتنی'!F:F,MATCH(Table212[[#This Row],[كد تفصيلي]],'چکهای دریافتنی'!A:A,0)),0)</f>
        <v>0</v>
      </c>
      <c r="F31" s="11">
        <f>Table212[[#This Row],[حسابهای دریافتنی]]+Table212[[#This Row],[چکهای در جریان وصول]]+Table212[[#This Row],[چکهای نزد صندوق]]</f>
        <v>377909400</v>
      </c>
      <c r="G31" s="12">
        <f>IFERROR(INDEX('مانده سوفاله'!F:F,MATCH(Table212[[#This Row],[كد تفصيلي]],'مانده سوفاله'!A:A,0)),0)</f>
        <v>66</v>
      </c>
    </row>
    <row r="32" spans="1:7" ht="24.75" customHeight="1" x14ac:dyDescent="0.35">
      <c r="A32" s="27">
        <v>10070</v>
      </c>
      <c r="B32" s="55" t="s">
        <v>230</v>
      </c>
      <c r="C32" s="10">
        <f>IFERROR(INDEX('حسابهای دریافتنی'!H:H,MATCH(Table212[[#This Row],[كد تفصيلي]],'حسابهای دریافتنی'!A:A,0)),0)</f>
        <v>508152500</v>
      </c>
      <c r="D32" s="11">
        <f>IFERROR(INDEX('درجریان وصول'!F:F,MATCH(Table212[[#This Row],[كد تفصيلي]],'درجریان وصول'!A:A,0)),0)</f>
        <v>0</v>
      </c>
      <c r="E32" s="11">
        <f>IFERROR(INDEX('چکهای دریافتنی'!F:F,MATCH(Table212[[#This Row],[كد تفصيلي]],'چکهای دریافتنی'!A:A,0)),0)</f>
        <v>570000000</v>
      </c>
      <c r="F32" s="11">
        <f>Table212[[#This Row],[حسابهای دریافتنی]]+Table212[[#This Row],[چکهای در جریان وصول]]+Table212[[#This Row],[چکهای نزد صندوق]]</f>
        <v>1078152500</v>
      </c>
      <c r="G32" s="12">
        <f>IFERROR(INDEX('مانده سوفاله'!F:F,MATCH(Table212[[#This Row],[كد تفصيلي]],'مانده سوفاله'!A:A,0)),0)</f>
        <v>-3170</v>
      </c>
    </row>
    <row r="33" spans="1:7" ht="24.75" customHeight="1" x14ac:dyDescent="0.35">
      <c r="A33" s="27">
        <v>10127</v>
      </c>
      <c r="B33" s="55" t="s">
        <v>371</v>
      </c>
      <c r="C33" s="10">
        <f>IFERROR(INDEX('حسابهای دریافتنی'!H:H,MATCH(Table212[[#This Row],[كد تفصيلي]],'حسابهای دریافتنی'!A:A,0)),0)</f>
        <v>803728000</v>
      </c>
      <c r="D33" s="11">
        <f>IFERROR(INDEX('درجریان وصول'!F:F,MATCH(Table212[[#This Row],[كد تفصيلي]],'درجریان وصول'!A:A,0)),0)</f>
        <v>0</v>
      </c>
      <c r="E33" s="11">
        <f>IFERROR(INDEX('چکهای دریافتنی'!F:F,MATCH(Table212[[#This Row],[كد تفصيلي]],'چکهای دریافتنی'!A:A,0)),0)</f>
        <v>0</v>
      </c>
      <c r="F33" s="11">
        <f>Table212[[#This Row],[حسابهای دریافتنی]]+Table212[[#This Row],[چکهای در جریان وصول]]+Table212[[#This Row],[چکهای نزد صندوق]]</f>
        <v>803728000</v>
      </c>
      <c r="G33" s="12">
        <f>IFERROR(INDEX('مانده سوفاله'!F:F,MATCH(Table212[[#This Row],[كد تفصيلي]],'مانده سوفاله'!A:A,0)),0)</f>
        <v>-1469</v>
      </c>
    </row>
    <row r="34" spans="1:7" ht="24.75" customHeight="1" x14ac:dyDescent="0.35">
      <c r="A34" s="27">
        <v>30099</v>
      </c>
      <c r="B34" s="55" t="s">
        <v>167</v>
      </c>
      <c r="C34" s="10">
        <f>IFERROR(INDEX('حسابهای دریافتنی'!H:H,MATCH(Table212[[#This Row],[كد تفصيلي]],'حسابهای دریافتنی'!A:A,0)),0)</f>
        <v>1398393484</v>
      </c>
      <c r="D34" s="11">
        <f>IFERROR(INDEX('درجریان وصول'!F:F,MATCH(Table212[[#This Row],[كد تفصيلي]],'درجریان وصول'!A:A,0)),0)</f>
        <v>0</v>
      </c>
      <c r="E34" s="11">
        <f>IFERROR(INDEX('چکهای دریافتنی'!F:F,MATCH(Table212[[#This Row],[كد تفصيلي]],'چکهای دریافتنی'!A:A,0)),0)</f>
        <v>583000000</v>
      </c>
      <c r="F34" s="11">
        <f>Table212[[#This Row],[حسابهای دریافتنی]]+Table212[[#This Row],[چکهای در جریان وصول]]+Table212[[#This Row],[چکهای نزد صندوق]]</f>
        <v>1981393484</v>
      </c>
      <c r="G34" s="12">
        <f>IFERROR(INDEX('مانده سوفاله'!F:F,MATCH(Table212[[#This Row],[كد تفصيلي]],'مانده سوفاله'!A:A,0)),0)</f>
        <v>-332</v>
      </c>
    </row>
    <row r="35" spans="1:7" ht="24.75" customHeight="1" x14ac:dyDescent="0.35">
      <c r="A35" s="27">
        <v>30018</v>
      </c>
      <c r="B35" s="55" t="s">
        <v>66</v>
      </c>
      <c r="C35" s="10">
        <f>IFERROR(INDEX('حسابهای دریافتنی'!H:H,MATCH(Table212[[#This Row],[كد تفصيلي]],'حسابهای دریافتنی'!A:A,0)),0)</f>
        <v>1901077182</v>
      </c>
      <c r="D35" s="11">
        <f>IFERROR(INDEX('درجریان وصول'!F:F,MATCH(Table212[[#This Row],[كد تفصيلي]],'درجریان وصول'!A:A,0)),0)</f>
        <v>0</v>
      </c>
      <c r="E35" s="11">
        <f>IFERROR(INDEX('چکهای دریافتنی'!F:F,MATCH(Table212[[#This Row],[كد تفصيلي]],'چکهای دریافتنی'!A:A,0)),0)</f>
        <v>0</v>
      </c>
      <c r="F35" s="11">
        <f>Table212[[#This Row],[حسابهای دریافتنی]]+Table212[[#This Row],[چکهای در جریان وصول]]+Table212[[#This Row],[چکهای نزد صندوق]]</f>
        <v>1901077182</v>
      </c>
      <c r="G35" s="12">
        <f>IFERROR(INDEX('مانده سوفاله'!F:F,MATCH(Table212[[#This Row],[كد تفصيلي]],'مانده سوفاله'!A:A,0)),0)</f>
        <v>-3024</v>
      </c>
    </row>
    <row r="36" spans="1:7" ht="24.75" customHeight="1" x14ac:dyDescent="0.35">
      <c r="A36" s="26">
        <v>30124</v>
      </c>
      <c r="B36" s="56" t="s">
        <v>246</v>
      </c>
      <c r="C36" s="10">
        <f>IFERROR(INDEX('حسابهای دریافتنی'!H:H,MATCH(Table212[[#This Row],[كد تفصيلي]],'حسابهای دریافتنی'!A:A,0)),0)</f>
        <v>0</v>
      </c>
      <c r="D36" s="11">
        <f>IFERROR(INDEX('درجریان وصول'!F:F,MATCH(Table212[[#This Row],[كد تفصيلي]],'درجریان وصول'!A:A,0)),0)</f>
        <v>0</v>
      </c>
      <c r="E36" s="11">
        <f>IFERROR(INDEX('چکهای دریافتنی'!F:F,MATCH(Table212[[#This Row],[كد تفصيلي]],'چکهای دریافتنی'!A:A,0)),0)</f>
        <v>505676000</v>
      </c>
      <c r="F36" s="11">
        <f>Table212[[#This Row],[حسابهای دریافتنی]]+Table212[[#This Row],[چکهای در جریان وصول]]+Table212[[#This Row],[چکهای نزد صندوق]]</f>
        <v>505676000</v>
      </c>
      <c r="G36" s="12">
        <f>IFERROR(INDEX('مانده سوفاله'!F:F,MATCH(Table212[[#This Row],[كد تفصيلي]],'مانده سوفاله'!A:A,0)),0)</f>
        <v>1498</v>
      </c>
    </row>
    <row r="37" spans="1:7" ht="24.75" customHeight="1" x14ac:dyDescent="0.35">
      <c r="A37" s="26">
        <v>30003</v>
      </c>
      <c r="B37" s="56" t="s">
        <v>53</v>
      </c>
      <c r="C37" s="10">
        <f>IFERROR(INDEX('حسابهای دریافتنی'!H:H,MATCH(Table212[[#This Row],[كد تفصيلي]],'حسابهای دریافتنی'!A:A,0)),0)</f>
        <v>754765900</v>
      </c>
      <c r="D37" s="11">
        <f>IFERROR(INDEX('درجریان وصول'!F:F,MATCH(Table212[[#This Row],[كد تفصيلي]],'درجریان وصول'!A:A,0)),0)</f>
        <v>0</v>
      </c>
      <c r="E37" s="11">
        <f>IFERROR(INDEX('چکهای دریافتنی'!F:F,MATCH(Table212[[#This Row],[كد تفصيلي]],'چکهای دریافتنی'!A:A,0)),0)</f>
        <v>571000000</v>
      </c>
      <c r="F37" s="11">
        <f>Table212[[#This Row],[حسابهای دریافتنی]]+Table212[[#This Row],[چکهای در جریان وصول]]+Table212[[#This Row],[چکهای نزد صندوق]]</f>
        <v>1325765900</v>
      </c>
      <c r="G37" s="12">
        <f>IFERROR(INDEX('مانده سوفاله'!F:F,MATCH(Table212[[#This Row],[كد تفصيلي]],'مانده سوفاله'!A:A,0)),0)</f>
        <v>-3538</v>
      </c>
    </row>
    <row r="38" spans="1:7" ht="24.75" customHeight="1" x14ac:dyDescent="0.35">
      <c r="A38" s="27">
        <v>30055</v>
      </c>
      <c r="B38" s="55" t="s">
        <v>100</v>
      </c>
      <c r="C38" s="10">
        <f>IFERROR(INDEX('حسابهای دریافتنی'!H:H,MATCH(Table212[[#This Row],[كد تفصيلي]],'حسابهای دریافتنی'!A:A,0)),0)</f>
        <v>0</v>
      </c>
      <c r="D38" s="11">
        <f>IFERROR(INDEX('درجریان وصول'!F:F,MATCH(Table212[[#This Row],[كد تفصيلي]],'درجریان وصول'!A:A,0)),0)</f>
        <v>0</v>
      </c>
      <c r="E38" s="11">
        <f>IFERROR(INDEX('چکهای دریافتنی'!F:F,MATCH(Table212[[#This Row],[كد تفصيلي]],'چکهای دریافتنی'!A:A,0)),0)</f>
        <v>0</v>
      </c>
      <c r="F38" s="11">
        <f>Table212[[#This Row],[حسابهای دریافتنی]]+Table212[[#This Row],[چکهای در جریان وصول]]+Table212[[#This Row],[چکهای نزد صندوق]]</f>
        <v>0</v>
      </c>
      <c r="G38" s="12">
        <f>IFERROR(INDEX('مانده سوفاله'!F:F,MATCH(Table212[[#This Row],[كد تفصيلي]],'مانده سوفاله'!A:A,0)),0)</f>
        <v>48</v>
      </c>
    </row>
    <row r="39" spans="1:7" ht="24.75" customHeight="1" x14ac:dyDescent="0.35">
      <c r="A39" s="27">
        <v>10072</v>
      </c>
      <c r="B39" s="55" t="s">
        <v>177</v>
      </c>
      <c r="C39" s="10">
        <f>IFERROR(INDEX('حسابهای دریافتنی'!H:H,MATCH(Table212[[#This Row],[كد تفصيلي]],'حسابهای دریافتنی'!A:A,0)),0)</f>
        <v>55880</v>
      </c>
      <c r="D39" s="11">
        <f>IFERROR(INDEX('درجریان وصول'!F:F,MATCH(Table212[[#This Row],[كد تفصيلي]],'درجریان وصول'!A:A,0)),0)</f>
        <v>0</v>
      </c>
      <c r="E39" s="11">
        <f>IFERROR(INDEX('چکهای دریافتنی'!F:F,MATCH(Table212[[#This Row],[كد تفصيلي]],'چکهای دریافتنی'!A:A,0)),0)</f>
        <v>427700000</v>
      </c>
      <c r="F39" s="11">
        <f>Table212[[#This Row],[حسابهای دریافتنی]]+Table212[[#This Row],[چکهای در جریان وصول]]+Table212[[#This Row],[چکهای نزد صندوق]]</f>
        <v>427755880</v>
      </c>
      <c r="G39" s="12">
        <f>IFERROR(INDEX('مانده سوفاله'!F:F,MATCH(Table212[[#This Row],[كد تفصيلي]],'مانده سوفاله'!A:A,0)),0)</f>
        <v>0</v>
      </c>
    </row>
    <row r="40" spans="1:7" ht="24.75" customHeight="1" x14ac:dyDescent="0.35">
      <c r="A40" s="27">
        <v>30101</v>
      </c>
      <c r="B40" s="55" t="s">
        <v>196</v>
      </c>
      <c r="C40" s="10">
        <f>IFERROR(INDEX('حسابهای دریافتنی'!H:H,MATCH(Table212[[#This Row],[كد تفصيلي]],'حسابهای دریافتنی'!A:A,0)),0)</f>
        <v>203336095</v>
      </c>
      <c r="D40" s="11">
        <f>IFERROR(INDEX('درجریان وصول'!F:F,MATCH(Table212[[#This Row],[كد تفصيلي]],'درجریان وصول'!A:A,0)),0)</f>
        <v>0</v>
      </c>
      <c r="E40" s="11">
        <f>IFERROR(INDEX('چکهای دریافتنی'!F:F,MATCH(Table212[[#This Row],[كد تفصيلي]],'چکهای دریافتنی'!A:A,0)),0)</f>
        <v>0</v>
      </c>
      <c r="F40" s="11">
        <f>Table212[[#This Row],[حسابهای دریافتنی]]+Table212[[#This Row],[چکهای در جریان وصول]]+Table212[[#This Row],[چکهای نزد صندوق]]</f>
        <v>203336095</v>
      </c>
      <c r="G40" s="12">
        <f>IFERROR(INDEX('مانده سوفاله'!F:F,MATCH(Table212[[#This Row],[كد تفصيلي]],'مانده سوفاله'!A:A,0)),0)</f>
        <v>15</v>
      </c>
    </row>
    <row r="41" spans="1:7" ht="24.75" customHeight="1" x14ac:dyDescent="0.35">
      <c r="A41" s="27">
        <v>10133</v>
      </c>
      <c r="B41" s="55" t="s">
        <v>474</v>
      </c>
      <c r="C41" s="10">
        <f>IFERROR(INDEX('حسابهای دریافتنی'!H:H,MATCH(Table212[[#This Row],[كد تفصيلي]],'حسابهای دریافتنی'!A:A,0)),0)</f>
        <v>-1249039000</v>
      </c>
      <c r="D41" s="11">
        <f>IFERROR(INDEX('درجریان وصول'!F:F,MATCH(Table212[[#This Row],[كد تفصيلي]],'درجریان وصول'!A:A,0)),0)</f>
        <v>0</v>
      </c>
      <c r="E41" s="11">
        <f>IFERROR(INDEX('چکهای دریافتنی'!F:F,MATCH(Table212[[#This Row],[كد تفصيلي]],'چکهای دریافتنی'!A:A,0)),0)</f>
        <v>0</v>
      </c>
      <c r="F41" s="11">
        <f>Table212[[#This Row],[حسابهای دریافتنی]]+Table212[[#This Row],[چکهای در جریان وصول]]+Table212[[#This Row],[چکهای نزد صندوق]]</f>
        <v>-1249039000</v>
      </c>
      <c r="G41" s="12">
        <f>IFERROR(INDEX('مانده سوفاله'!F:F,MATCH(Table212[[#This Row],[كد تفصيلي]],'مانده سوفاله'!A:A,0)),0)</f>
        <v>0</v>
      </c>
    </row>
    <row r="42" spans="1:7" ht="24.75" customHeight="1" x14ac:dyDescent="0.35">
      <c r="A42" s="26">
        <v>30086</v>
      </c>
      <c r="B42" s="56" t="s">
        <v>131</v>
      </c>
      <c r="C42" s="10">
        <f>IFERROR(INDEX('حسابهای دریافتنی'!H:H,MATCH(Table212[[#This Row],[كد تفصيلي]],'حسابهای دریافتنی'!A:A,0)),0)</f>
        <v>187376603</v>
      </c>
      <c r="D42" s="11">
        <f>IFERROR(INDEX('درجریان وصول'!F:F,MATCH(Table212[[#This Row],[كد تفصيلي]],'درجریان وصول'!A:A,0)),0)</f>
        <v>0</v>
      </c>
      <c r="E42" s="11">
        <f>IFERROR(INDEX('چکهای دریافتنی'!F:F,MATCH(Table212[[#This Row],[كد تفصيلي]],'چکهای دریافتنی'!A:A,0)),0)</f>
        <v>0</v>
      </c>
      <c r="F42" s="11">
        <f>Table212[[#This Row],[حسابهای دریافتنی]]+Table212[[#This Row],[چکهای در جریان وصول]]+Table212[[#This Row],[چکهای نزد صندوق]]</f>
        <v>187376603</v>
      </c>
      <c r="G42" s="12">
        <f>IFERROR(INDEX('مانده سوفاله'!F:F,MATCH(Table212[[#This Row],[كد تفصيلي]],'مانده سوفاله'!A:A,0)),0)</f>
        <v>1549</v>
      </c>
    </row>
    <row r="43" spans="1:7" ht="24.75" customHeight="1" x14ac:dyDescent="0.35">
      <c r="A43" s="26">
        <v>10131</v>
      </c>
      <c r="B43" s="56" t="s">
        <v>473</v>
      </c>
      <c r="C43" s="10">
        <f>IFERROR(INDEX('حسابهای دریافتنی'!H:H,MATCH(Table212[[#This Row],[كد تفصيلي]],'حسابهای دریافتنی'!A:A,0)),0)</f>
        <v>-1194000</v>
      </c>
      <c r="D43" s="11">
        <f>IFERROR(INDEX('درجریان وصول'!F:F,MATCH(Table212[[#This Row],[كد تفصيلي]],'درجریان وصول'!A:A,0)),0)</f>
        <v>0</v>
      </c>
      <c r="E43" s="11">
        <f>IFERROR(INDEX('چکهای دریافتنی'!F:F,MATCH(Table212[[#This Row],[كد تفصيلي]],'چکهای دریافتنی'!A:A,0)),0)</f>
        <v>0</v>
      </c>
      <c r="F43" s="11">
        <f>Table212[[#This Row],[حسابهای دریافتنی]]+Table212[[#This Row],[چکهای در جریان وصول]]+Table212[[#This Row],[چکهای نزد صندوق]]</f>
        <v>-1194000</v>
      </c>
      <c r="G43" s="12">
        <f>IFERROR(INDEX('مانده سوفاله'!F:F,MATCH(Table212[[#This Row],[كد تفصيلي]],'مانده سوفاله'!A:A,0)),0)</f>
        <v>1</v>
      </c>
    </row>
    <row r="44" spans="1:7" ht="24.75" customHeight="1" x14ac:dyDescent="0.35">
      <c r="A44" s="27">
        <v>10092</v>
      </c>
      <c r="B44" s="55" t="s">
        <v>260</v>
      </c>
      <c r="C44" s="10">
        <f>IFERROR(INDEX('حسابهای دریافتنی'!H:H,MATCH(Table212[[#This Row],[كد تفصيلي]],'حسابهای دریافتنی'!A:A,0)),0)</f>
        <v>-1749946500</v>
      </c>
      <c r="D44" s="11">
        <f>IFERROR(INDEX('درجریان وصول'!F:F,MATCH(Table212[[#This Row],[كد تفصيلي]],'درجریان وصول'!A:A,0)),0)</f>
        <v>0</v>
      </c>
      <c r="E44" s="11">
        <f>IFERROR(INDEX('چکهای دریافتنی'!F:F,MATCH(Table212[[#This Row],[كد تفصيلي]],'چکهای دریافتنی'!A:A,0)),0)</f>
        <v>300000000</v>
      </c>
      <c r="F44" s="11">
        <f>Table212[[#This Row],[حسابهای دریافتنی]]+Table212[[#This Row],[چکهای در جریان وصول]]+Table212[[#This Row],[چکهای نزد صندوق]]</f>
        <v>-1449946500</v>
      </c>
      <c r="G44" s="12">
        <f>IFERROR(INDEX('مانده سوفاله'!F:F,MATCH(Table212[[#This Row],[كد تفصيلي]],'مانده سوفاله'!A:A,0)),0)</f>
        <v>0</v>
      </c>
    </row>
    <row r="45" spans="1:7" ht="24.75" customHeight="1" x14ac:dyDescent="0.35">
      <c r="A45" s="26">
        <v>30019</v>
      </c>
      <c r="B45" s="56" t="s">
        <v>67</v>
      </c>
      <c r="C45" s="10">
        <f>IFERROR(INDEX('حسابهای دریافتنی'!H:H,MATCH(Table212[[#This Row],[كد تفصيلي]],'حسابهای دریافتنی'!A:A,0)),0)</f>
        <v>823484840</v>
      </c>
      <c r="D45" s="11">
        <f>IFERROR(INDEX('درجریان وصول'!F:F,MATCH(Table212[[#This Row],[كد تفصيلي]],'درجریان وصول'!A:A,0)),0)</f>
        <v>0</v>
      </c>
      <c r="E45" s="11">
        <f>IFERROR(INDEX('چکهای دریافتنی'!F:F,MATCH(Table212[[#This Row],[كد تفصيلي]],'چکهای دریافتنی'!A:A,0)),0)</f>
        <v>0</v>
      </c>
      <c r="F45" s="11">
        <f>Table212[[#This Row],[حسابهای دریافتنی]]+Table212[[#This Row],[چکهای در جریان وصول]]+Table212[[#This Row],[چکهای نزد صندوق]]</f>
        <v>823484840</v>
      </c>
      <c r="G45" s="12">
        <f>IFERROR(INDEX('مانده سوفاله'!F:F,MATCH(Table212[[#This Row],[كد تفصيلي]],'مانده سوفاله'!A:A,0)),0)</f>
        <v>612</v>
      </c>
    </row>
    <row r="46" spans="1:7" ht="24.75" customHeight="1" x14ac:dyDescent="0.35">
      <c r="A46" s="27">
        <v>10096</v>
      </c>
      <c r="B46" s="55" t="s">
        <v>271</v>
      </c>
      <c r="C46" s="10">
        <f>IFERROR(INDEX('حسابهای دریافتنی'!H:H,MATCH(Table212[[#This Row],[كد تفصيلي]],'حسابهای دریافتنی'!A:A,0)),0)</f>
        <v>36455500</v>
      </c>
      <c r="D46" s="11">
        <f>IFERROR(INDEX('درجریان وصول'!F:F,MATCH(Table212[[#This Row],[كد تفصيلي]],'درجریان وصول'!A:A,0)),0)</f>
        <v>0</v>
      </c>
      <c r="E46" s="11">
        <f>IFERROR(INDEX('چکهای دریافتنی'!F:F,MATCH(Table212[[#This Row],[كد تفصيلي]],'چکهای دریافتنی'!A:A,0)),0)</f>
        <v>0</v>
      </c>
      <c r="F46" s="11">
        <f>Table212[[#This Row],[حسابهای دریافتنی]]+Table212[[#This Row],[چکهای در جریان وصول]]+Table212[[#This Row],[چکهای نزد صندوق]]</f>
        <v>36455500</v>
      </c>
      <c r="G46" s="12">
        <f>IFERROR(INDEX('مانده سوفاله'!F:F,MATCH(Table212[[#This Row],[كد تفصيلي]],'مانده سوفاله'!A:A,0)),0)</f>
        <v>0</v>
      </c>
    </row>
    <row r="47" spans="1:7" ht="24.75" customHeight="1" x14ac:dyDescent="0.35">
      <c r="A47" s="26">
        <v>30025</v>
      </c>
      <c r="B47" s="56" t="s">
        <v>73</v>
      </c>
      <c r="C47" s="10">
        <f>IFERROR(INDEX('حسابهای دریافتنی'!H:H,MATCH(Table212[[#This Row],[كد تفصيلي]],'حسابهای دریافتنی'!A:A,0)),0)</f>
        <v>35598920</v>
      </c>
      <c r="D47" s="11">
        <f>IFERROR(INDEX('درجریان وصول'!F:F,MATCH(Table212[[#This Row],[كد تفصيلي]],'درجریان وصول'!A:A,0)),0)</f>
        <v>0</v>
      </c>
      <c r="E47" s="11">
        <f>IFERROR(INDEX('چکهای دریافتنی'!F:F,MATCH(Table212[[#This Row],[كد تفصيلي]],'چکهای دریافتنی'!A:A,0)),0)</f>
        <v>0</v>
      </c>
      <c r="F47" s="11">
        <f>Table212[[#This Row],[حسابهای دریافتنی]]+Table212[[#This Row],[چکهای در جریان وصول]]+Table212[[#This Row],[چکهای نزد صندوق]]</f>
        <v>35598920</v>
      </c>
      <c r="G47" s="12">
        <f>IFERROR(INDEX('مانده سوفاله'!F:F,MATCH(Table212[[#This Row],[كد تفصيلي]],'مانده سوفاله'!A:A,0)),0)</f>
        <v>-165</v>
      </c>
    </row>
    <row r="48" spans="1:7" ht="24.75" customHeight="1" x14ac:dyDescent="0.35">
      <c r="A48" s="26">
        <v>30005</v>
      </c>
      <c r="B48" s="56" t="s">
        <v>55</v>
      </c>
      <c r="C48" s="10">
        <f>IFERROR(INDEX('حسابهای دریافتنی'!H:H,MATCH(Table212[[#This Row],[كد تفصيلي]],'حسابهای دریافتنی'!A:A,0)),0)</f>
        <v>35368209</v>
      </c>
      <c r="D48" s="11">
        <f>IFERROR(INDEX('درجریان وصول'!F:F,MATCH(Table212[[#This Row],[كد تفصيلي]],'درجریان وصول'!A:A,0)),0)</f>
        <v>0</v>
      </c>
      <c r="E48" s="11">
        <f>IFERROR(INDEX('چکهای دریافتنی'!F:F,MATCH(Table212[[#This Row],[كد تفصيلي]],'چکهای دریافتنی'!A:A,0)),0)</f>
        <v>0</v>
      </c>
      <c r="F48" s="11">
        <f>Table212[[#This Row],[حسابهای دریافتنی]]+Table212[[#This Row],[چکهای در جریان وصول]]+Table212[[#This Row],[چکهای نزد صندوق]]</f>
        <v>35368209</v>
      </c>
      <c r="G48" s="12">
        <f>IFERROR(INDEX('مانده سوفاله'!F:F,MATCH(Table212[[#This Row],[كد تفصيلي]],'مانده سوفاله'!A:A,0)),0)</f>
        <v>61</v>
      </c>
    </row>
    <row r="49" spans="1:7" ht="24.75" customHeight="1" x14ac:dyDescent="0.35">
      <c r="A49" s="27">
        <v>30093</v>
      </c>
      <c r="B49" s="55" t="s">
        <v>151</v>
      </c>
      <c r="C49" s="10">
        <f>IFERROR(INDEX('حسابهای دریافتنی'!H:H,MATCH(Table212[[#This Row],[كد تفصيلي]],'حسابهای دریافتنی'!A:A,0)),0)</f>
        <v>0</v>
      </c>
      <c r="D49" s="11">
        <f>IFERROR(INDEX('درجریان وصول'!F:F,MATCH(Table212[[#This Row],[كد تفصيلي]],'درجریان وصول'!A:A,0)),0)</f>
        <v>0</v>
      </c>
      <c r="E49" s="11">
        <f>IFERROR(INDEX('چکهای دریافتنی'!F:F,MATCH(Table212[[#This Row],[كد تفصيلي]],'چکهای دریافتنی'!A:A,0)),0)</f>
        <v>0</v>
      </c>
      <c r="F49" s="11">
        <f>Table212[[#This Row],[حسابهای دریافتنی]]+Table212[[#This Row],[چکهای در جریان وصول]]+Table212[[#This Row],[چکهای نزد صندوق]]</f>
        <v>0</v>
      </c>
      <c r="G49" s="12">
        <v>77</v>
      </c>
    </row>
    <row r="50" spans="1:7" ht="24.75" customHeight="1" x14ac:dyDescent="0.35">
      <c r="A50" s="27">
        <v>30008</v>
      </c>
      <c r="B50" s="55" t="s">
        <v>58</v>
      </c>
      <c r="C50" s="10">
        <f>IFERROR(INDEX('حسابهای دریافتنی'!H:H,MATCH(Table212[[#This Row],[كد تفصيلي]],'حسابهای دریافتنی'!A:A,0)),0)</f>
        <v>15520000</v>
      </c>
      <c r="D50" s="11">
        <f>IFERROR(INDEX('درجریان وصول'!F:F,MATCH(Table212[[#This Row],[كد تفصيلي]],'درجریان وصول'!A:A,0)),0)</f>
        <v>0</v>
      </c>
      <c r="E50" s="11">
        <f>IFERROR(INDEX('چکهای دریافتنی'!F:F,MATCH(Table212[[#This Row],[كد تفصيلي]],'چکهای دریافتنی'!A:A,0)),0)</f>
        <v>0</v>
      </c>
      <c r="F50" s="11">
        <f>Table212[[#This Row],[حسابهای دریافتنی]]+Table212[[#This Row],[چکهای در جریان وصول]]+Table212[[#This Row],[چکهای نزد صندوق]]</f>
        <v>15520000</v>
      </c>
      <c r="G50" s="12">
        <f>IFERROR(INDEX('مانده سوفاله'!F:F,MATCH(Table212[[#This Row],[كد تفصيلي]],'مانده سوفاله'!A:A,0)),0)</f>
        <v>0</v>
      </c>
    </row>
    <row r="51" spans="1:7" ht="24.75" customHeight="1" x14ac:dyDescent="0.35">
      <c r="A51" s="26">
        <v>10007</v>
      </c>
      <c r="B51" s="56" t="s">
        <v>14</v>
      </c>
      <c r="C51" s="10">
        <f>IFERROR(INDEX('حسابهای دریافتنی'!H:H,MATCH(Table212[[#This Row],[كد تفصيلي]],'حسابهای دریافتنی'!A:A,0)),0)</f>
        <v>12770000</v>
      </c>
      <c r="D51" s="11">
        <f>IFERROR(INDEX('درجریان وصول'!F:F,MATCH(Table212[[#This Row],[كد تفصيلي]],'درجریان وصول'!A:A,0)),0)</f>
        <v>0</v>
      </c>
      <c r="E51" s="11">
        <f>IFERROR(INDEX('چکهای دریافتنی'!F:F,MATCH(Table212[[#This Row],[كد تفصيلي]],'چکهای دریافتنی'!A:A,0)),0)</f>
        <v>0</v>
      </c>
      <c r="F51" s="11">
        <f>Table212[[#This Row],[حسابهای دریافتنی]]+Table212[[#This Row],[چکهای در جریان وصول]]+Table212[[#This Row],[چکهای نزد صندوق]]</f>
        <v>12770000</v>
      </c>
      <c r="G51" s="12">
        <f>IFERROR(INDEX('مانده سوفاله'!F:F,MATCH(Table212[[#This Row],[كد تفصيلي]],'مانده سوفاله'!A:A,0)),0)</f>
        <v>-52.5</v>
      </c>
    </row>
    <row r="52" spans="1:7" ht="24.75" customHeight="1" x14ac:dyDescent="0.35">
      <c r="A52" s="27">
        <v>30131</v>
      </c>
      <c r="B52" s="55" t="s">
        <v>213</v>
      </c>
      <c r="C52" s="10">
        <f>IFERROR(INDEX('حسابهای دریافتنی'!H:H,MATCH(Table212[[#This Row],[كد تفصيلي]],'حسابهای دریافتنی'!A:A,0)),0)</f>
        <v>-6228486500</v>
      </c>
      <c r="D52" s="11">
        <f>IFERROR(INDEX('درجریان وصول'!F:F,MATCH(Table212[[#This Row],[كد تفصيلي]],'درجریان وصول'!A:A,0)),0)</f>
        <v>0</v>
      </c>
      <c r="E52" s="11">
        <f>IFERROR(INDEX('چکهای دریافتنی'!F:F,MATCH(Table212[[#This Row],[كد تفصيلي]],'چکهای دریافتنی'!A:A,0)),0)</f>
        <v>0</v>
      </c>
      <c r="F52" s="11">
        <f>Table212[[#This Row],[حسابهای دریافتنی]]+Table212[[#This Row],[چکهای در جریان وصول]]+Table212[[#This Row],[چکهای نزد صندوق]]</f>
        <v>-6228486500</v>
      </c>
      <c r="G52" s="12">
        <f>IFERROR(INDEX('مانده سوفاله'!F:F,MATCH(Table212[[#This Row],[كد تفصيلي]],'مانده سوفاله'!A:A,0)),0)</f>
        <v>222</v>
      </c>
    </row>
    <row r="53" spans="1:7" ht="24.75" customHeight="1" x14ac:dyDescent="0.35">
      <c r="A53" s="27">
        <v>30012</v>
      </c>
      <c r="B53" s="55" t="s">
        <v>61</v>
      </c>
      <c r="C53" s="10">
        <f>IFERROR(INDEX('حسابهای دریافتنی'!H:H,MATCH(Table212[[#This Row],[كد تفصيلي]],'حسابهای دریافتنی'!A:A,0)),0)</f>
        <v>-46099000</v>
      </c>
      <c r="D53" s="11">
        <f>IFERROR(INDEX('درجریان وصول'!F:F,MATCH(Table212[[#This Row],[كد تفصيلي]],'درجریان وصول'!A:A,0)),0)</f>
        <v>0</v>
      </c>
      <c r="E53" s="11">
        <f>IFERROR(INDEX('چکهای دریافتنی'!F:F,MATCH(Table212[[#This Row],[كد تفصيلي]],'چکهای دریافتنی'!A:A,0)),0)</f>
        <v>348650000</v>
      </c>
      <c r="F53" s="11">
        <f>Table212[[#This Row],[حسابهای دریافتنی]]+Table212[[#This Row],[چکهای در جریان وصول]]+Table212[[#This Row],[چکهای نزد صندوق]]</f>
        <v>302551000</v>
      </c>
      <c r="G53" s="12">
        <f>IFERROR(INDEX('مانده سوفاله'!F:F,MATCH(Table212[[#This Row],[كد تفصيلي]],'مانده سوفاله'!A:A,0)),0)</f>
        <v>141</v>
      </c>
    </row>
    <row r="54" spans="1:7" ht="24.75" customHeight="1" x14ac:dyDescent="0.35">
      <c r="A54" s="27">
        <v>30145</v>
      </c>
      <c r="B54" s="55" t="s">
        <v>265</v>
      </c>
      <c r="C54" s="10">
        <f>IFERROR(INDEX('حسابهای دریافتنی'!H:H,MATCH(Table212[[#This Row],[كد تفصيلي]],'حسابهای دریافتنی'!A:A,0)),0)</f>
        <v>6442500</v>
      </c>
      <c r="D54" s="11">
        <f>IFERROR(INDEX('درجریان وصول'!F:F,MATCH(Table212[[#This Row],[كد تفصيلي]],'درجریان وصول'!A:A,0)),0)</f>
        <v>0</v>
      </c>
      <c r="E54" s="11">
        <f>IFERROR(INDEX('چکهای دریافتنی'!F:F,MATCH(Table212[[#This Row],[كد تفصيلي]],'چکهای دریافتنی'!A:A,0)),0)</f>
        <v>0</v>
      </c>
      <c r="F54" s="11">
        <f>Table212[[#This Row],[حسابهای دریافتنی]]+Table212[[#This Row],[چکهای در جریان وصول]]+Table212[[#This Row],[چکهای نزد صندوق]]</f>
        <v>6442500</v>
      </c>
      <c r="G54" s="12">
        <f>IFERROR(INDEX('مانده سوفاله'!F:F,MATCH(Table212[[#This Row],[كد تفصيلي]],'مانده سوفاله'!A:A,0)),0)</f>
        <v>0</v>
      </c>
    </row>
    <row r="55" spans="1:7" ht="24.75" customHeight="1" x14ac:dyDescent="0.35">
      <c r="A55" s="26">
        <v>30047</v>
      </c>
      <c r="B55" s="56" t="s">
        <v>94</v>
      </c>
      <c r="C55" s="10">
        <f>IFERROR(INDEX('حسابهای دریافتنی'!H:H,MATCH(Table212[[#This Row],[كد تفصيلي]],'حسابهای دریافتنی'!A:A,0)),0)</f>
        <v>5794900</v>
      </c>
      <c r="D55" s="11">
        <f>IFERROR(INDEX('درجریان وصول'!F:F,MATCH(Table212[[#This Row],[كد تفصيلي]],'درجریان وصول'!A:A,0)),0)</f>
        <v>0</v>
      </c>
      <c r="E55" s="11">
        <f>IFERROR(INDEX('چکهای دریافتنی'!F:F,MATCH(Table212[[#This Row],[كد تفصيلي]],'چکهای دریافتنی'!A:A,0)),0)</f>
        <v>0</v>
      </c>
      <c r="F55" s="11">
        <f>Table212[[#This Row],[حسابهای دریافتنی]]+Table212[[#This Row],[چکهای در جریان وصول]]+Table212[[#This Row],[چکهای نزد صندوق]]</f>
        <v>5794900</v>
      </c>
      <c r="G55" s="12">
        <f>IFERROR(INDEX('مانده سوفاله'!F:F,MATCH(Table212[[#This Row],[كد تفصيلي]],'مانده سوفاله'!A:A,0)),0)</f>
        <v>-630</v>
      </c>
    </row>
    <row r="56" spans="1:7" ht="24.75" customHeight="1" x14ac:dyDescent="0.35">
      <c r="A56" s="26">
        <v>30011</v>
      </c>
      <c r="B56" s="56" t="s">
        <v>60</v>
      </c>
      <c r="C56" s="10">
        <f>IFERROR(INDEX('حسابهای دریافتنی'!H:H,MATCH(Table212[[#This Row],[كد تفصيلي]],'حسابهای دریافتنی'!A:A,0)),0)</f>
        <v>5595200</v>
      </c>
      <c r="D56" s="11">
        <f>IFERROR(INDEX('درجریان وصول'!F:F,MATCH(Table212[[#This Row],[كد تفصيلي]],'درجریان وصول'!A:A,0)),0)</f>
        <v>0</v>
      </c>
      <c r="E56" s="11">
        <f>IFERROR(INDEX('چکهای دریافتنی'!F:F,MATCH(Table212[[#This Row],[كد تفصيلي]],'چکهای دریافتنی'!A:A,0)),0)</f>
        <v>0</v>
      </c>
      <c r="F56" s="11">
        <f>Table212[[#This Row],[حسابهای دریافتنی]]+Table212[[#This Row],[چکهای در جریان وصول]]+Table212[[#This Row],[چکهای نزد صندوق]]</f>
        <v>5595200</v>
      </c>
      <c r="G56" s="12">
        <f>IFERROR(INDEX('مانده سوفاله'!F:F,MATCH(Table212[[#This Row],[كد تفصيلي]],'مانده سوفاله'!A:A,0)),0)</f>
        <v>-5</v>
      </c>
    </row>
    <row r="57" spans="1:7" ht="24.75" customHeight="1" x14ac:dyDescent="0.35">
      <c r="A57" s="27">
        <v>10080</v>
      </c>
      <c r="B57" s="55" t="s">
        <v>214</v>
      </c>
      <c r="C57" s="10">
        <f>IFERROR(INDEX('حسابهای دریافتنی'!H:H,MATCH(Table212[[#This Row],[كد تفصيلي]],'حسابهای دریافتنی'!A:A,0)),0)</f>
        <v>5395000</v>
      </c>
      <c r="D57" s="11">
        <f>IFERROR(INDEX('درجریان وصول'!F:F,MATCH(Table212[[#This Row],[كد تفصيلي]],'درجریان وصول'!A:A,0)),0)</f>
        <v>0</v>
      </c>
      <c r="E57" s="11">
        <f>IFERROR(INDEX('چکهای دریافتنی'!F:F,MATCH(Table212[[#This Row],[كد تفصيلي]],'چکهای دریافتنی'!A:A,0)),0)</f>
        <v>0</v>
      </c>
      <c r="F57" s="11">
        <f>Table212[[#This Row],[حسابهای دریافتنی]]+Table212[[#This Row],[چکهای در جریان وصول]]+Table212[[#This Row],[چکهای نزد صندوق]]</f>
        <v>5395000</v>
      </c>
      <c r="G57" s="12">
        <f>IFERROR(INDEX('مانده سوفاله'!F:F,MATCH(Table212[[#This Row],[كد تفصيلي]],'مانده سوفاله'!A:A,0)),0)</f>
        <v>0</v>
      </c>
    </row>
    <row r="58" spans="1:7" ht="24.75" customHeight="1" x14ac:dyDescent="0.35">
      <c r="A58" s="26">
        <v>30114</v>
      </c>
      <c r="B58" s="56" t="s">
        <v>175</v>
      </c>
      <c r="C58" s="10">
        <f>IFERROR(INDEX('حسابهای دریافتنی'!H:H,MATCH(Table212[[#This Row],[كد تفصيلي]],'حسابهای دریافتنی'!A:A,0)),0)</f>
        <v>5385600</v>
      </c>
      <c r="D58" s="11">
        <f>IFERROR(INDEX('درجریان وصول'!F:F,MATCH(Table212[[#This Row],[كد تفصيلي]],'درجریان وصول'!A:A,0)),0)</f>
        <v>0</v>
      </c>
      <c r="E58" s="11">
        <f>IFERROR(INDEX('چکهای دریافتنی'!F:F,MATCH(Table212[[#This Row],[كد تفصيلي]],'چکهای دریافتنی'!A:A,0)),0)</f>
        <v>0</v>
      </c>
      <c r="F58" s="11">
        <f>Table212[[#This Row],[حسابهای دریافتنی]]+Table212[[#This Row],[چکهای در جریان وصول]]+Table212[[#This Row],[چکهای نزد صندوق]]</f>
        <v>5385600</v>
      </c>
      <c r="G58" s="12">
        <f>IFERROR(INDEX('مانده سوفاله'!F:F,MATCH(Table212[[#This Row],[كد تفصيلي]],'مانده سوفاله'!A:A,0)),0)</f>
        <v>0</v>
      </c>
    </row>
    <row r="59" spans="1:7" ht="24.75" customHeight="1" x14ac:dyDescent="0.35">
      <c r="A59" s="27">
        <v>30123</v>
      </c>
      <c r="B59" s="55" t="s">
        <v>208</v>
      </c>
      <c r="C59" s="10">
        <f>IFERROR(INDEX('حسابهای دریافتنی'!H:H,MATCH(Table212[[#This Row],[كد تفصيلي]],'حسابهای دریافتنی'!A:A,0)),0)</f>
        <v>4138250</v>
      </c>
      <c r="D59" s="11">
        <f>IFERROR(INDEX('درجریان وصول'!F:F,MATCH(Table212[[#This Row],[كد تفصيلي]],'درجریان وصول'!A:A,0)),0)</f>
        <v>0</v>
      </c>
      <c r="E59" s="11">
        <f>IFERROR(INDEX('چکهای دریافتنی'!F:F,MATCH(Table212[[#This Row],[كد تفصيلي]],'چکهای دریافتنی'!A:A,0)),0)</f>
        <v>0</v>
      </c>
      <c r="F59" s="11">
        <f>Table212[[#This Row],[حسابهای دریافتنی]]+Table212[[#This Row],[چکهای در جریان وصول]]+Table212[[#This Row],[چکهای نزد صندوق]]</f>
        <v>4138250</v>
      </c>
      <c r="G59" s="12">
        <f>IFERROR(INDEX('مانده سوفاله'!F:F,MATCH(Table212[[#This Row],[كد تفصيلي]],'مانده سوفاله'!A:A,0)),0)</f>
        <v>-20</v>
      </c>
    </row>
    <row r="60" spans="1:7" ht="24.75" customHeight="1" x14ac:dyDescent="0.35">
      <c r="A60" s="26">
        <v>10116</v>
      </c>
      <c r="B60" s="56" t="s">
        <v>321</v>
      </c>
      <c r="C60" s="10">
        <f>IFERROR(INDEX('حسابهای دریافتنی'!H:H,MATCH(Table212[[#This Row],[كد تفصيلي]],'حسابهای دریافتنی'!A:A,0)),0)</f>
        <v>3892500</v>
      </c>
      <c r="D60" s="11">
        <f>IFERROR(INDEX('درجریان وصول'!F:F,MATCH(Table212[[#This Row],[كد تفصيلي]],'درجریان وصول'!A:A,0)),0)</f>
        <v>0</v>
      </c>
      <c r="E60" s="11">
        <f>IFERROR(INDEX('چکهای دریافتنی'!F:F,MATCH(Table212[[#This Row],[كد تفصيلي]],'چکهای دریافتنی'!A:A,0)),0)</f>
        <v>0</v>
      </c>
      <c r="F60" s="11">
        <f>Table212[[#This Row],[حسابهای دریافتنی]]+Table212[[#This Row],[چکهای در جریان وصول]]+Table212[[#This Row],[چکهای نزد صندوق]]</f>
        <v>3892500</v>
      </c>
      <c r="G60" s="12">
        <f>IFERROR(INDEX('مانده سوفاله'!F:F,MATCH(Table212[[#This Row],[كد تفصيلي]],'مانده سوفاله'!A:A,0)),0)</f>
        <v>0</v>
      </c>
    </row>
    <row r="61" spans="1:7" ht="24.75" customHeight="1" x14ac:dyDescent="0.35">
      <c r="A61" s="26">
        <v>10101</v>
      </c>
      <c r="B61" s="56" t="s">
        <v>281</v>
      </c>
      <c r="C61" s="10">
        <f>IFERROR(INDEX('حسابهای دریافتنی'!H:H,MATCH(Table212[[#This Row],[كد تفصيلي]],'حسابهای دریافتنی'!A:A,0)),0)</f>
        <v>0</v>
      </c>
      <c r="D61" s="11">
        <f>IFERROR(INDEX('درجریان وصول'!F:F,MATCH(Table212[[#This Row],[كد تفصيلي]],'درجریان وصول'!A:A,0)),0)</f>
        <v>0</v>
      </c>
      <c r="E61" s="11">
        <f>IFERROR(INDEX('چکهای دریافتنی'!F:F,MATCH(Table212[[#This Row],[كد تفصيلي]],'چکهای دریافتنی'!A:A,0)),0)</f>
        <v>0</v>
      </c>
      <c r="F61" s="11">
        <f>Table212[[#This Row],[حسابهای دریافتنی]]+Table212[[#This Row],[چکهای در جریان وصول]]+Table212[[#This Row],[چکهای نزد صندوق]]</f>
        <v>0</v>
      </c>
      <c r="G61" s="12">
        <f>IFERROR(INDEX('مانده سوفاله'!F:F,MATCH(Table212[[#This Row],[كد تفصيلي]],'مانده سوفاله'!A:A,0)),0)</f>
        <v>0</v>
      </c>
    </row>
    <row r="62" spans="1:7" ht="24.75" customHeight="1" x14ac:dyDescent="0.35">
      <c r="A62" s="27">
        <v>10030</v>
      </c>
      <c r="B62" s="55" t="s">
        <v>36</v>
      </c>
      <c r="C62" s="10">
        <f>IFERROR(INDEX('حسابهای دریافتنی'!H:H,MATCH(Table212[[#This Row],[كد تفصيلي]],'حسابهای دریافتنی'!A:A,0)),0)</f>
        <v>3272000</v>
      </c>
      <c r="D62" s="11">
        <f>IFERROR(INDEX('درجریان وصول'!F:F,MATCH(Table212[[#This Row],[كد تفصيلي]],'درجریان وصول'!A:A,0)),0)</f>
        <v>0</v>
      </c>
      <c r="E62" s="11">
        <f>IFERROR(INDEX('چکهای دریافتنی'!F:F,MATCH(Table212[[#This Row],[كد تفصيلي]],'چکهای دریافتنی'!A:A,0)),0)</f>
        <v>0</v>
      </c>
      <c r="F62" s="11">
        <f>Table212[[#This Row],[حسابهای دریافتنی]]+Table212[[#This Row],[چکهای در جریان وصول]]+Table212[[#This Row],[چکهای نزد صندوق]]</f>
        <v>3272000</v>
      </c>
      <c r="G62" s="12">
        <f>IFERROR(INDEX('مانده سوفاله'!F:F,MATCH(Table212[[#This Row],[كد تفصيلي]],'مانده سوفاله'!A:A,0)),0)</f>
        <v>-222</v>
      </c>
    </row>
    <row r="63" spans="1:7" ht="24.75" customHeight="1" x14ac:dyDescent="0.35">
      <c r="A63" s="26">
        <v>30178</v>
      </c>
      <c r="B63" s="56" t="s">
        <v>335</v>
      </c>
      <c r="C63" s="10">
        <f>IFERROR(INDEX('حسابهای دریافتنی'!H:H,MATCH(Table212[[#This Row],[كد تفصيلي]],'حسابهای دریافتنی'!A:A,0)),0)</f>
        <v>3040000</v>
      </c>
      <c r="D63" s="11">
        <f>IFERROR(INDEX('درجریان وصول'!F:F,MATCH(Table212[[#This Row],[كد تفصيلي]],'درجریان وصول'!A:A,0)),0)</f>
        <v>0</v>
      </c>
      <c r="E63" s="11">
        <f>IFERROR(INDEX('چکهای دریافتنی'!F:F,MATCH(Table212[[#This Row],[كد تفصيلي]],'چکهای دریافتنی'!A:A,0)),0)</f>
        <v>0</v>
      </c>
      <c r="F63" s="11">
        <f>Table212[[#This Row],[حسابهای دریافتنی]]+Table212[[#This Row],[چکهای در جریان وصول]]+Table212[[#This Row],[چکهای نزد صندوق]]</f>
        <v>3040000</v>
      </c>
      <c r="G63" s="12">
        <f>IFERROR(INDEX('مانده سوفاله'!F:F,MATCH(Table212[[#This Row],[كد تفصيلي]],'مانده سوفاله'!A:A,0)),0)</f>
        <v>0</v>
      </c>
    </row>
    <row r="64" spans="1:7" ht="24.75" customHeight="1" x14ac:dyDescent="0.35">
      <c r="A64" s="27">
        <v>10004</v>
      </c>
      <c r="B64" s="55" t="s">
        <v>11</v>
      </c>
      <c r="C64" s="10">
        <f>IFERROR(INDEX('حسابهای دریافتنی'!H:H,MATCH(Table212[[#This Row],[كد تفصيلي]],'حسابهای دریافتنی'!A:A,0)),0)</f>
        <v>853000</v>
      </c>
      <c r="D64" s="11">
        <f>IFERROR(INDEX('درجریان وصول'!F:F,MATCH(Table212[[#This Row],[كد تفصيلي]],'درجریان وصول'!A:A,0)),0)</f>
        <v>0</v>
      </c>
      <c r="E64" s="11">
        <f>IFERROR(INDEX('چکهای دریافتنی'!F:F,MATCH(Table212[[#This Row],[كد تفصيلي]],'چکهای دریافتنی'!A:A,0)),0)</f>
        <v>341000000</v>
      </c>
      <c r="F64" s="11">
        <f>Table212[[#This Row],[حسابهای دریافتنی]]+Table212[[#This Row],[چکهای در جریان وصول]]+Table212[[#This Row],[چکهای نزد صندوق]]</f>
        <v>341853000</v>
      </c>
      <c r="G64" s="12">
        <f>IFERROR(INDEX('مانده سوفاله'!F:F,MATCH(Table212[[#This Row],[كد تفصيلي]],'مانده سوفاله'!A:A,0)),0)</f>
        <v>-12</v>
      </c>
    </row>
    <row r="65" spans="1:7" ht="24.75" customHeight="1" x14ac:dyDescent="0.35">
      <c r="A65" s="26">
        <v>30084</v>
      </c>
      <c r="B65" s="56" t="s">
        <v>129</v>
      </c>
      <c r="C65" s="10">
        <f>IFERROR(INDEX('حسابهای دریافتنی'!H:H,MATCH(Table212[[#This Row],[كد تفصيلي]],'حسابهای دریافتنی'!A:A,0)),0)</f>
        <v>1220000</v>
      </c>
      <c r="D65" s="11">
        <f>IFERROR(INDEX('درجریان وصول'!F:F,MATCH(Table212[[#This Row],[كد تفصيلي]],'درجریان وصول'!A:A,0)),0)</f>
        <v>0</v>
      </c>
      <c r="E65" s="11">
        <f>IFERROR(INDEX('چکهای دریافتنی'!F:F,MATCH(Table212[[#This Row],[كد تفصيلي]],'چکهای دریافتنی'!A:A,0)),0)</f>
        <v>0</v>
      </c>
      <c r="F65" s="11">
        <f>Table212[[#This Row],[حسابهای دریافتنی]]+Table212[[#This Row],[چکهای در جریان وصول]]+Table212[[#This Row],[چکهای نزد صندوق]]</f>
        <v>1220000</v>
      </c>
      <c r="G65" s="12">
        <f>IFERROR(INDEX('مانده سوفاله'!F:F,MATCH(Table212[[#This Row],[كد تفصيلي]],'مانده سوفاله'!A:A,0)),0)</f>
        <v>0</v>
      </c>
    </row>
    <row r="66" spans="1:7" ht="24.75" customHeight="1" x14ac:dyDescent="0.35">
      <c r="A66" s="27">
        <v>79055</v>
      </c>
      <c r="B66" s="55" t="s">
        <v>297</v>
      </c>
      <c r="C66" s="10">
        <f>IFERROR(INDEX('حسابهای دریافتنی'!H:H,MATCH(Table212[[#This Row],[كد تفصيلي]],'حسابهای دریافتنی'!A:A,0)),0)</f>
        <v>896500</v>
      </c>
      <c r="D66" s="11">
        <f>IFERROR(INDEX('درجریان وصول'!F:F,MATCH(Table212[[#This Row],[كد تفصيلي]],'درجریان وصول'!A:A,0)),0)</f>
        <v>0</v>
      </c>
      <c r="E66" s="11">
        <f>IFERROR(INDEX('چکهای دریافتنی'!F:F,MATCH(Table212[[#This Row],[كد تفصيلي]],'چکهای دریافتنی'!A:A,0)),0)</f>
        <v>0</v>
      </c>
      <c r="F66" s="11">
        <f>Table212[[#This Row],[حسابهای دریافتنی]]+Table212[[#This Row],[چکهای در جریان وصول]]+Table212[[#This Row],[چکهای نزد صندوق]]</f>
        <v>896500</v>
      </c>
      <c r="G66" s="12">
        <f>IFERROR(INDEX('مانده سوفاله'!F:F,MATCH(Table212[[#This Row],[كد تفصيلي]],'مانده سوفاله'!A:A,0)),0)</f>
        <v>0</v>
      </c>
    </row>
    <row r="67" spans="1:7" ht="24.75" customHeight="1" x14ac:dyDescent="0.35">
      <c r="A67" s="27">
        <v>30030</v>
      </c>
      <c r="B67" s="55" t="s">
        <v>77</v>
      </c>
      <c r="C67" s="10">
        <f>IFERROR(INDEX('حسابهای دریافتنی'!H:H,MATCH(Table212[[#This Row],[كد تفصيلي]],'حسابهای دریافتنی'!A:A,0)),0)</f>
        <v>850500</v>
      </c>
      <c r="D67" s="11">
        <f>IFERROR(INDEX('درجریان وصول'!F:F,MATCH(Table212[[#This Row],[كد تفصيلي]],'درجریان وصول'!A:A,0)),0)</f>
        <v>0</v>
      </c>
      <c r="E67" s="11">
        <f>IFERROR(INDEX('چکهای دریافتنی'!F:F,MATCH(Table212[[#This Row],[كد تفصيلي]],'چکهای دریافتنی'!A:A,0)),0)</f>
        <v>0</v>
      </c>
      <c r="F67" s="11">
        <f>Table212[[#This Row],[حسابهای دریافتنی]]+Table212[[#This Row],[چکهای در جریان وصول]]+Table212[[#This Row],[چکهای نزد صندوق]]</f>
        <v>850500</v>
      </c>
      <c r="G67" s="12">
        <f>IFERROR(INDEX('مانده سوفاله'!F:F,MATCH(Table212[[#This Row],[كد تفصيلي]],'مانده سوفاله'!A:A,0)),0)</f>
        <v>-49</v>
      </c>
    </row>
    <row r="68" spans="1:7" ht="24.75" customHeight="1" x14ac:dyDescent="0.35">
      <c r="A68" s="27">
        <v>30129</v>
      </c>
      <c r="B68" s="55" t="s">
        <v>178</v>
      </c>
      <c r="C68" s="10">
        <f>IFERROR(INDEX('حسابهای دریافتنی'!H:H,MATCH(Table212[[#This Row],[كد تفصيلي]],'حسابهای دریافتنی'!A:A,0)),0)</f>
        <v>783000</v>
      </c>
      <c r="D68" s="11">
        <f>IFERROR(INDEX('درجریان وصول'!F:F,MATCH(Table212[[#This Row],[كد تفصيلي]],'درجریان وصول'!A:A,0)),0)</f>
        <v>0</v>
      </c>
      <c r="E68" s="11">
        <f>IFERROR(INDEX('چکهای دریافتنی'!F:F,MATCH(Table212[[#This Row],[كد تفصيلي]],'چکهای دریافتنی'!A:A,0)),0)</f>
        <v>0</v>
      </c>
      <c r="F68" s="11">
        <f>Table212[[#This Row],[حسابهای دریافتنی]]+Table212[[#This Row],[چکهای در جریان وصول]]+Table212[[#This Row],[چکهای نزد صندوق]]</f>
        <v>783000</v>
      </c>
      <c r="G68" s="12">
        <f>IFERROR(INDEX('مانده سوفاله'!F:F,MATCH(Table212[[#This Row],[كد تفصيلي]],'مانده سوفاله'!A:A,0)),0)</f>
        <v>0</v>
      </c>
    </row>
    <row r="69" spans="1:7" ht="24.75" customHeight="1" x14ac:dyDescent="0.35">
      <c r="A69" s="26">
        <v>30090</v>
      </c>
      <c r="B69" s="56" t="s">
        <v>144</v>
      </c>
      <c r="C69" s="10">
        <f>IFERROR(INDEX('حسابهای دریافتنی'!H:H,MATCH(Table212[[#This Row],[كد تفصيلي]],'حسابهای دریافتنی'!A:A,0)),0)</f>
        <v>640100</v>
      </c>
      <c r="D69" s="11">
        <f>IFERROR(INDEX('درجریان وصول'!F:F,MATCH(Table212[[#This Row],[كد تفصيلي]],'درجریان وصول'!A:A,0)),0)</f>
        <v>0</v>
      </c>
      <c r="E69" s="11">
        <f>IFERROR(INDEX('چکهای دریافتنی'!F:F,MATCH(Table212[[#This Row],[كد تفصيلي]],'چکهای دریافتنی'!A:A,0)),0)</f>
        <v>0</v>
      </c>
      <c r="F69" s="11">
        <f>Table212[[#This Row],[حسابهای دریافتنی]]+Table212[[#This Row],[چکهای در جریان وصول]]+Table212[[#This Row],[چکهای نزد صندوق]]</f>
        <v>640100</v>
      </c>
      <c r="G69" s="12">
        <f>IFERROR(INDEX('مانده سوفاله'!F:F,MATCH(Table212[[#This Row],[كد تفصيلي]],'مانده سوفاله'!A:A,0)),0)</f>
        <v>0</v>
      </c>
    </row>
    <row r="70" spans="1:7" ht="24.75" customHeight="1" x14ac:dyDescent="0.35">
      <c r="A70" s="27">
        <v>30109</v>
      </c>
      <c r="B70" s="55" t="s">
        <v>165</v>
      </c>
      <c r="C70" s="10">
        <f>IFERROR(INDEX('حسابهای دریافتنی'!H:H,MATCH(Table212[[#This Row],[كد تفصيلي]],'حسابهای دریافتنی'!A:A,0)),0)</f>
        <v>607300</v>
      </c>
      <c r="D70" s="11">
        <f>IFERROR(INDEX('درجریان وصول'!F:F,MATCH(Table212[[#This Row],[كد تفصيلي]],'درجریان وصول'!A:A,0)),0)</f>
        <v>0</v>
      </c>
      <c r="E70" s="11">
        <f>IFERROR(INDEX('چکهای دریافتنی'!F:F,MATCH(Table212[[#This Row],[كد تفصيلي]],'چکهای دریافتنی'!A:A,0)),0)</f>
        <v>0</v>
      </c>
      <c r="F70" s="11">
        <f>Table212[[#This Row],[حسابهای دریافتنی]]+Table212[[#This Row],[چکهای در جریان وصول]]+Table212[[#This Row],[چکهای نزد صندوق]]</f>
        <v>607300</v>
      </c>
      <c r="G70" s="12">
        <f>IFERROR(INDEX('مانده سوفاله'!F:F,MATCH(Table212[[#This Row],[كد تفصيلي]],'مانده سوفاله'!A:A,0)),0)</f>
        <v>0</v>
      </c>
    </row>
    <row r="71" spans="1:7" ht="24.75" customHeight="1" x14ac:dyDescent="0.35">
      <c r="A71" s="26">
        <v>10097</v>
      </c>
      <c r="B71" s="56" t="s">
        <v>270</v>
      </c>
      <c r="C71" s="10">
        <f>IFERROR(INDEX('حسابهای دریافتنی'!H:H,MATCH(Table212[[#This Row],[كد تفصيلي]],'حسابهای دریافتنی'!A:A,0)),0)</f>
        <v>270642500</v>
      </c>
      <c r="D71" s="11">
        <f>IFERROR(INDEX('درجریان وصول'!F:F,MATCH(Table212[[#This Row],[كد تفصيلي]],'درجریان وصول'!A:A,0)),0)</f>
        <v>0</v>
      </c>
      <c r="E71" s="11">
        <f>IFERROR(INDEX('چکهای دریافتنی'!F:F,MATCH(Table212[[#This Row],[كد تفصيلي]],'چکهای دریافتنی'!A:A,0)),0)</f>
        <v>287000000</v>
      </c>
      <c r="F71" s="11">
        <f>Table212[[#This Row],[حسابهای دریافتنی]]+Table212[[#This Row],[چکهای در جریان وصول]]+Table212[[#This Row],[چکهای نزد صندوق]]</f>
        <v>557642500</v>
      </c>
      <c r="G71" s="12">
        <f>IFERROR(INDEX('مانده سوفاله'!F:F,MATCH(Table212[[#This Row],[كد تفصيلي]],'مانده سوفاله'!A:A,0)),0)</f>
        <v>0</v>
      </c>
    </row>
    <row r="72" spans="1:7" ht="24.75" customHeight="1" x14ac:dyDescent="0.35">
      <c r="A72" s="27">
        <v>30010</v>
      </c>
      <c r="B72" s="55" t="s">
        <v>59</v>
      </c>
      <c r="C72" s="10">
        <f>IFERROR(INDEX('حسابهای دریافتنی'!H:H,MATCH(Table212[[#This Row],[كد تفصيلي]],'حسابهای دریافتنی'!A:A,0)),0)</f>
        <v>366215</v>
      </c>
      <c r="D72" s="11">
        <f>IFERROR(INDEX('درجریان وصول'!F:F,MATCH(Table212[[#This Row],[كد تفصيلي]],'درجریان وصول'!A:A,0)),0)</f>
        <v>0</v>
      </c>
      <c r="E72" s="11">
        <f>IFERROR(INDEX('چکهای دریافتنی'!F:F,MATCH(Table212[[#This Row],[كد تفصيلي]],'چکهای دریافتنی'!A:A,0)),0)</f>
        <v>0</v>
      </c>
      <c r="F72" s="11">
        <f>Table212[[#This Row],[حسابهای دریافتنی]]+Table212[[#This Row],[چکهای در جریان وصول]]+Table212[[#This Row],[چکهای نزد صندوق]]</f>
        <v>366215</v>
      </c>
      <c r="G72" s="12">
        <f>IFERROR(INDEX('مانده سوفاله'!F:F,MATCH(Table212[[#This Row],[كد تفصيلي]],'مانده سوفاله'!A:A,0)),0)</f>
        <v>8</v>
      </c>
    </row>
    <row r="73" spans="1:7" ht="24.75" customHeight="1" x14ac:dyDescent="0.35">
      <c r="A73" s="26">
        <v>30027</v>
      </c>
      <c r="B73" s="56" t="s">
        <v>75</v>
      </c>
      <c r="C73" s="10">
        <f>IFERROR(INDEX('حسابهای دریافتنی'!H:H,MATCH(Table212[[#This Row],[كد تفصيلي]],'حسابهای دریافتنی'!A:A,0)),0)</f>
        <v>326950</v>
      </c>
      <c r="D73" s="11">
        <f>IFERROR(INDEX('درجریان وصول'!F:F,MATCH(Table212[[#This Row],[كد تفصيلي]],'درجریان وصول'!A:A,0)),0)</f>
        <v>0</v>
      </c>
      <c r="E73" s="11">
        <f>IFERROR(INDEX('چکهای دریافتنی'!F:F,MATCH(Table212[[#This Row],[كد تفصيلي]],'چکهای دریافتنی'!A:A,0)),0)</f>
        <v>0</v>
      </c>
      <c r="F73" s="11">
        <f>Table212[[#This Row],[حسابهای دریافتنی]]+Table212[[#This Row],[چکهای در جریان وصول]]+Table212[[#This Row],[چکهای نزد صندوق]]</f>
        <v>326950</v>
      </c>
      <c r="G73" s="12">
        <f>IFERROR(INDEX('مانده سوفاله'!F:F,MATCH(Table212[[#This Row],[كد تفصيلي]],'مانده سوفاله'!A:A,0)),0)</f>
        <v>0</v>
      </c>
    </row>
    <row r="74" spans="1:7" ht="24.75" customHeight="1" x14ac:dyDescent="0.35">
      <c r="A74" s="27">
        <v>30135</v>
      </c>
      <c r="B74" s="55" t="s">
        <v>179</v>
      </c>
      <c r="C74" s="10">
        <f>IFERROR(INDEX('حسابهای دریافتنی'!H:H,MATCH(Table212[[#This Row],[كد تفصيلي]],'حسابهای دریافتنی'!A:A,0)),0)</f>
        <v>195000</v>
      </c>
      <c r="D74" s="11">
        <f>IFERROR(INDEX('درجریان وصول'!F:F,MATCH(Table212[[#This Row],[كد تفصيلي]],'درجریان وصول'!A:A,0)),0)</f>
        <v>0</v>
      </c>
      <c r="E74" s="11">
        <f>IFERROR(INDEX('چکهای دریافتنی'!F:F,MATCH(Table212[[#This Row],[كد تفصيلي]],'چکهای دریافتنی'!A:A,0)),0)</f>
        <v>0</v>
      </c>
      <c r="F74" s="11">
        <f>Table212[[#This Row],[حسابهای دریافتنی]]+Table212[[#This Row],[چکهای در جریان وصول]]+Table212[[#This Row],[چکهای نزد صندوق]]</f>
        <v>195000</v>
      </c>
      <c r="G74" s="12">
        <f>IFERROR(INDEX('مانده سوفاله'!F:F,MATCH(Table212[[#This Row],[كد تفصيلي]],'مانده سوفاله'!A:A,0)),0)</f>
        <v>-5</v>
      </c>
    </row>
    <row r="75" spans="1:7" ht="24.75" customHeight="1" x14ac:dyDescent="0.35">
      <c r="A75" s="27">
        <v>30020</v>
      </c>
      <c r="B75" s="55" t="s">
        <v>68</v>
      </c>
      <c r="C75" s="10">
        <f>IFERROR(INDEX('حسابهای دریافتنی'!H:H,MATCH(Table212[[#This Row],[كد تفصيلي]],'حسابهای دریافتنی'!A:A,0)),0)</f>
        <v>2253500</v>
      </c>
      <c r="D75" s="11">
        <f>IFERROR(INDEX('درجریان وصول'!F:F,MATCH(Table212[[#This Row],[كد تفصيلي]],'درجریان وصول'!A:A,0)),0)</f>
        <v>0</v>
      </c>
      <c r="E75" s="11">
        <f>IFERROR(INDEX('چکهای دریافتنی'!F:F,MATCH(Table212[[#This Row],[كد تفصيلي]],'چکهای دریافتنی'!A:A,0)),0)</f>
        <v>0</v>
      </c>
      <c r="F75" s="11">
        <f>Table212[[#This Row],[حسابهای دریافتنی]]+Table212[[#This Row],[چکهای در جریان وصول]]+Table212[[#This Row],[چکهای نزد صندوق]]</f>
        <v>2253500</v>
      </c>
      <c r="G75" s="12">
        <f>IFERROR(INDEX('مانده سوفاله'!F:F,MATCH(Table212[[#This Row],[كد تفصيلي]],'مانده سوفاله'!A:A,0)),0)</f>
        <v>4</v>
      </c>
    </row>
    <row r="76" spans="1:7" ht="24.75" customHeight="1" x14ac:dyDescent="0.35">
      <c r="A76" s="27">
        <v>10010</v>
      </c>
      <c r="B76" s="55" t="s">
        <v>17</v>
      </c>
      <c r="C76" s="10">
        <f>IFERROR(INDEX('حسابهای دریافتنی'!H:H,MATCH(Table212[[#This Row],[كد تفصيلي]],'حسابهای دریافتنی'!A:A,0)),0)</f>
        <v>0</v>
      </c>
      <c r="D76" s="11">
        <f>IFERROR(INDEX('درجریان وصول'!F:F,MATCH(Table212[[#This Row],[كد تفصيلي]],'درجریان وصول'!A:A,0)),0)</f>
        <v>0</v>
      </c>
      <c r="E76" s="11">
        <f>IFERROR(INDEX('چکهای دریافتنی'!F:F,MATCH(Table212[[#This Row],[كد تفصيلي]],'چکهای دریافتنی'!A:A,0)),0)</f>
        <v>0</v>
      </c>
      <c r="F76" s="11">
        <f>Table212[[#This Row],[حسابهای دریافتنی]]+Table212[[#This Row],[چکهای در جریان وصول]]+Table212[[#This Row],[چکهای نزد صندوق]]</f>
        <v>0</v>
      </c>
      <c r="G76" s="12">
        <f>IFERROR(INDEX('مانده سوفاله'!F:F,MATCH(Table212[[#This Row],[كد تفصيلي]],'مانده سوفاله'!A:A,0)),0)</f>
        <v>8</v>
      </c>
    </row>
    <row r="77" spans="1:7" ht="24.75" customHeight="1" x14ac:dyDescent="0.35">
      <c r="A77" s="26">
        <v>10023</v>
      </c>
      <c r="B77" s="56" t="s">
        <v>155</v>
      </c>
      <c r="C77" s="10">
        <f>IFERROR(INDEX('حسابهای دریافتنی'!H:H,MATCH(Table212[[#This Row],[كد تفصيلي]],'حسابهای دریافتنی'!A:A,0)),0)</f>
        <v>0</v>
      </c>
      <c r="D77" s="11">
        <f>IFERROR(INDEX('درجریان وصول'!F:F,MATCH(Table212[[#This Row],[كد تفصيلي]],'درجریان وصول'!A:A,0)),0)</f>
        <v>0</v>
      </c>
      <c r="E77" s="11">
        <f>IFERROR(INDEX('چکهای دریافتنی'!F:F,MATCH(Table212[[#This Row],[كد تفصيلي]],'چکهای دریافتنی'!A:A,0)),0)</f>
        <v>0</v>
      </c>
      <c r="F77" s="11">
        <f>Table212[[#This Row],[حسابهای دریافتنی]]+Table212[[#This Row],[چکهای در جریان وصول]]+Table212[[#This Row],[چکهای نزد صندوق]]</f>
        <v>0</v>
      </c>
      <c r="G77" s="12">
        <f>IFERROR(INDEX('مانده سوفاله'!F:F,MATCH(Table212[[#This Row],[كد تفصيلي]],'مانده سوفاله'!A:A,0)),0)</f>
        <v>6</v>
      </c>
    </row>
    <row r="78" spans="1:7" ht="24.75" customHeight="1" x14ac:dyDescent="0.35">
      <c r="A78" s="26">
        <v>10039</v>
      </c>
      <c r="B78" s="56" t="s">
        <v>45</v>
      </c>
      <c r="C78" s="10">
        <f>IFERROR(INDEX('حسابهای دریافتنی'!H:H,MATCH(Table212[[#This Row],[كد تفصيلي]],'حسابهای دریافتنی'!A:A,0)),0)</f>
        <v>0</v>
      </c>
      <c r="D78" s="11">
        <f>IFERROR(INDEX('درجریان وصول'!F:F,MATCH(Table212[[#This Row],[كد تفصيلي]],'درجریان وصول'!A:A,0)),0)</f>
        <v>0</v>
      </c>
      <c r="E78" s="11">
        <f>IFERROR(INDEX('چکهای دریافتنی'!F:F,MATCH(Table212[[#This Row],[كد تفصيلي]],'چکهای دریافتنی'!A:A,0)),0)</f>
        <v>0</v>
      </c>
      <c r="F78" s="11">
        <f>Table212[[#This Row],[حسابهای دریافتنی]]+Table212[[#This Row],[چکهای در جریان وصول]]+Table212[[#This Row],[چکهای نزد صندوق]]</f>
        <v>0</v>
      </c>
      <c r="G78" s="12">
        <f>IFERROR(INDEX('مانده سوفاله'!F:F,MATCH(Table212[[#This Row],[كد تفصيلي]],'مانده سوفاله'!A:A,0)),0)</f>
        <v>4</v>
      </c>
    </row>
    <row r="79" spans="1:7" ht="24.75" customHeight="1" x14ac:dyDescent="0.35">
      <c r="A79" s="27">
        <v>10046</v>
      </c>
      <c r="B79" s="55" t="s">
        <v>51</v>
      </c>
      <c r="C79" s="10">
        <f>IFERROR(INDEX('حسابهای دریافتنی'!H:H,MATCH(Table212[[#This Row],[كد تفصيلي]],'حسابهای دریافتنی'!A:A,0)),0)</f>
        <v>0</v>
      </c>
      <c r="D79" s="11">
        <f>IFERROR(INDEX('درجریان وصول'!F:F,MATCH(Table212[[#This Row],[كد تفصيلي]],'درجریان وصول'!A:A,0)),0)</f>
        <v>0</v>
      </c>
      <c r="E79" s="11">
        <f>IFERROR(INDEX('چکهای دریافتنی'!F:F,MATCH(Table212[[#This Row],[كد تفصيلي]],'چکهای دریافتنی'!A:A,0)),0)</f>
        <v>0</v>
      </c>
      <c r="F79" s="11">
        <f>Table212[[#This Row],[حسابهای دریافتنی]]+Table212[[#This Row],[چکهای در جریان وصول]]+Table212[[#This Row],[چکهای نزد صندوق]]</f>
        <v>0</v>
      </c>
      <c r="G79" s="12">
        <f>IFERROR(INDEX('مانده سوفاله'!F:F,MATCH(Table212[[#This Row],[كد تفصيلي]],'مانده سوفاله'!A:A,0)),0)</f>
        <v>118</v>
      </c>
    </row>
    <row r="80" spans="1:7" ht="24.75" customHeight="1" x14ac:dyDescent="0.35">
      <c r="A80" s="27">
        <v>10048</v>
      </c>
      <c r="B80" s="55" t="s">
        <v>191</v>
      </c>
      <c r="C80" s="10">
        <f>IFERROR(INDEX('حسابهای دریافتنی'!H:H,MATCH(Table212[[#This Row],[كد تفصيلي]],'حسابهای دریافتنی'!A:A,0)),0)</f>
        <v>0</v>
      </c>
      <c r="D80" s="11">
        <f>IFERROR(INDEX('درجریان وصول'!F:F,MATCH(Table212[[#This Row],[كد تفصيلي]],'درجریان وصول'!A:A,0)),0)</f>
        <v>0</v>
      </c>
      <c r="E80" s="11">
        <f>IFERROR(INDEX('چکهای دریافتنی'!F:F,MATCH(Table212[[#This Row],[كد تفصيلي]],'چکهای دریافتنی'!A:A,0)),0)</f>
        <v>0</v>
      </c>
      <c r="F80" s="11">
        <f>Table212[[#This Row],[حسابهای دریافتنی]]+Table212[[#This Row],[چکهای در جریان وصول]]+Table212[[#This Row],[چکهای نزد صندوق]]</f>
        <v>0</v>
      </c>
      <c r="G80" s="12">
        <f>IFERROR(INDEX('مانده سوفاله'!F:F,MATCH(Table212[[#This Row],[كد تفصيلي]],'مانده سوفاله'!A:A,0)),0)</f>
        <v>-1097</v>
      </c>
    </row>
    <row r="81" spans="1:7" customFormat="1" ht="24.75" customHeight="1" x14ac:dyDescent="0.35">
      <c r="A81" s="53">
        <v>10065</v>
      </c>
      <c r="B81" s="56" t="s">
        <v>228</v>
      </c>
      <c r="C81" s="10">
        <f>IFERROR(INDEX('حسابهای دریافتنی'!H:H,MATCH(Table212[[#This Row],[كد تفصيلي]],'حسابهای دریافتنی'!A:A,0)),0)</f>
        <v>0</v>
      </c>
      <c r="D81" s="11">
        <f>IFERROR(INDEX('درجریان وصول'!F:F,MATCH(Table212[[#This Row],[كد تفصيلي]],'درجریان وصول'!A:A,0)),0)</f>
        <v>0</v>
      </c>
      <c r="E81" s="11">
        <f>IFERROR(INDEX('چکهای دریافتنی'!F:F,MATCH(Table212[[#This Row],[كد تفصيلي]],'چکهای دریافتنی'!A:A,0)),0)</f>
        <v>0</v>
      </c>
      <c r="F81" s="11">
        <f>Table212[[#This Row],[حسابهای دریافتنی]]+Table212[[#This Row],[چکهای در جریان وصول]]+Table212[[#This Row],[چکهای نزد صندوق]]</f>
        <v>0</v>
      </c>
      <c r="G81" s="12">
        <f>IFERROR(INDEX('مانده سوفاله'!F:F,MATCH(Table212[[#This Row],[كد تفصيلي]],'مانده سوفاله'!A:A,0)),0)</f>
        <v>127</v>
      </c>
    </row>
    <row r="82" spans="1:7" customFormat="1" ht="24.75" customHeight="1" x14ac:dyDescent="0.35">
      <c r="A82" s="54">
        <v>10076</v>
      </c>
      <c r="B82" s="55" t="s">
        <v>182</v>
      </c>
      <c r="C82" s="10">
        <f>IFERROR(INDEX('حسابهای دریافتنی'!H:H,MATCH(Table212[[#This Row],[كد تفصيلي]],'حسابهای دریافتنی'!A:A,0)),0)</f>
        <v>0</v>
      </c>
      <c r="D82" s="11">
        <f>IFERROR(INDEX('درجریان وصول'!F:F,MATCH(Table212[[#This Row],[كد تفصيلي]],'درجریان وصول'!A:A,0)),0)</f>
        <v>0</v>
      </c>
      <c r="E82" s="11">
        <f>IFERROR(INDEX('چکهای دریافتنی'!F:F,MATCH(Table212[[#This Row],[كد تفصيلي]],'چکهای دریافتنی'!A:A,0)),0)</f>
        <v>0</v>
      </c>
      <c r="F82" s="11">
        <f>Table212[[#This Row],[حسابهای دریافتنی]]+Table212[[#This Row],[چکهای در جریان وصول]]+Table212[[#This Row],[چکهای نزد صندوق]]</f>
        <v>0</v>
      </c>
      <c r="G82" s="12">
        <f>IFERROR(INDEX('مانده سوفاله'!F:F,MATCH(Table212[[#This Row],[كد تفصيلي]],'مانده سوفاله'!A:A,0)),0)</f>
        <v>-13</v>
      </c>
    </row>
    <row r="83" spans="1:7" ht="24.75" customHeight="1" x14ac:dyDescent="0.35">
      <c r="A83" s="26">
        <v>30013</v>
      </c>
      <c r="B83" s="56" t="s">
        <v>62</v>
      </c>
      <c r="C83" s="10">
        <f>IFERROR(INDEX('حسابهای دریافتنی'!H:H,MATCH(Table212[[#This Row],[كد تفصيلي]],'حسابهای دریافتنی'!A:A,0)),0)</f>
        <v>-2744620</v>
      </c>
      <c r="D83" s="11">
        <f>IFERROR(INDEX('درجریان وصول'!F:F,MATCH(Table212[[#This Row],[كد تفصيلي]],'درجریان وصول'!A:A,0)),0)</f>
        <v>0</v>
      </c>
      <c r="E83" s="11">
        <f>IFERROR(INDEX('چکهای دریافتنی'!F:F,MATCH(Table212[[#This Row],[كد تفصيلي]],'چکهای دریافتنی'!A:A,0)),0)</f>
        <v>0</v>
      </c>
      <c r="F83" s="11">
        <f>Table212[[#This Row],[حسابهای دریافتنی]]+Table212[[#This Row],[چکهای در جریان وصول]]+Table212[[#This Row],[چکهای نزد صندوق]]</f>
        <v>-2744620</v>
      </c>
      <c r="G83" s="12">
        <f>IFERROR(INDEX('مانده سوفاله'!F:F,MATCH(Table212[[#This Row],[كد تفصيلي]],'مانده سوفاله'!A:A,0)),0)</f>
        <v>0</v>
      </c>
    </row>
    <row r="84" spans="1:7" ht="24.75" customHeight="1" x14ac:dyDescent="0.35">
      <c r="A84" s="27">
        <v>30065</v>
      </c>
      <c r="B84" s="55" t="s">
        <v>110</v>
      </c>
      <c r="C84" s="10">
        <f>IFERROR(INDEX('حسابهای دریافتنی'!H:H,MATCH(Table212[[#This Row],[كد تفصيلي]],'حسابهای دریافتنی'!A:A,0)),0)</f>
        <v>0</v>
      </c>
      <c r="D84" s="11">
        <f>IFERROR(INDEX('درجریان وصول'!F:F,MATCH(Table212[[#This Row],[كد تفصيلي]],'درجریان وصول'!A:A,0)),0)</f>
        <v>0</v>
      </c>
      <c r="E84" s="11">
        <f>IFERROR(INDEX('چکهای دریافتنی'!F:F,MATCH(Table212[[#This Row],[كد تفصيلي]],'چکهای دریافتنی'!A:A,0)),0)</f>
        <v>0</v>
      </c>
      <c r="F84" s="11">
        <f>Table212[[#This Row],[حسابهای دریافتنی]]+Table212[[#This Row],[چکهای در جریان وصول]]+Table212[[#This Row],[چکهای نزد صندوق]]</f>
        <v>0</v>
      </c>
      <c r="G84" s="12">
        <f>IFERROR(INDEX('مانده سوفاله'!F:F,MATCH(Table212[[#This Row],[كد تفصيلي]],'مانده سوفاله'!A:A,0)),0)</f>
        <v>33</v>
      </c>
    </row>
    <row r="85" spans="1:7" ht="24.75" customHeight="1" x14ac:dyDescent="0.35">
      <c r="A85" s="27">
        <v>30071</v>
      </c>
      <c r="B85" s="55" t="s">
        <v>116</v>
      </c>
      <c r="C85" s="10">
        <f>IFERROR(INDEX('حسابهای دریافتنی'!H:H,MATCH(Table212[[#This Row],[كد تفصيلي]],'حسابهای دریافتنی'!A:A,0)),0)</f>
        <v>0</v>
      </c>
      <c r="D85" s="11">
        <f>IFERROR(INDEX('درجریان وصول'!F:F,MATCH(Table212[[#This Row],[كد تفصيلي]],'درجریان وصول'!A:A,0)),0)</f>
        <v>0</v>
      </c>
      <c r="E85" s="11">
        <f>IFERROR(INDEX('چکهای دریافتنی'!F:F,MATCH(Table212[[#This Row],[كد تفصيلي]],'چکهای دریافتنی'!A:A,0)),0)</f>
        <v>0</v>
      </c>
      <c r="F85" s="11">
        <f>Table212[[#This Row],[حسابهای دریافتنی]]+Table212[[#This Row],[چکهای در جریان وصول]]+Table212[[#This Row],[چکهای نزد صندوق]]</f>
        <v>0</v>
      </c>
      <c r="G85" s="12">
        <f>IFERROR(INDEX('مانده سوفاله'!F:F,MATCH(Table212[[#This Row],[كد تفصيلي]],'مانده سوفاله'!A:A,0)),0)</f>
        <v>3</v>
      </c>
    </row>
    <row r="86" spans="1:7" ht="24.75" customHeight="1" x14ac:dyDescent="0.35">
      <c r="A86" s="27">
        <v>30077</v>
      </c>
      <c r="B86" s="55" t="s">
        <v>122</v>
      </c>
      <c r="C86" s="10">
        <f>IFERROR(INDEX('حسابهای دریافتنی'!H:H,MATCH(Table212[[#This Row],[كد تفصيلي]],'حسابهای دریافتنی'!A:A,0)),0)</f>
        <v>360000</v>
      </c>
      <c r="D86" s="11">
        <f>IFERROR(INDEX('درجریان وصول'!F:F,MATCH(Table212[[#This Row],[كد تفصيلي]],'درجریان وصول'!A:A,0)),0)</f>
        <v>0</v>
      </c>
      <c r="E86" s="11">
        <f>IFERROR(INDEX('چکهای دریافتنی'!F:F,MATCH(Table212[[#This Row],[كد تفصيلي]],'چکهای دریافتنی'!A:A,0)),0)</f>
        <v>0</v>
      </c>
      <c r="F86" s="11">
        <f>Table212[[#This Row],[حسابهای دریافتنی]]+Table212[[#This Row],[چکهای در جریان وصول]]+Table212[[#This Row],[چکهای نزد صندوق]]</f>
        <v>360000</v>
      </c>
      <c r="G86" s="12">
        <f>IFERROR(INDEX('مانده سوفاله'!F:F,MATCH(Table212[[#This Row],[كد تفصيلي]],'مانده سوفاله'!A:A,0)),0)</f>
        <v>-32</v>
      </c>
    </row>
    <row r="87" spans="1:7" ht="24.75" customHeight="1" x14ac:dyDescent="0.35">
      <c r="A87" s="27">
        <v>30079</v>
      </c>
      <c r="B87" s="55" t="s">
        <v>124</v>
      </c>
      <c r="C87" s="10">
        <f>IFERROR(INDEX('حسابهای دریافتنی'!H:H,MATCH(Table212[[#This Row],[كد تفصيلي]],'حسابهای دریافتنی'!A:A,0)),0)</f>
        <v>0</v>
      </c>
      <c r="D87" s="11">
        <f>IFERROR(INDEX('درجریان وصول'!F:F,MATCH(Table212[[#This Row],[كد تفصيلي]],'درجریان وصول'!A:A,0)),0)</f>
        <v>0</v>
      </c>
      <c r="E87" s="11">
        <f>IFERROR(INDEX('چکهای دریافتنی'!F:F,MATCH(Table212[[#This Row],[كد تفصيلي]],'چکهای دریافتنی'!A:A,0)),0)</f>
        <v>0</v>
      </c>
      <c r="F87" s="11">
        <f>Table212[[#This Row],[حسابهای دریافتنی]]+Table212[[#This Row],[چکهای در جریان وصول]]+Table212[[#This Row],[چکهای نزد صندوق]]</f>
        <v>0</v>
      </c>
      <c r="G87" s="12">
        <f>IFERROR(INDEX('مانده سوفاله'!F:F,MATCH(Table212[[#This Row],[كد تفصيلي]],'مانده سوفاله'!A:A,0)),0)</f>
        <v>-85</v>
      </c>
    </row>
    <row r="88" spans="1:7" ht="24.75" customHeight="1" x14ac:dyDescent="0.35">
      <c r="A88" s="27">
        <v>30097</v>
      </c>
      <c r="B88" s="55" t="s">
        <v>188</v>
      </c>
      <c r="C88" s="10">
        <f>IFERROR(INDEX('حسابهای دریافتنی'!H:H,MATCH(Table212[[#This Row],[كد تفصيلي]],'حسابهای دریافتنی'!A:A,0)),0)</f>
        <v>0</v>
      </c>
      <c r="D88" s="11">
        <f>IFERROR(INDEX('درجریان وصول'!F:F,MATCH(Table212[[#This Row],[كد تفصيلي]],'درجریان وصول'!A:A,0)),0)</f>
        <v>0</v>
      </c>
      <c r="E88" s="11">
        <f>IFERROR(INDEX('چکهای دریافتنی'!F:F,MATCH(Table212[[#This Row],[كد تفصيلي]],'چکهای دریافتنی'!A:A,0)),0)</f>
        <v>0</v>
      </c>
      <c r="F88" s="11">
        <f>Table212[[#This Row],[حسابهای دریافتنی]]+Table212[[#This Row],[چکهای در جریان وصول]]+Table212[[#This Row],[چکهای نزد صندوق]]</f>
        <v>0</v>
      </c>
      <c r="G88" s="12">
        <f>IFERROR(INDEX('مانده سوفاله'!F:F,MATCH(Table212[[#This Row],[كد تفصيلي]],'مانده سوفاله'!A:A,0)),0)</f>
        <v>-82</v>
      </c>
    </row>
    <row r="89" spans="1:7" ht="24.75" customHeight="1" x14ac:dyDescent="0.35">
      <c r="A89" s="26">
        <v>30118</v>
      </c>
      <c r="B89" s="56" t="s">
        <v>205</v>
      </c>
      <c r="C89" s="10">
        <f>IFERROR(INDEX('حسابهای دریافتنی'!H:H,MATCH(Table212[[#This Row],[كد تفصيلي]],'حسابهای دریافتنی'!A:A,0)),0)</f>
        <v>0</v>
      </c>
      <c r="D89" s="11">
        <f>IFERROR(INDEX('درجریان وصول'!F:F,MATCH(Table212[[#This Row],[كد تفصيلي]],'درجریان وصول'!A:A,0)),0)</f>
        <v>0</v>
      </c>
      <c r="E89" s="11">
        <f>IFERROR(INDEX('چکهای دریافتنی'!F:F,MATCH(Table212[[#This Row],[كد تفصيلي]],'چکهای دریافتنی'!A:A,0)),0)</f>
        <v>0</v>
      </c>
      <c r="F89" s="11">
        <f>Table212[[#This Row],[حسابهای دریافتنی]]+Table212[[#This Row],[چکهای در جریان وصول]]+Table212[[#This Row],[چکهای نزد صندوق]]</f>
        <v>0</v>
      </c>
      <c r="G89" s="12">
        <f>IFERROR(INDEX('مانده سوفاله'!F:F,MATCH(Table212[[#This Row],[كد تفصيلي]],'مانده سوفاله'!A:A,0)),0)</f>
        <v>-20</v>
      </c>
    </row>
    <row r="90" spans="1:7" ht="24.75" customHeight="1" x14ac:dyDescent="0.35">
      <c r="A90" s="27">
        <v>30137</v>
      </c>
      <c r="B90" s="55" t="s">
        <v>218</v>
      </c>
      <c r="C90" s="10">
        <f>IFERROR(INDEX('حسابهای دریافتنی'!H:H,MATCH(Table212[[#This Row],[كد تفصيلي]],'حسابهای دریافتنی'!A:A,0)),0)</f>
        <v>0</v>
      </c>
      <c r="D90" s="11">
        <f>IFERROR(INDEX('درجریان وصول'!F:F,MATCH(Table212[[#This Row],[كد تفصيلي]],'درجریان وصول'!A:A,0)),0)</f>
        <v>0</v>
      </c>
      <c r="E90" s="11">
        <f>IFERROR(INDEX('چکهای دریافتنی'!F:F,MATCH(Table212[[#This Row],[كد تفصيلي]],'چکهای دریافتنی'!A:A,0)),0)</f>
        <v>213182200</v>
      </c>
      <c r="F90" s="11">
        <f>Table212[[#This Row],[حسابهای دریافتنی]]+Table212[[#This Row],[چکهای در جریان وصول]]+Table212[[#This Row],[چکهای نزد صندوق]]</f>
        <v>213182200</v>
      </c>
      <c r="G90" s="12">
        <f>IFERROR(INDEX('مانده سوفاله'!F:F,MATCH(Table212[[#This Row],[كد تفصيلي]],'مانده سوفاله'!A:A,0)),0)</f>
        <v>0</v>
      </c>
    </row>
    <row r="91" spans="1:7" ht="24.75" customHeight="1" x14ac:dyDescent="0.35">
      <c r="A91" s="27">
        <v>30141</v>
      </c>
      <c r="B91" s="55" t="s">
        <v>261</v>
      </c>
      <c r="C91" s="10">
        <f>IFERROR(INDEX('حسابهای دریافتنی'!H:H,MATCH(Table212[[#This Row],[كد تفصيلي]],'حسابهای دریافتنی'!A:A,0)),0)</f>
        <v>0</v>
      </c>
      <c r="D91" s="11">
        <f>IFERROR(INDEX('درجریان وصول'!F:F,MATCH(Table212[[#This Row],[كد تفصيلي]],'درجریان وصول'!A:A,0)),0)</f>
        <v>0</v>
      </c>
      <c r="E91" s="11">
        <f>IFERROR(INDEX('چکهای دریافتنی'!F:F,MATCH(Table212[[#This Row],[كد تفصيلي]],'چکهای دریافتنی'!A:A,0)),0)</f>
        <v>0</v>
      </c>
      <c r="F91" s="11">
        <f>Table212[[#This Row],[حسابهای دریافتنی]]+Table212[[#This Row],[چکهای در جریان وصول]]+Table212[[#This Row],[چکهای نزد صندوق]]</f>
        <v>0</v>
      </c>
      <c r="G91" s="12">
        <f>IFERROR(INDEX('مانده سوفاله'!F:F,MATCH(Table212[[#This Row],[كد تفصيلي]],'مانده سوفاله'!A:A,0)),0)</f>
        <v>-42</v>
      </c>
    </row>
    <row r="92" spans="1:7" ht="24.75" customHeight="1" x14ac:dyDescent="0.35">
      <c r="A92" s="26">
        <v>30142</v>
      </c>
      <c r="B92" s="56" t="s">
        <v>263</v>
      </c>
      <c r="C92" s="10">
        <f>IFERROR(INDEX('حسابهای دریافتنی'!H:H,MATCH(Table212[[#This Row],[كد تفصيلي]],'حسابهای دریافتنی'!A:A,0)),0)</f>
        <v>0</v>
      </c>
      <c r="D92" s="11">
        <f>IFERROR(INDEX('درجریان وصول'!F:F,MATCH(Table212[[#This Row],[كد تفصيلي]],'درجریان وصول'!A:A,0)),0)</f>
        <v>0</v>
      </c>
      <c r="E92" s="11">
        <f>IFERROR(INDEX('چکهای دریافتنی'!F:F,MATCH(Table212[[#This Row],[كد تفصيلي]],'چکهای دریافتنی'!A:A,0)),0)</f>
        <v>0</v>
      </c>
      <c r="F92" s="11">
        <f>Table212[[#This Row],[حسابهای دریافتنی]]+Table212[[#This Row],[چکهای در جریان وصول]]+Table212[[#This Row],[چکهای نزد صندوق]]</f>
        <v>0</v>
      </c>
      <c r="G92" s="12">
        <f>IFERROR(INDEX('مانده سوفاله'!F:F,MATCH(Table212[[#This Row],[كد تفصيلي]],'مانده سوفاله'!A:A,0)),0)</f>
        <v>13</v>
      </c>
    </row>
    <row r="93" spans="1:7" ht="24.75" customHeight="1" x14ac:dyDescent="0.35">
      <c r="A93" s="26">
        <v>30186</v>
      </c>
      <c r="B93" s="56" t="s">
        <v>367</v>
      </c>
      <c r="C93" s="10">
        <f>IFERROR(INDEX('حسابهای دریافتنی'!H:H,MATCH(Table212[[#This Row],[كد تفصيلي]],'حسابهای دریافتنی'!A:A,0)),0)</f>
        <v>986425000</v>
      </c>
      <c r="D93" s="11">
        <f>IFERROR(INDEX('درجریان وصول'!F:F,MATCH(Table212[[#This Row],[كد تفصيلي]],'درجریان وصول'!A:A,0)),0)</f>
        <v>0</v>
      </c>
      <c r="E93" s="11">
        <f>IFERROR(INDEX('چکهای دریافتنی'!F:F,MATCH(Table212[[#This Row],[كد تفصيلي]],'چکهای دریافتنی'!A:A,0)),0)</f>
        <v>5982430000</v>
      </c>
      <c r="F93" s="11">
        <f>Table212[[#This Row],[حسابهای دریافتنی]]+Table212[[#This Row],[چکهای در جریان وصول]]+Table212[[#This Row],[چکهای نزد صندوق]]</f>
        <v>6968855000</v>
      </c>
      <c r="G93" s="12">
        <f>IFERROR(INDEX('مانده سوفاله'!F:F,MATCH(Table212[[#This Row],[كد تفصيلي]],'مانده سوفاله'!A:A,0)),0)</f>
        <v>-7388</v>
      </c>
    </row>
    <row r="94" spans="1:7" ht="24.75" customHeight="1" x14ac:dyDescent="0.35">
      <c r="A94" s="27">
        <v>79010</v>
      </c>
      <c r="B94" s="55" t="s">
        <v>176</v>
      </c>
      <c r="C94" s="10">
        <f>IFERROR(INDEX('حسابهای دریافتنی'!H:H,MATCH(Table212[[#This Row],[كد تفصيلي]],'حسابهای دریافتنی'!A:A,0)),0)</f>
        <v>0</v>
      </c>
      <c r="D94" s="11">
        <f>IFERROR(INDEX('درجریان وصول'!F:F,MATCH(Table212[[#This Row],[كد تفصيلي]],'درجریان وصول'!A:A,0)),0)</f>
        <v>0</v>
      </c>
      <c r="E94" s="11">
        <f>IFERROR(INDEX('چکهای دریافتنی'!F:F,MATCH(Table212[[#This Row],[كد تفصيلي]],'چکهای دریافتنی'!A:A,0)),0)</f>
        <v>0</v>
      </c>
      <c r="F94" s="11">
        <f>Table212[[#This Row],[حسابهای دریافتنی]]+Table212[[#This Row],[چکهای در جریان وصول]]+Table212[[#This Row],[چکهای نزد صندوق]]</f>
        <v>0</v>
      </c>
      <c r="G94" s="12">
        <f>IFERROR(INDEX('مانده سوفاله'!F:F,MATCH(Table212[[#This Row],[كد تفصيلي]],'مانده سوفاله'!A:A,0)),0)</f>
        <v>-110</v>
      </c>
    </row>
    <row r="95" spans="1:7" ht="24.75" customHeight="1" x14ac:dyDescent="0.35">
      <c r="A95" s="27">
        <v>30026</v>
      </c>
      <c r="B95" s="55" t="s">
        <v>74</v>
      </c>
      <c r="C95" s="10">
        <f>IFERROR(INDEX('حسابهای دریافتنی'!H:H,MATCH(Table212[[#This Row],[كد تفصيلي]],'حسابهای دریافتنی'!A:A,0)),0)</f>
        <v>5689439</v>
      </c>
      <c r="D95" s="11">
        <f>IFERROR(INDEX('درجریان وصول'!F:F,MATCH(Table212[[#This Row],[كد تفصيلي]],'درجریان وصول'!A:A,0)),0)</f>
        <v>0</v>
      </c>
      <c r="E95" s="11">
        <f>IFERROR(INDEX('چکهای دریافتنی'!F:F,MATCH(Table212[[#This Row],[كد تفصيلي]],'چکهای دریافتنی'!A:A,0)),0)</f>
        <v>0</v>
      </c>
      <c r="F95" s="11">
        <f>Table212[[#This Row],[حسابهای دریافتنی]]+Table212[[#This Row],[چکهای در جریان وصول]]+Table212[[#This Row],[چکهای نزد صندوق]]</f>
        <v>5689439</v>
      </c>
      <c r="G95" s="12">
        <f>IFERROR(INDEX('مانده سوفاله'!F:F,MATCH(Table212[[#This Row],[كد تفصيلي]],'مانده سوفاله'!A:A,0)),0)</f>
        <v>764</v>
      </c>
    </row>
    <row r="96" spans="1:7" ht="24.75" customHeight="1" x14ac:dyDescent="0.35">
      <c r="A96" s="26">
        <v>30164</v>
      </c>
      <c r="B96" s="56" t="s">
        <v>304</v>
      </c>
      <c r="C96" s="10">
        <f>IFERROR(INDEX('حسابهای دریافتنی'!H:H,MATCH(Table212[[#This Row],[كد تفصيلي]],'حسابهای دریافتنی'!A:A,0)),0)</f>
        <v>184944000</v>
      </c>
      <c r="D96" s="11">
        <f>IFERROR(INDEX('درجریان وصول'!F:F,MATCH(Table212[[#This Row],[كد تفصيلي]],'درجریان وصول'!A:A,0)),0)</f>
        <v>0</v>
      </c>
      <c r="E96" s="11">
        <f>IFERROR(INDEX('چکهای دریافتنی'!F:F,MATCH(Table212[[#This Row],[كد تفصيلي]],'چکهای دریافتنی'!A:A,0)),0)</f>
        <v>0</v>
      </c>
      <c r="F96" s="11">
        <f>Table212[[#This Row],[حسابهای دریافتنی]]+Table212[[#This Row],[چکهای در جریان وصول]]+Table212[[#This Row],[چکهای نزد صندوق]]</f>
        <v>184944000</v>
      </c>
      <c r="G96" s="12">
        <f>IFERROR(INDEX('مانده سوفاله'!F:F,MATCH(Table212[[#This Row],[كد تفصيلي]],'مانده سوفاله'!A:A,0)),0)</f>
        <v>561</v>
      </c>
    </row>
    <row r="97" spans="1:7" ht="24.75" customHeight="1" x14ac:dyDescent="0.35">
      <c r="A97" s="27">
        <v>10109</v>
      </c>
      <c r="B97" s="55" t="s">
        <v>303</v>
      </c>
      <c r="C97" s="10">
        <f>IFERROR(INDEX('حسابهای دریافتنی'!H:H,MATCH(Table212[[#This Row],[كد تفصيلي]],'حسابهای دریافتنی'!A:A,0)),0)</f>
        <v>-1124737000</v>
      </c>
      <c r="D97" s="11">
        <f>IFERROR(INDEX('درجریان وصول'!F:F,MATCH(Table212[[#This Row],[كد تفصيلي]],'درجریان وصول'!A:A,0)),0)</f>
        <v>0</v>
      </c>
      <c r="E97" s="11">
        <f>IFERROR(INDEX('چکهای دریافتنی'!F:F,MATCH(Table212[[#This Row],[كد تفصيلي]],'چکهای دریافتنی'!A:A,0)),0)</f>
        <v>0</v>
      </c>
      <c r="F97" s="11">
        <f>Table212[[#This Row],[حسابهای دریافتنی]]+Table212[[#This Row],[چکهای در جریان وصول]]+Table212[[#This Row],[چکهای نزد صندوق]]</f>
        <v>-1124737000</v>
      </c>
      <c r="G97" s="12">
        <f>IFERROR(INDEX('مانده سوفاله'!F:F,MATCH(Table212[[#This Row],[كد تفصيلي]],'مانده سوفاله'!A:A,0)),0)</f>
        <v>-241</v>
      </c>
    </row>
    <row r="98" spans="1:7" ht="24.75" customHeight="1" x14ac:dyDescent="0.35">
      <c r="A98" s="26">
        <v>30021</v>
      </c>
      <c r="B98" s="56" t="s">
        <v>69</v>
      </c>
      <c r="C98" s="10">
        <f>IFERROR(INDEX('حسابهای دریافتنی'!H:H,MATCH(Table212[[#This Row],[كد تفصيلي]],'حسابهای دریافتنی'!A:A,0)),0)</f>
        <v>-122000</v>
      </c>
      <c r="D98" s="11">
        <f>IFERROR(INDEX('درجریان وصول'!F:F,MATCH(Table212[[#This Row],[كد تفصيلي]],'درجریان وصول'!A:A,0)),0)</f>
        <v>0</v>
      </c>
      <c r="E98" s="11">
        <f>IFERROR(INDEX('چکهای دریافتنی'!F:F,MATCH(Table212[[#This Row],[كد تفصيلي]],'چکهای دریافتنی'!A:A,0)),0)</f>
        <v>0</v>
      </c>
      <c r="F98" s="11">
        <f>Table212[[#This Row],[حسابهای دریافتنی]]+Table212[[#This Row],[چکهای در جریان وصول]]+Table212[[#This Row],[چکهای نزد صندوق]]</f>
        <v>-122000</v>
      </c>
      <c r="G98" s="12">
        <f>IFERROR(INDEX('مانده سوفاله'!F:F,MATCH(Table212[[#This Row],[كد تفصيلي]],'مانده سوفاله'!A:A,0)),0)</f>
        <v>0</v>
      </c>
    </row>
    <row r="99" spans="1:7" ht="24.75" customHeight="1" x14ac:dyDescent="0.35">
      <c r="A99" s="27">
        <v>10066</v>
      </c>
      <c r="B99" s="55" t="s">
        <v>262</v>
      </c>
      <c r="C99" s="10">
        <f>IFERROR(INDEX('حسابهای دریافتنی'!H:H,MATCH(Table212[[#This Row],[كد تفصيلي]],'حسابهای دریافتنی'!A:A,0)),0)</f>
        <v>-191500</v>
      </c>
      <c r="D99" s="11">
        <f>IFERROR(INDEX('درجریان وصول'!F:F,MATCH(Table212[[#This Row],[كد تفصيلي]],'درجریان وصول'!A:A,0)),0)</f>
        <v>0</v>
      </c>
      <c r="E99" s="11">
        <f>IFERROR(INDEX('چکهای دریافتنی'!F:F,MATCH(Table212[[#This Row],[كد تفصيلي]],'چکهای دریافتنی'!A:A,0)),0)</f>
        <v>0</v>
      </c>
      <c r="F99" s="11">
        <f>Table212[[#This Row],[حسابهای دریافتنی]]+Table212[[#This Row],[چکهای در جریان وصول]]+Table212[[#This Row],[چکهای نزد صندوق]]</f>
        <v>-191500</v>
      </c>
      <c r="G99" s="12">
        <f>IFERROR(INDEX('مانده سوفاله'!F:F,MATCH(Table212[[#This Row],[كد تفصيلي]],'مانده سوفاله'!A:A,0)),0)</f>
        <v>2</v>
      </c>
    </row>
    <row r="100" spans="1:7" ht="24.75" customHeight="1" x14ac:dyDescent="0.35">
      <c r="A100" s="27">
        <v>30167</v>
      </c>
      <c r="B100" s="55" t="s">
        <v>311</v>
      </c>
      <c r="C100" s="10">
        <f>IFERROR(INDEX('حسابهای دریافتنی'!H:H,MATCH(Table212[[#This Row],[كد تفصيلي]],'حسابهای دریافتنی'!A:A,0)),0)</f>
        <v>-221000</v>
      </c>
      <c r="D100" s="11">
        <f>IFERROR(INDEX('درجریان وصول'!F:F,MATCH(Table212[[#This Row],[كد تفصيلي]],'درجریان وصول'!A:A,0)),0)</f>
        <v>0</v>
      </c>
      <c r="E100" s="11">
        <f>IFERROR(INDEX('چکهای دریافتنی'!F:F,MATCH(Table212[[#This Row],[كد تفصيلي]],'چکهای دریافتنی'!A:A,0)),0)</f>
        <v>0</v>
      </c>
      <c r="F100" s="11">
        <f>Table212[[#This Row],[حسابهای دریافتنی]]+Table212[[#This Row],[چکهای در جریان وصول]]+Table212[[#This Row],[چکهای نزد صندوق]]</f>
        <v>-221000</v>
      </c>
      <c r="G100" s="12">
        <f>IFERROR(INDEX('مانده سوفاله'!F:F,MATCH(Table212[[#This Row],[كد تفصيلي]],'مانده سوفاله'!A:A,0)),0)</f>
        <v>6</v>
      </c>
    </row>
    <row r="101" spans="1:7" ht="24.75" customHeight="1" x14ac:dyDescent="0.35">
      <c r="A101" s="26">
        <v>10077</v>
      </c>
      <c r="B101" s="56" t="s">
        <v>210</v>
      </c>
      <c r="C101" s="10">
        <f>IFERROR(INDEX('حسابهای دریافتنی'!H:H,MATCH(Table212[[#This Row],[كد تفصيلي]],'حسابهای دریافتنی'!A:A,0)),0)</f>
        <v>-238500</v>
      </c>
      <c r="D101" s="11">
        <f>IFERROR(INDEX('درجریان وصول'!F:F,MATCH(Table212[[#This Row],[كد تفصيلي]],'درجریان وصول'!A:A,0)),0)</f>
        <v>0</v>
      </c>
      <c r="E101" s="11">
        <f>IFERROR(INDEX('چکهای دریافتنی'!F:F,MATCH(Table212[[#This Row],[كد تفصيلي]],'چکهای دریافتنی'!A:A,0)),0)</f>
        <v>0</v>
      </c>
      <c r="F101" s="11">
        <f>Table212[[#This Row],[حسابهای دریافتنی]]+Table212[[#This Row],[چکهای در جریان وصول]]+Table212[[#This Row],[چکهای نزد صندوق]]</f>
        <v>-238500</v>
      </c>
      <c r="G101" s="12">
        <f>IFERROR(INDEX('مانده سوفاله'!F:F,MATCH(Table212[[#This Row],[كد تفصيلي]],'مانده سوفاله'!A:A,0)),0)</f>
        <v>0</v>
      </c>
    </row>
    <row r="102" spans="1:7" ht="24.75" customHeight="1" x14ac:dyDescent="0.35">
      <c r="A102" s="27">
        <v>10012</v>
      </c>
      <c r="B102" s="55" t="s">
        <v>19</v>
      </c>
      <c r="C102" s="10">
        <f>IFERROR(INDEX('حسابهای دریافتنی'!H:H,MATCH(Table212[[#This Row],[كد تفصيلي]],'حسابهای دریافتنی'!A:A,0)),0)</f>
        <v>-244000</v>
      </c>
      <c r="D102" s="11">
        <f>IFERROR(INDEX('درجریان وصول'!F:F,MATCH(Table212[[#This Row],[كد تفصيلي]],'درجریان وصول'!A:A,0)),0)</f>
        <v>0</v>
      </c>
      <c r="E102" s="11">
        <f>IFERROR(INDEX('چکهای دریافتنی'!F:F,MATCH(Table212[[#This Row],[كد تفصيلي]],'چکهای دریافتنی'!A:A,0)),0)</f>
        <v>0</v>
      </c>
      <c r="F102" s="11">
        <f>Table212[[#This Row],[حسابهای دریافتنی]]+Table212[[#This Row],[چکهای در جریان وصول]]+Table212[[#This Row],[چکهای نزد صندوق]]</f>
        <v>-244000</v>
      </c>
      <c r="G102" s="12">
        <f>IFERROR(INDEX('مانده سوفاله'!F:F,MATCH(Table212[[#This Row],[كد تفصيلي]],'مانده سوفاله'!A:A,0)),0)</f>
        <v>0</v>
      </c>
    </row>
    <row r="103" spans="1:7" ht="24.75" customHeight="1" x14ac:dyDescent="0.35">
      <c r="A103" s="26">
        <v>30088</v>
      </c>
      <c r="B103" s="56" t="s">
        <v>142</v>
      </c>
      <c r="C103" s="10">
        <f>IFERROR(INDEX('حسابهای دریافتنی'!H:H,MATCH(Table212[[#This Row],[كد تفصيلي]],'حسابهای دریافتنی'!A:A,0)),0)</f>
        <v>-252000</v>
      </c>
      <c r="D103" s="11">
        <f>IFERROR(INDEX('درجریان وصول'!F:F,MATCH(Table212[[#This Row],[كد تفصيلي]],'درجریان وصول'!A:A,0)),0)</f>
        <v>0</v>
      </c>
      <c r="E103" s="11">
        <f>IFERROR(INDEX('چکهای دریافتنی'!F:F,MATCH(Table212[[#This Row],[كد تفصيلي]],'چکهای دریافتنی'!A:A,0)),0)</f>
        <v>0</v>
      </c>
      <c r="F103" s="11">
        <f>Table212[[#This Row],[حسابهای دریافتنی]]+Table212[[#This Row],[چکهای در جریان وصول]]+Table212[[#This Row],[چکهای نزد صندوق]]</f>
        <v>-252000</v>
      </c>
      <c r="G103" s="12">
        <f>IFERROR(INDEX('مانده سوفاله'!F:F,MATCH(Table212[[#This Row],[كد تفصيلي]],'مانده سوفاله'!A:A,0)),0)</f>
        <v>0</v>
      </c>
    </row>
    <row r="104" spans="1:7" ht="24.75" customHeight="1" x14ac:dyDescent="0.35">
      <c r="A104" s="26">
        <v>10128</v>
      </c>
      <c r="B104" s="56" t="s">
        <v>372</v>
      </c>
      <c r="C104" s="10">
        <f>IFERROR(INDEX('حسابهای دریافتنی'!H:H,MATCH(Table212[[#This Row],[كد تفصيلي]],'حسابهای دریافتنی'!A:A,0)),0)</f>
        <v>-45000</v>
      </c>
      <c r="D104" s="11">
        <f>IFERROR(INDEX('درجریان وصول'!F:F,MATCH(Table212[[#This Row],[كد تفصيلي]],'درجریان وصول'!A:A,0)),0)</f>
        <v>0</v>
      </c>
      <c r="E104" s="11">
        <f>IFERROR(INDEX('چکهای دریافتنی'!F:F,MATCH(Table212[[#This Row],[كد تفصيلي]],'چکهای دریافتنی'!A:A,0)),0)</f>
        <v>0</v>
      </c>
      <c r="F104" s="11">
        <f>Table212[[#This Row],[حسابهای دریافتنی]]+Table212[[#This Row],[چکهای در جریان وصول]]+Table212[[#This Row],[چکهای نزد صندوق]]</f>
        <v>-45000</v>
      </c>
      <c r="G104" s="12">
        <f>IFERROR(INDEX('مانده سوفاله'!F:F,MATCH(Table212[[#This Row],[كد تفصيلي]],'مانده سوفاله'!A:A,0)),0)</f>
        <v>6</v>
      </c>
    </row>
    <row r="105" spans="1:7" ht="24.75" customHeight="1" x14ac:dyDescent="0.35">
      <c r="A105" s="26">
        <v>10045</v>
      </c>
      <c r="B105" s="56" t="s">
        <v>50</v>
      </c>
      <c r="C105" s="10">
        <f>IFERROR(INDEX('حسابهای دریافتنی'!H:H,MATCH(Table212[[#This Row],[كد تفصيلي]],'حسابهای دریافتنی'!A:A,0)),0)</f>
        <v>-383000</v>
      </c>
      <c r="D105" s="11">
        <f>IFERROR(INDEX('درجریان وصول'!F:F,MATCH(Table212[[#This Row],[كد تفصيلي]],'درجریان وصول'!A:A,0)),0)</f>
        <v>0</v>
      </c>
      <c r="E105" s="11">
        <f>IFERROR(INDEX('چکهای دریافتنی'!F:F,MATCH(Table212[[#This Row],[كد تفصيلي]],'چکهای دریافتنی'!A:A,0)),0)</f>
        <v>0</v>
      </c>
      <c r="F105" s="11">
        <f>Table212[[#This Row],[حسابهای دریافتنی]]+Table212[[#This Row],[چکهای در جریان وصول]]+Table212[[#This Row],[چکهای نزد صندوق]]</f>
        <v>-383000</v>
      </c>
      <c r="G105" s="12">
        <f>IFERROR(INDEX('مانده سوفاله'!F:F,MATCH(Table212[[#This Row],[كد تفصيلي]],'مانده سوفاله'!A:A,0)),0)</f>
        <v>-30</v>
      </c>
    </row>
    <row r="106" spans="1:7" ht="24.75" customHeight="1" x14ac:dyDescent="0.35">
      <c r="A106" s="26">
        <v>30051</v>
      </c>
      <c r="B106" s="56" t="s">
        <v>98</v>
      </c>
      <c r="C106" s="10">
        <f>IFERROR(INDEX('حسابهای دریافتنی'!H:H,MATCH(Table212[[#This Row],[كد تفصيلي]],'حسابهای دریافتنی'!A:A,0)),0)</f>
        <v>-384000</v>
      </c>
      <c r="D106" s="11">
        <f>IFERROR(INDEX('درجریان وصول'!F:F,MATCH(Table212[[#This Row],[كد تفصيلي]],'درجریان وصول'!A:A,0)),0)</f>
        <v>0</v>
      </c>
      <c r="E106" s="11">
        <f>IFERROR(INDEX('چکهای دریافتنی'!F:F,MATCH(Table212[[#This Row],[كد تفصيلي]],'چکهای دریافتنی'!A:A,0)),0)</f>
        <v>0</v>
      </c>
      <c r="F106" s="11">
        <f>Table212[[#This Row],[حسابهای دریافتنی]]+Table212[[#This Row],[چکهای در جریان وصول]]+Table212[[#This Row],[چکهای نزد صندوق]]</f>
        <v>-384000</v>
      </c>
      <c r="G106" s="12">
        <f>IFERROR(INDEX('مانده سوفاله'!F:F,MATCH(Table212[[#This Row],[كد تفصيلي]],'مانده سوفاله'!A:A,0)),0)</f>
        <v>0</v>
      </c>
    </row>
    <row r="107" spans="1:7" ht="24.75" customHeight="1" x14ac:dyDescent="0.35">
      <c r="A107" s="27">
        <v>30044</v>
      </c>
      <c r="B107" s="55" t="s">
        <v>91</v>
      </c>
      <c r="C107" s="10">
        <f>IFERROR(INDEX('حسابهای دریافتنی'!H:H,MATCH(Table212[[#This Row],[كد تفصيلي]],'حسابهای دریافتنی'!A:A,0)),0)</f>
        <v>-492500</v>
      </c>
      <c r="D107" s="11">
        <f>IFERROR(INDEX('درجریان وصول'!F:F,MATCH(Table212[[#This Row],[كد تفصيلي]],'درجریان وصول'!A:A,0)),0)</f>
        <v>0</v>
      </c>
      <c r="E107" s="11">
        <f>IFERROR(INDEX('چکهای دریافتنی'!F:F,MATCH(Table212[[#This Row],[كد تفصيلي]],'چکهای دریافتنی'!A:A,0)),0)</f>
        <v>0</v>
      </c>
      <c r="F107" s="11">
        <f>Table212[[#This Row],[حسابهای دریافتنی]]+Table212[[#This Row],[چکهای در جریان وصول]]+Table212[[#This Row],[چکهای نزد صندوق]]</f>
        <v>-492500</v>
      </c>
      <c r="G107" s="12">
        <f>IFERROR(INDEX('مانده سوفاله'!F:F,MATCH(Table212[[#This Row],[كد تفصيلي]],'مانده سوفاله'!A:A,0)),0)</f>
        <v>2</v>
      </c>
    </row>
    <row r="108" spans="1:7" ht="24.75" customHeight="1" x14ac:dyDescent="0.35">
      <c r="A108" s="26">
        <v>10095</v>
      </c>
      <c r="B108" s="56" t="s">
        <v>268</v>
      </c>
      <c r="C108" s="10">
        <f>IFERROR(INDEX('حسابهای دریافتنی'!H:H,MATCH(Table212[[#This Row],[كد تفصيلي]],'حسابهای دریافتنی'!A:A,0)),0)</f>
        <v>-496500</v>
      </c>
      <c r="D108" s="11">
        <f>IFERROR(INDEX('درجریان وصول'!F:F,MATCH(Table212[[#This Row],[كد تفصيلي]],'درجریان وصول'!A:A,0)),0)</f>
        <v>0</v>
      </c>
      <c r="E108" s="11">
        <f>IFERROR(INDEX('چکهای دریافتنی'!F:F,MATCH(Table212[[#This Row],[كد تفصيلي]],'چکهای دریافتنی'!A:A,0)),0)</f>
        <v>0</v>
      </c>
      <c r="F108" s="11">
        <f>Table212[[#This Row],[حسابهای دریافتنی]]+Table212[[#This Row],[چکهای در جریان وصول]]+Table212[[#This Row],[چکهای نزد صندوق]]</f>
        <v>-496500</v>
      </c>
      <c r="G108" s="12">
        <f>IFERROR(INDEX('مانده سوفاله'!F:F,MATCH(Table212[[#This Row],[كد تفصيلي]],'مانده سوفاله'!A:A,0)),0)</f>
        <v>0</v>
      </c>
    </row>
    <row r="109" spans="1:7" ht="24.75" customHeight="1" x14ac:dyDescent="0.35">
      <c r="A109" s="27">
        <v>30052</v>
      </c>
      <c r="B109" s="55" t="s">
        <v>149</v>
      </c>
      <c r="C109" s="10">
        <f>IFERROR(INDEX('حسابهای دریافتنی'!H:H,MATCH(Table212[[#This Row],[كد تفصيلي]],'حسابهای دریافتنی'!A:A,0)),0)</f>
        <v>-539000</v>
      </c>
      <c r="D109" s="11">
        <f>IFERROR(INDEX('درجریان وصول'!F:F,MATCH(Table212[[#This Row],[كد تفصيلي]],'درجریان وصول'!A:A,0)),0)</f>
        <v>0</v>
      </c>
      <c r="E109" s="11">
        <f>IFERROR(INDEX('چکهای دریافتنی'!F:F,MATCH(Table212[[#This Row],[كد تفصيلي]],'چکهای دریافتنی'!A:A,0)),0)</f>
        <v>0</v>
      </c>
      <c r="F109" s="11">
        <f>Table212[[#This Row],[حسابهای دریافتنی]]+Table212[[#This Row],[چکهای در جریان وصول]]+Table212[[#This Row],[چکهای نزد صندوق]]</f>
        <v>-539000</v>
      </c>
      <c r="G109" s="12">
        <f>IFERROR(INDEX('مانده سوفاله'!F:F,MATCH(Table212[[#This Row],[كد تفصيلي]],'مانده سوفاله'!A:A,0)),0)</f>
        <v>0</v>
      </c>
    </row>
    <row r="110" spans="1:7" ht="24.75" customHeight="1" x14ac:dyDescent="0.35">
      <c r="A110" s="26">
        <v>10061</v>
      </c>
      <c r="B110" s="56" t="s">
        <v>194</v>
      </c>
      <c r="C110" s="10">
        <f>IFERROR(INDEX('حسابهای دریافتنی'!H:H,MATCH(Table212[[#This Row],[كد تفصيلي]],'حسابهای دریافتنی'!A:A,0)),0)</f>
        <v>-565500</v>
      </c>
      <c r="D110" s="11">
        <f>IFERROR(INDEX('درجریان وصول'!F:F,MATCH(Table212[[#This Row],[كد تفصيلي]],'درجریان وصول'!A:A,0)),0)</f>
        <v>0</v>
      </c>
      <c r="E110" s="11">
        <f>IFERROR(INDEX('چکهای دریافتنی'!F:F,MATCH(Table212[[#This Row],[كد تفصيلي]],'چکهای دریافتنی'!A:A,0)),0)</f>
        <v>0</v>
      </c>
      <c r="F110" s="11">
        <f>Table212[[#This Row],[حسابهای دریافتنی]]+Table212[[#This Row],[چکهای در جریان وصول]]+Table212[[#This Row],[چکهای نزد صندوق]]</f>
        <v>-565500</v>
      </c>
      <c r="G110" s="12">
        <f>IFERROR(INDEX('مانده سوفاله'!F:F,MATCH(Table212[[#This Row],[كد تفصيلي]],'مانده سوفاله'!A:A,0)),0)</f>
        <v>0</v>
      </c>
    </row>
    <row r="111" spans="1:7" ht="24.75" customHeight="1" x14ac:dyDescent="0.35">
      <c r="A111" s="26">
        <v>10118</v>
      </c>
      <c r="B111" s="56" t="s">
        <v>334</v>
      </c>
      <c r="C111" s="10">
        <f>IFERROR(INDEX('حسابهای دریافتنی'!H:H,MATCH(Table212[[#This Row],[كد تفصيلي]],'حسابهای دریافتنی'!A:A,0)),0)</f>
        <v>-587500</v>
      </c>
      <c r="D111" s="11">
        <f>IFERROR(INDEX('درجریان وصول'!F:F,MATCH(Table212[[#This Row],[كد تفصيلي]],'درجریان وصول'!A:A,0)),0)</f>
        <v>0</v>
      </c>
      <c r="E111" s="11">
        <f>IFERROR(INDEX('چکهای دریافتنی'!F:F,MATCH(Table212[[#This Row],[كد تفصيلي]],'چکهای دریافتنی'!A:A,0)),0)</f>
        <v>0</v>
      </c>
      <c r="F111" s="11">
        <f>Table212[[#This Row],[حسابهای دریافتنی]]+Table212[[#This Row],[چکهای در جریان وصول]]+Table212[[#This Row],[چکهای نزد صندوق]]</f>
        <v>-587500</v>
      </c>
      <c r="G111" s="12">
        <f>IFERROR(INDEX('مانده سوفاله'!F:F,MATCH(Table212[[#This Row],[كد تفصيلي]],'مانده سوفاله'!A:A,0)),0)</f>
        <v>0</v>
      </c>
    </row>
    <row r="112" spans="1:7" ht="24.75" customHeight="1" x14ac:dyDescent="0.35">
      <c r="A112" s="27">
        <v>10018</v>
      </c>
      <c r="B112" s="55" t="s">
        <v>25</v>
      </c>
      <c r="C112" s="10">
        <f>IFERROR(INDEX('حسابهای دریافتنی'!H:H,MATCH(Table212[[#This Row],[كد تفصيلي]],'حسابهای دریافتنی'!A:A,0)),0)</f>
        <v>95282000</v>
      </c>
      <c r="D112" s="11">
        <f>IFERROR(INDEX('درجریان وصول'!F:F,MATCH(Table212[[#This Row],[كد تفصيلي]],'درجریان وصول'!A:A,0)),0)</f>
        <v>0</v>
      </c>
      <c r="E112" s="11">
        <f>IFERROR(INDEX('چکهای دریافتنی'!F:F,MATCH(Table212[[#This Row],[كد تفصيلي]],'چکهای دریافتنی'!A:A,0)),0)</f>
        <v>0</v>
      </c>
      <c r="F112" s="11">
        <f>Table212[[#This Row],[حسابهای دریافتنی]]+Table212[[#This Row],[چکهای در جریان وصول]]+Table212[[#This Row],[چکهای نزد صندوق]]</f>
        <v>95282000</v>
      </c>
      <c r="G112" s="12">
        <f>IFERROR(INDEX('مانده سوفاله'!F:F,MATCH(Table212[[#This Row],[كد تفصيلي]],'مانده سوفاله'!A:A,0)),0)</f>
        <v>-32</v>
      </c>
    </row>
    <row r="113" spans="1:7" ht="24.75" customHeight="1" x14ac:dyDescent="0.35">
      <c r="A113" s="26">
        <v>30112</v>
      </c>
      <c r="B113" s="56" t="s">
        <v>201</v>
      </c>
      <c r="C113" s="10">
        <f>IFERROR(INDEX('حسابهای دریافتنی'!H:H,MATCH(Table212[[#This Row],[كد تفصيلي]],'حسابهای دریافتنی'!A:A,0)),0)</f>
        <v>-720500</v>
      </c>
      <c r="D113" s="11">
        <f>IFERROR(INDEX('درجریان وصول'!F:F,MATCH(Table212[[#This Row],[كد تفصيلي]],'درجریان وصول'!A:A,0)),0)</f>
        <v>0</v>
      </c>
      <c r="E113" s="11">
        <f>IFERROR(INDEX('چکهای دریافتنی'!F:F,MATCH(Table212[[#This Row],[كد تفصيلي]],'چکهای دریافتنی'!A:A,0)),0)</f>
        <v>0</v>
      </c>
      <c r="F113" s="11">
        <f>Table212[[#This Row],[حسابهای دریافتنی]]+Table212[[#This Row],[چکهای در جریان وصول]]+Table212[[#This Row],[چکهای نزد صندوق]]</f>
        <v>-720500</v>
      </c>
      <c r="G113" s="12">
        <f>IFERROR(INDEX('مانده سوفاله'!F:F,MATCH(Table212[[#This Row],[كد تفصيلي]],'مانده سوفاله'!A:A,0)),0)</f>
        <v>36</v>
      </c>
    </row>
    <row r="114" spans="1:7" ht="24.75" customHeight="1" x14ac:dyDescent="0.35">
      <c r="A114" s="26">
        <v>10013</v>
      </c>
      <c r="B114" s="56" t="s">
        <v>20</v>
      </c>
      <c r="C114" s="10">
        <f>IFERROR(INDEX('حسابهای دریافتنی'!H:H,MATCH(Table212[[#This Row],[كد تفصيلي]],'حسابهای دریافتنی'!A:A,0)),0)</f>
        <v>-915000</v>
      </c>
      <c r="D114" s="11">
        <f>IFERROR(INDEX('درجریان وصول'!F:F,MATCH(Table212[[#This Row],[كد تفصيلي]],'درجریان وصول'!A:A,0)),0)</f>
        <v>0</v>
      </c>
      <c r="E114" s="11">
        <f>IFERROR(INDEX('چکهای دریافتنی'!F:F,MATCH(Table212[[#This Row],[كد تفصيلي]],'چکهای دریافتنی'!A:A,0)),0)</f>
        <v>0</v>
      </c>
      <c r="F114" s="11">
        <f>Table212[[#This Row],[حسابهای دریافتنی]]+Table212[[#This Row],[چکهای در جریان وصول]]+Table212[[#This Row],[چکهای نزد صندوق]]</f>
        <v>-915000</v>
      </c>
      <c r="G114" s="12">
        <f>IFERROR(INDEX('مانده سوفاله'!F:F,MATCH(Table212[[#This Row],[كد تفصيلي]],'مانده سوفاله'!A:A,0)),0)</f>
        <v>0</v>
      </c>
    </row>
    <row r="115" spans="1:7" ht="24.75" customHeight="1" x14ac:dyDescent="0.35">
      <c r="A115" s="27">
        <v>10042</v>
      </c>
      <c r="B115" s="55" t="s">
        <v>47</v>
      </c>
      <c r="C115" s="10">
        <f>IFERROR(INDEX('حسابهای دریافتنی'!H:H,MATCH(Table212[[#This Row],[كد تفصيلي]],'حسابهای دریافتنی'!A:A,0)),0)</f>
        <v>-1120000</v>
      </c>
      <c r="D115" s="11">
        <f>IFERROR(INDEX('درجریان وصول'!F:F,MATCH(Table212[[#This Row],[كد تفصيلي]],'درجریان وصول'!A:A,0)),0)</f>
        <v>0</v>
      </c>
      <c r="E115" s="11">
        <f>IFERROR(INDEX('چکهای دریافتنی'!F:F,MATCH(Table212[[#This Row],[كد تفصيلي]],'چکهای دریافتنی'!A:A,0)),0)</f>
        <v>0</v>
      </c>
      <c r="F115" s="11">
        <f>Table212[[#This Row],[حسابهای دریافتنی]]+Table212[[#This Row],[چکهای در جریان وصول]]+Table212[[#This Row],[چکهای نزد صندوق]]</f>
        <v>-1120000</v>
      </c>
      <c r="G115" s="12">
        <f>IFERROR(INDEX('مانده سوفاله'!F:F,MATCH(Table212[[#This Row],[كد تفصيلي]],'مانده سوفاله'!A:A,0)),0)</f>
        <v>2</v>
      </c>
    </row>
    <row r="116" spans="1:7" ht="24.75" customHeight="1" x14ac:dyDescent="0.35">
      <c r="A116" s="27">
        <v>30032</v>
      </c>
      <c r="B116" s="55" t="s">
        <v>79</v>
      </c>
      <c r="C116" s="10">
        <f>IFERROR(INDEX('حسابهای دریافتنی'!H:H,MATCH(Table212[[#This Row],[كد تفصيلي]],'حسابهای دریافتنی'!A:A,0)),0)</f>
        <v>-1347000</v>
      </c>
      <c r="D116" s="11">
        <f>IFERROR(INDEX('درجریان وصول'!F:F,MATCH(Table212[[#This Row],[كد تفصيلي]],'درجریان وصول'!A:A,0)),0)</f>
        <v>0</v>
      </c>
      <c r="E116" s="11">
        <f>IFERROR(INDEX('چکهای دریافتنی'!F:F,MATCH(Table212[[#This Row],[كد تفصيلي]],'چکهای دریافتنی'!A:A,0)),0)</f>
        <v>0</v>
      </c>
      <c r="F116" s="11">
        <f>Table212[[#This Row],[حسابهای دریافتنی]]+Table212[[#This Row],[چکهای در جریان وصول]]+Table212[[#This Row],[چکهای نزد صندوق]]</f>
        <v>-1347000</v>
      </c>
      <c r="G116" s="12">
        <f>IFERROR(INDEX('مانده سوفاله'!F:F,MATCH(Table212[[#This Row],[كد تفصيلي]],'مانده سوفاله'!A:A,0)),0)</f>
        <v>0</v>
      </c>
    </row>
    <row r="117" spans="1:7" ht="24.75" customHeight="1" x14ac:dyDescent="0.35">
      <c r="A117" s="27">
        <v>30171</v>
      </c>
      <c r="B117" s="55" t="s">
        <v>322</v>
      </c>
      <c r="C117" s="10">
        <f>IFERROR(INDEX('حسابهای دریافتنی'!H:H,MATCH(Table212[[#This Row],[كد تفصيلي]],'حسابهای دریافتنی'!A:A,0)),0)</f>
        <v>-1500000</v>
      </c>
      <c r="D117" s="11">
        <f>IFERROR(INDEX('درجریان وصول'!F:F,MATCH(Table212[[#This Row],[كد تفصيلي]],'درجریان وصول'!A:A,0)),0)</f>
        <v>0</v>
      </c>
      <c r="E117" s="11">
        <f>IFERROR(INDEX('چکهای دریافتنی'!F:F,MATCH(Table212[[#This Row],[كد تفصيلي]],'چکهای دریافتنی'!A:A,0)),0)</f>
        <v>0</v>
      </c>
      <c r="F117" s="11">
        <f>Table212[[#This Row],[حسابهای دریافتنی]]+Table212[[#This Row],[چکهای در جریان وصول]]+Table212[[#This Row],[چکهای نزد صندوق]]</f>
        <v>-1500000</v>
      </c>
      <c r="G117" s="12">
        <f>IFERROR(INDEX('مانده سوفاله'!F:F,MATCH(Table212[[#This Row],[كد تفصيلي]],'مانده سوفاله'!A:A,0)),0)</f>
        <v>0</v>
      </c>
    </row>
    <row r="118" spans="1:7" ht="24.75" customHeight="1" x14ac:dyDescent="0.35">
      <c r="A118" s="26">
        <v>10103</v>
      </c>
      <c r="B118" s="56" t="s">
        <v>283</v>
      </c>
      <c r="C118" s="10">
        <f>IFERROR(INDEX('حسابهای دریافتنی'!H:H,MATCH(Table212[[#This Row],[كد تفصيلي]],'حسابهای دریافتنی'!A:A,0)),0)</f>
        <v>-1580000</v>
      </c>
      <c r="D118" s="11">
        <f>IFERROR(INDEX('درجریان وصول'!F:F,MATCH(Table212[[#This Row],[كد تفصيلي]],'درجریان وصول'!A:A,0)),0)</f>
        <v>0</v>
      </c>
      <c r="E118" s="11">
        <f>IFERROR(INDEX('چکهای دریافتنی'!F:F,MATCH(Table212[[#This Row],[كد تفصيلي]],'چکهای دریافتنی'!A:A,0)),0)</f>
        <v>0</v>
      </c>
      <c r="F118" s="11">
        <f>Table212[[#This Row],[حسابهای دریافتنی]]+Table212[[#This Row],[چکهای در جریان وصول]]+Table212[[#This Row],[چکهای نزد صندوق]]</f>
        <v>-1580000</v>
      </c>
      <c r="G118" s="12">
        <f>IFERROR(INDEX('مانده سوفاله'!F:F,MATCH(Table212[[#This Row],[كد تفصيلي]],'مانده سوفاله'!A:A,0)),0)</f>
        <v>0</v>
      </c>
    </row>
    <row r="119" spans="1:7" ht="24.75" customHeight="1" x14ac:dyDescent="0.35">
      <c r="A119" s="27">
        <v>10125</v>
      </c>
      <c r="B119" s="55" t="s">
        <v>345</v>
      </c>
      <c r="C119" s="10">
        <f>IFERROR(INDEX('حسابهای دریافتنی'!H:H,MATCH(Table212[[#This Row],[كد تفصيلي]],'حسابهای دریافتنی'!A:A,0)),0)</f>
        <v>-1650000</v>
      </c>
      <c r="D119" s="11">
        <f>IFERROR(INDEX('درجریان وصول'!F:F,MATCH(Table212[[#This Row],[كد تفصيلي]],'درجریان وصول'!A:A,0)),0)</f>
        <v>0</v>
      </c>
      <c r="E119" s="11">
        <f>IFERROR(INDEX('چکهای دریافتنی'!F:F,MATCH(Table212[[#This Row],[كد تفصيلي]],'چکهای دریافتنی'!A:A,0)),0)</f>
        <v>0</v>
      </c>
      <c r="F119" s="11">
        <f>Table212[[#This Row],[حسابهای دریافتنی]]+Table212[[#This Row],[چکهای در جریان وصول]]+Table212[[#This Row],[چکهای نزد صندوق]]</f>
        <v>-1650000</v>
      </c>
      <c r="G119" s="12">
        <f>IFERROR(INDEX('مانده سوفاله'!F:F,MATCH(Table212[[#This Row],[كد تفصيلي]],'مانده سوفاله'!A:A,0)),0)</f>
        <v>0</v>
      </c>
    </row>
    <row r="120" spans="1:7" ht="24.75" customHeight="1" x14ac:dyDescent="0.35">
      <c r="A120" s="26">
        <v>10110</v>
      </c>
      <c r="B120" s="56" t="s">
        <v>306</v>
      </c>
      <c r="C120" s="10">
        <f>IFERROR(INDEX('حسابهای دریافتنی'!H:H,MATCH(Table212[[#This Row],[كد تفصيلي]],'حسابهای دریافتنی'!A:A,0)),0)</f>
        <v>-1817500</v>
      </c>
      <c r="D120" s="11">
        <f>IFERROR(INDEX('درجریان وصول'!F:F,MATCH(Table212[[#This Row],[كد تفصيلي]],'درجریان وصول'!A:A,0)),0)</f>
        <v>0</v>
      </c>
      <c r="E120" s="11">
        <f>IFERROR(INDEX('چکهای دریافتنی'!F:F,MATCH(Table212[[#This Row],[كد تفصيلي]],'چکهای دریافتنی'!A:A,0)),0)</f>
        <v>0</v>
      </c>
      <c r="F120" s="11">
        <f>Table212[[#This Row],[حسابهای دریافتنی]]+Table212[[#This Row],[چکهای در جریان وصول]]+Table212[[#This Row],[چکهای نزد صندوق]]</f>
        <v>-1817500</v>
      </c>
      <c r="G120" s="12">
        <f>IFERROR(INDEX('مانده سوفاله'!F:F,MATCH(Table212[[#This Row],[كد تفصيلي]],'مانده سوفاله'!A:A,0)),0)</f>
        <v>7</v>
      </c>
    </row>
    <row r="121" spans="1:7" ht="24.75" customHeight="1" x14ac:dyDescent="0.35">
      <c r="A121" s="27">
        <v>30103</v>
      </c>
      <c r="B121" s="55" t="s">
        <v>240</v>
      </c>
      <c r="C121" s="10">
        <f>IFERROR(INDEX('حسابهای دریافتنی'!H:H,MATCH(Table212[[#This Row],[كد تفصيلي]],'حسابهای دریافتنی'!A:A,0)),0)</f>
        <v>-1820000</v>
      </c>
      <c r="D121" s="11">
        <f>IFERROR(INDEX('درجریان وصول'!F:F,MATCH(Table212[[#This Row],[كد تفصيلي]],'درجریان وصول'!A:A,0)),0)</f>
        <v>0</v>
      </c>
      <c r="E121" s="11">
        <f>IFERROR(INDEX('چکهای دریافتنی'!F:F,MATCH(Table212[[#This Row],[كد تفصيلي]],'چکهای دریافتنی'!A:A,0)),0)</f>
        <v>0</v>
      </c>
      <c r="F121" s="11">
        <f>Table212[[#This Row],[حسابهای دریافتنی]]+Table212[[#This Row],[چکهای در جریان وصول]]+Table212[[#This Row],[چکهای نزد صندوق]]</f>
        <v>-1820000</v>
      </c>
      <c r="G121" s="12">
        <f>IFERROR(INDEX('مانده سوفاله'!F:F,MATCH(Table212[[#This Row],[كد تفصيلي]],'مانده سوفاله'!A:A,0)),0)</f>
        <v>0</v>
      </c>
    </row>
    <row r="122" spans="1:7" ht="24.75" customHeight="1" x14ac:dyDescent="0.35">
      <c r="A122" s="26">
        <v>30174</v>
      </c>
      <c r="B122" s="56" t="s">
        <v>327</v>
      </c>
      <c r="C122" s="10">
        <f>IFERROR(INDEX('حسابهای دریافتنی'!H:H,MATCH(Table212[[#This Row],[كد تفصيلي]],'حسابهای دریافتنی'!A:A,0)),0)</f>
        <v>-5000</v>
      </c>
      <c r="D122" s="11">
        <f>IFERROR(INDEX('درجریان وصول'!F:F,MATCH(Table212[[#This Row],[كد تفصيلي]],'درجریان وصول'!A:A,0)),0)</f>
        <v>0</v>
      </c>
      <c r="E122" s="11">
        <f>IFERROR(INDEX('چکهای دریافتنی'!F:F,MATCH(Table212[[#This Row],[كد تفصيلي]],'چکهای دریافتنی'!A:A,0)),0)</f>
        <v>0</v>
      </c>
      <c r="F122" s="11">
        <f>Table212[[#This Row],[حسابهای دریافتنی]]+Table212[[#This Row],[چکهای در جریان وصول]]+Table212[[#This Row],[چکهای نزد صندوق]]</f>
        <v>-5000</v>
      </c>
      <c r="G122" s="12">
        <f>IFERROR(INDEX('مانده سوفاله'!F:F,MATCH(Table212[[#This Row],[كد تفصيلي]],'مانده سوفاله'!A:A,0)),0)</f>
        <v>0</v>
      </c>
    </row>
    <row r="123" spans="1:7" ht="24.75" customHeight="1" x14ac:dyDescent="0.35">
      <c r="A123" s="26">
        <v>30128</v>
      </c>
      <c r="B123" s="56" t="s">
        <v>212</v>
      </c>
      <c r="C123" s="10">
        <f>IFERROR(INDEX('حسابهای دریافتنی'!H:H,MATCH(Table212[[#This Row],[كد تفصيلي]],'حسابهای دریافتنی'!A:A,0)),0)</f>
        <v>-2451320</v>
      </c>
      <c r="D123" s="11">
        <f>IFERROR(INDEX('درجریان وصول'!F:F,MATCH(Table212[[#This Row],[كد تفصيلي]],'درجریان وصول'!A:A,0)),0)</f>
        <v>0</v>
      </c>
      <c r="E123" s="11">
        <f>IFERROR(INDEX('چکهای دریافتنی'!F:F,MATCH(Table212[[#This Row],[كد تفصيلي]],'چکهای دریافتنی'!A:A,0)),0)</f>
        <v>0</v>
      </c>
      <c r="F123" s="11">
        <f>Table212[[#This Row],[حسابهای دریافتنی]]+Table212[[#This Row],[چکهای در جریان وصول]]+Table212[[#This Row],[چکهای نزد صندوق]]</f>
        <v>-2451320</v>
      </c>
      <c r="G123" s="12">
        <f>IFERROR(INDEX('مانده سوفاله'!F:F,MATCH(Table212[[#This Row],[كد تفصيلي]],'مانده سوفاله'!A:A,0)),0)</f>
        <v>0</v>
      </c>
    </row>
    <row r="124" spans="1:7" ht="24.75" customHeight="1" x14ac:dyDescent="0.35">
      <c r="A124" s="26">
        <v>30015</v>
      </c>
      <c r="B124" s="56" t="s">
        <v>64</v>
      </c>
      <c r="C124" s="10">
        <f>IFERROR(INDEX('حسابهای دریافتنی'!H:H,MATCH(Table212[[#This Row],[كد تفصيلي]],'حسابهای دریافتنی'!A:A,0)),0)</f>
        <v>-3105895</v>
      </c>
      <c r="D124" s="11">
        <f>IFERROR(INDEX('درجریان وصول'!F:F,MATCH(Table212[[#This Row],[كد تفصيلي]],'درجریان وصول'!A:A,0)),0)</f>
        <v>0</v>
      </c>
      <c r="E124" s="11">
        <f>IFERROR(INDEX('چکهای دریافتنی'!F:F,MATCH(Table212[[#This Row],[كد تفصيلي]],'چکهای دریافتنی'!A:A,0)),0)</f>
        <v>0</v>
      </c>
      <c r="F124" s="11">
        <f>Table212[[#This Row],[حسابهای دریافتنی]]+Table212[[#This Row],[چکهای در جریان وصول]]+Table212[[#This Row],[چکهای نزد صندوق]]</f>
        <v>-3105895</v>
      </c>
      <c r="G124" s="12">
        <f>IFERROR(INDEX('مانده سوفاله'!F:F,MATCH(Table212[[#This Row],[كد تفصيلي]],'مانده سوفاله'!A:A,0)),0)</f>
        <v>0</v>
      </c>
    </row>
    <row r="125" spans="1:7" ht="24.75" customHeight="1" x14ac:dyDescent="0.35">
      <c r="A125" s="26">
        <v>30110</v>
      </c>
      <c r="B125" s="56" t="s">
        <v>200</v>
      </c>
      <c r="C125" s="10">
        <f>IFERROR(INDEX('حسابهای دریافتنی'!H:H,MATCH(Table212[[#This Row],[كد تفصيلي]],'حسابهای دریافتنی'!A:A,0)),0)</f>
        <v>-3492360</v>
      </c>
      <c r="D125" s="11">
        <f>IFERROR(INDEX('درجریان وصول'!F:F,MATCH(Table212[[#This Row],[كد تفصيلي]],'درجریان وصول'!A:A,0)),0)</f>
        <v>0</v>
      </c>
      <c r="E125" s="11">
        <f>IFERROR(INDEX('چکهای دریافتنی'!F:F,MATCH(Table212[[#This Row],[كد تفصيلي]],'چکهای دریافتنی'!A:A,0)),0)</f>
        <v>0</v>
      </c>
      <c r="F125" s="11">
        <f>Table212[[#This Row],[حسابهای دریافتنی]]+Table212[[#This Row],[چکهای در جریان وصول]]+Table212[[#This Row],[چکهای نزد صندوق]]</f>
        <v>-3492360</v>
      </c>
      <c r="G125" s="12">
        <f>IFERROR(INDEX('مانده سوفاله'!F:F,MATCH(Table212[[#This Row],[كد تفصيلي]],'مانده سوفاله'!A:A,0)),0)</f>
        <v>0</v>
      </c>
    </row>
    <row r="126" spans="1:7" ht="24.75" customHeight="1" x14ac:dyDescent="0.35">
      <c r="A126" s="26">
        <v>10049</v>
      </c>
      <c r="B126" s="56" t="s">
        <v>157</v>
      </c>
      <c r="C126" s="10">
        <f>IFERROR(INDEX('حسابهای دریافتنی'!H:H,MATCH(Table212[[#This Row],[كد تفصيلي]],'حسابهای دریافتنی'!A:A,0)),0)</f>
        <v>-32909500</v>
      </c>
      <c r="D126" s="11">
        <f>IFERROR(INDEX('درجریان وصول'!F:F,MATCH(Table212[[#This Row],[كد تفصيلي]],'درجریان وصول'!A:A,0)),0)</f>
        <v>0</v>
      </c>
      <c r="E126" s="11">
        <f>IFERROR(INDEX('چکهای دریافتنی'!F:F,MATCH(Table212[[#This Row],[كد تفصيلي]],'چکهای دریافتنی'!A:A,0)),0)</f>
        <v>0</v>
      </c>
      <c r="F126" s="11">
        <f>Table212[[#This Row],[حسابهای دریافتنی]]+Table212[[#This Row],[چکهای در جریان وصول]]+Table212[[#This Row],[چکهای نزد صندوق]]</f>
        <v>-32909500</v>
      </c>
      <c r="G126" s="12">
        <f>IFERROR(INDEX('مانده سوفاله'!F:F,MATCH(Table212[[#This Row],[كد تفصيلي]],'مانده سوفاله'!A:A,0)),0)</f>
        <v>0</v>
      </c>
    </row>
    <row r="127" spans="1:7" customFormat="1" ht="24.75" customHeight="1" x14ac:dyDescent="0.35">
      <c r="A127" s="53">
        <v>10015</v>
      </c>
      <c r="B127" s="56" t="s">
        <v>22</v>
      </c>
      <c r="C127" s="10">
        <f>IFERROR(INDEX('حسابهای دریافتنی'!H:H,MATCH(Table212[[#This Row],[كد تفصيلي]],'حسابهای دریافتنی'!A:A,0)),0)</f>
        <v>-4735000</v>
      </c>
      <c r="D127" s="11">
        <f>IFERROR(INDEX('درجریان وصول'!F:F,MATCH(Table212[[#This Row],[كد تفصيلي]],'درجریان وصول'!A:A,0)),0)</f>
        <v>0</v>
      </c>
      <c r="E127" s="11">
        <f>IFERROR(INDEX('چکهای دریافتنی'!F:F,MATCH(Table212[[#This Row],[كد تفصيلي]],'چکهای دریافتنی'!A:A,0)),0)</f>
        <v>0</v>
      </c>
      <c r="F127" s="11">
        <f>Table212[[#This Row],[حسابهای دریافتنی]]+Table212[[#This Row],[چکهای در جریان وصول]]+Table212[[#This Row],[چکهای نزد صندوق]]</f>
        <v>-4735000</v>
      </c>
      <c r="G127" s="12">
        <f>IFERROR(INDEX('مانده سوفاله'!F:F,MATCH(Table212[[#This Row],[كد تفصيلي]],'مانده سوفاله'!A:A,0)),0)</f>
        <v>12</v>
      </c>
    </row>
    <row r="128" spans="1:7" customFormat="1" ht="24.75" customHeight="1" x14ac:dyDescent="0.35">
      <c r="A128" s="53">
        <v>30023</v>
      </c>
      <c r="B128" s="56" t="s">
        <v>71</v>
      </c>
      <c r="C128" s="10">
        <f>IFERROR(INDEX('حسابهای دریافتنی'!H:H,MATCH(Table212[[#This Row],[كد تفصيلي]],'حسابهای دریافتنی'!A:A,0)),0)</f>
        <v>-5793600</v>
      </c>
      <c r="D128" s="11">
        <f>IFERROR(INDEX('درجریان وصول'!F:F,MATCH(Table212[[#This Row],[كد تفصيلي]],'درجریان وصول'!A:A,0)),0)</f>
        <v>0</v>
      </c>
      <c r="E128" s="11">
        <f>IFERROR(INDEX('چکهای دریافتنی'!F:F,MATCH(Table212[[#This Row],[كد تفصيلي]],'چکهای دریافتنی'!A:A,0)),0)</f>
        <v>0</v>
      </c>
      <c r="F128" s="11">
        <f>Table212[[#This Row],[حسابهای دریافتنی]]+Table212[[#This Row],[چکهای در جریان وصول]]+Table212[[#This Row],[چکهای نزد صندوق]]</f>
        <v>-5793600</v>
      </c>
      <c r="G128" s="12">
        <f>IFERROR(INDEX('مانده سوفاله'!F:F,MATCH(Table212[[#This Row],[كد تفصيلي]],'مانده سوفاله'!A:A,0)),0)</f>
        <v>0</v>
      </c>
    </row>
    <row r="129" spans="1:7" customFormat="1" ht="24.75" customHeight="1" x14ac:dyDescent="0.35">
      <c r="A129" s="53">
        <v>10091</v>
      </c>
      <c r="B129" s="56" t="s">
        <v>258</v>
      </c>
      <c r="C129" s="10">
        <f>IFERROR(INDEX('حسابهای دریافتنی'!H:H,MATCH(Table212[[#This Row],[كد تفصيلي]],'حسابهای دریافتنی'!A:A,0)),0)</f>
        <v>59321500</v>
      </c>
      <c r="D129" s="11">
        <f>IFERROR(INDEX('درجریان وصول'!F:F,MATCH(Table212[[#This Row],[كد تفصيلي]],'درجریان وصول'!A:A,0)),0)</f>
        <v>0</v>
      </c>
      <c r="E129" s="11">
        <f>IFERROR(INDEX('چکهای دریافتنی'!F:F,MATCH(Table212[[#This Row],[كد تفصيلي]],'چکهای دریافتنی'!A:A,0)),0)</f>
        <v>0</v>
      </c>
      <c r="F129" s="11">
        <f>Table212[[#This Row],[حسابهای دریافتنی]]+Table212[[#This Row],[چکهای در جریان وصول]]+Table212[[#This Row],[چکهای نزد صندوق]]</f>
        <v>59321500</v>
      </c>
      <c r="G129" s="12">
        <f>IFERROR(INDEX('مانده سوفاله'!F:F,MATCH(Table212[[#This Row],[كد تفصيلي]],'مانده سوفاله'!A:A,0)),0)</f>
        <v>0</v>
      </c>
    </row>
    <row r="130" spans="1:7" customFormat="1" ht="24.75" customHeight="1" x14ac:dyDescent="0.35">
      <c r="A130" s="54">
        <v>10088</v>
      </c>
      <c r="B130" s="55" t="s">
        <v>254</v>
      </c>
      <c r="C130" s="10">
        <f>IFERROR(INDEX('حسابهای دریافتنی'!H:H,MATCH(Table212[[#This Row],[كد تفصيلي]],'حسابهای دریافتنی'!A:A,0)),0)</f>
        <v>113500</v>
      </c>
      <c r="D130" s="11">
        <f>IFERROR(INDEX('درجریان وصول'!F:F,MATCH(Table212[[#This Row],[كد تفصيلي]],'درجریان وصول'!A:A,0)),0)</f>
        <v>0</v>
      </c>
      <c r="E130" s="11">
        <f>IFERROR(INDEX('چکهای دریافتنی'!F:F,MATCH(Table212[[#This Row],[كد تفصيلي]],'چکهای دریافتنی'!A:A,0)),0)</f>
        <v>0</v>
      </c>
      <c r="F130" s="11">
        <f>Table212[[#This Row],[حسابهای دریافتنی]]+Table212[[#This Row],[چکهای در جریان وصول]]+Table212[[#This Row],[چکهای نزد صندوق]]</f>
        <v>113500</v>
      </c>
      <c r="G130" s="12">
        <f>IFERROR(INDEX('مانده سوفاله'!F:F,MATCH(Table212[[#This Row],[كد تفصيلي]],'مانده سوفاله'!A:A,0)),0)</f>
        <v>0</v>
      </c>
    </row>
    <row r="131" spans="1:7" customFormat="1" ht="24.75" customHeight="1" x14ac:dyDescent="0.35">
      <c r="A131" s="53">
        <v>30176</v>
      </c>
      <c r="B131" s="56" t="s">
        <v>332</v>
      </c>
      <c r="C131" s="10">
        <f>IFERROR(INDEX('حسابهای دریافتنی'!H:H,MATCH(Table212[[#This Row],[كد تفصيلي]],'حسابهای دریافتنی'!A:A,0)),0)</f>
        <v>-7540075</v>
      </c>
      <c r="D131" s="11">
        <f>IFERROR(INDEX('درجریان وصول'!F:F,MATCH(Table212[[#This Row],[كد تفصيلي]],'درجریان وصول'!A:A,0)),0)</f>
        <v>0</v>
      </c>
      <c r="E131" s="11">
        <f>IFERROR(INDEX('چکهای دریافتنی'!F:F,MATCH(Table212[[#This Row],[كد تفصيلي]],'چکهای دریافتنی'!A:A,0)),0)</f>
        <v>0</v>
      </c>
      <c r="F131" s="11">
        <f>Table212[[#This Row],[حسابهای دریافتنی]]+Table212[[#This Row],[چکهای در جریان وصول]]+Table212[[#This Row],[چکهای نزد صندوق]]</f>
        <v>-7540075</v>
      </c>
      <c r="G131" s="12">
        <f>IFERROR(INDEX('مانده سوفاله'!F:F,MATCH(Table212[[#This Row],[كد تفصيلي]],'مانده سوفاله'!A:A,0)),0)</f>
        <v>0</v>
      </c>
    </row>
    <row r="132" spans="1:7" customFormat="1" ht="24.75" customHeight="1" x14ac:dyDescent="0.35">
      <c r="A132" s="53">
        <v>10106</v>
      </c>
      <c r="B132" s="56" t="s">
        <v>298</v>
      </c>
      <c r="C132" s="10">
        <f>IFERROR(INDEX('حسابهای دریافتنی'!H:H,MATCH(Table212[[#This Row],[كد تفصيلي]],'حسابهای دریافتنی'!A:A,0)),0)</f>
        <v>-9134000</v>
      </c>
      <c r="D132" s="11">
        <f>IFERROR(INDEX('درجریان وصول'!F:F,MATCH(Table212[[#This Row],[كد تفصيلي]],'درجریان وصول'!A:A,0)),0)</f>
        <v>0</v>
      </c>
      <c r="E132" s="11">
        <f>IFERROR(INDEX('چکهای دریافتنی'!F:F,MATCH(Table212[[#This Row],[كد تفصيلي]],'چکهای دریافتنی'!A:A,0)),0)</f>
        <v>0</v>
      </c>
      <c r="F132" s="11">
        <f>Table212[[#This Row],[حسابهای دریافتنی]]+Table212[[#This Row],[چکهای در جریان وصول]]+Table212[[#This Row],[چکهای نزد صندوق]]</f>
        <v>-9134000</v>
      </c>
      <c r="G132" s="12">
        <f>IFERROR(INDEX('مانده سوفاله'!F:F,MATCH(Table212[[#This Row],[كد تفصيلي]],'مانده سوفاله'!A:A,0)),0)</f>
        <v>0</v>
      </c>
    </row>
    <row r="133" spans="1:7" customFormat="1" ht="24.75" customHeight="1" x14ac:dyDescent="0.35">
      <c r="A133" s="54">
        <v>10102</v>
      </c>
      <c r="B133" s="55" t="s">
        <v>282</v>
      </c>
      <c r="C133" s="10">
        <f>IFERROR(INDEX('حسابهای دریافتنی'!H:H,MATCH(Table212[[#This Row],[كد تفصيلي]],'حسابهای دریافتنی'!A:A,0)),0)</f>
        <v>-10374000</v>
      </c>
      <c r="D133" s="11">
        <f>IFERROR(INDEX('درجریان وصول'!F:F,MATCH(Table212[[#This Row],[كد تفصيلي]],'درجریان وصول'!A:A,0)),0)</f>
        <v>0</v>
      </c>
      <c r="E133" s="11">
        <f>IFERROR(INDEX('چکهای دریافتنی'!F:F,MATCH(Table212[[#This Row],[كد تفصيلي]],'چکهای دریافتنی'!A:A,0)),0)</f>
        <v>0</v>
      </c>
      <c r="F133" s="11">
        <f>Table212[[#This Row],[حسابهای دریافتنی]]+Table212[[#This Row],[چکهای در جریان وصول]]+Table212[[#This Row],[چکهای نزد صندوق]]</f>
        <v>-10374000</v>
      </c>
      <c r="G133" s="12">
        <f>IFERROR(INDEX('مانده سوفاله'!F:F,MATCH(Table212[[#This Row],[كد تفصيلي]],'مانده سوفاله'!A:A,0)),0)</f>
        <v>0</v>
      </c>
    </row>
    <row r="134" spans="1:7" customFormat="1" ht="24.75" customHeight="1" x14ac:dyDescent="0.35">
      <c r="A134" s="53">
        <v>30189</v>
      </c>
      <c r="B134" s="56" t="s">
        <v>458</v>
      </c>
      <c r="C134" s="10">
        <f>IFERROR(INDEX('حسابهای دریافتنی'!H:H,MATCH(Table212[[#This Row],[كد تفصيلي]],'حسابهای دریافتنی'!A:A,0)),0)</f>
        <v>20776490</v>
      </c>
      <c r="D134" s="11">
        <f>IFERROR(INDEX('درجریان وصول'!F:F,MATCH(Table212[[#This Row],[كد تفصيلي]],'درجریان وصول'!A:A,0)),0)</f>
        <v>0</v>
      </c>
      <c r="E134" s="11">
        <f>IFERROR(INDEX('چکهای دریافتنی'!F:F,MATCH(Table212[[#This Row],[كد تفصيلي]],'چکهای دریافتنی'!A:A,0)),0)</f>
        <v>0</v>
      </c>
      <c r="F134" s="11">
        <f>Table212[[#This Row],[حسابهای دریافتنی]]+Table212[[#This Row],[چکهای در جریان وصول]]+Table212[[#This Row],[چکهای نزد صندوق]]</f>
        <v>20776490</v>
      </c>
      <c r="G134" s="12">
        <f>IFERROR(INDEX('مانده سوفاله'!F:F,MATCH(Table212[[#This Row],[كد تفصيلي]],'مانده سوفاله'!A:A,0)),0)</f>
        <v>0</v>
      </c>
    </row>
    <row r="135" spans="1:7" customFormat="1" ht="24.75" customHeight="1" x14ac:dyDescent="0.35">
      <c r="A135" s="54">
        <v>10058</v>
      </c>
      <c r="B135" s="55" t="s">
        <v>173</v>
      </c>
      <c r="C135" s="10">
        <f>IFERROR(INDEX('حسابهای دریافتنی'!H:H,MATCH(Table212[[#This Row],[كد تفصيلي]],'حسابهای دریافتنی'!A:A,0)),0)</f>
        <v>-13650000</v>
      </c>
      <c r="D135" s="11">
        <f>IFERROR(INDEX('درجریان وصول'!F:F,MATCH(Table212[[#This Row],[كد تفصيلي]],'درجریان وصول'!A:A,0)),0)</f>
        <v>0</v>
      </c>
      <c r="E135" s="11">
        <f>IFERROR(INDEX('چکهای دریافتنی'!F:F,MATCH(Table212[[#This Row],[كد تفصيلي]],'چکهای دریافتنی'!A:A,0)),0)</f>
        <v>0</v>
      </c>
      <c r="F135" s="11">
        <f>Table212[[#This Row],[حسابهای دریافتنی]]+Table212[[#This Row],[چکهای در جریان وصول]]+Table212[[#This Row],[چکهای نزد صندوق]]</f>
        <v>-13650000</v>
      </c>
      <c r="G135" s="12">
        <f>IFERROR(INDEX('مانده سوفاله'!F:F,MATCH(Table212[[#This Row],[كد تفصيلي]],'مانده سوفاله'!A:A,0)),0)</f>
        <v>0</v>
      </c>
    </row>
    <row r="136" spans="1:7" customFormat="1" ht="24.75" customHeight="1" x14ac:dyDescent="0.35">
      <c r="A136" s="53">
        <v>10126</v>
      </c>
      <c r="B136" s="56" t="s">
        <v>370</v>
      </c>
      <c r="C136" s="10">
        <f>IFERROR(INDEX('حسابهای دریافتنی'!H:H,MATCH(Table212[[#This Row],[كد تفصيلي]],'حسابهای دریافتنی'!A:A,0)),0)</f>
        <v>12165000</v>
      </c>
      <c r="D136" s="11">
        <f>IFERROR(INDEX('درجریان وصول'!F:F,MATCH(Table212[[#This Row],[كد تفصيلي]],'درجریان وصول'!A:A,0)),0)</f>
        <v>0</v>
      </c>
      <c r="E136" s="11">
        <f>IFERROR(INDEX('چکهای دریافتنی'!F:F,MATCH(Table212[[#This Row],[كد تفصيلي]],'چکهای دریافتنی'!A:A,0)),0)</f>
        <v>0</v>
      </c>
      <c r="F136" s="11">
        <f>Table212[[#This Row],[حسابهای دریافتنی]]+Table212[[#This Row],[چکهای در جریان وصول]]+Table212[[#This Row],[چکهای نزد صندوق]]</f>
        <v>12165000</v>
      </c>
      <c r="G136" s="12">
        <f>IFERROR(INDEX('مانده سوفاله'!F:F,MATCH(Table212[[#This Row],[كد تفصيلي]],'مانده سوفاله'!A:A,0)),0)</f>
        <v>0</v>
      </c>
    </row>
    <row r="137" spans="1:7" customFormat="1" ht="24.75" customHeight="1" x14ac:dyDescent="0.35">
      <c r="A137" s="53">
        <v>30082</v>
      </c>
      <c r="B137" s="56" t="s">
        <v>127</v>
      </c>
      <c r="C137" s="10">
        <f>IFERROR(INDEX('حسابهای دریافتنی'!H:H,MATCH(Table212[[#This Row],[كد تفصيلي]],'حسابهای دریافتنی'!A:A,0)),0)</f>
        <v>-15037000</v>
      </c>
      <c r="D137" s="11">
        <f>IFERROR(INDEX('درجریان وصول'!F:F,MATCH(Table212[[#This Row],[كد تفصيلي]],'درجریان وصول'!A:A,0)),0)</f>
        <v>0</v>
      </c>
      <c r="E137" s="11">
        <f>IFERROR(INDEX('چکهای دریافتنی'!F:F,MATCH(Table212[[#This Row],[كد تفصيلي]],'چکهای دریافتنی'!A:A,0)),0)</f>
        <v>0</v>
      </c>
      <c r="F137" s="11">
        <f>Table212[[#This Row],[حسابهای دریافتنی]]+Table212[[#This Row],[چکهای در جریان وصول]]+Table212[[#This Row],[چکهای نزد صندوق]]</f>
        <v>-15037000</v>
      </c>
      <c r="G137" s="12">
        <f>IFERROR(INDEX('مانده سوفاله'!F:F,MATCH(Table212[[#This Row],[كد تفصيلي]],'مانده سوفاله'!A:A,0)),0)</f>
        <v>-16</v>
      </c>
    </row>
    <row r="138" spans="1:7" customFormat="1" ht="24.75" customHeight="1" x14ac:dyDescent="0.35">
      <c r="A138" s="54">
        <v>30034</v>
      </c>
      <c r="B138" s="55" t="s">
        <v>81</v>
      </c>
      <c r="C138" s="10">
        <f>IFERROR(INDEX('حسابهای دریافتنی'!H:H,MATCH(Table212[[#This Row],[كد تفصيلي]],'حسابهای دریافتنی'!A:A,0)),0)</f>
        <v>388329200</v>
      </c>
      <c r="D138" s="11">
        <f>IFERROR(INDEX('درجریان وصول'!F:F,MATCH(Table212[[#This Row],[كد تفصيلي]],'درجریان وصول'!A:A,0)),0)</f>
        <v>0</v>
      </c>
      <c r="E138" s="11">
        <f>IFERROR(INDEX('چکهای دریافتنی'!F:F,MATCH(Table212[[#This Row],[كد تفصيلي]],'چکهای دریافتنی'!A:A,0)),0)</f>
        <v>0</v>
      </c>
      <c r="F138" s="11">
        <f>Table212[[#This Row],[حسابهای دریافتنی]]+Table212[[#This Row],[چکهای در جریان وصول]]+Table212[[#This Row],[چکهای نزد صندوق]]</f>
        <v>388329200</v>
      </c>
      <c r="G138" s="12">
        <f>IFERROR(INDEX('مانده سوفاله'!F:F,MATCH(Table212[[#This Row],[كد تفصيلي]],'مانده سوفاله'!A:A,0)),0)</f>
        <v>2886</v>
      </c>
    </row>
    <row r="139" spans="1:7" customFormat="1" ht="24.75" customHeight="1" x14ac:dyDescent="0.35">
      <c r="A139" s="54">
        <v>30042</v>
      </c>
      <c r="B139" s="55" t="s">
        <v>89</v>
      </c>
      <c r="C139" s="10">
        <f>IFERROR(INDEX('حسابهای دریافتنی'!H:H,MATCH(Table212[[#This Row],[كد تفصيلي]],'حسابهای دریافتنی'!A:A,0)),0)</f>
        <v>-18303540</v>
      </c>
      <c r="D139" s="11">
        <f>IFERROR(INDEX('درجریان وصول'!F:F,MATCH(Table212[[#This Row],[كد تفصيلي]],'درجریان وصول'!A:A,0)),0)</f>
        <v>0</v>
      </c>
      <c r="E139" s="11">
        <f>IFERROR(INDEX('چکهای دریافتنی'!F:F,MATCH(Table212[[#This Row],[كد تفصيلي]],'چکهای دریافتنی'!A:A,0)),0)</f>
        <v>0</v>
      </c>
      <c r="F139" s="11">
        <f>Table212[[#This Row],[حسابهای دریافتنی]]+Table212[[#This Row],[چکهای در جریان وصول]]+Table212[[#This Row],[چکهای نزد صندوق]]</f>
        <v>-18303540</v>
      </c>
      <c r="G139" s="12">
        <f>IFERROR(INDEX('مانده سوفاله'!F:F,MATCH(Table212[[#This Row],[كد تفصيلي]],'مانده سوفاله'!A:A,0)),0)</f>
        <v>0</v>
      </c>
    </row>
    <row r="140" spans="1:7" customFormat="1" ht="24.75" customHeight="1" x14ac:dyDescent="0.35">
      <c r="A140" s="54">
        <v>30022</v>
      </c>
      <c r="B140" s="55" t="s">
        <v>70</v>
      </c>
      <c r="C140" s="10">
        <f>IFERROR(INDEX('حسابهای دریافتنی'!H:H,MATCH(Table212[[#This Row],[كد تفصيلي]],'حسابهای دریافتنی'!A:A,0)),0)</f>
        <v>2933770530</v>
      </c>
      <c r="D140" s="11">
        <f>IFERROR(INDEX('درجریان وصول'!F:F,MATCH(Table212[[#This Row],[كد تفصيلي]],'درجریان وصول'!A:A,0)),0)</f>
        <v>0</v>
      </c>
      <c r="E140" s="11">
        <f>IFERROR(INDEX('چکهای دریافتنی'!F:F,MATCH(Table212[[#This Row],[كد تفصيلي]],'چکهای دریافتنی'!A:A,0)),0)</f>
        <v>0</v>
      </c>
      <c r="F140" s="11">
        <f>Table212[[#This Row],[حسابهای دریافتنی]]+Table212[[#This Row],[چکهای در جریان وصول]]+Table212[[#This Row],[چکهای نزد صندوق]]</f>
        <v>2933770530</v>
      </c>
      <c r="G140" s="12">
        <f>IFERROR(INDEX('مانده سوفاله'!F:F,MATCH(Table212[[#This Row],[كد تفصيلي]],'مانده سوفاله'!A:A,0)),0)</f>
        <v>-14747</v>
      </c>
    </row>
    <row r="141" spans="1:7" customFormat="1" ht="24.75" customHeight="1" x14ac:dyDescent="0.35">
      <c r="A141" s="54">
        <v>10119</v>
      </c>
      <c r="B141" s="55" t="s">
        <v>333</v>
      </c>
      <c r="C141" s="10">
        <f>IFERROR(INDEX('حسابهای دریافتنی'!H:H,MATCH(Table212[[#This Row],[كد تفصيلي]],'حسابهای دریافتنی'!A:A,0)),0)</f>
        <v>-2592000</v>
      </c>
      <c r="D141" s="11">
        <f>IFERROR(INDEX('درجریان وصول'!F:F,MATCH(Table212[[#This Row],[كد تفصيلي]],'درجریان وصول'!A:A,0)),0)</f>
        <v>0</v>
      </c>
      <c r="E141" s="11">
        <f>IFERROR(INDEX('چکهای دریافتنی'!F:F,MATCH(Table212[[#This Row],[كد تفصيلي]],'چکهای دریافتنی'!A:A,0)),0)</f>
        <v>0</v>
      </c>
      <c r="F141" s="11">
        <f>Table212[[#This Row],[حسابهای دریافتنی]]+Table212[[#This Row],[چکهای در جریان وصول]]+Table212[[#This Row],[چکهای نزد صندوق]]</f>
        <v>-2592000</v>
      </c>
      <c r="G141" s="12">
        <f>IFERROR(INDEX('مانده سوفاله'!F:F,MATCH(Table212[[#This Row],[كد تفصيلي]],'مانده سوفاله'!A:A,0)),0)</f>
        <v>353</v>
      </c>
    </row>
    <row r="142" spans="1:7" customFormat="1" ht="24.75" customHeight="1" x14ac:dyDescent="0.35">
      <c r="A142" s="54">
        <v>30028</v>
      </c>
      <c r="B142" s="55" t="s">
        <v>76</v>
      </c>
      <c r="C142" s="10">
        <f>IFERROR(INDEX('حسابهای دریافتنی'!H:H,MATCH(Table212[[#This Row],[كد تفصيلي]],'حسابهای دریافتنی'!A:A,0)),0)</f>
        <v>-23665000</v>
      </c>
      <c r="D142" s="11">
        <f>IFERROR(INDEX('درجریان وصول'!F:F,MATCH(Table212[[#This Row],[كد تفصيلي]],'درجریان وصول'!A:A,0)),0)</f>
        <v>0</v>
      </c>
      <c r="E142" s="11">
        <f>IFERROR(INDEX('چکهای دریافتنی'!F:F,MATCH(Table212[[#This Row],[كد تفصيلي]],'چکهای دریافتنی'!A:A,0)),0)</f>
        <v>0</v>
      </c>
      <c r="F142" s="11">
        <f>Table212[[#This Row],[حسابهای دریافتنی]]+Table212[[#This Row],[چکهای در جریان وصول]]+Table212[[#This Row],[چکهای نزد صندوق]]</f>
        <v>-23665000</v>
      </c>
      <c r="G142" s="12">
        <f>IFERROR(INDEX('مانده سوفاله'!F:F,MATCH(Table212[[#This Row],[كد تفصيلي]],'مانده سوفاله'!A:A,0)),0)</f>
        <v>0</v>
      </c>
    </row>
    <row r="143" spans="1:7" customFormat="1" ht="24.75" customHeight="1" x14ac:dyDescent="0.35">
      <c r="A143" s="53">
        <v>30160</v>
      </c>
      <c r="B143" s="56" t="s">
        <v>296</v>
      </c>
      <c r="C143" s="10">
        <f>IFERROR(INDEX('حسابهای دریافتنی'!H:H,MATCH(Table212[[#This Row],[كد تفصيلي]],'حسابهای دریافتنی'!A:A,0)),0)</f>
        <v>0</v>
      </c>
      <c r="D143" s="11">
        <f>IFERROR(INDEX('درجریان وصول'!F:F,MATCH(Table212[[#This Row],[كد تفصيلي]],'درجریان وصول'!A:A,0)),0)</f>
        <v>0</v>
      </c>
      <c r="E143" s="11">
        <f>IFERROR(INDEX('چکهای دریافتنی'!F:F,MATCH(Table212[[#This Row],[كد تفصيلي]],'چکهای دریافتنی'!A:A,0)),0)</f>
        <v>0</v>
      </c>
      <c r="F143" s="11">
        <f>Table212[[#This Row],[حسابهای دریافتنی]]+Table212[[#This Row],[چکهای در جریان وصول]]+Table212[[#This Row],[چکهای نزد صندوق]]</f>
        <v>0</v>
      </c>
      <c r="G143" s="12">
        <f>IFERROR(INDEX('مانده سوفاله'!F:F,MATCH(Table212[[#This Row],[كد تفصيلي]],'مانده سوفاله'!A:A,0)),0)</f>
        <v>-425</v>
      </c>
    </row>
    <row r="144" spans="1:7" customFormat="1" ht="24.75" customHeight="1" x14ac:dyDescent="0.35">
      <c r="A144" s="53">
        <v>30072</v>
      </c>
      <c r="B144" s="56" t="s">
        <v>117</v>
      </c>
      <c r="C144" s="10">
        <f>IFERROR(INDEX('حسابهای دریافتنی'!H:H,MATCH(Table212[[#This Row],[كد تفصيلي]],'حسابهای دریافتنی'!A:A,0)),0)</f>
        <v>-30178900</v>
      </c>
      <c r="D144" s="11">
        <f>IFERROR(INDEX('درجریان وصول'!F:F,MATCH(Table212[[#This Row],[كد تفصيلي]],'درجریان وصول'!A:A,0)),0)</f>
        <v>0</v>
      </c>
      <c r="E144" s="11">
        <f>IFERROR(INDEX('چکهای دریافتنی'!F:F,MATCH(Table212[[#This Row],[كد تفصيلي]],'چکهای دریافتنی'!A:A,0)),0)</f>
        <v>0</v>
      </c>
      <c r="F144" s="11">
        <f>Table212[[#This Row],[حسابهای دریافتنی]]+Table212[[#This Row],[چکهای در جریان وصول]]+Table212[[#This Row],[چکهای نزد صندوق]]</f>
        <v>-30178900</v>
      </c>
      <c r="G144" s="12">
        <f>IFERROR(INDEX('مانده سوفاله'!F:F,MATCH(Table212[[#This Row],[كد تفصيلي]],'مانده سوفاله'!A:A,0)),0)</f>
        <v>-79</v>
      </c>
    </row>
    <row r="145" spans="1:7" customFormat="1" ht="24.75" customHeight="1" x14ac:dyDescent="0.35">
      <c r="A145" s="54">
        <v>30000</v>
      </c>
      <c r="B145" s="55" t="s">
        <v>189</v>
      </c>
      <c r="C145" s="10">
        <f>IFERROR(INDEX('حسابهای دریافتنی'!H:H,MATCH(Table212[[#This Row],[كد تفصيلي]],'حسابهای دریافتنی'!A:A,0)),0)</f>
        <v>-55440000</v>
      </c>
      <c r="D145" s="11">
        <f>IFERROR(INDEX('درجریان وصول'!F:F,MATCH(Table212[[#This Row],[كد تفصيلي]],'درجریان وصول'!A:A,0)),0)</f>
        <v>0</v>
      </c>
      <c r="E145" s="11">
        <f>IFERROR(INDEX('چکهای دریافتنی'!F:F,MATCH(Table212[[#This Row],[كد تفصيلي]],'چکهای دریافتنی'!A:A,0)),0)</f>
        <v>0</v>
      </c>
      <c r="F145" s="11">
        <f>Table212[[#This Row],[حسابهای دریافتنی]]+Table212[[#This Row],[چکهای در جریان وصول]]+Table212[[#This Row],[چکهای نزد صندوق]]</f>
        <v>-55440000</v>
      </c>
      <c r="G145" s="12">
        <f>IFERROR(INDEX('مانده سوفاله'!F:F,MATCH(Table212[[#This Row],[كد تفصيلي]],'مانده سوفاله'!A:A,0)),0)</f>
        <v>0</v>
      </c>
    </row>
    <row r="146" spans="1:7" customFormat="1" ht="24.75" customHeight="1" x14ac:dyDescent="0.35">
      <c r="A146" s="54">
        <v>30133</v>
      </c>
      <c r="B146" s="55" t="s">
        <v>251</v>
      </c>
      <c r="C146" s="10">
        <f>IFERROR(INDEX('حسابهای دریافتنی'!H:H,MATCH(Table212[[#This Row],[كد تفصيلي]],'حسابهای دریافتنی'!A:A,0)),0)</f>
        <v>-66889500</v>
      </c>
      <c r="D146" s="11">
        <f>IFERROR(INDEX('درجریان وصول'!F:F,MATCH(Table212[[#This Row],[كد تفصيلي]],'درجریان وصول'!A:A,0)),0)</f>
        <v>0</v>
      </c>
      <c r="E146" s="11">
        <f>IFERROR(INDEX('چکهای دریافتنی'!F:F,MATCH(Table212[[#This Row],[كد تفصيلي]],'چکهای دریافتنی'!A:A,0)),0)</f>
        <v>0</v>
      </c>
      <c r="F146" s="11">
        <f>Table212[[#This Row],[حسابهای دریافتنی]]+Table212[[#This Row],[چکهای در جریان وصول]]+Table212[[#This Row],[چکهای نزد صندوق]]</f>
        <v>-66889500</v>
      </c>
      <c r="G146" s="12">
        <f>IFERROR(INDEX('مانده سوفاله'!F:F,MATCH(Table212[[#This Row],[كد تفصيلي]],'مانده سوفاله'!A:A,0)),0)</f>
        <v>0</v>
      </c>
    </row>
    <row r="147" spans="1:7" customFormat="1" ht="24.75" customHeight="1" x14ac:dyDescent="0.35">
      <c r="A147" s="53">
        <v>30182</v>
      </c>
      <c r="B147" s="56" t="s">
        <v>342</v>
      </c>
      <c r="C147" s="10">
        <f>IFERROR(INDEX('حسابهای دریافتنی'!H:H,MATCH(Table212[[#This Row],[كد تفصيلي]],'حسابهای دریافتنی'!A:A,0)),0)</f>
        <v>-528256400</v>
      </c>
      <c r="D147" s="11">
        <f>IFERROR(INDEX('درجریان وصول'!F:F,MATCH(Table212[[#This Row],[كد تفصيلي]],'درجریان وصول'!A:A,0)),0)</f>
        <v>0</v>
      </c>
      <c r="E147" s="11">
        <f>IFERROR(INDEX('چکهای دریافتنی'!F:F,MATCH(Table212[[#This Row],[كد تفصيلي]],'چکهای دریافتنی'!A:A,0)),0)</f>
        <v>0</v>
      </c>
      <c r="F147" s="11">
        <f>Table212[[#This Row],[حسابهای دریافتنی]]+Table212[[#This Row],[چکهای در جریان وصول]]+Table212[[#This Row],[چکهای نزد صندوق]]</f>
        <v>-528256400</v>
      </c>
      <c r="G147" s="12">
        <f>IFERROR(INDEX('مانده سوفاله'!F:F,MATCH(Table212[[#This Row],[كد تفصيلي]],'مانده سوفاله'!A:A,0)),0)</f>
        <v>0</v>
      </c>
    </row>
    <row r="148" spans="1:7" customFormat="1" ht="24.75" customHeight="1" x14ac:dyDescent="0.35">
      <c r="A148" s="53">
        <v>10089</v>
      </c>
      <c r="B148" s="56" t="s">
        <v>255</v>
      </c>
      <c r="C148" s="10">
        <f>IFERROR(INDEX('حسابهای دریافتنی'!H:H,MATCH(Table212[[#This Row],[كد تفصيلي]],'حسابهای دریافتنی'!A:A,0)),0)</f>
        <v>-143944000</v>
      </c>
      <c r="D148" s="11">
        <f>IFERROR(INDEX('درجریان وصول'!F:F,MATCH(Table212[[#This Row],[كد تفصيلي]],'درجریان وصول'!A:A,0)),0)</f>
        <v>0</v>
      </c>
      <c r="E148" s="11">
        <f>IFERROR(INDEX('چکهای دریافتنی'!F:F,MATCH(Table212[[#This Row],[كد تفصيلي]],'چکهای دریافتنی'!A:A,0)),0)</f>
        <v>0</v>
      </c>
      <c r="F148" s="11">
        <f>Table212[[#This Row],[حسابهای دریافتنی]]+Table212[[#This Row],[چکهای در جریان وصول]]+Table212[[#This Row],[چکهای نزد صندوق]]</f>
        <v>-143944000</v>
      </c>
      <c r="G148" s="12">
        <f>IFERROR(INDEX('مانده سوفاله'!F:F,MATCH(Table212[[#This Row],[كد تفصيلي]],'مانده سوفاله'!A:A,0)),0)</f>
        <v>-948</v>
      </c>
    </row>
    <row r="149" spans="1:7" customFormat="1" ht="24.75" customHeight="1" x14ac:dyDescent="0.35">
      <c r="A149" s="53">
        <v>30001</v>
      </c>
      <c r="B149" s="56" t="s">
        <v>190</v>
      </c>
      <c r="C149" s="10">
        <f>IFERROR(INDEX('حسابهای دریافتنی'!H:H,MATCH(Table212[[#This Row],[كد تفصيلي]],'حسابهای دریافتنی'!A:A,0)),0)</f>
        <v>119647176</v>
      </c>
      <c r="D149" s="11">
        <f>IFERROR(INDEX('درجریان وصول'!F:F,MATCH(Table212[[#This Row],[كد تفصيلي]],'درجریان وصول'!A:A,0)),0)</f>
        <v>0</v>
      </c>
      <c r="E149" s="11">
        <f>IFERROR(INDEX('چکهای دریافتنی'!F:F,MATCH(Table212[[#This Row],[كد تفصيلي]],'چکهای دریافتنی'!A:A,0)),0)</f>
        <v>0</v>
      </c>
      <c r="F149" s="11">
        <f>Table212[[#This Row],[حسابهای دریافتنی]]+Table212[[#This Row],[چکهای در جریان وصول]]+Table212[[#This Row],[چکهای نزد صندوق]]</f>
        <v>119647176</v>
      </c>
      <c r="G149" s="12">
        <f>IFERROR(INDEX('مانده سوفاله'!F:F,MATCH(Table212[[#This Row],[كد تفصيلي]],'مانده سوفاله'!A:A,0)),0)</f>
        <v>123</v>
      </c>
    </row>
    <row r="150" spans="1:7" customFormat="1" ht="24.75" customHeight="1" x14ac:dyDescent="0.35">
      <c r="A150" s="54">
        <v>30016</v>
      </c>
      <c r="B150" s="55" t="s">
        <v>253</v>
      </c>
      <c r="C150" s="10">
        <f>IFERROR(INDEX('حسابهای دریافتنی'!H:H,MATCH(Table212[[#This Row],[كد تفصيلي]],'حسابهای دریافتنی'!A:A,0)),0)</f>
        <v>0</v>
      </c>
      <c r="D150" s="11">
        <f>IFERROR(INDEX('درجریان وصول'!F:F,MATCH(Table212[[#This Row],[كد تفصيلي]],'درجریان وصول'!A:A,0)),0)</f>
        <v>0</v>
      </c>
      <c r="E150" s="11">
        <f>IFERROR(INDEX('چکهای دریافتنی'!F:F,MATCH(Table212[[#This Row],[كد تفصيلي]],'چکهای دریافتنی'!A:A,0)),0)</f>
        <v>0</v>
      </c>
      <c r="F150" s="11">
        <f>Table212[[#This Row],[حسابهای دریافتنی]]+Table212[[#This Row],[چکهای در جریان وصول]]+Table212[[#This Row],[چکهای نزد صندوق]]</f>
        <v>0</v>
      </c>
      <c r="G150" s="12">
        <f>IFERROR(INDEX('مانده سوفاله'!F:F,MATCH(Table212[[#This Row],[كد تفصيلي]],'مانده سوفاله'!A:A,0)),0)</f>
        <v>0</v>
      </c>
    </row>
    <row r="151" spans="1:7" customFormat="1" ht="24.75" customHeight="1" x14ac:dyDescent="0.35">
      <c r="A151" s="53">
        <v>10079</v>
      </c>
      <c r="B151" s="56" t="s">
        <v>174</v>
      </c>
      <c r="C151" s="10">
        <f>IFERROR(INDEX('حسابهای دریافتنی'!H:H,MATCH(Table212[[#This Row],[كد تفصيلي]],'حسابهای دریافتنی'!A:A,0)),0)</f>
        <v>-226593500</v>
      </c>
      <c r="D151" s="11">
        <f>IFERROR(INDEX('درجریان وصول'!F:F,MATCH(Table212[[#This Row],[كد تفصيلي]],'درجریان وصول'!A:A,0)),0)</f>
        <v>0</v>
      </c>
      <c r="E151" s="11">
        <f>IFERROR(INDEX('چکهای دریافتنی'!F:F,MATCH(Table212[[#This Row],[كد تفصيلي]],'چکهای دریافتنی'!A:A,0)),0)</f>
        <v>0</v>
      </c>
      <c r="F151" s="11">
        <f>Table212[[#This Row],[حسابهای دریافتنی]]+Table212[[#This Row],[چکهای در جریان وصول]]+Table212[[#This Row],[چکهای نزد صندوق]]</f>
        <v>-226593500</v>
      </c>
      <c r="G151" s="12">
        <f>IFERROR(INDEX('مانده سوفاله'!F:F,MATCH(Table212[[#This Row],[كد تفصيلي]],'مانده سوفاله'!A:A,0)),0)</f>
        <v>0</v>
      </c>
    </row>
    <row r="152" spans="1:7" customFormat="1" ht="24.75" customHeight="1" x14ac:dyDescent="0.35">
      <c r="A152" s="53">
        <v>10009</v>
      </c>
      <c r="B152" s="56" t="s">
        <v>16</v>
      </c>
      <c r="C152" s="10">
        <f>IFERROR(INDEX('حسابهای دریافتنی'!H:H,MATCH(Table212[[#This Row],[كد تفصيلي]],'حسابهای دریافتنی'!A:A,0)),0)</f>
        <v>-4260580000</v>
      </c>
      <c r="D152" s="11">
        <f>IFERROR(INDEX('درجریان وصول'!F:F,MATCH(Table212[[#This Row],[كد تفصيلي]],'درجریان وصول'!A:A,0)),0)</f>
        <v>0</v>
      </c>
      <c r="E152" s="11">
        <f>IFERROR(INDEX('چکهای دریافتنی'!F:F,MATCH(Table212[[#This Row],[كد تفصيلي]],'چکهای دریافتنی'!A:A,0)),0)</f>
        <v>1600000000</v>
      </c>
      <c r="F152" s="11">
        <f>Table212[[#This Row],[حسابهای دریافتنی]]+Table212[[#This Row],[چکهای در جریان وصول]]+Table212[[#This Row],[چکهای نزد صندوق]]</f>
        <v>-2660580000</v>
      </c>
      <c r="G152" s="12">
        <f>IFERROR(INDEX('مانده سوفاله'!F:F,MATCH(Table212[[#This Row],[كد تفصيلي]],'مانده سوفاله'!A:A,0)),0)</f>
        <v>9952</v>
      </c>
    </row>
    <row r="153" spans="1:7" ht="24.75" customHeight="1" x14ac:dyDescent="0.35">
      <c r="A153" s="26">
        <v>30156</v>
      </c>
      <c r="B153" s="56" t="s">
        <v>290</v>
      </c>
      <c r="C153" s="10">
        <f>IFERROR(INDEX('حسابهای دریافتنی'!H:H,MATCH(Table212[[#This Row],[كد تفصيلي]],'حسابهای دریافتنی'!A:A,0)),0)</f>
        <v>-180917500</v>
      </c>
      <c r="D153" s="11">
        <f>IFERROR(INDEX('درجریان وصول'!F:F,MATCH(Table212[[#This Row],[كد تفصيلي]],'درجریان وصول'!A:A,0)),0)</f>
        <v>0</v>
      </c>
      <c r="E153" s="11">
        <f>IFERROR(INDEX('چکهای دریافتنی'!F:F,MATCH(Table212[[#This Row],[كد تفصيلي]],'چکهای دریافتنی'!A:A,0)),0)</f>
        <v>0</v>
      </c>
      <c r="F153" s="11">
        <f>Table212[[#This Row],[حسابهای دریافتنی]]+Table212[[#This Row],[چکهای در جریان وصول]]+Table212[[#This Row],[چکهای نزد صندوق]]</f>
        <v>-180917500</v>
      </c>
      <c r="G153" s="12">
        <f>IFERROR(INDEX('مانده سوفاله'!F:F,MATCH(Table212[[#This Row],[كد تفصيلي]],'مانده سوفاله'!A:A,0)),0)</f>
        <v>0</v>
      </c>
    </row>
    <row r="154" spans="1:7" ht="24.75" customHeight="1" x14ac:dyDescent="0.35">
      <c r="A154" s="27">
        <v>30195</v>
      </c>
      <c r="B154" s="55" t="s">
        <v>477</v>
      </c>
      <c r="C154" s="10">
        <f>IFERROR(INDEX('حسابهای دریافتنی'!H:H,MATCH(Table212[[#This Row],[كد تفصيلي]],'حسابهای دریافتنی'!A:A,0)),0)</f>
        <v>-1861000</v>
      </c>
      <c r="D154" s="11">
        <f>IFERROR(INDEX('درجریان وصول'!F:F,MATCH(Table212[[#This Row],[كد تفصيلي]],'درجریان وصول'!A:A,0)),0)</f>
        <v>0</v>
      </c>
      <c r="E154" s="11">
        <f>IFERROR(INDEX('چکهای دریافتنی'!F:F,MATCH(Table212[[#This Row],[كد تفصيلي]],'چکهای دریافتنی'!A:A,0)),0)</f>
        <v>0</v>
      </c>
      <c r="F154" s="11">
        <f>Table212[[#This Row],[حسابهای دریافتنی]]+Table212[[#This Row],[چکهای در جریان وصول]]+Table212[[#This Row],[چکهای نزد صندوق]]</f>
        <v>-1861000</v>
      </c>
      <c r="G154" s="12">
        <f>IFERROR(INDEX('مانده سوفاله'!F:F,MATCH(Table212[[#This Row],[كد تفصيلي]],'مانده سوفاله'!A:A,0)),0)</f>
        <v>0</v>
      </c>
    </row>
    <row r="155" spans="1:7" ht="24.75" customHeight="1" x14ac:dyDescent="0.35">
      <c r="A155" s="27">
        <v>30169</v>
      </c>
      <c r="B155" s="55" t="s">
        <v>318</v>
      </c>
      <c r="C155" s="10">
        <f>IFERROR(INDEX('حسابهای دریافتنی'!H:H,MATCH(Table212[[#This Row],[كد تفصيلي]],'حسابهای دریافتنی'!A:A,0)),0)</f>
        <v>-658993316</v>
      </c>
      <c r="D155" s="11">
        <f>IFERROR(INDEX('درجریان وصول'!F:F,MATCH(Table212[[#This Row],[كد تفصيلي]],'درجریان وصول'!A:A,0)),0)</f>
        <v>0</v>
      </c>
      <c r="E155" s="11">
        <f>IFERROR(INDEX('چکهای دریافتنی'!F:F,MATCH(Table212[[#This Row],[كد تفصيلي]],'چکهای دریافتنی'!A:A,0)),0)</f>
        <v>2085000000</v>
      </c>
      <c r="F155" s="11">
        <f>Table212[[#This Row],[حسابهای دریافتنی]]+Table212[[#This Row],[چکهای در جریان وصول]]+Table212[[#This Row],[چکهای نزد صندوق]]</f>
        <v>1426006684</v>
      </c>
      <c r="G155" s="12">
        <f>IFERROR(INDEX('مانده سوفاله'!F:F,MATCH(Table212[[#This Row],[كد تفصيلي]],'مانده سوفاله'!A:A,0)),0)</f>
        <v>0</v>
      </c>
    </row>
    <row r="156" spans="1:7" ht="24.75" customHeight="1" x14ac:dyDescent="0.35">
      <c r="A156" s="27">
        <v>30155</v>
      </c>
      <c r="B156" s="55" t="s">
        <v>289</v>
      </c>
      <c r="C156" s="10">
        <f>IFERROR(INDEX('حسابهای دریافتنی'!H:H,MATCH(Table212[[#This Row],[كد تفصيلي]],'حسابهای دریافتنی'!A:A,0)),0)</f>
        <v>-454985417</v>
      </c>
      <c r="D156" s="11">
        <f>IFERROR(INDEX('درجریان وصول'!F:F,MATCH(Table212[[#This Row],[كد تفصيلي]],'درجریان وصول'!A:A,0)),0)</f>
        <v>0</v>
      </c>
      <c r="E156" s="11">
        <f>IFERROR(INDEX('چکهای دریافتنی'!F:F,MATCH(Table212[[#This Row],[كد تفصيلي]],'چکهای دریافتنی'!A:A,0)),0)</f>
        <v>1379936267</v>
      </c>
      <c r="F156" s="11">
        <f>Table212[[#This Row],[حسابهای دریافتنی]]+Table212[[#This Row],[چکهای در جریان وصول]]+Table212[[#This Row],[چکهای نزد صندوق]]</f>
        <v>924950850</v>
      </c>
      <c r="G156" s="12">
        <f>IFERROR(INDEX('مانده سوفاله'!F:F,MATCH(Table212[[#This Row],[كد تفصيلي]],'مانده سوفاله'!A:A,0)),0)</f>
        <v>0</v>
      </c>
    </row>
    <row r="157" spans="1:7" ht="24.75" customHeight="1" x14ac:dyDescent="0.35">
      <c r="A157" s="26">
        <v>10029</v>
      </c>
      <c r="B157" s="56" t="s">
        <v>35</v>
      </c>
      <c r="C157" s="10">
        <f>IFERROR(INDEX('حسابهای دریافتنی'!H:H,MATCH(Table212[[#This Row],[كد تفصيلي]],'حسابهای دریافتنی'!A:A,0)),0)</f>
        <v>-1038298620</v>
      </c>
      <c r="D157" s="11">
        <f>IFERROR(INDEX('درجریان وصول'!F:F,MATCH(Table212[[#This Row],[كد تفصيلي]],'درجریان وصول'!A:A,0)),0)</f>
        <v>0</v>
      </c>
      <c r="E157" s="11">
        <f>IFERROR(INDEX('چکهای دریافتنی'!F:F,MATCH(Table212[[#This Row],[كد تفصيلي]],'چکهای دریافتنی'!A:A,0)),0)</f>
        <v>2019000000</v>
      </c>
      <c r="F157" s="11">
        <f>Table212[[#This Row],[حسابهای دریافتنی]]+Table212[[#This Row],[چکهای در جریان وصول]]+Table212[[#This Row],[چکهای نزد صندوق]]</f>
        <v>980701380</v>
      </c>
      <c r="G157" s="12">
        <f>IFERROR(INDEX('مانده سوفاله'!F:F,MATCH(Table212[[#This Row],[كد تفصيلي]],'مانده سوفاله'!A:A,0)),0)</f>
        <v>6603</v>
      </c>
    </row>
    <row r="158" spans="1:7" ht="24.75" customHeight="1" x14ac:dyDescent="0.35">
      <c r="A158" s="27">
        <v>50008</v>
      </c>
      <c r="B158" s="55" t="s">
        <v>146</v>
      </c>
      <c r="C158" s="10">
        <f>IFERROR(INDEX('حسابهای دریافتنی'!H:H,MATCH(Table212[[#This Row],[كد تفصيلي]],'حسابهای دریافتنی'!A:A,0)),0)</f>
        <v>-406230000</v>
      </c>
      <c r="D158" s="11">
        <f>IFERROR(INDEX('درجریان وصول'!F:F,MATCH(Table212[[#This Row],[كد تفصيلي]],'درجریان وصول'!A:A,0)),0)</f>
        <v>0</v>
      </c>
      <c r="E158" s="11">
        <f>IFERROR(INDEX('چکهای دریافتنی'!F:F,MATCH(Table212[[#This Row],[كد تفصيلي]],'چکهای دریافتنی'!A:A,0)),0)</f>
        <v>0</v>
      </c>
      <c r="F158" s="11">
        <f>Table212[[#This Row],[حسابهای دریافتنی]]+Table212[[#This Row],[چکهای در جریان وصول]]+Table212[[#This Row],[چکهای نزد صندوق]]</f>
        <v>-406230000</v>
      </c>
      <c r="G158" s="12">
        <f>IFERROR(INDEX('مانده سوفاله'!F:F,MATCH(Table212[[#This Row],[كد تفصيلي]],'مانده سوفاله'!A:A,0)),0)</f>
        <v>0</v>
      </c>
    </row>
    <row r="159" spans="1:7" ht="24.75" customHeight="1" x14ac:dyDescent="0.35">
      <c r="A159" s="27">
        <v>30040</v>
      </c>
      <c r="B159" s="55" t="s">
        <v>87</v>
      </c>
      <c r="C159" s="10">
        <f>IFERROR(INDEX('حسابهای دریافتنی'!H:H,MATCH(Table212[[#This Row],[كد تفصيلي]],'حسابهای دریافتنی'!A:A,0)),0)</f>
        <v>0</v>
      </c>
      <c r="D159" s="11">
        <f>IFERROR(INDEX('درجریان وصول'!F:F,MATCH(Table212[[#This Row],[كد تفصيلي]],'درجریان وصول'!A:A,0)),0)</f>
        <v>0</v>
      </c>
      <c r="E159" s="11">
        <f>IFERROR(INDEX('چکهای دریافتنی'!F:F,MATCH(Table212[[#This Row],[كد تفصيلي]],'چکهای دریافتنی'!A:A,0)),0)</f>
        <v>0</v>
      </c>
      <c r="F159" s="11">
        <f>Table212[[#This Row],[حسابهای دریافتنی]]+Table212[[#This Row],[چکهای در جریان وصول]]+Table212[[#This Row],[چکهای نزد صندوق]]</f>
        <v>0</v>
      </c>
      <c r="G159" s="12">
        <f>IFERROR(INDEX('مانده سوفاله'!F:F,MATCH(Table212[[#This Row],[كد تفصيلي]],'مانده سوفاله'!A:A,0)),0)</f>
        <v>0</v>
      </c>
    </row>
    <row r="160" spans="1:7" ht="24.75" customHeight="1" x14ac:dyDescent="0.35">
      <c r="A160" s="26">
        <v>79120</v>
      </c>
      <c r="B160" s="56" t="s">
        <v>195</v>
      </c>
      <c r="C160" s="10">
        <f>IFERROR(INDEX('حسابهای دریافتنی'!H:H,MATCH(Table212[[#This Row],[كد تفصيلي]],'حسابهای دریافتنی'!A:A,0)),0)</f>
        <v>-15776160000</v>
      </c>
      <c r="D160" s="11">
        <f>IFERROR(INDEX('درجریان وصول'!F:F,MATCH(Table212[[#This Row],[كد تفصيلي]],'درجریان وصول'!A:A,0)),0)</f>
        <v>0</v>
      </c>
      <c r="E160" s="11">
        <f>IFERROR(INDEX('چکهای دریافتنی'!F:F,MATCH(Table212[[#This Row],[كد تفصيلي]],'چکهای دریافتنی'!A:A,0)),0)</f>
        <v>0</v>
      </c>
      <c r="F160" s="11">
        <f>Table212[[#This Row],[حسابهای دریافتنی]]+Table212[[#This Row],[چکهای در جریان وصول]]+Table212[[#This Row],[چکهای نزد صندوق]]</f>
        <v>-15776160000</v>
      </c>
      <c r="G160" s="12">
        <f>IFERROR(INDEX('مانده سوفاله'!F:F,MATCH(Table212[[#This Row],[كد تفصيلي]],'مانده سوفاله'!A:A,0)),0)</f>
        <v>0</v>
      </c>
    </row>
    <row r="161" spans="1:7" ht="24.75" customHeight="1" x14ac:dyDescent="0.35">
      <c r="A161" s="27">
        <v>10104</v>
      </c>
      <c r="B161" s="55" t="s">
        <v>293</v>
      </c>
      <c r="C161" s="10">
        <f>IFERROR(INDEX('حسابهای دریافتنی'!H:H,MATCH(Table212[[#This Row],[كد تفصيلي]],'حسابهای دریافتنی'!A:A,0)),0)</f>
        <v>0</v>
      </c>
      <c r="D161" s="11">
        <f>IFERROR(INDEX('درجریان وصول'!F:F,MATCH(Table212[[#This Row],[كد تفصيلي]],'درجریان وصول'!A:A,0)),0)</f>
        <v>0</v>
      </c>
      <c r="E161" s="11">
        <f>IFERROR(INDEX('چکهای دریافتنی'!F:F,MATCH(Table212[[#This Row],[كد تفصيلي]],'چکهای دریافتنی'!A:A,0)),0)</f>
        <v>0</v>
      </c>
      <c r="F161" s="11">
        <f>Table212[[#This Row],[حسابهای دریافتنی]]+Table212[[#This Row],[چکهای در جریان وصول]]+Table212[[#This Row],[چکهای نزد صندوق]]</f>
        <v>0</v>
      </c>
      <c r="G161" s="12">
        <f>IFERROR(INDEX('مانده سوفاله'!F:F,MATCH(Table212[[#This Row],[كد تفصيلي]],'مانده سوفاله'!A:A,0)),0)</f>
        <v>4065</v>
      </c>
    </row>
    <row r="162" spans="1:7" ht="24.75" customHeight="1" x14ac:dyDescent="0.35">
      <c r="A162" s="26">
        <v>30184</v>
      </c>
      <c r="B162" s="56" t="s">
        <v>368</v>
      </c>
      <c r="C162" s="10">
        <f>IFERROR(INDEX('حسابهای دریافتنی'!H:H,MATCH(Table212[[#This Row],[كد تفصيلي]],'حسابهای دریافتنی'!A:A,0)),0)</f>
        <v>904890480</v>
      </c>
      <c r="D162" s="11">
        <f>IFERROR(INDEX('درجریان وصول'!F:F,MATCH(Table212[[#This Row],[كد تفصيلي]],'درجریان وصول'!A:A,0)),0)</f>
        <v>0</v>
      </c>
      <c r="E162" s="11">
        <f>IFERROR(INDEX('چکهای دریافتنی'!F:F,MATCH(Table212[[#This Row],[كد تفصيلي]],'چکهای دریافتنی'!A:A,0)),0)</f>
        <v>0</v>
      </c>
      <c r="F162" s="11">
        <f>Table212[[#This Row],[حسابهای دریافتنی]]+Table212[[#This Row],[چکهای در جریان وصول]]+Table212[[#This Row],[چکهای نزد صندوق]]</f>
        <v>904890480</v>
      </c>
      <c r="G162" s="12">
        <f>IFERROR(INDEX('مانده سوفاله'!F:F,MATCH(Table212[[#This Row],[كد تفصيلي]],'مانده سوفاله'!A:A,0)),0)</f>
        <v>-100</v>
      </c>
    </row>
    <row r="163" spans="1:7" ht="24.75" customHeight="1" x14ac:dyDescent="0.35">
      <c r="A163" s="27">
        <v>30190</v>
      </c>
      <c r="B163" s="55" t="s">
        <v>459</v>
      </c>
      <c r="C163" s="10">
        <f>IFERROR(INDEX('حسابهای دریافتنی'!H:H,MATCH(Table212[[#This Row],[كد تفصيلي]],'حسابهای دریافتنی'!A:A,0)),0)</f>
        <v>328477520</v>
      </c>
      <c r="D163" s="11">
        <f>IFERROR(INDEX('درجریان وصول'!F:F,MATCH(Table212[[#This Row],[كد تفصيلي]],'درجریان وصول'!A:A,0)),0)</f>
        <v>0</v>
      </c>
      <c r="E163" s="11">
        <f>IFERROR(INDEX('چکهای دریافتنی'!F:F,MATCH(Table212[[#This Row],[كد تفصيلي]],'چکهای دریافتنی'!A:A,0)),0)</f>
        <v>0</v>
      </c>
      <c r="F163" s="11">
        <f>Table212[[#This Row],[حسابهای دریافتنی]]+Table212[[#This Row],[چکهای در جریان وصول]]+Table212[[#This Row],[چکهای نزد صندوق]]</f>
        <v>328477520</v>
      </c>
      <c r="G163" s="12">
        <f>IFERROR(INDEX('مانده سوفاله'!F:F,MATCH(Table212[[#This Row],[كد تفصيلي]],'مانده سوفاله'!A:A,0)),0)</f>
        <v>1790</v>
      </c>
    </row>
    <row r="164" spans="1:7" ht="24.75" customHeight="1" x14ac:dyDescent="0.35">
      <c r="A164" s="26">
        <v>50005</v>
      </c>
      <c r="B164" s="56" t="s">
        <v>148</v>
      </c>
      <c r="C164" s="10">
        <f>IFERROR(INDEX('حسابهای دریافتنی'!H:H,MATCH(Table212[[#This Row],[كد تفصيلي]],'حسابهای دریافتنی'!A:A,0)),0)</f>
        <v>0</v>
      </c>
      <c r="D164" s="11">
        <f>IFERROR(INDEX('درجریان وصول'!F:F,MATCH(Table212[[#This Row],[كد تفصيلي]],'درجریان وصول'!A:A,0)),0)</f>
        <v>0</v>
      </c>
      <c r="E164" s="11">
        <f>IFERROR(INDEX('چکهای دریافتنی'!F:F,MATCH(Table212[[#This Row],[كد تفصيلي]],'چکهای دریافتنی'!A:A,0)),0)</f>
        <v>0</v>
      </c>
      <c r="F164" s="11">
        <f>Table212[[#This Row],[حسابهای دریافتنی]]+Table212[[#This Row],[چکهای در جریان وصول]]+Table212[[#This Row],[چکهای نزد صندوق]]</f>
        <v>0</v>
      </c>
      <c r="G164" s="12">
        <f>IFERROR(INDEX('مانده سوفاله'!F:F,MATCH(Table212[[#This Row],[كد تفصيلي]],'مانده سوفاله'!A:A,0)),0)</f>
        <v>0</v>
      </c>
    </row>
    <row r="165" spans="1:7" ht="24.75" customHeight="1" x14ac:dyDescent="0.35">
      <c r="A165" s="27">
        <v>30127</v>
      </c>
      <c r="B165" s="55" t="s">
        <v>163</v>
      </c>
      <c r="C165" s="10">
        <f>IFERROR(INDEX('حسابهای دریافتنی'!H:H,MATCH(Table212[[#This Row],[كد تفصيلي]],'حسابهای دریافتنی'!A:A,0)),0)</f>
        <v>31800110000</v>
      </c>
      <c r="D165" s="11">
        <f>IFERROR(INDEX('درجریان وصول'!F:F,MATCH(Table212[[#This Row],[كد تفصيلي]],'درجریان وصول'!A:A,0)),0)</f>
        <v>0</v>
      </c>
      <c r="E165" s="11">
        <f>IFERROR(INDEX('چکهای دریافتنی'!F:F,MATCH(Table212[[#This Row],[كد تفصيلي]],'چکهای دریافتنی'!A:A,0)),0)</f>
        <v>0</v>
      </c>
      <c r="F165" s="11">
        <f>Table212[[#This Row],[حسابهای دریافتنی]]+Table212[[#This Row],[چکهای در جریان وصول]]+Table212[[#This Row],[چکهای نزد صندوق]]</f>
        <v>31800110000</v>
      </c>
      <c r="G165" s="12">
        <f>IFERROR(INDEX('مانده سوفاله'!F:F,MATCH(Table212[[#This Row],[كد تفصيلي]],'مانده سوفاله'!A:A,0)),0)</f>
        <v>-18472</v>
      </c>
    </row>
    <row r="166" spans="1:7" ht="24.75" customHeight="1" x14ac:dyDescent="0.35">
      <c r="A166" s="36"/>
      <c r="B166" s="37"/>
      <c r="C166" s="38">
        <f>SUBTOTAL(109,Table212[حسابهای دریافتنی])</f>
        <v>70375938979</v>
      </c>
      <c r="D166" s="38">
        <f>SUBTOTAL(109,Table212[چکهای در جریان وصول])</f>
        <v>0</v>
      </c>
      <c r="E166" s="38">
        <f>SUBTOTAL(109,Table212[چکهای نزد صندوق])</f>
        <v>62507828942</v>
      </c>
      <c r="F166" s="38"/>
      <c r="G166" s="39">
        <f>SUBTOTAL(109,Table212[مانده سوفاله])</f>
        <v>-123462.5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67"/>
  <sheetViews>
    <sheetView rightToLeft="1" workbookViewId="0">
      <selection activeCell="E106" sqref="E106"/>
    </sheetView>
  </sheetViews>
  <sheetFormatPr defaultColWidth="9.08984375" defaultRowHeight="24.75" customHeight="1" x14ac:dyDescent="0.35"/>
  <cols>
    <col min="1" max="1" width="14.36328125" style="65" customWidth="1"/>
    <col min="2" max="2" width="33" style="65" customWidth="1"/>
    <col min="3" max="3" width="20.26953125" style="3" customWidth="1"/>
    <col min="4" max="4" width="19.726562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2" customHeight="1" thickBot="1" x14ac:dyDescent="0.4">
      <c r="A1" s="97" t="s">
        <v>480</v>
      </c>
      <c r="B1" s="98"/>
      <c r="C1" s="98"/>
      <c r="D1" s="98"/>
      <c r="E1" s="98"/>
      <c r="F1" s="98"/>
      <c r="G1" s="99"/>
    </row>
    <row r="2" spans="1:7" s="2" customFormat="1" ht="47.25" customHeight="1" x14ac:dyDescent="0.35">
      <c r="A2" s="61" t="s">
        <v>4</v>
      </c>
      <c r="B2" s="62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.75" customHeight="1" x14ac:dyDescent="0.35">
      <c r="A3" s="26">
        <v>10003</v>
      </c>
      <c r="B3" s="56" t="s">
        <v>10</v>
      </c>
      <c r="C3" s="10">
        <f>IFERROR(INDEX('حسابهای دریافتنی'!H:H,MATCH(Table213[[#This Row],[كد تفصيلي]],'حسابهای دریافتنی'!A:A,0)),0)</f>
        <v>10804267992</v>
      </c>
      <c r="D3" s="11">
        <f>IFERROR(INDEX('درجریان وصول'!F:F,MATCH(Table213[[#This Row],[كد تفصيلي]],'درجریان وصول'!A:A,0)),0)</f>
        <v>0</v>
      </c>
      <c r="E3" s="11">
        <f>IFERROR(INDEX('چکهای دریافتنی'!F:F,MATCH(Table213[[#This Row],[كد تفصيلي]],'چکهای دریافتنی'!A:A,0)),0)</f>
        <v>13698001280</v>
      </c>
      <c r="F3" s="11">
        <f>Table213[[#This Row],[حسابهای دریافتنی]]+Table213[[#This Row],[چکهای در جریان وصول]]+Table213[[#This Row],[چکهای نزد صندوق]]</f>
        <v>24502269272</v>
      </c>
      <c r="G3" s="12">
        <f>IFERROR(INDEX('مانده سوفاله'!F:F,MATCH(Table213[[#This Row],[كد تفصيلي]],'مانده سوفاله'!A:A,0)),0)</f>
        <v>-39886</v>
      </c>
    </row>
    <row r="4" spans="1:7" ht="24.75" customHeight="1" x14ac:dyDescent="0.35">
      <c r="A4" s="26">
        <v>10055</v>
      </c>
      <c r="B4" s="56" t="s">
        <v>162</v>
      </c>
      <c r="C4" s="10">
        <f>IFERROR(INDEX('حسابهای دریافتنی'!H:H,MATCH(Table213[[#This Row],[كد تفصيلي]],'حسابهای دریافتنی'!A:A,0)),0)</f>
        <v>10460111325</v>
      </c>
      <c r="D4" s="11">
        <f>IFERROR(INDEX('درجریان وصول'!F:F,MATCH(Table213[[#This Row],[كد تفصيلي]],'درجریان وصول'!A:A,0)),0)</f>
        <v>0</v>
      </c>
      <c r="E4" s="11">
        <f>IFERROR(INDEX('چکهای دریافتنی'!F:F,MATCH(Table213[[#This Row],[كد تفصيلي]],'چکهای دریافتنی'!A:A,0)),0)</f>
        <v>2783298655</v>
      </c>
      <c r="F4" s="11">
        <f>Table213[[#This Row],[حسابهای دریافتنی]]+Table213[[#This Row],[چکهای در جریان وصول]]+Table213[[#This Row],[چکهای نزد صندوق]]</f>
        <v>13243409980</v>
      </c>
      <c r="G4" s="12">
        <f>IFERROR(INDEX('مانده سوفاله'!F:F,MATCH(Table213[[#This Row],[كد تفصيلي]],'مانده سوفاله'!A:A,0)),0)</f>
        <v>-12714</v>
      </c>
    </row>
    <row r="5" spans="1:7" ht="24.75" customHeight="1" x14ac:dyDescent="0.35">
      <c r="A5" s="27">
        <v>30004</v>
      </c>
      <c r="B5" s="55" t="s">
        <v>54</v>
      </c>
      <c r="C5" s="10">
        <f>IFERROR(INDEX('حسابهای دریافتنی'!H:H,MATCH(Table213[[#This Row],[كد تفصيلي]],'حسابهای دریافتنی'!A:A,0)),0)</f>
        <v>7598548260</v>
      </c>
      <c r="D5" s="11">
        <f>IFERROR(INDEX('درجریان وصول'!F:F,MATCH(Table213[[#This Row],[كد تفصيلي]],'درجریان وصول'!A:A,0)),0)</f>
        <v>0</v>
      </c>
      <c r="E5" s="11">
        <f>IFERROR(INDEX('چکهای دریافتنی'!F:F,MATCH(Table213[[#This Row],[كد تفصيلي]],'چکهای دریافتنی'!A:A,0)),0)</f>
        <v>11698760000</v>
      </c>
      <c r="F5" s="11">
        <f>Table213[[#This Row],[حسابهای دریافتنی]]+Table213[[#This Row],[چکهای در جریان وصول]]+Table213[[#This Row],[چکهای نزد صندوق]]</f>
        <v>19297308260</v>
      </c>
      <c r="G5" s="12">
        <f>IFERROR(INDEX('مانده سوفاله'!F:F,MATCH(Table213[[#This Row],[كد تفصيلي]],'مانده سوفاله'!A:A,0)),0)</f>
        <v>-4237</v>
      </c>
    </row>
    <row r="6" spans="1:7" ht="24.75" customHeight="1" x14ac:dyDescent="0.35">
      <c r="A6" s="26">
        <v>30009</v>
      </c>
      <c r="B6" s="56" t="s">
        <v>164</v>
      </c>
      <c r="C6" s="10">
        <f>IFERROR(INDEX('حسابهای دریافتنی'!H:H,MATCH(Table213[[#This Row],[كد تفصيلي]],'حسابهای دریافتنی'!A:A,0)),0)</f>
        <v>7853844277</v>
      </c>
      <c r="D6" s="11">
        <f>IFERROR(INDEX('درجریان وصول'!F:F,MATCH(Table213[[#This Row],[كد تفصيلي]],'درجریان وصول'!A:A,0)),0)</f>
        <v>0</v>
      </c>
      <c r="E6" s="11">
        <f>IFERROR(INDEX('چکهای دریافتنی'!F:F,MATCH(Table213[[#This Row],[كد تفصيلي]],'چکهای دریافتنی'!A:A,0)),0)</f>
        <v>6474835380</v>
      </c>
      <c r="F6" s="11">
        <f>Table213[[#This Row],[حسابهای دریافتنی]]+Table213[[#This Row],[چکهای در جریان وصول]]+Table213[[#This Row],[چکهای نزد صندوق]]</f>
        <v>14328679657</v>
      </c>
      <c r="G6" s="12">
        <f>IFERROR(INDEX('مانده سوفاله'!F:F,MATCH(Table213[[#This Row],[كد تفصيلي]],'مانده سوفاله'!A:A,0)),0)</f>
        <v>-11452</v>
      </c>
    </row>
    <row r="7" spans="1:7" ht="24.75" customHeight="1" x14ac:dyDescent="0.35">
      <c r="A7" s="27">
        <v>10026</v>
      </c>
      <c r="B7" s="55" t="s">
        <v>32</v>
      </c>
      <c r="C7" s="10">
        <f>IFERROR(INDEX('حسابهای دریافتنی'!H:H,MATCH(Table213[[#This Row],[كد تفصيلي]],'حسابهای دریافتنی'!A:A,0)),0)</f>
        <v>3795031844</v>
      </c>
      <c r="D7" s="11">
        <f>IFERROR(INDEX('درجریان وصول'!F:F,MATCH(Table213[[#This Row],[كد تفصيلي]],'درجریان وصول'!A:A,0)),0)</f>
        <v>0</v>
      </c>
      <c r="E7" s="11">
        <f>IFERROR(INDEX('چکهای دریافتنی'!F:F,MATCH(Table213[[#This Row],[كد تفصيلي]],'چکهای دریافتنی'!A:A,0)),0)</f>
        <v>2690000000</v>
      </c>
      <c r="F7" s="11">
        <f>Table213[[#This Row],[حسابهای دریافتنی]]+Table213[[#This Row],[چکهای در جریان وصول]]+Table213[[#This Row],[چکهای نزد صندوق]]</f>
        <v>6485031844</v>
      </c>
      <c r="G7" s="12">
        <f>IFERROR(INDEX('مانده سوفاله'!F:F,MATCH(Table213[[#This Row],[كد تفصيلي]],'مانده سوفاله'!A:A,0)),0)</f>
        <v>-12543</v>
      </c>
    </row>
    <row r="8" spans="1:7" ht="24.75" customHeight="1" x14ac:dyDescent="0.35">
      <c r="A8" s="26">
        <v>30058</v>
      </c>
      <c r="B8" s="56" t="s">
        <v>103</v>
      </c>
      <c r="C8" s="10">
        <f>IFERROR(INDEX('حسابهای دریافتنی'!H:H,MATCH(Table213[[#This Row],[كد تفصيلي]],'حسابهای دریافتنی'!A:A,0)),0)</f>
        <v>1700045560</v>
      </c>
      <c r="D8" s="11">
        <f>IFERROR(INDEX('درجریان وصول'!F:F,MATCH(Table213[[#This Row],[كد تفصيلي]],'درجریان وصول'!A:A,0)),0)</f>
        <v>0</v>
      </c>
      <c r="E8" s="11">
        <f>IFERROR(INDEX('چکهای دریافتنی'!F:F,MATCH(Table213[[#This Row],[كد تفصيلي]],'چکهای دریافتنی'!A:A,0)),0)</f>
        <v>0</v>
      </c>
      <c r="F8" s="11">
        <f>Table213[[#This Row],[حسابهای دریافتنی]]+Table213[[#This Row],[چکهای در جریان وصول]]+Table213[[#This Row],[چکهای نزد صندوق]]</f>
        <v>1700045560</v>
      </c>
      <c r="G8" s="12">
        <f>IFERROR(INDEX('مانده سوفاله'!F:F,MATCH(Table213[[#This Row],[كد تفصيلي]],'مانده سوفاله'!A:A,0)),0)</f>
        <v>-225</v>
      </c>
    </row>
    <row r="9" spans="1:7" ht="24.75" customHeight="1" x14ac:dyDescent="0.35">
      <c r="A9" s="26">
        <v>30017</v>
      </c>
      <c r="B9" s="56" t="s">
        <v>65</v>
      </c>
      <c r="C9" s="10">
        <f>IFERROR(INDEX('حسابهای دریافتنی'!H:H,MATCH(Table213[[#This Row],[كد تفصيلي]],'حسابهای دریافتنی'!A:A,0)),0)</f>
        <v>905000830</v>
      </c>
      <c r="D9" s="11">
        <f>IFERROR(INDEX('درجریان وصول'!F:F,MATCH(Table213[[#This Row],[كد تفصيلي]],'درجریان وصول'!A:A,0)),0)</f>
        <v>0</v>
      </c>
      <c r="E9" s="11">
        <f>IFERROR(INDEX('چکهای دریافتنی'!F:F,MATCH(Table213[[#This Row],[كد تفصيلي]],'چکهای دریافتنی'!A:A,0)),0)</f>
        <v>0</v>
      </c>
      <c r="F9" s="11">
        <f>Table213[[#This Row],[حسابهای دریافتنی]]+Table213[[#This Row],[چکهای در جریان وصول]]+Table213[[#This Row],[چکهای نزد صندوق]]</f>
        <v>905000830</v>
      </c>
      <c r="G9" s="12">
        <f>IFERROR(INDEX('مانده سوفاله'!F:F,MATCH(Table213[[#This Row],[كد تفصيلي]],'مانده سوفاله'!A:A,0)),0)</f>
        <v>-2186</v>
      </c>
    </row>
    <row r="10" spans="1:7" ht="24.75" customHeight="1" x14ac:dyDescent="0.35">
      <c r="A10" s="27">
        <v>30081</v>
      </c>
      <c r="B10" s="55" t="s">
        <v>126</v>
      </c>
      <c r="C10" s="10">
        <f>IFERROR(INDEX('حسابهای دریافتنی'!H:H,MATCH(Table213[[#This Row],[كد تفصيلي]],'حسابهای دریافتنی'!A:A,0)),0)</f>
        <v>1148992373</v>
      </c>
      <c r="D10" s="11">
        <f>IFERROR(INDEX('درجریان وصول'!F:F,MATCH(Table213[[#This Row],[كد تفصيلي]],'درجریان وصول'!A:A,0)),0)</f>
        <v>0</v>
      </c>
      <c r="E10" s="11">
        <f>IFERROR(INDEX('چکهای دریافتنی'!F:F,MATCH(Table213[[#This Row],[كد تفصيلي]],'چکهای دریافتنی'!A:A,0)),0)</f>
        <v>0</v>
      </c>
      <c r="F10" s="11">
        <f>Table213[[#This Row],[حسابهای دریافتنی]]+Table213[[#This Row],[چکهای در جریان وصول]]+Table213[[#This Row],[چکهای نزد صندوق]]</f>
        <v>1148992373</v>
      </c>
      <c r="G10" s="12">
        <f>IFERROR(INDEX('مانده سوفاله'!F:F,MATCH(Table213[[#This Row],[كد تفصيلي]],'مانده سوفاله'!A:A,0)),0)</f>
        <v>-6924</v>
      </c>
    </row>
    <row r="11" spans="1:7" ht="24.75" customHeight="1" x14ac:dyDescent="0.35">
      <c r="A11" s="26">
        <v>30066</v>
      </c>
      <c r="B11" s="56" t="s">
        <v>111</v>
      </c>
      <c r="C11" s="10">
        <f>IFERROR(INDEX('حسابهای دریافتنی'!H:H,MATCH(Table213[[#This Row],[كد تفصيلي]],'حسابهای دریافتنی'!A:A,0)),0)</f>
        <v>6484147500</v>
      </c>
      <c r="D11" s="11">
        <f>IFERROR(INDEX('درجریان وصول'!F:F,MATCH(Table213[[#This Row],[كد تفصيلي]],'درجریان وصول'!A:A,0)),0)</f>
        <v>0</v>
      </c>
      <c r="E11" s="11">
        <f>IFERROR(INDEX('چکهای دریافتنی'!F:F,MATCH(Table213[[#This Row],[كد تفصيلي]],'چکهای دریافتنی'!A:A,0)),0)</f>
        <v>0</v>
      </c>
      <c r="F11" s="11">
        <f>Table213[[#This Row],[حسابهای دریافتنی]]+Table213[[#This Row],[چکهای در جریان وصول]]+Table213[[#This Row],[چکهای نزد صندوق]]</f>
        <v>6484147500</v>
      </c>
      <c r="G11" s="12">
        <f>IFERROR(INDEX('مانده سوفاله'!F:F,MATCH(Table213[[#This Row],[كد تفصيلي]],'مانده سوفاله'!A:A,0)),0)</f>
        <v>-1320</v>
      </c>
    </row>
    <row r="12" spans="1:7" ht="24.75" customHeight="1" x14ac:dyDescent="0.35">
      <c r="A12" s="27">
        <v>10123</v>
      </c>
      <c r="B12" s="55" t="s">
        <v>340</v>
      </c>
      <c r="C12" s="10">
        <f>IFERROR(INDEX('حسابهای دریافتنی'!H:H,MATCH(Table213[[#This Row],[كد تفصيلي]],'حسابهای دریافتنی'!A:A,0)),0)</f>
        <v>-50813000</v>
      </c>
      <c r="D12" s="11">
        <f>IFERROR(INDEX('درجریان وصول'!F:F,MATCH(Table213[[#This Row],[كد تفصيلي]],'درجریان وصول'!A:A,0)),0)</f>
        <v>0</v>
      </c>
      <c r="E12" s="11">
        <f>IFERROR(INDEX('چکهای دریافتنی'!F:F,MATCH(Table213[[#This Row],[كد تفصيلي]],'چکهای دریافتنی'!A:A,0)),0)</f>
        <v>0</v>
      </c>
      <c r="F12" s="11">
        <f>Table213[[#This Row],[حسابهای دریافتنی]]+Table213[[#This Row],[چکهای در جریان وصول]]+Table213[[#This Row],[چکهای نزد صندوق]]</f>
        <v>-50813000</v>
      </c>
      <c r="G12" s="12">
        <f>IFERROR(INDEX('مانده سوفاله'!F:F,MATCH(Table213[[#This Row],[كد تفصيلي]],'مانده سوفاله'!A:A,0)),0)</f>
        <v>0</v>
      </c>
    </row>
    <row r="13" spans="1:7" ht="24.75" customHeight="1" x14ac:dyDescent="0.35">
      <c r="A13" s="26">
        <v>10057</v>
      </c>
      <c r="B13" s="56" t="s">
        <v>225</v>
      </c>
      <c r="C13" s="10">
        <f>IFERROR(INDEX('حسابهای دریافتنی'!H:H,MATCH(Table213[[#This Row],[كد تفصيلي]],'حسابهای دریافتنی'!A:A,0)),0)</f>
        <v>1390485500</v>
      </c>
      <c r="D13" s="11">
        <f>IFERROR(INDEX('درجریان وصول'!F:F,MATCH(Table213[[#This Row],[كد تفصيلي]],'درجریان وصول'!A:A,0)),0)</f>
        <v>0</v>
      </c>
      <c r="E13" s="11">
        <f>IFERROR(INDEX('چکهای دریافتنی'!F:F,MATCH(Table213[[#This Row],[كد تفصيلي]],'چکهای دریافتنی'!A:A,0)),0)</f>
        <v>0</v>
      </c>
      <c r="F13" s="11">
        <f>Table213[[#This Row],[حسابهای دریافتنی]]+Table213[[#This Row],[چکهای در جریان وصول]]+Table213[[#This Row],[چکهای نزد صندوق]]</f>
        <v>1390485500</v>
      </c>
      <c r="G13" s="12">
        <f>IFERROR(INDEX('مانده سوفاله'!F:F,MATCH(Table213[[#This Row],[كد تفصيلي]],'مانده سوفاله'!A:A,0)),0)</f>
        <v>-2044</v>
      </c>
    </row>
    <row r="14" spans="1:7" ht="24.75" customHeight="1" x14ac:dyDescent="0.35">
      <c r="A14" s="26">
        <v>30162</v>
      </c>
      <c r="B14" s="56" t="s">
        <v>301</v>
      </c>
      <c r="C14" s="10">
        <f>IFERROR(INDEX('حسابهای دریافتنی'!H:H,MATCH(Table213[[#This Row],[كد تفصيلي]],'حسابهای دریافتنی'!A:A,0)),0)</f>
        <v>204890235</v>
      </c>
      <c r="D14" s="11">
        <f>IFERROR(INDEX('درجریان وصول'!F:F,MATCH(Table213[[#This Row],[كد تفصيلي]],'درجریان وصول'!A:A,0)),0)</f>
        <v>0</v>
      </c>
      <c r="E14" s="11">
        <f>IFERROR(INDEX('چکهای دریافتنی'!F:F,MATCH(Table213[[#This Row],[كد تفصيلي]],'چکهای دریافتنی'!A:A,0)),0)</f>
        <v>0</v>
      </c>
      <c r="F14" s="11">
        <f>Table213[[#This Row],[حسابهای دریافتنی]]+Table213[[#This Row],[چکهای در جریان وصول]]+Table213[[#This Row],[چکهای نزد صندوق]]</f>
        <v>204890235</v>
      </c>
      <c r="G14" s="12">
        <f>IFERROR(INDEX('مانده سوفاله'!F:F,MATCH(Table213[[#This Row],[كد تفصيلي]],'مانده سوفاله'!A:A,0)),0)</f>
        <v>-251</v>
      </c>
    </row>
    <row r="15" spans="1:7" ht="24.75" customHeight="1" x14ac:dyDescent="0.35">
      <c r="A15" s="26">
        <v>10027</v>
      </c>
      <c r="B15" s="56" t="s">
        <v>33</v>
      </c>
      <c r="C15" s="10">
        <f>IFERROR(INDEX('حسابهای دریافتنی'!H:H,MATCH(Table213[[#This Row],[كد تفصيلي]],'حسابهای دریافتنی'!A:A,0)),0)</f>
        <v>33078340</v>
      </c>
      <c r="D15" s="11">
        <f>IFERROR(INDEX('درجریان وصول'!F:F,MATCH(Table213[[#This Row],[كد تفصيلي]],'درجریان وصول'!A:A,0)),0)</f>
        <v>0</v>
      </c>
      <c r="E15" s="11">
        <f>IFERROR(INDEX('چکهای دریافتنی'!F:F,MATCH(Table213[[#This Row],[كد تفصيلي]],'چکهای دریافتنی'!A:A,0)),0)</f>
        <v>1588359160</v>
      </c>
      <c r="F15" s="11">
        <f>Table213[[#This Row],[حسابهای دریافتنی]]+Table213[[#This Row],[چکهای در جریان وصول]]+Table213[[#This Row],[چکهای نزد صندوق]]</f>
        <v>1621437500</v>
      </c>
      <c r="G15" s="12">
        <f>IFERROR(INDEX('مانده سوفاله'!F:F,MATCH(Table213[[#This Row],[كد تفصيلي]],'مانده سوفاله'!A:A,0)),0)</f>
        <v>-647</v>
      </c>
    </row>
    <row r="16" spans="1:7" ht="24.75" customHeight="1" x14ac:dyDescent="0.35">
      <c r="A16" s="27">
        <v>30006</v>
      </c>
      <c r="B16" s="55" t="s">
        <v>56</v>
      </c>
      <c r="C16" s="10">
        <f>IFERROR(INDEX('حسابهای دریافتنی'!H:H,MATCH(Table213[[#This Row],[كد تفصيلي]],'حسابهای دریافتنی'!A:A,0)),0)</f>
        <v>-162677545</v>
      </c>
      <c r="D16" s="11">
        <f>IFERROR(INDEX('درجریان وصول'!F:F,MATCH(Table213[[#This Row],[كد تفصيلي]],'درجریان وصول'!A:A,0)),0)</f>
        <v>0</v>
      </c>
      <c r="E16" s="11">
        <f>IFERROR(INDEX('چکهای دریافتنی'!F:F,MATCH(Table213[[#This Row],[كد تفصيلي]],'چکهای دریافتنی'!A:A,0)),0)</f>
        <v>0</v>
      </c>
      <c r="F16" s="11">
        <f>Table213[[#This Row],[حسابهای دریافتنی]]+Table213[[#This Row],[چکهای در جریان وصول]]+Table213[[#This Row],[چکهای نزد صندوق]]</f>
        <v>-162677545</v>
      </c>
      <c r="G16" s="12">
        <f>IFERROR(INDEX('مانده سوفاله'!F:F,MATCH(Table213[[#This Row],[كد تفصيلي]],'مانده سوفاله'!A:A,0)),0)</f>
        <v>-6</v>
      </c>
    </row>
    <row r="17" spans="1:7" ht="24.75" customHeight="1" x14ac:dyDescent="0.35">
      <c r="A17" s="27">
        <v>30022</v>
      </c>
      <c r="B17" s="55" t="s">
        <v>70</v>
      </c>
      <c r="C17" s="10">
        <f>IFERROR(INDEX('حسابهای دریافتنی'!H:H,MATCH(Table213[[#This Row],[كد تفصيلي]],'حسابهای دریافتنی'!A:A,0)),0)</f>
        <v>2933770530</v>
      </c>
      <c r="D17" s="11">
        <f>IFERROR(INDEX('درجریان وصول'!F:F,MATCH(Table213[[#This Row],[كد تفصيلي]],'درجریان وصول'!A:A,0)),0)</f>
        <v>0</v>
      </c>
      <c r="E17" s="11">
        <f>IFERROR(INDEX('چکهای دریافتنی'!F:F,MATCH(Table213[[#This Row],[كد تفصيلي]],'چکهای دریافتنی'!A:A,0)),0)</f>
        <v>0</v>
      </c>
      <c r="F17" s="11">
        <f>Table213[[#This Row],[حسابهای دریافتنی]]+Table213[[#This Row],[چکهای در جریان وصول]]+Table213[[#This Row],[چکهای نزد صندوق]]</f>
        <v>2933770530</v>
      </c>
      <c r="G17" s="12">
        <f>IFERROR(INDEX('مانده سوفاله'!F:F,MATCH(Table213[[#This Row],[كد تفصيلي]],'مانده سوفاله'!A:A,0)),0)</f>
        <v>-14747</v>
      </c>
    </row>
    <row r="18" spans="1:7" ht="24.75" customHeight="1" x14ac:dyDescent="0.35">
      <c r="A18" s="27">
        <v>30014</v>
      </c>
      <c r="B18" s="55" t="s">
        <v>63</v>
      </c>
      <c r="C18" s="10">
        <f>IFERROR(INDEX('حسابهای دریافتنی'!H:H,MATCH(Table213[[#This Row],[كد تفصيلي]],'حسابهای دریافتنی'!A:A,0)),0)</f>
        <v>1762223932</v>
      </c>
      <c r="D18" s="11">
        <f>IFERROR(INDEX('درجریان وصول'!F:F,MATCH(Table213[[#This Row],[كد تفصيلي]],'درجریان وصول'!A:A,0)),0)</f>
        <v>0</v>
      </c>
      <c r="E18" s="11">
        <f>IFERROR(INDEX('چکهای دریافتنی'!F:F,MATCH(Table213[[#This Row],[كد تفصيلي]],'چکهای دریافتنی'!A:A,0)),0)</f>
        <v>0</v>
      </c>
      <c r="F18" s="11">
        <f>Table213[[#This Row],[حسابهای دریافتنی]]+Table213[[#This Row],[چکهای در جریان وصول]]+Table213[[#This Row],[چکهای نزد صندوق]]</f>
        <v>1762223932</v>
      </c>
      <c r="G18" s="12">
        <f>IFERROR(INDEX('مانده سوفاله'!F:F,MATCH(Table213[[#This Row],[كد تفصيلي]],'مانده سوفاله'!A:A,0)),0)</f>
        <v>-1368</v>
      </c>
    </row>
    <row r="19" spans="1:7" ht="24.75" customHeight="1" x14ac:dyDescent="0.35">
      <c r="A19" s="26">
        <v>30191</v>
      </c>
      <c r="B19" s="56" t="s">
        <v>460</v>
      </c>
      <c r="C19" s="10">
        <f>IFERROR(INDEX('حسابهای دریافتنی'!H:H,MATCH(Table213[[#This Row],[كد تفصيلي]],'حسابهای دریافتنی'!A:A,0)),0)</f>
        <v>792933000</v>
      </c>
      <c r="D19" s="11">
        <f>IFERROR(INDEX('درجریان وصول'!F:F,MATCH(Table213[[#This Row],[كد تفصيلي]],'درجریان وصول'!A:A,0)),0)</f>
        <v>0</v>
      </c>
      <c r="E19" s="11">
        <f>IFERROR(INDEX('چکهای دریافتنی'!F:F,MATCH(Table213[[#This Row],[كد تفصيلي]],'چکهای دریافتنی'!A:A,0)),0)</f>
        <v>0</v>
      </c>
      <c r="F19" s="11">
        <f>Table213[[#This Row],[حسابهای دریافتنی]]+Table213[[#This Row],[چکهای در جریان وصول]]+Table213[[#This Row],[چکهای نزد صندوق]]</f>
        <v>792933000</v>
      </c>
      <c r="G19" s="12">
        <f>IFERROR(INDEX('مانده سوفاله'!F:F,MATCH(Table213[[#This Row],[كد تفصيلي]],'مانده سوفاله'!A:A,0)),0)</f>
        <v>134</v>
      </c>
    </row>
    <row r="20" spans="1:7" ht="24.75" customHeight="1" x14ac:dyDescent="0.35">
      <c r="A20" s="27">
        <v>10020</v>
      </c>
      <c r="B20" s="55" t="s">
        <v>27</v>
      </c>
      <c r="C20" s="10">
        <f>IFERROR(INDEX('حسابهای دریافتنی'!H:H,MATCH(Table213[[#This Row],[كد تفصيلي]],'حسابهای دریافتنی'!A:A,0)),0)</f>
        <v>57999963</v>
      </c>
      <c r="D20" s="11">
        <f>IFERROR(INDEX('درجریان وصول'!F:F,MATCH(Table213[[#This Row],[كد تفصيلي]],'درجریان وصول'!A:A,0)),0)</f>
        <v>0</v>
      </c>
      <c r="E20" s="11">
        <f>IFERROR(INDEX('چکهای دریافتنی'!F:F,MATCH(Table213[[#This Row],[كد تفصيلي]],'چکهای دریافتنی'!A:A,0)),0)</f>
        <v>728000000</v>
      </c>
      <c r="F20" s="11">
        <f>Table213[[#This Row],[حسابهای دریافتنی]]+Table213[[#This Row],[چکهای در جریان وصول]]+Table213[[#This Row],[چکهای نزد صندوق]]</f>
        <v>785999963</v>
      </c>
      <c r="G20" s="12">
        <f>IFERROR(INDEX('مانده سوفاله'!F:F,MATCH(Table213[[#This Row],[كد تفصيلي]],'مانده سوفاله'!A:A,0)),0)</f>
        <v>-1031</v>
      </c>
    </row>
    <row r="21" spans="1:7" ht="24.75" customHeight="1" x14ac:dyDescent="0.35">
      <c r="A21" s="26">
        <v>50011</v>
      </c>
      <c r="B21" s="56" t="s">
        <v>147</v>
      </c>
      <c r="C21" s="10">
        <f>IFERROR(INDEX('حسابهای دریافتنی'!H:H,MATCH(Table213[[#This Row],[كد تفصيلي]],'حسابهای دریافتنی'!A:A,0)),0)</f>
        <v>832182413</v>
      </c>
      <c r="D21" s="11">
        <f>IFERROR(INDEX('درجریان وصول'!F:F,MATCH(Table213[[#This Row],[كد تفصيلي]],'درجریان وصول'!A:A,0)),0)</f>
        <v>0</v>
      </c>
      <c r="E21" s="11">
        <f>IFERROR(INDEX('چکهای دریافتنی'!F:F,MATCH(Table213[[#This Row],[كد تفصيلي]],'چکهای دریافتنی'!A:A,0)),0)</f>
        <v>0</v>
      </c>
      <c r="F21" s="11">
        <f>Table213[[#This Row],[حسابهای دریافتنی]]+Table213[[#This Row],[چکهای در جریان وصول]]+Table213[[#This Row],[چکهای نزد صندوق]]</f>
        <v>832182413</v>
      </c>
      <c r="G21" s="12">
        <f>IFERROR(INDEX('مانده سوفاله'!F:F,MATCH(Table213[[#This Row],[كد تفصيلي]],'مانده سوفاله'!A:A,0)),0)</f>
        <v>30</v>
      </c>
    </row>
    <row r="22" spans="1:7" ht="24.75" customHeight="1" x14ac:dyDescent="0.35">
      <c r="A22" s="27">
        <v>50016</v>
      </c>
      <c r="B22" s="55" t="s">
        <v>160</v>
      </c>
      <c r="C22" s="10">
        <f>IFERROR(INDEX('حسابهای دریافتنی'!H:H,MATCH(Table213[[#This Row],[كد تفصيلي]],'حسابهای دریافتنی'!A:A,0)),0)</f>
        <v>6344545550</v>
      </c>
      <c r="D22" s="11">
        <f>IFERROR(INDEX('درجریان وصول'!F:F,MATCH(Table213[[#This Row],[كد تفصيلي]],'درجریان وصول'!A:A,0)),0)</f>
        <v>0</v>
      </c>
      <c r="E22" s="11">
        <f>IFERROR(INDEX('چکهای دریافتنی'!F:F,MATCH(Table213[[#This Row],[كد تفصيلي]],'چکهای دریافتنی'!A:A,0)),0)</f>
        <v>0</v>
      </c>
      <c r="F22" s="11">
        <f>Table213[[#This Row],[حسابهای دریافتنی]]+Table213[[#This Row],[چکهای در جریان وصول]]+Table213[[#This Row],[چکهای نزد صندوق]]</f>
        <v>6344545550</v>
      </c>
      <c r="G22" s="12">
        <f>IFERROR(INDEX('مانده سوفاله'!F:F,MATCH(Table213[[#This Row],[كد تفصيلي]],'مانده سوفاله'!A:A,0)),0)</f>
        <v>5508</v>
      </c>
    </row>
    <row r="23" spans="1:7" ht="24.75" customHeight="1" x14ac:dyDescent="0.35">
      <c r="A23" s="26">
        <v>30140</v>
      </c>
      <c r="B23" s="56" t="s">
        <v>259</v>
      </c>
      <c r="C23" s="10">
        <f>IFERROR(INDEX('حسابهای دریافتنی'!H:H,MATCH(Table213[[#This Row],[كد تفصيلي]],'حسابهای دریافتنی'!A:A,0)),0)</f>
        <v>553728200</v>
      </c>
      <c r="D23" s="11">
        <f>IFERROR(INDEX('درجریان وصول'!F:F,MATCH(Table213[[#This Row],[كد تفصيلي]],'درجریان وصول'!A:A,0)),0)</f>
        <v>0</v>
      </c>
      <c r="E23" s="11">
        <f>IFERROR(INDEX('چکهای دریافتنی'!F:F,MATCH(Table213[[#This Row],[كد تفصيلي]],'چکهای دریافتنی'!A:A,0)),0)</f>
        <v>1030000000</v>
      </c>
      <c r="F23" s="11">
        <f>Table213[[#This Row],[حسابهای دریافتنی]]+Table213[[#This Row],[چکهای در جریان وصول]]+Table213[[#This Row],[چکهای نزد صندوق]]</f>
        <v>1583728200</v>
      </c>
      <c r="G23" s="12">
        <f>IFERROR(INDEX('مانده سوفاله'!F:F,MATCH(Table213[[#This Row],[كد تفصيلي]],'مانده سوفاله'!A:A,0)),0)</f>
        <v>-12630</v>
      </c>
    </row>
    <row r="24" spans="1:7" ht="24.75" customHeight="1" x14ac:dyDescent="0.35">
      <c r="A24" s="26">
        <v>30124</v>
      </c>
      <c r="B24" s="56" t="s">
        <v>246</v>
      </c>
      <c r="C24" s="10">
        <f>IFERROR(INDEX('حسابهای دریافتنی'!H:H,MATCH(Table213[[#This Row],[كد تفصيلي]],'حسابهای دریافتنی'!A:A,0)),0)</f>
        <v>0</v>
      </c>
      <c r="D24" s="11">
        <f>IFERROR(INDEX('درجریان وصول'!F:F,MATCH(Table213[[#This Row],[كد تفصيلي]],'درجریان وصول'!A:A,0)),0)</f>
        <v>0</v>
      </c>
      <c r="E24" s="11">
        <f>IFERROR(INDEX('چکهای دریافتنی'!F:F,MATCH(Table213[[#This Row],[كد تفصيلي]],'چکهای دریافتنی'!A:A,0)),0)</f>
        <v>505676000</v>
      </c>
      <c r="F24" s="11">
        <f>Table213[[#This Row],[حسابهای دریافتنی]]+Table213[[#This Row],[چکهای در جریان وصول]]+Table213[[#This Row],[چکهای نزد صندوق]]</f>
        <v>505676000</v>
      </c>
      <c r="G24" s="12">
        <f>IFERROR(INDEX('مانده سوفاله'!F:F,MATCH(Table213[[#This Row],[كد تفصيلي]],'مانده سوفاله'!A:A,0)),0)</f>
        <v>1498</v>
      </c>
    </row>
    <row r="25" spans="1:7" ht="24.75" customHeight="1" x14ac:dyDescent="0.35">
      <c r="A25" s="27">
        <v>10008</v>
      </c>
      <c r="B25" s="55" t="s">
        <v>15</v>
      </c>
      <c r="C25" s="10">
        <f>IFERROR(INDEX('حسابهای دریافتنی'!H:H,MATCH(Table213[[#This Row],[كد تفصيلي]],'حسابهای دریافتنی'!A:A,0)),0)</f>
        <v>597342000</v>
      </c>
      <c r="D25" s="11">
        <f>IFERROR(INDEX('درجریان وصول'!F:F,MATCH(Table213[[#This Row],[كد تفصيلي]],'درجریان وصول'!A:A,0)),0)</f>
        <v>0</v>
      </c>
      <c r="E25" s="11">
        <f>IFERROR(INDEX('چکهای دریافتنی'!F:F,MATCH(Table213[[#This Row],[كد تفصيلي]],'چکهای دریافتنی'!A:A,0)),0)</f>
        <v>0</v>
      </c>
      <c r="F25" s="11">
        <f>Table213[[#This Row],[حسابهای دریافتنی]]+Table213[[#This Row],[چکهای در جریان وصول]]+Table213[[#This Row],[چکهای نزد صندوق]]</f>
        <v>597342000</v>
      </c>
      <c r="G25" s="12">
        <f>IFERROR(INDEX('مانده سوفاله'!F:F,MATCH(Table213[[#This Row],[كد تفصيلي]],'مانده سوفاله'!A:A,0)),0)</f>
        <v>-578</v>
      </c>
    </row>
    <row r="26" spans="1:7" ht="24.75" customHeight="1" x14ac:dyDescent="0.35">
      <c r="A26" s="26">
        <v>30146</v>
      </c>
      <c r="B26" s="56" t="s">
        <v>266</v>
      </c>
      <c r="C26" s="10">
        <f>IFERROR(INDEX('حسابهای دریافتنی'!H:H,MATCH(Table213[[#This Row],[كد تفصيلي]],'حسابهای دریافتنی'!A:A,0)),0)</f>
        <v>-4146512500</v>
      </c>
      <c r="D26" s="11">
        <f>IFERROR(INDEX('درجریان وصول'!F:F,MATCH(Table213[[#This Row],[كد تفصيلي]],'درجریان وصول'!A:A,0)),0)</f>
        <v>0</v>
      </c>
      <c r="E26" s="11">
        <f>IFERROR(INDEX('چکهای دریافتنی'!F:F,MATCH(Table213[[#This Row],[كد تفصيلي]],'چکهای دریافتنی'!A:A,0)),0)</f>
        <v>0</v>
      </c>
      <c r="F26" s="11">
        <f>Table213[[#This Row],[حسابهای دریافتنی]]+Table213[[#This Row],[چکهای در جریان وصول]]+Table213[[#This Row],[چکهای نزد صندوق]]</f>
        <v>-4146512500</v>
      </c>
      <c r="G26" s="12">
        <f>IFERROR(INDEX('مانده سوفاله'!F:F,MATCH(Table213[[#This Row],[كد تفصيلي]],'مانده سوفاله'!A:A,0)),0)</f>
        <v>2823</v>
      </c>
    </row>
    <row r="27" spans="1:7" ht="24.75" customHeight="1" x14ac:dyDescent="0.35">
      <c r="A27" s="27">
        <v>10056</v>
      </c>
      <c r="B27" s="55" t="s">
        <v>166</v>
      </c>
      <c r="C27" s="10">
        <f>IFERROR(INDEX('حسابهای دریافتنی'!H:H,MATCH(Table213[[#This Row],[كد تفصيلي]],'حسابهای دریافتنی'!A:A,0)),0)</f>
        <v>812653500</v>
      </c>
      <c r="D27" s="11">
        <f>IFERROR(INDEX('درجریان وصول'!F:F,MATCH(Table213[[#This Row],[كد تفصيلي]],'درجریان وصول'!A:A,0)),0)</f>
        <v>0</v>
      </c>
      <c r="E27" s="11">
        <f>IFERROR(INDEX('چکهای دریافتنی'!F:F,MATCH(Table213[[#This Row],[كد تفصيلي]],'چکهای دریافتنی'!A:A,0)),0)</f>
        <v>0</v>
      </c>
      <c r="F27" s="11">
        <f>Table213[[#This Row],[حسابهای دریافتنی]]+Table213[[#This Row],[چکهای در جریان وصول]]+Table213[[#This Row],[چکهای نزد صندوق]]</f>
        <v>812653500</v>
      </c>
      <c r="G27" s="12">
        <f>IFERROR(INDEX('مانده سوفاله'!F:F,MATCH(Table213[[#This Row],[كد تفصيلي]],'مانده سوفاله'!A:A,0)),0)</f>
        <v>0</v>
      </c>
    </row>
    <row r="28" spans="1:7" ht="24.75" customHeight="1" x14ac:dyDescent="0.35">
      <c r="A28" s="26">
        <v>30070</v>
      </c>
      <c r="B28" s="56" t="s">
        <v>115</v>
      </c>
      <c r="C28" s="10">
        <f>IFERROR(INDEX('حسابهای دریافتنی'!H:H,MATCH(Table213[[#This Row],[كد تفصيلي]],'حسابهای دریافتنی'!A:A,0)),0)</f>
        <v>2651728820</v>
      </c>
      <c r="D28" s="11">
        <f>IFERROR(INDEX('درجریان وصول'!F:F,MATCH(Table213[[#This Row],[كد تفصيلي]],'درجریان وصول'!A:A,0)),0)</f>
        <v>0</v>
      </c>
      <c r="E28" s="11">
        <f>IFERROR(INDEX('چکهای دریافتنی'!F:F,MATCH(Table213[[#This Row],[كد تفصيلي]],'چکهای دریافتنی'!A:A,0)),0)</f>
        <v>3660000000</v>
      </c>
      <c r="F28" s="11">
        <f>Table213[[#This Row],[حسابهای دریافتنی]]+Table213[[#This Row],[چکهای در جریان وصول]]+Table213[[#This Row],[چکهای نزد صندوق]]</f>
        <v>6311728820</v>
      </c>
      <c r="G28" s="12">
        <f>IFERROR(INDEX('مانده سوفاله'!F:F,MATCH(Table213[[#This Row],[كد تفصيلي]],'مانده سوفاله'!A:A,0)),0)</f>
        <v>4378</v>
      </c>
    </row>
    <row r="29" spans="1:7" ht="24.75" customHeight="1" x14ac:dyDescent="0.35">
      <c r="A29" s="26">
        <v>30003</v>
      </c>
      <c r="B29" s="56" t="s">
        <v>53</v>
      </c>
      <c r="C29" s="10">
        <f>IFERROR(INDEX('حسابهای دریافتنی'!H:H,MATCH(Table213[[#This Row],[كد تفصيلي]],'حسابهای دریافتنی'!A:A,0)),0)</f>
        <v>754765900</v>
      </c>
      <c r="D29" s="11">
        <f>IFERROR(INDEX('درجریان وصول'!F:F,MATCH(Table213[[#This Row],[كد تفصيلي]],'درجریان وصول'!A:A,0)),0)</f>
        <v>0</v>
      </c>
      <c r="E29" s="11">
        <f>IFERROR(INDEX('چکهای دریافتنی'!F:F,MATCH(Table213[[#This Row],[كد تفصيلي]],'چکهای دریافتنی'!A:A,0)),0)</f>
        <v>571000000</v>
      </c>
      <c r="F29" s="11">
        <f>Table213[[#This Row],[حسابهای دریافتنی]]+Table213[[#This Row],[چکهای در جریان وصول]]+Table213[[#This Row],[چکهای نزد صندوق]]</f>
        <v>1325765900</v>
      </c>
      <c r="G29" s="12">
        <f>IFERROR(INDEX('مانده سوفاله'!F:F,MATCH(Table213[[#This Row],[كد تفصيلي]],'مانده سوفاله'!A:A,0)),0)</f>
        <v>-3538</v>
      </c>
    </row>
    <row r="30" spans="1:7" ht="24.75" customHeight="1" x14ac:dyDescent="0.35">
      <c r="A30" s="27">
        <v>30187</v>
      </c>
      <c r="B30" s="55" t="s">
        <v>369</v>
      </c>
      <c r="C30" s="10">
        <f>IFERROR(INDEX('حسابهای دریافتنی'!H:H,MATCH(Table213[[#This Row],[كد تفصيلي]],'حسابهای دریافتنی'!A:A,0)),0)</f>
        <v>337825500</v>
      </c>
      <c r="D30" s="11">
        <f>IFERROR(INDEX('درجریان وصول'!F:F,MATCH(Table213[[#This Row],[كد تفصيلي]],'درجریان وصول'!A:A,0)),0)</f>
        <v>0</v>
      </c>
      <c r="E30" s="11">
        <f>IFERROR(INDEX('چکهای دریافتنی'!F:F,MATCH(Table213[[#This Row],[كد تفصيلي]],'چکهای دریافتنی'!A:A,0)),0)</f>
        <v>0</v>
      </c>
      <c r="F30" s="11">
        <f>Table213[[#This Row],[حسابهای دریافتنی]]+Table213[[#This Row],[چکهای در جریان وصول]]+Table213[[#This Row],[چکهای نزد صندوق]]</f>
        <v>337825500</v>
      </c>
      <c r="G30" s="12">
        <f>IFERROR(INDEX('مانده سوفاله'!F:F,MATCH(Table213[[#This Row],[كد تفصيلي]],'مانده سوفاله'!A:A,0)),0)</f>
        <v>-108</v>
      </c>
    </row>
    <row r="31" spans="1:7" ht="24.75" customHeight="1" x14ac:dyDescent="0.35">
      <c r="A31" s="27">
        <v>30069</v>
      </c>
      <c r="B31" s="55" t="s">
        <v>114</v>
      </c>
      <c r="C31" s="10">
        <f>IFERROR(INDEX('حسابهای دریافتنی'!H:H,MATCH(Table213[[#This Row],[كد تفصيلي]],'حسابهای دریافتنی'!A:A,0)),0)</f>
        <v>377909400</v>
      </c>
      <c r="D31" s="11">
        <f>IFERROR(INDEX('درجریان وصول'!F:F,MATCH(Table213[[#This Row],[كد تفصيلي]],'درجریان وصول'!A:A,0)),0)</f>
        <v>0</v>
      </c>
      <c r="E31" s="11">
        <f>IFERROR(INDEX('چکهای دریافتنی'!F:F,MATCH(Table213[[#This Row],[كد تفصيلي]],'چکهای دریافتنی'!A:A,0)),0)</f>
        <v>0</v>
      </c>
      <c r="F31" s="11">
        <f>Table213[[#This Row],[حسابهای دریافتنی]]+Table213[[#This Row],[چکهای در جریان وصول]]+Table213[[#This Row],[چکهای نزد صندوق]]</f>
        <v>377909400</v>
      </c>
      <c r="G31" s="12">
        <f>IFERROR(INDEX('مانده سوفاله'!F:F,MATCH(Table213[[#This Row],[كد تفصيلي]],'مانده سوفاله'!A:A,0)),0)</f>
        <v>66</v>
      </c>
    </row>
    <row r="32" spans="1:7" ht="24.75" customHeight="1" x14ac:dyDescent="0.35">
      <c r="A32" s="27">
        <v>10070</v>
      </c>
      <c r="B32" s="55" t="s">
        <v>230</v>
      </c>
      <c r="C32" s="10">
        <f>IFERROR(INDEX('حسابهای دریافتنی'!H:H,MATCH(Table213[[#This Row],[كد تفصيلي]],'حسابهای دریافتنی'!A:A,0)),0)</f>
        <v>508152500</v>
      </c>
      <c r="D32" s="11">
        <f>IFERROR(INDEX('درجریان وصول'!F:F,MATCH(Table213[[#This Row],[كد تفصيلي]],'درجریان وصول'!A:A,0)),0)</f>
        <v>0</v>
      </c>
      <c r="E32" s="11">
        <f>IFERROR(INDEX('چکهای دریافتنی'!F:F,MATCH(Table213[[#This Row],[كد تفصيلي]],'چکهای دریافتنی'!A:A,0)),0)</f>
        <v>570000000</v>
      </c>
      <c r="F32" s="11">
        <f>Table213[[#This Row],[حسابهای دریافتنی]]+Table213[[#This Row],[چکهای در جریان وصول]]+Table213[[#This Row],[چکهای نزد صندوق]]</f>
        <v>1078152500</v>
      </c>
      <c r="G32" s="12">
        <f>IFERROR(INDEX('مانده سوفاله'!F:F,MATCH(Table213[[#This Row],[كد تفصيلي]],'مانده سوفاله'!A:A,0)),0)</f>
        <v>-3170</v>
      </c>
    </row>
    <row r="33" spans="1:7" ht="24.75" customHeight="1" x14ac:dyDescent="0.35">
      <c r="A33" s="27">
        <v>10127</v>
      </c>
      <c r="B33" s="55" t="s">
        <v>371</v>
      </c>
      <c r="C33" s="10">
        <f>IFERROR(INDEX('حسابهای دریافتنی'!H:H,MATCH(Table213[[#This Row],[كد تفصيلي]],'حسابهای دریافتنی'!A:A,0)),0)</f>
        <v>803728000</v>
      </c>
      <c r="D33" s="11">
        <f>IFERROR(INDEX('درجریان وصول'!F:F,MATCH(Table213[[#This Row],[كد تفصيلي]],'درجریان وصول'!A:A,0)),0)</f>
        <v>0</v>
      </c>
      <c r="E33" s="11">
        <f>IFERROR(INDEX('چکهای دریافتنی'!F:F,MATCH(Table213[[#This Row],[كد تفصيلي]],'چکهای دریافتنی'!A:A,0)),0)</f>
        <v>0</v>
      </c>
      <c r="F33" s="11">
        <f>Table213[[#This Row],[حسابهای دریافتنی]]+Table213[[#This Row],[چکهای در جریان وصول]]+Table213[[#This Row],[چکهای نزد صندوق]]</f>
        <v>803728000</v>
      </c>
      <c r="G33" s="12">
        <f>IFERROR(INDEX('مانده سوفاله'!F:F,MATCH(Table213[[#This Row],[كد تفصيلي]],'مانده سوفاله'!A:A,0)),0)</f>
        <v>-1469</v>
      </c>
    </row>
    <row r="34" spans="1:7" ht="24.75" customHeight="1" x14ac:dyDescent="0.35">
      <c r="A34" s="27">
        <v>30099</v>
      </c>
      <c r="B34" s="55" t="s">
        <v>167</v>
      </c>
      <c r="C34" s="10">
        <f>IFERROR(INDEX('حسابهای دریافتنی'!H:H,MATCH(Table213[[#This Row],[كد تفصيلي]],'حسابهای دریافتنی'!A:A,0)),0)</f>
        <v>1398393484</v>
      </c>
      <c r="D34" s="11">
        <f>IFERROR(INDEX('درجریان وصول'!F:F,MATCH(Table213[[#This Row],[كد تفصيلي]],'درجریان وصول'!A:A,0)),0)</f>
        <v>0</v>
      </c>
      <c r="E34" s="11">
        <f>IFERROR(INDEX('چکهای دریافتنی'!F:F,MATCH(Table213[[#This Row],[كد تفصيلي]],'چکهای دریافتنی'!A:A,0)),0)</f>
        <v>583000000</v>
      </c>
      <c r="F34" s="11">
        <f>Table213[[#This Row],[حسابهای دریافتنی]]+Table213[[#This Row],[چکهای در جریان وصول]]+Table213[[#This Row],[چکهای نزد صندوق]]</f>
        <v>1981393484</v>
      </c>
      <c r="G34" s="12">
        <f>IFERROR(INDEX('مانده سوفاله'!F:F,MATCH(Table213[[#This Row],[كد تفصيلي]],'مانده سوفاله'!A:A,0)),0)</f>
        <v>-332</v>
      </c>
    </row>
    <row r="35" spans="1:7" ht="24.75" customHeight="1" x14ac:dyDescent="0.35">
      <c r="A35" s="27">
        <v>30018</v>
      </c>
      <c r="B35" s="55" t="s">
        <v>66</v>
      </c>
      <c r="C35" s="10">
        <f>IFERROR(INDEX('حسابهای دریافتنی'!H:H,MATCH(Table213[[#This Row],[كد تفصيلي]],'حسابهای دریافتنی'!A:A,0)),0)</f>
        <v>1901077182</v>
      </c>
      <c r="D35" s="11">
        <f>IFERROR(INDEX('درجریان وصول'!F:F,MATCH(Table213[[#This Row],[كد تفصيلي]],'درجریان وصول'!A:A,0)),0)</f>
        <v>0</v>
      </c>
      <c r="E35" s="11">
        <f>IFERROR(INDEX('چکهای دریافتنی'!F:F,MATCH(Table213[[#This Row],[كد تفصيلي]],'چکهای دریافتنی'!A:A,0)),0)</f>
        <v>0</v>
      </c>
      <c r="F35" s="11">
        <f>Table213[[#This Row],[حسابهای دریافتنی]]+Table213[[#This Row],[چکهای در جریان وصول]]+Table213[[#This Row],[چکهای نزد صندوق]]</f>
        <v>1901077182</v>
      </c>
      <c r="G35" s="12">
        <f>IFERROR(INDEX('مانده سوفاله'!F:F,MATCH(Table213[[#This Row],[كد تفصيلي]],'مانده سوفاله'!A:A,0)),0)</f>
        <v>-3024</v>
      </c>
    </row>
    <row r="36" spans="1:7" ht="24.75" customHeight="1" x14ac:dyDescent="0.35">
      <c r="A36" s="26">
        <v>10069</v>
      </c>
      <c r="B36" s="56" t="s">
        <v>204</v>
      </c>
      <c r="C36" s="10">
        <f>IFERROR(INDEX('حسابهای دریافتنی'!H:H,MATCH(Table213[[#This Row],[كد تفصيلي]],'حسابهای دریافتنی'!A:A,0)),0)</f>
        <v>952500</v>
      </c>
      <c r="D36" s="11">
        <f>IFERROR(INDEX('درجریان وصول'!F:F,MATCH(Table213[[#This Row],[كد تفصيلي]],'درجریان وصول'!A:A,0)),0)</f>
        <v>0</v>
      </c>
      <c r="E36" s="11">
        <f>IFERROR(INDEX('چکهای دریافتنی'!F:F,MATCH(Table213[[#This Row],[كد تفصيلي]],'چکهای دریافتنی'!A:A,0)),0)</f>
        <v>73000000</v>
      </c>
      <c r="F36" s="11">
        <f>Table213[[#This Row],[حسابهای دریافتنی]]+Table213[[#This Row],[چکهای در جریان وصول]]+Table213[[#This Row],[چکهای نزد صندوق]]</f>
        <v>73952500</v>
      </c>
      <c r="G36" s="12">
        <f>IFERROR(INDEX('مانده سوفاله'!F:F,MATCH(Table213[[#This Row],[كد تفصيلي]],'مانده سوفاله'!A:A,0)),0)</f>
        <v>339</v>
      </c>
    </row>
    <row r="37" spans="1:7" ht="24.75" customHeight="1" x14ac:dyDescent="0.35">
      <c r="A37" s="27">
        <v>10084</v>
      </c>
      <c r="B37" s="55" t="s">
        <v>217</v>
      </c>
      <c r="C37" s="10">
        <f>IFERROR(INDEX('حسابهای دریافتنی'!H:H,MATCH(Table213[[#This Row],[كد تفصيلي]],'حسابهای دریافتنی'!A:A,0)),0)</f>
        <v>358092810</v>
      </c>
      <c r="D37" s="11">
        <f>IFERROR(INDEX('درجریان وصول'!F:F,MATCH(Table213[[#This Row],[كد تفصيلي]],'درجریان وصول'!A:A,0)),0)</f>
        <v>0</v>
      </c>
      <c r="E37" s="11">
        <f>IFERROR(INDEX('چکهای دریافتنی'!F:F,MATCH(Table213[[#This Row],[كد تفصيلي]],'چکهای دریافتنی'!A:A,0)),0)</f>
        <v>870000000</v>
      </c>
      <c r="F37" s="11">
        <f>Table213[[#This Row],[حسابهای دریافتنی]]+Table213[[#This Row],[چکهای در جریان وصول]]+Table213[[#This Row],[چکهای نزد صندوق]]</f>
        <v>1228092810</v>
      </c>
      <c r="G37" s="12">
        <f>IFERROR(INDEX('مانده سوفاله'!F:F,MATCH(Table213[[#This Row],[كد تفصيلي]],'مانده سوفاله'!A:A,0)),0)</f>
        <v>-1656</v>
      </c>
    </row>
    <row r="38" spans="1:7" ht="24.75" customHeight="1" x14ac:dyDescent="0.35">
      <c r="A38" s="27">
        <v>30101</v>
      </c>
      <c r="B38" s="55" t="s">
        <v>196</v>
      </c>
      <c r="C38" s="10">
        <f>IFERROR(INDEX('حسابهای دریافتنی'!H:H,MATCH(Table213[[#This Row],[كد تفصيلي]],'حسابهای دریافتنی'!A:A,0)),0)</f>
        <v>203336095</v>
      </c>
      <c r="D38" s="11">
        <f>IFERROR(INDEX('درجریان وصول'!F:F,MATCH(Table213[[#This Row],[كد تفصيلي]],'درجریان وصول'!A:A,0)),0)</f>
        <v>0</v>
      </c>
      <c r="E38" s="11">
        <f>IFERROR(INDEX('چکهای دریافتنی'!F:F,MATCH(Table213[[#This Row],[كد تفصيلي]],'چکهای دریافتنی'!A:A,0)),0)</f>
        <v>0</v>
      </c>
      <c r="F38" s="11">
        <f>Table213[[#This Row],[حسابهای دریافتنی]]+Table213[[#This Row],[چکهای در جریان وصول]]+Table213[[#This Row],[چکهای نزد صندوق]]</f>
        <v>203336095</v>
      </c>
      <c r="G38" s="12">
        <f>IFERROR(INDEX('مانده سوفاله'!F:F,MATCH(Table213[[#This Row],[كد تفصيلي]],'مانده سوفاله'!A:A,0)),0)</f>
        <v>15</v>
      </c>
    </row>
    <row r="39" spans="1:7" ht="24.75" customHeight="1" x14ac:dyDescent="0.35">
      <c r="A39" s="26">
        <v>30086</v>
      </c>
      <c r="B39" s="56" t="s">
        <v>131</v>
      </c>
      <c r="C39" s="10">
        <f>IFERROR(INDEX('حسابهای دریافتنی'!H:H,MATCH(Table213[[#This Row],[كد تفصيلي]],'حسابهای دریافتنی'!A:A,0)),0)</f>
        <v>187376603</v>
      </c>
      <c r="D39" s="11">
        <f>IFERROR(INDEX('درجریان وصول'!F:F,MATCH(Table213[[#This Row],[كد تفصيلي]],'درجریان وصول'!A:A,0)),0)</f>
        <v>0</v>
      </c>
      <c r="E39" s="11">
        <f>IFERROR(INDEX('چکهای دریافتنی'!F:F,MATCH(Table213[[#This Row],[كد تفصيلي]],'چکهای دریافتنی'!A:A,0)),0)</f>
        <v>0</v>
      </c>
      <c r="F39" s="11">
        <f>Table213[[#This Row],[حسابهای دریافتنی]]+Table213[[#This Row],[چکهای در جریان وصول]]+Table213[[#This Row],[چکهای نزد صندوق]]</f>
        <v>187376603</v>
      </c>
      <c r="G39" s="12">
        <f>IFERROR(INDEX('مانده سوفاله'!F:F,MATCH(Table213[[#This Row],[كد تفصيلي]],'مانده سوفاله'!A:A,0)),0)</f>
        <v>1549</v>
      </c>
    </row>
    <row r="40" spans="1:7" ht="24.75" customHeight="1" x14ac:dyDescent="0.35">
      <c r="A40" s="26">
        <v>10133</v>
      </c>
      <c r="B40" s="56" t="s">
        <v>465</v>
      </c>
      <c r="C40" s="10">
        <f>IFERROR(INDEX('حسابهای دریافتنی'!H:H,MATCH(Table213[[#This Row],[كد تفصيلي]],'حسابهای دریافتنی'!A:A,0)),0)</f>
        <v>-1249039000</v>
      </c>
      <c r="D40" s="11">
        <f>IFERROR(INDEX('درجریان وصول'!F:F,MATCH(Table213[[#This Row],[كد تفصيلي]],'درجریان وصول'!A:A,0)),0)</f>
        <v>0</v>
      </c>
      <c r="E40" s="11">
        <f>IFERROR(INDEX('چکهای دریافتنی'!F:F,MATCH(Table213[[#This Row],[كد تفصيلي]],'چکهای دریافتنی'!A:A,0)),0)</f>
        <v>0</v>
      </c>
      <c r="F40" s="11">
        <f>Table213[[#This Row],[حسابهای دریافتنی]]+Table213[[#This Row],[چکهای در جریان وصول]]+Table213[[#This Row],[چکهای نزد صندوق]]</f>
        <v>-1249039000</v>
      </c>
      <c r="G40" s="12">
        <f>IFERROR(INDEX('مانده سوفاله'!F:F,MATCH(Table213[[#This Row],[كد تفصيلي]],'مانده سوفاله'!A:A,0)),0)</f>
        <v>0</v>
      </c>
    </row>
    <row r="41" spans="1:7" ht="24.75" customHeight="1" x14ac:dyDescent="0.35">
      <c r="A41" s="27">
        <v>10092</v>
      </c>
      <c r="B41" s="55" t="s">
        <v>260</v>
      </c>
      <c r="C41" s="10">
        <f>IFERROR(INDEX('حسابهای دریافتنی'!H:H,MATCH(Table213[[#This Row],[كد تفصيلي]],'حسابهای دریافتنی'!A:A,0)),0)</f>
        <v>-1749946500</v>
      </c>
      <c r="D41" s="11">
        <f>IFERROR(INDEX('درجریان وصول'!F:F,MATCH(Table213[[#This Row],[كد تفصيلي]],'درجریان وصول'!A:A,0)),0)</f>
        <v>0</v>
      </c>
      <c r="E41" s="11">
        <f>IFERROR(INDEX('چکهای دریافتنی'!F:F,MATCH(Table213[[#This Row],[كد تفصيلي]],'چکهای دریافتنی'!A:A,0)),0)</f>
        <v>300000000</v>
      </c>
      <c r="F41" s="11">
        <f>Table213[[#This Row],[حسابهای دریافتنی]]+Table213[[#This Row],[چکهای در جریان وصول]]+Table213[[#This Row],[چکهای نزد صندوق]]</f>
        <v>-1449946500</v>
      </c>
      <c r="G41" s="12">
        <f>IFERROR(INDEX('مانده سوفاله'!F:F,MATCH(Table213[[#This Row],[كد تفصيلي]],'مانده سوفاله'!A:A,0)),0)</f>
        <v>0</v>
      </c>
    </row>
    <row r="42" spans="1:7" ht="24.75" customHeight="1" x14ac:dyDescent="0.35">
      <c r="A42" s="26">
        <v>30019</v>
      </c>
      <c r="B42" s="56" t="s">
        <v>67</v>
      </c>
      <c r="C42" s="10">
        <f>IFERROR(INDEX('حسابهای دریافتنی'!H:H,MATCH(Table213[[#This Row],[كد تفصيلي]],'حسابهای دریافتنی'!A:A,0)),0)</f>
        <v>823484840</v>
      </c>
      <c r="D42" s="11">
        <f>IFERROR(INDEX('درجریان وصول'!F:F,MATCH(Table213[[#This Row],[كد تفصيلي]],'درجریان وصول'!A:A,0)),0)</f>
        <v>0</v>
      </c>
      <c r="E42" s="11">
        <f>IFERROR(INDEX('چکهای دریافتنی'!F:F,MATCH(Table213[[#This Row],[كد تفصيلي]],'چکهای دریافتنی'!A:A,0)),0)</f>
        <v>0</v>
      </c>
      <c r="F42" s="11">
        <f>Table213[[#This Row],[حسابهای دریافتنی]]+Table213[[#This Row],[چکهای در جریان وصول]]+Table213[[#This Row],[چکهای نزد صندوق]]</f>
        <v>823484840</v>
      </c>
      <c r="G42" s="12">
        <f>IFERROR(INDEX('مانده سوفاله'!F:F,MATCH(Table213[[#This Row],[كد تفصيلي]],'مانده سوفاله'!A:A,0)),0)</f>
        <v>612</v>
      </c>
    </row>
    <row r="43" spans="1:7" ht="24.75" customHeight="1" x14ac:dyDescent="0.35">
      <c r="A43" s="27">
        <v>30196</v>
      </c>
      <c r="B43" s="55" t="s">
        <v>481</v>
      </c>
      <c r="C43" s="10">
        <f>IFERROR(INDEX('حسابهای دریافتنی'!H:H,MATCH(Table213[[#This Row],[كد تفصيلي]],'حسابهای دریافتنی'!A:A,0)),0)</f>
        <v>3592950000</v>
      </c>
      <c r="D43" s="11">
        <f>IFERROR(INDEX('درجریان وصول'!F:F,MATCH(Table213[[#This Row],[كد تفصيلي]],'درجریان وصول'!A:A,0)),0)</f>
        <v>0</v>
      </c>
      <c r="E43" s="11">
        <f>IFERROR(INDEX('چکهای دریافتنی'!F:F,MATCH(Table213[[#This Row],[كد تفصيلي]],'چکهای دریافتنی'!A:A,0)),0)</f>
        <v>0</v>
      </c>
      <c r="F43" s="11">
        <f>Table213[[#This Row],[حسابهای دریافتنی]]+Table213[[#This Row],[چکهای در جریان وصول]]+Table213[[#This Row],[چکهای نزد صندوق]]</f>
        <v>3592950000</v>
      </c>
      <c r="G43" s="12">
        <f>IFERROR(INDEX('مانده سوفاله'!F:F,MATCH(Table213[[#This Row],[كد تفصيلي]],'مانده سوفاله'!A:A,0)),0)</f>
        <v>-8965</v>
      </c>
    </row>
    <row r="44" spans="1:7" ht="24.75" customHeight="1" x14ac:dyDescent="0.35">
      <c r="A44" s="27">
        <v>30055</v>
      </c>
      <c r="B44" s="55" t="s">
        <v>100</v>
      </c>
      <c r="C44" s="10">
        <f>IFERROR(INDEX('حسابهای دریافتنی'!H:H,MATCH(Table213[[#This Row],[كد تفصيلي]],'حسابهای دریافتنی'!A:A,0)),0)</f>
        <v>0</v>
      </c>
      <c r="D44" s="11">
        <f>IFERROR(INDEX('درجریان وصول'!F:F,MATCH(Table213[[#This Row],[كد تفصيلي]],'درجریان وصول'!A:A,0)),0)</f>
        <v>0</v>
      </c>
      <c r="E44" s="11">
        <f>IFERROR(INDEX('چکهای دریافتنی'!F:F,MATCH(Table213[[#This Row],[كد تفصيلي]],'چکهای دریافتنی'!A:A,0)),0)</f>
        <v>0</v>
      </c>
      <c r="F44" s="11">
        <f>Table213[[#This Row],[حسابهای دریافتنی]]+Table213[[#This Row],[چکهای در جریان وصول]]+Table213[[#This Row],[چکهای نزد صندوق]]</f>
        <v>0</v>
      </c>
      <c r="G44" s="12">
        <f>IFERROR(INDEX('مانده سوفاله'!F:F,MATCH(Table213[[#This Row],[كد تفصيلي]],'مانده سوفاله'!A:A,0)),0)</f>
        <v>48</v>
      </c>
    </row>
    <row r="45" spans="1:7" ht="24.75" customHeight="1" x14ac:dyDescent="0.35">
      <c r="A45" s="27">
        <v>10096</v>
      </c>
      <c r="B45" s="55" t="s">
        <v>271</v>
      </c>
      <c r="C45" s="10">
        <f>IFERROR(INDEX('حسابهای دریافتنی'!H:H,MATCH(Table213[[#This Row],[كد تفصيلي]],'حسابهای دریافتنی'!A:A,0)),0)</f>
        <v>36455500</v>
      </c>
      <c r="D45" s="11">
        <f>IFERROR(INDEX('درجریان وصول'!F:F,MATCH(Table213[[#This Row],[كد تفصيلي]],'درجریان وصول'!A:A,0)),0)</f>
        <v>0</v>
      </c>
      <c r="E45" s="11">
        <f>IFERROR(INDEX('چکهای دریافتنی'!F:F,MATCH(Table213[[#This Row],[كد تفصيلي]],'چکهای دریافتنی'!A:A,0)),0)</f>
        <v>0</v>
      </c>
      <c r="F45" s="11">
        <f>Table213[[#This Row],[حسابهای دریافتنی]]+Table213[[#This Row],[چکهای در جریان وصول]]+Table213[[#This Row],[چکهای نزد صندوق]]</f>
        <v>36455500</v>
      </c>
      <c r="G45" s="12">
        <f>IFERROR(INDEX('مانده سوفاله'!F:F,MATCH(Table213[[#This Row],[كد تفصيلي]],'مانده سوفاله'!A:A,0)),0)</f>
        <v>0</v>
      </c>
    </row>
    <row r="46" spans="1:7" ht="24.75" customHeight="1" x14ac:dyDescent="0.35">
      <c r="A46" s="26">
        <v>30025</v>
      </c>
      <c r="B46" s="56" t="s">
        <v>73</v>
      </c>
      <c r="C46" s="10">
        <f>IFERROR(INDEX('حسابهای دریافتنی'!H:H,MATCH(Table213[[#This Row],[كد تفصيلي]],'حسابهای دریافتنی'!A:A,0)),0)</f>
        <v>35598920</v>
      </c>
      <c r="D46" s="11">
        <f>IFERROR(INDEX('درجریان وصول'!F:F,MATCH(Table213[[#This Row],[كد تفصيلي]],'درجریان وصول'!A:A,0)),0)</f>
        <v>0</v>
      </c>
      <c r="E46" s="11">
        <f>IFERROR(INDEX('چکهای دریافتنی'!F:F,MATCH(Table213[[#This Row],[كد تفصيلي]],'چکهای دریافتنی'!A:A,0)),0)</f>
        <v>0</v>
      </c>
      <c r="F46" s="11">
        <f>Table213[[#This Row],[حسابهای دریافتنی]]+Table213[[#This Row],[چکهای در جریان وصول]]+Table213[[#This Row],[چکهای نزد صندوق]]</f>
        <v>35598920</v>
      </c>
      <c r="G46" s="12">
        <f>IFERROR(INDEX('مانده سوفاله'!F:F,MATCH(Table213[[#This Row],[كد تفصيلي]],'مانده سوفاله'!A:A,0)),0)</f>
        <v>-165</v>
      </c>
    </row>
    <row r="47" spans="1:7" ht="24.75" customHeight="1" x14ac:dyDescent="0.35">
      <c r="A47" s="26">
        <v>30005</v>
      </c>
      <c r="B47" s="56" t="s">
        <v>55</v>
      </c>
      <c r="C47" s="10">
        <f>IFERROR(INDEX('حسابهای دریافتنی'!H:H,MATCH(Table213[[#This Row],[كد تفصيلي]],'حسابهای دریافتنی'!A:A,0)),0)</f>
        <v>35368209</v>
      </c>
      <c r="D47" s="11">
        <f>IFERROR(INDEX('درجریان وصول'!F:F,MATCH(Table213[[#This Row],[كد تفصيلي]],'درجریان وصول'!A:A,0)),0)</f>
        <v>0</v>
      </c>
      <c r="E47" s="11">
        <f>IFERROR(INDEX('چکهای دریافتنی'!F:F,MATCH(Table213[[#This Row],[كد تفصيلي]],'چکهای دریافتنی'!A:A,0)),0)</f>
        <v>0</v>
      </c>
      <c r="F47" s="11">
        <f>Table213[[#This Row],[حسابهای دریافتنی]]+Table213[[#This Row],[چکهای در جریان وصول]]+Table213[[#This Row],[چکهای نزد صندوق]]</f>
        <v>35368209</v>
      </c>
      <c r="G47" s="12">
        <f>IFERROR(INDEX('مانده سوفاله'!F:F,MATCH(Table213[[#This Row],[كد تفصيلي]],'مانده سوفاله'!A:A,0)),0)</f>
        <v>61</v>
      </c>
    </row>
    <row r="48" spans="1:7" ht="24.75" customHeight="1" x14ac:dyDescent="0.35">
      <c r="A48" s="27">
        <v>30093</v>
      </c>
      <c r="B48" s="55" t="s">
        <v>151</v>
      </c>
      <c r="C48" s="10">
        <f>IFERROR(INDEX('حسابهای دریافتنی'!H:H,MATCH(Table213[[#This Row],[كد تفصيلي]],'حسابهای دریافتنی'!A:A,0)),0)</f>
        <v>0</v>
      </c>
      <c r="D48" s="11">
        <f>IFERROR(INDEX('درجریان وصول'!F:F,MATCH(Table213[[#This Row],[كد تفصيلي]],'درجریان وصول'!A:A,0)),0)</f>
        <v>0</v>
      </c>
      <c r="E48" s="11">
        <f>IFERROR(INDEX('چکهای دریافتنی'!F:F,MATCH(Table213[[#This Row],[كد تفصيلي]],'چکهای دریافتنی'!A:A,0)),0)</f>
        <v>0</v>
      </c>
      <c r="F48" s="11">
        <f>Table213[[#This Row],[حسابهای دریافتنی]]+Table213[[#This Row],[چکهای در جریان وصول]]+Table213[[#This Row],[چکهای نزد صندوق]]</f>
        <v>0</v>
      </c>
      <c r="G48" s="12">
        <v>77</v>
      </c>
    </row>
    <row r="49" spans="1:7" ht="24.75" customHeight="1" x14ac:dyDescent="0.35">
      <c r="A49" s="27">
        <v>30155</v>
      </c>
      <c r="B49" s="55" t="s">
        <v>289</v>
      </c>
      <c r="C49" s="10">
        <f>IFERROR(INDEX('حسابهای دریافتنی'!H:H,MATCH(Table213[[#This Row],[كد تفصيلي]],'حسابهای دریافتنی'!A:A,0)),0)</f>
        <v>-454985417</v>
      </c>
      <c r="D49" s="11">
        <f>IFERROR(INDEX('درجریان وصول'!F:F,MATCH(Table213[[#This Row],[كد تفصيلي]],'درجریان وصول'!A:A,0)),0)</f>
        <v>0</v>
      </c>
      <c r="E49" s="11">
        <f>IFERROR(INDEX('چکهای دریافتنی'!F:F,MATCH(Table213[[#This Row],[كد تفصيلي]],'چکهای دریافتنی'!A:A,0)),0)</f>
        <v>1379936267</v>
      </c>
      <c r="F49" s="11">
        <f>Table213[[#This Row],[حسابهای دریافتنی]]+Table213[[#This Row],[چکهای در جریان وصول]]+Table213[[#This Row],[چکهای نزد صندوق]]</f>
        <v>924950850</v>
      </c>
      <c r="G49" s="12">
        <f>IFERROR(INDEX('مانده سوفاله'!F:F,MATCH(Table213[[#This Row],[كد تفصيلي]],'مانده سوفاله'!A:A,0)),0)</f>
        <v>0</v>
      </c>
    </row>
    <row r="50" spans="1:7" ht="24.75" customHeight="1" x14ac:dyDescent="0.35">
      <c r="A50" s="27">
        <v>30008</v>
      </c>
      <c r="B50" s="55" t="s">
        <v>58</v>
      </c>
      <c r="C50" s="10">
        <f>IFERROR(INDEX('حسابهای دریافتنی'!H:H,MATCH(Table213[[#This Row],[كد تفصيلي]],'حسابهای دریافتنی'!A:A,0)),0)</f>
        <v>15520000</v>
      </c>
      <c r="D50" s="11">
        <f>IFERROR(INDEX('درجریان وصول'!F:F,MATCH(Table213[[#This Row],[كد تفصيلي]],'درجریان وصول'!A:A,0)),0)</f>
        <v>0</v>
      </c>
      <c r="E50" s="11">
        <f>IFERROR(INDEX('چکهای دریافتنی'!F:F,MATCH(Table213[[#This Row],[كد تفصيلي]],'چکهای دریافتنی'!A:A,0)),0)</f>
        <v>0</v>
      </c>
      <c r="F50" s="11">
        <f>Table213[[#This Row],[حسابهای دریافتنی]]+Table213[[#This Row],[چکهای در جریان وصول]]+Table213[[#This Row],[چکهای نزد صندوق]]</f>
        <v>15520000</v>
      </c>
      <c r="G50" s="12">
        <f>IFERROR(INDEX('مانده سوفاله'!F:F,MATCH(Table213[[#This Row],[كد تفصيلي]],'مانده سوفاله'!A:A,0)),0)</f>
        <v>0</v>
      </c>
    </row>
    <row r="51" spans="1:7" ht="24.75" customHeight="1" x14ac:dyDescent="0.35">
      <c r="A51" s="26">
        <v>10007</v>
      </c>
      <c r="B51" s="56" t="s">
        <v>14</v>
      </c>
      <c r="C51" s="10">
        <f>IFERROR(INDEX('حسابهای دریافتنی'!H:H,MATCH(Table213[[#This Row],[كد تفصيلي]],'حسابهای دریافتنی'!A:A,0)),0)</f>
        <v>12770000</v>
      </c>
      <c r="D51" s="11">
        <f>IFERROR(INDEX('درجریان وصول'!F:F,MATCH(Table213[[#This Row],[كد تفصيلي]],'درجریان وصول'!A:A,0)),0)</f>
        <v>0</v>
      </c>
      <c r="E51" s="11">
        <f>IFERROR(INDEX('چکهای دریافتنی'!F:F,MATCH(Table213[[#This Row],[كد تفصيلي]],'چکهای دریافتنی'!A:A,0)),0)</f>
        <v>0</v>
      </c>
      <c r="F51" s="11">
        <f>Table213[[#This Row],[حسابهای دریافتنی]]+Table213[[#This Row],[چکهای در جریان وصول]]+Table213[[#This Row],[چکهای نزد صندوق]]</f>
        <v>12770000</v>
      </c>
      <c r="G51" s="12">
        <f>IFERROR(INDEX('مانده سوفاله'!F:F,MATCH(Table213[[#This Row],[كد تفصيلي]],'مانده سوفاله'!A:A,0)),0)</f>
        <v>-52.5</v>
      </c>
    </row>
    <row r="52" spans="1:7" ht="24.75" customHeight="1" x14ac:dyDescent="0.35">
      <c r="A52" s="27">
        <v>30131</v>
      </c>
      <c r="B52" s="55" t="s">
        <v>213</v>
      </c>
      <c r="C52" s="10">
        <f>IFERROR(INDEX('حسابهای دریافتنی'!H:H,MATCH(Table213[[#This Row],[كد تفصيلي]],'حسابهای دریافتنی'!A:A,0)),0)</f>
        <v>-6228486500</v>
      </c>
      <c r="D52" s="11">
        <f>IFERROR(INDEX('درجریان وصول'!F:F,MATCH(Table213[[#This Row],[كد تفصيلي]],'درجریان وصول'!A:A,0)),0)</f>
        <v>0</v>
      </c>
      <c r="E52" s="11">
        <f>IFERROR(INDEX('چکهای دریافتنی'!F:F,MATCH(Table213[[#This Row],[كد تفصيلي]],'چکهای دریافتنی'!A:A,0)),0)</f>
        <v>0</v>
      </c>
      <c r="F52" s="11">
        <f>Table213[[#This Row],[حسابهای دریافتنی]]+Table213[[#This Row],[چکهای در جریان وصول]]+Table213[[#This Row],[چکهای نزد صندوق]]</f>
        <v>-6228486500</v>
      </c>
      <c r="G52" s="12">
        <f>IFERROR(INDEX('مانده سوفاله'!F:F,MATCH(Table213[[#This Row],[كد تفصيلي]],'مانده سوفاله'!A:A,0)),0)</f>
        <v>222</v>
      </c>
    </row>
    <row r="53" spans="1:7" ht="24.75" customHeight="1" x14ac:dyDescent="0.35">
      <c r="A53" s="27">
        <v>30012</v>
      </c>
      <c r="B53" s="55" t="s">
        <v>61</v>
      </c>
      <c r="C53" s="10">
        <f>IFERROR(INDEX('حسابهای دریافتنی'!H:H,MATCH(Table213[[#This Row],[كد تفصيلي]],'حسابهای دریافتنی'!A:A,0)),0)</f>
        <v>-46099000</v>
      </c>
      <c r="D53" s="11">
        <f>IFERROR(INDEX('درجریان وصول'!F:F,MATCH(Table213[[#This Row],[كد تفصيلي]],'درجریان وصول'!A:A,0)),0)</f>
        <v>0</v>
      </c>
      <c r="E53" s="11">
        <f>IFERROR(INDEX('چکهای دریافتنی'!F:F,MATCH(Table213[[#This Row],[كد تفصيلي]],'چکهای دریافتنی'!A:A,0)),0)</f>
        <v>348650000</v>
      </c>
      <c r="F53" s="11">
        <f>Table213[[#This Row],[حسابهای دریافتنی]]+Table213[[#This Row],[چکهای در جریان وصول]]+Table213[[#This Row],[چکهای نزد صندوق]]</f>
        <v>302551000</v>
      </c>
      <c r="G53" s="12">
        <f>IFERROR(INDEX('مانده سوفاله'!F:F,MATCH(Table213[[#This Row],[كد تفصيلي]],'مانده سوفاله'!A:A,0)),0)</f>
        <v>141</v>
      </c>
    </row>
    <row r="54" spans="1:7" ht="24.75" customHeight="1" x14ac:dyDescent="0.35">
      <c r="A54" s="27">
        <v>30145</v>
      </c>
      <c r="B54" s="55" t="s">
        <v>265</v>
      </c>
      <c r="C54" s="10">
        <f>IFERROR(INDEX('حسابهای دریافتنی'!H:H,MATCH(Table213[[#This Row],[كد تفصيلي]],'حسابهای دریافتنی'!A:A,0)),0)</f>
        <v>6442500</v>
      </c>
      <c r="D54" s="11">
        <f>IFERROR(INDEX('درجریان وصول'!F:F,MATCH(Table213[[#This Row],[كد تفصيلي]],'درجریان وصول'!A:A,0)),0)</f>
        <v>0</v>
      </c>
      <c r="E54" s="11">
        <f>IFERROR(INDEX('چکهای دریافتنی'!F:F,MATCH(Table213[[#This Row],[كد تفصيلي]],'چکهای دریافتنی'!A:A,0)),0)</f>
        <v>0</v>
      </c>
      <c r="F54" s="11">
        <f>Table213[[#This Row],[حسابهای دریافتنی]]+Table213[[#This Row],[چکهای در جریان وصول]]+Table213[[#This Row],[چکهای نزد صندوق]]</f>
        <v>6442500</v>
      </c>
      <c r="G54" s="12">
        <f>IFERROR(INDEX('مانده سوفاله'!F:F,MATCH(Table213[[#This Row],[كد تفصيلي]],'مانده سوفاله'!A:A,0)),0)</f>
        <v>0</v>
      </c>
    </row>
    <row r="55" spans="1:7" ht="24.75" customHeight="1" x14ac:dyDescent="0.35">
      <c r="A55" s="26">
        <v>30047</v>
      </c>
      <c r="B55" s="56" t="s">
        <v>94</v>
      </c>
      <c r="C55" s="10">
        <f>IFERROR(INDEX('حسابهای دریافتنی'!H:H,MATCH(Table213[[#This Row],[كد تفصيلي]],'حسابهای دریافتنی'!A:A,0)),0)</f>
        <v>5794900</v>
      </c>
      <c r="D55" s="11">
        <f>IFERROR(INDEX('درجریان وصول'!F:F,MATCH(Table213[[#This Row],[كد تفصيلي]],'درجریان وصول'!A:A,0)),0)</f>
        <v>0</v>
      </c>
      <c r="E55" s="11">
        <f>IFERROR(INDEX('چکهای دریافتنی'!F:F,MATCH(Table213[[#This Row],[كد تفصيلي]],'چکهای دریافتنی'!A:A,0)),0)</f>
        <v>0</v>
      </c>
      <c r="F55" s="11">
        <f>Table213[[#This Row],[حسابهای دریافتنی]]+Table213[[#This Row],[چکهای در جریان وصول]]+Table213[[#This Row],[چکهای نزد صندوق]]</f>
        <v>5794900</v>
      </c>
      <c r="G55" s="12">
        <f>IFERROR(INDEX('مانده سوفاله'!F:F,MATCH(Table213[[#This Row],[كد تفصيلي]],'مانده سوفاله'!A:A,0)),0)</f>
        <v>-630</v>
      </c>
    </row>
    <row r="56" spans="1:7" ht="24.75" customHeight="1" x14ac:dyDescent="0.35">
      <c r="A56" s="26">
        <v>30011</v>
      </c>
      <c r="B56" s="56" t="s">
        <v>60</v>
      </c>
      <c r="C56" s="10">
        <f>IFERROR(INDEX('حسابهای دریافتنی'!H:H,MATCH(Table213[[#This Row],[كد تفصيلي]],'حسابهای دریافتنی'!A:A,0)),0)</f>
        <v>5595200</v>
      </c>
      <c r="D56" s="11">
        <f>IFERROR(INDEX('درجریان وصول'!F:F,MATCH(Table213[[#This Row],[كد تفصيلي]],'درجریان وصول'!A:A,0)),0)</f>
        <v>0</v>
      </c>
      <c r="E56" s="11">
        <f>IFERROR(INDEX('چکهای دریافتنی'!F:F,MATCH(Table213[[#This Row],[كد تفصيلي]],'چکهای دریافتنی'!A:A,0)),0)</f>
        <v>0</v>
      </c>
      <c r="F56" s="11">
        <f>Table213[[#This Row],[حسابهای دریافتنی]]+Table213[[#This Row],[چکهای در جریان وصول]]+Table213[[#This Row],[چکهای نزد صندوق]]</f>
        <v>5595200</v>
      </c>
      <c r="G56" s="12">
        <f>IFERROR(INDEX('مانده سوفاله'!F:F,MATCH(Table213[[#This Row],[كد تفصيلي]],'مانده سوفاله'!A:A,0)),0)</f>
        <v>-5</v>
      </c>
    </row>
    <row r="57" spans="1:7" ht="24.75" customHeight="1" x14ac:dyDescent="0.35">
      <c r="A57" s="27">
        <v>10080</v>
      </c>
      <c r="B57" s="55" t="s">
        <v>214</v>
      </c>
      <c r="C57" s="10">
        <f>IFERROR(INDEX('حسابهای دریافتنی'!H:H,MATCH(Table213[[#This Row],[كد تفصيلي]],'حسابهای دریافتنی'!A:A,0)),0)</f>
        <v>5395000</v>
      </c>
      <c r="D57" s="11">
        <f>IFERROR(INDEX('درجریان وصول'!F:F,MATCH(Table213[[#This Row],[كد تفصيلي]],'درجریان وصول'!A:A,0)),0)</f>
        <v>0</v>
      </c>
      <c r="E57" s="11">
        <f>IFERROR(INDEX('چکهای دریافتنی'!F:F,MATCH(Table213[[#This Row],[كد تفصيلي]],'چکهای دریافتنی'!A:A,0)),0)</f>
        <v>0</v>
      </c>
      <c r="F57" s="11">
        <f>Table213[[#This Row],[حسابهای دریافتنی]]+Table213[[#This Row],[چکهای در جریان وصول]]+Table213[[#This Row],[چکهای نزد صندوق]]</f>
        <v>5395000</v>
      </c>
      <c r="G57" s="12">
        <f>IFERROR(INDEX('مانده سوفاله'!F:F,MATCH(Table213[[#This Row],[كد تفصيلي]],'مانده سوفاله'!A:A,0)),0)</f>
        <v>0</v>
      </c>
    </row>
    <row r="58" spans="1:7" ht="24.75" customHeight="1" x14ac:dyDescent="0.35">
      <c r="A58" s="26">
        <v>30114</v>
      </c>
      <c r="B58" s="56" t="s">
        <v>175</v>
      </c>
      <c r="C58" s="10">
        <f>IFERROR(INDEX('حسابهای دریافتنی'!H:H,MATCH(Table213[[#This Row],[كد تفصيلي]],'حسابهای دریافتنی'!A:A,0)),0)</f>
        <v>5385600</v>
      </c>
      <c r="D58" s="11">
        <f>IFERROR(INDEX('درجریان وصول'!F:F,MATCH(Table213[[#This Row],[كد تفصيلي]],'درجریان وصول'!A:A,0)),0)</f>
        <v>0</v>
      </c>
      <c r="E58" s="11">
        <f>IFERROR(INDEX('چکهای دریافتنی'!F:F,MATCH(Table213[[#This Row],[كد تفصيلي]],'چکهای دریافتنی'!A:A,0)),0)</f>
        <v>0</v>
      </c>
      <c r="F58" s="11">
        <f>Table213[[#This Row],[حسابهای دریافتنی]]+Table213[[#This Row],[چکهای در جریان وصول]]+Table213[[#This Row],[چکهای نزد صندوق]]</f>
        <v>5385600</v>
      </c>
      <c r="G58" s="12">
        <f>IFERROR(INDEX('مانده سوفاله'!F:F,MATCH(Table213[[#This Row],[كد تفصيلي]],'مانده سوفاله'!A:A,0)),0)</f>
        <v>0</v>
      </c>
    </row>
    <row r="59" spans="1:7" ht="24.75" customHeight="1" x14ac:dyDescent="0.35">
      <c r="A59" s="27">
        <v>30123</v>
      </c>
      <c r="B59" s="55" t="s">
        <v>208</v>
      </c>
      <c r="C59" s="10">
        <f>IFERROR(INDEX('حسابهای دریافتنی'!H:H,MATCH(Table213[[#This Row],[كد تفصيلي]],'حسابهای دریافتنی'!A:A,0)),0)</f>
        <v>4138250</v>
      </c>
      <c r="D59" s="11">
        <f>IFERROR(INDEX('درجریان وصول'!F:F,MATCH(Table213[[#This Row],[كد تفصيلي]],'درجریان وصول'!A:A,0)),0)</f>
        <v>0</v>
      </c>
      <c r="E59" s="11">
        <f>IFERROR(INDEX('چکهای دریافتنی'!F:F,MATCH(Table213[[#This Row],[كد تفصيلي]],'چکهای دریافتنی'!A:A,0)),0)</f>
        <v>0</v>
      </c>
      <c r="F59" s="11">
        <f>Table213[[#This Row],[حسابهای دریافتنی]]+Table213[[#This Row],[چکهای در جریان وصول]]+Table213[[#This Row],[چکهای نزد صندوق]]</f>
        <v>4138250</v>
      </c>
      <c r="G59" s="12">
        <f>IFERROR(INDEX('مانده سوفاله'!F:F,MATCH(Table213[[#This Row],[كد تفصيلي]],'مانده سوفاله'!A:A,0)),0)</f>
        <v>-20</v>
      </c>
    </row>
    <row r="60" spans="1:7" ht="24.75" customHeight="1" x14ac:dyDescent="0.35">
      <c r="A60" s="26">
        <v>10116</v>
      </c>
      <c r="B60" s="56" t="s">
        <v>321</v>
      </c>
      <c r="C60" s="10">
        <f>IFERROR(INDEX('حسابهای دریافتنی'!H:H,MATCH(Table213[[#This Row],[كد تفصيلي]],'حسابهای دریافتنی'!A:A,0)),0)</f>
        <v>3892500</v>
      </c>
      <c r="D60" s="11">
        <f>IFERROR(INDEX('درجریان وصول'!F:F,MATCH(Table213[[#This Row],[كد تفصيلي]],'درجریان وصول'!A:A,0)),0)</f>
        <v>0</v>
      </c>
      <c r="E60" s="11">
        <f>IFERROR(INDEX('چکهای دریافتنی'!F:F,MATCH(Table213[[#This Row],[كد تفصيلي]],'چکهای دریافتنی'!A:A,0)),0)</f>
        <v>0</v>
      </c>
      <c r="F60" s="11">
        <f>Table213[[#This Row],[حسابهای دریافتنی]]+Table213[[#This Row],[چکهای در جریان وصول]]+Table213[[#This Row],[چکهای نزد صندوق]]</f>
        <v>3892500</v>
      </c>
      <c r="G60" s="12">
        <f>IFERROR(INDEX('مانده سوفاله'!F:F,MATCH(Table213[[#This Row],[كد تفصيلي]],'مانده سوفاله'!A:A,0)),0)</f>
        <v>0</v>
      </c>
    </row>
    <row r="61" spans="1:7" ht="24.75" customHeight="1" x14ac:dyDescent="0.35">
      <c r="A61" s="26">
        <v>10101</v>
      </c>
      <c r="B61" s="56" t="s">
        <v>281</v>
      </c>
      <c r="C61" s="10">
        <f>IFERROR(INDEX('حسابهای دریافتنی'!H:H,MATCH(Table213[[#This Row],[كد تفصيلي]],'حسابهای دریافتنی'!A:A,0)),0)</f>
        <v>0</v>
      </c>
      <c r="D61" s="11">
        <f>IFERROR(INDEX('درجریان وصول'!F:F,MATCH(Table213[[#This Row],[كد تفصيلي]],'درجریان وصول'!A:A,0)),0)</f>
        <v>0</v>
      </c>
      <c r="E61" s="11">
        <f>IFERROR(INDEX('چکهای دریافتنی'!F:F,MATCH(Table213[[#This Row],[كد تفصيلي]],'چکهای دریافتنی'!A:A,0)),0)</f>
        <v>0</v>
      </c>
      <c r="F61" s="11">
        <f>Table213[[#This Row],[حسابهای دریافتنی]]+Table213[[#This Row],[چکهای در جریان وصول]]+Table213[[#This Row],[چکهای نزد صندوق]]</f>
        <v>0</v>
      </c>
      <c r="G61" s="12">
        <f>IFERROR(INDEX('مانده سوفاله'!F:F,MATCH(Table213[[#This Row],[كد تفصيلي]],'مانده سوفاله'!A:A,0)),0)</f>
        <v>0</v>
      </c>
    </row>
    <row r="62" spans="1:7" ht="24.75" customHeight="1" x14ac:dyDescent="0.35">
      <c r="A62" s="27">
        <v>10030</v>
      </c>
      <c r="B62" s="55" t="s">
        <v>36</v>
      </c>
      <c r="C62" s="10">
        <f>IFERROR(INDEX('حسابهای دریافتنی'!H:H,MATCH(Table213[[#This Row],[كد تفصيلي]],'حسابهای دریافتنی'!A:A,0)),0)</f>
        <v>3272000</v>
      </c>
      <c r="D62" s="11">
        <f>IFERROR(INDEX('درجریان وصول'!F:F,MATCH(Table213[[#This Row],[كد تفصيلي]],'درجریان وصول'!A:A,0)),0)</f>
        <v>0</v>
      </c>
      <c r="E62" s="11">
        <f>IFERROR(INDEX('چکهای دریافتنی'!F:F,MATCH(Table213[[#This Row],[كد تفصيلي]],'چکهای دریافتنی'!A:A,0)),0)</f>
        <v>0</v>
      </c>
      <c r="F62" s="11">
        <f>Table213[[#This Row],[حسابهای دریافتنی]]+Table213[[#This Row],[چکهای در جریان وصول]]+Table213[[#This Row],[چکهای نزد صندوق]]</f>
        <v>3272000</v>
      </c>
      <c r="G62" s="12">
        <f>IFERROR(INDEX('مانده سوفاله'!F:F,MATCH(Table213[[#This Row],[كد تفصيلي]],'مانده سوفاله'!A:A,0)),0)</f>
        <v>-222</v>
      </c>
    </row>
    <row r="63" spans="1:7" ht="24.75" customHeight="1" x14ac:dyDescent="0.35">
      <c r="A63" s="26">
        <v>30178</v>
      </c>
      <c r="B63" s="56" t="s">
        <v>335</v>
      </c>
      <c r="C63" s="10">
        <f>IFERROR(INDEX('حسابهای دریافتنی'!H:H,MATCH(Table213[[#This Row],[كد تفصيلي]],'حسابهای دریافتنی'!A:A,0)),0)</f>
        <v>3040000</v>
      </c>
      <c r="D63" s="11">
        <f>IFERROR(INDEX('درجریان وصول'!F:F,MATCH(Table213[[#This Row],[كد تفصيلي]],'درجریان وصول'!A:A,0)),0)</f>
        <v>0</v>
      </c>
      <c r="E63" s="11">
        <f>IFERROR(INDEX('چکهای دریافتنی'!F:F,MATCH(Table213[[#This Row],[كد تفصيلي]],'چکهای دریافتنی'!A:A,0)),0)</f>
        <v>0</v>
      </c>
      <c r="F63" s="11">
        <f>Table213[[#This Row],[حسابهای دریافتنی]]+Table213[[#This Row],[چکهای در جریان وصول]]+Table213[[#This Row],[چکهای نزد صندوق]]</f>
        <v>3040000</v>
      </c>
      <c r="G63" s="12">
        <f>IFERROR(INDEX('مانده سوفاله'!F:F,MATCH(Table213[[#This Row],[كد تفصيلي]],'مانده سوفاله'!A:A,0)),0)</f>
        <v>0</v>
      </c>
    </row>
    <row r="64" spans="1:7" ht="24.75" customHeight="1" x14ac:dyDescent="0.35">
      <c r="A64" s="27">
        <v>10004</v>
      </c>
      <c r="B64" s="55" t="s">
        <v>11</v>
      </c>
      <c r="C64" s="10">
        <f>IFERROR(INDEX('حسابهای دریافتنی'!H:H,MATCH(Table213[[#This Row],[كد تفصيلي]],'حسابهای دریافتنی'!A:A,0)),0)</f>
        <v>853000</v>
      </c>
      <c r="D64" s="11">
        <f>IFERROR(INDEX('درجریان وصول'!F:F,MATCH(Table213[[#This Row],[كد تفصيلي]],'درجریان وصول'!A:A,0)),0)</f>
        <v>0</v>
      </c>
      <c r="E64" s="11">
        <f>IFERROR(INDEX('چکهای دریافتنی'!F:F,MATCH(Table213[[#This Row],[كد تفصيلي]],'چکهای دریافتنی'!A:A,0)),0)</f>
        <v>341000000</v>
      </c>
      <c r="F64" s="11">
        <f>Table213[[#This Row],[حسابهای دریافتنی]]+Table213[[#This Row],[چکهای در جریان وصول]]+Table213[[#This Row],[چکهای نزد صندوق]]</f>
        <v>341853000</v>
      </c>
      <c r="G64" s="12">
        <f>IFERROR(INDEX('مانده سوفاله'!F:F,MATCH(Table213[[#This Row],[كد تفصيلي]],'مانده سوفاله'!A:A,0)),0)</f>
        <v>-12</v>
      </c>
    </row>
    <row r="65" spans="1:7" ht="24.75" customHeight="1" x14ac:dyDescent="0.35">
      <c r="A65" s="26">
        <v>30084</v>
      </c>
      <c r="B65" s="56" t="s">
        <v>129</v>
      </c>
      <c r="C65" s="10">
        <f>IFERROR(INDEX('حسابهای دریافتنی'!H:H,MATCH(Table213[[#This Row],[كد تفصيلي]],'حسابهای دریافتنی'!A:A,0)),0)</f>
        <v>1220000</v>
      </c>
      <c r="D65" s="11">
        <f>IFERROR(INDEX('درجریان وصول'!F:F,MATCH(Table213[[#This Row],[كد تفصيلي]],'درجریان وصول'!A:A,0)),0)</f>
        <v>0</v>
      </c>
      <c r="E65" s="11">
        <f>IFERROR(INDEX('چکهای دریافتنی'!F:F,MATCH(Table213[[#This Row],[كد تفصيلي]],'چکهای دریافتنی'!A:A,0)),0)</f>
        <v>0</v>
      </c>
      <c r="F65" s="11">
        <f>Table213[[#This Row],[حسابهای دریافتنی]]+Table213[[#This Row],[چکهای در جریان وصول]]+Table213[[#This Row],[چکهای نزد صندوق]]</f>
        <v>1220000</v>
      </c>
      <c r="G65" s="12">
        <f>IFERROR(INDEX('مانده سوفاله'!F:F,MATCH(Table213[[#This Row],[كد تفصيلي]],'مانده سوفاله'!A:A,0)),0)</f>
        <v>0</v>
      </c>
    </row>
    <row r="66" spans="1:7" ht="24.75" customHeight="1" x14ac:dyDescent="0.35">
      <c r="A66" s="27">
        <v>79055</v>
      </c>
      <c r="B66" s="55" t="s">
        <v>297</v>
      </c>
      <c r="C66" s="10">
        <f>IFERROR(INDEX('حسابهای دریافتنی'!H:H,MATCH(Table213[[#This Row],[كد تفصيلي]],'حسابهای دریافتنی'!A:A,0)),0)</f>
        <v>896500</v>
      </c>
      <c r="D66" s="11">
        <f>IFERROR(INDEX('درجریان وصول'!F:F,MATCH(Table213[[#This Row],[كد تفصيلي]],'درجریان وصول'!A:A,0)),0)</f>
        <v>0</v>
      </c>
      <c r="E66" s="11">
        <f>IFERROR(INDEX('چکهای دریافتنی'!F:F,MATCH(Table213[[#This Row],[كد تفصيلي]],'چکهای دریافتنی'!A:A,0)),0)</f>
        <v>0</v>
      </c>
      <c r="F66" s="11">
        <f>Table213[[#This Row],[حسابهای دریافتنی]]+Table213[[#This Row],[چکهای در جریان وصول]]+Table213[[#This Row],[چکهای نزد صندوق]]</f>
        <v>896500</v>
      </c>
      <c r="G66" s="12">
        <f>IFERROR(INDEX('مانده سوفاله'!F:F,MATCH(Table213[[#This Row],[كد تفصيلي]],'مانده سوفاله'!A:A,0)),0)</f>
        <v>0</v>
      </c>
    </row>
    <row r="67" spans="1:7" ht="24.75" customHeight="1" x14ac:dyDescent="0.35">
      <c r="A67" s="27">
        <v>30030</v>
      </c>
      <c r="B67" s="55" t="s">
        <v>77</v>
      </c>
      <c r="C67" s="10">
        <f>IFERROR(INDEX('حسابهای دریافتنی'!H:H,MATCH(Table213[[#This Row],[كد تفصيلي]],'حسابهای دریافتنی'!A:A,0)),0)</f>
        <v>850500</v>
      </c>
      <c r="D67" s="11">
        <f>IFERROR(INDEX('درجریان وصول'!F:F,MATCH(Table213[[#This Row],[كد تفصيلي]],'درجریان وصول'!A:A,0)),0)</f>
        <v>0</v>
      </c>
      <c r="E67" s="11">
        <f>IFERROR(INDEX('چکهای دریافتنی'!F:F,MATCH(Table213[[#This Row],[كد تفصيلي]],'چکهای دریافتنی'!A:A,0)),0)</f>
        <v>0</v>
      </c>
      <c r="F67" s="11">
        <f>Table213[[#This Row],[حسابهای دریافتنی]]+Table213[[#This Row],[چکهای در جریان وصول]]+Table213[[#This Row],[چکهای نزد صندوق]]</f>
        <v>850500</v>
      </c>
      <c r="G67" s="12">
        <f>IFERROR(INDEX('مانده سوفاله'!F:F,MATCH(Table213[[#This Row],[كد تفصيلي]],'مانده سوفاله'!A:A,0)),0)</f>
        <v>-49</v>
      </c>
    </row>
    <row r="68" spans="1:7" ht="24.75" customHeight="1" x14ac:dyDescent="0.35">
      <c r="A68" s="27">
        <v>30129</v>
      </c>
      <c r="B68" s="55" t="s">
        <v>178</v>
      </c>
      <c r="C68" s="10">
        <f>IFERROR(INDEX('حسابهای دریافتنی'!H:H,MATCH(Table213[[#This Row],[كد تفصيلي]],'حسابهای دریافتنی'!A:A,0)),0)</f>
        <v>783000</v>
      </c>
      <c r="D68" s="11">
        <f>IFERROR(INDEX('درجریان وصول'!F:F,MATCH(Table213[[#This Row],[كد تفصيلي]],'درجریان وصول'!A:A,0)),0)</f>
        <v>0</v>
      </c>
      <c r="E68" s="11">
        <f>IFERROR(INDEX('چکهای دریافتنی'!F:F,MATCH(Table213[[#This Row],[كد تفصيلي]],'چکهای دریافتنی'!A:A,0)),0)</f>
        <v>0</v>
      </c>
      <c r="F68" s="11">
        <f>Table213[[#This Row],[حسابهای دریافتنی]]+Table213[[#This Row],[چکهای در جریان وصول]]+Table213[[#This Row],[چکهای نزد صندوق]]</f>
        <v>783000</v>
      </c>
      <c r="G68" s="12">
        <f>IFERROR(INDEX('مانده سوفاله'!F:F,MATCH(Table213[[#This Row],[كد تفصيلي]],'مانده سوفاله'!A:A,0)),0)</f>
        <v>0</v>
      </c>
    </row>
    <row r="69" spans="1:7" ht="24.75" customHeight="1" x14ac:dyDescent="0.35">
      <c r="A69" s="26">
        <v>30090</v>
      </c>
      <c r="B69" s="56" t="s">
        <v>144</v>
      </c>
      <c r="C69" s="10">
        <f>IFERROR(INDEX('حسابهای دریافتنی'!H:H,MATCH(Table213[[#This Row],[كد تفصيلي]],'حسابهای دریافتنی'!A:A,0)),0)</f>
        <v>640100</v>
      </c>
      <c r="D69" s="11">
        <f>IFERROR(INDEX('درجریان وصول'!F:F,MATCH(Table213[[#This Row],[كد تفصيلي]],'درجریان وصول'!A:A,0)),0)</f>
        <v>0</v>
      </c>
      <c r="E69" s="11">
        <f>IFERROR(INDEX('چکهای دریافتنی'!F:F,MATCH(Table213[[#This Row],[كد تفصيلي]],'چکهای دریافتنی'!A:A,0)),0)</f>
        <v>0</v>
      </c>
      <c r="F69" s="11">
        <f>Table213[[#This Row],[حسابهای دریافتنی]]+Table213[[#This Row],[چکهای در جریان وصول]]+Table213[[#This Row],[چکهای نزد صندوق]]</f>
        <v>640100</v>
      </c>
      <c r="G69" s="12">
        <f>IFERROR(INDEX('مانده سوفاله'!F:F,MATCH(Table213[[#This Row],[كد تفصيلي]],'مانده سوفاله'!A:A,0)),0)</f>
        <v>0</v>
      </c>
    </row>
    <row r="70" spans="1:7" ht="24.75" customHeight="1" x14ac:dyDescent="0.35">
      <c r="A70" s="27">
        <v>30109</v>
      </c>
      <c r="B70" s="55" t="s">
        <v>165</v>
      </c>
      <c r="C70" s="10">
        <f>IFERROR(INDEX('حسابهای دریافتنی'!H:H,MATCH(Table213[[#This Row],[كد تفصيلي]],'حسابهای دریافتنی'!A:A,0)),0)</f>
        <v>607300</v>
      </c>
      <c r="D70" s="11">
        <f>IFERROR(INDEX('درجریان وصول'!F:F,MATCH(Table213[[#This Row],[كد تفصيلي]],'درجریان وصول'!A:A,0)),0)</f>
        <v>0</v>
      </c>
      <c r="E70" s="11">
        <f>IFERROR(INDEX('چکهای دریافتنی'!F:F,MATCH(Table213[[#This Row],[كد تفصيلي]],'چکهای دریافتنی'!A:A,0)),0)</f>
        <v>0</v>
      </c>
      <c r="F70" s="11">
        <f>Table213[[#This Row],[حسابهای دریافتنی]]+Table213[[#This Row],[چکهای در جریان وصول]]+Table213[[#This Row],[چکهای نزد صندوق]]</f>
        <v>607300</v>
      </c>
      <c r="G70" s="12">
        <f>IFERROR(INDEX('مانده سوفاله'!F:F,MATCH(Table213[[#This Row],[كد تفصيلي]],'مانده سوفاله'!A:A,0)),0)</f>
        <v>0</v>
      </c>
    </row>
    <row r="71" spans="1:7" ht="24.75" customHeight="1" x14ac:dyDescent="0.35">
      <c r="A71" s="26">
        <v>10097</v>
      </c>
      <c r="B71" s="56" t="s">
        <v>270</v>
      </c>
      <c r="C71" s="10">
        <f>IFERROR(INDEX('حسابهای دریافتنی'!H:H,MATCH(Table213[[#This Row],[كد تفصيلي]],'حسابهای دریافتنی'!A:A,0)),0)</f>
        <v>270642500</v>
      </c>
      <c r="D71" s="11">
        <f>IFERROR(INDEX('درجریان وصول'!F:F,MATCH(Table213[[#This Row],[كد تفصيلي]],'درجریان وصول'!A:A,0)),0)</f>
        <v>0</v>
      </c>
      <c r="E71" s="11">
        <f>IFERROR(INDEX('چکهای دریافتنی'!F:F,MATCH(Table213[[#This Row],[كد تفصيلي]],'چکهای دریافتنی'!A:A,0)),0)</f>
        <v>287000000</v>
      </c>
      <c r="F71" s="11">
        <f>Table213[[#This Row],[حسابهای دریافتنی]]+Table213[[#This Row],[چکهای در جریان وصول]]+Table213[[#This Row],[چکهای نزد صندوق]]</f>
        <v>557642500</v>
      </c>
      <c r="G71" s="12">
        <f>IFERROR(INDEX('مانده سوفاله'!F:F,MATCH(Table213[[#This Row],[كد تفصيلي]],'مانده سوفاله'!A:A,0)),0)</f>
        <v>0</v>
      </c>
    </row>
    <row r="72" spans="1:7" ht="24.75" customHeight="1" x14ac:dyDescent="0.35">
      <c r="A72" s="27">
        <v>30010</v>
      </c>
      <c r="B72" s="55" t="s">
        <v>59</v>
      </c>
      <c r="C72" s="10">
        <f>IFERROR(INDEX('حسابهای دریافتنی'!H:H,MATCH(Table213[[#This Row],[كد تفصيلي]],'حسابهای دریافتنی'!A:A,0)),0)</f>
        <v>366215</v>
      </c>
      <c r="D72" s="11">
        <f>IFERROR(INDEX('درجریان وصول'!F:F,MATCH(Table213[[#This Row],[كد تفصيلي]],'درجریان وصول'!A:A,0)),0)</f>
        <v>0</v>
      </c>
      <c r="E72" s="11">
        <f>IFERROR(INDEX('چکهای دریافتنی'!F:F,MATCH(Table213[[#This Row],[كد تفصيلي]],'چکهای دریافتنی'!A:A,0)),0)</f>
        <v>0</v>
      </c>
      <c r="F72" s="11">
        <f>Table213[[#This Row],[حسابهای دریافتنی]]+Table213[[#This Row],[چکهای در جریان وصول]]+Table213[[#This Row],[چکهای نزد صندوق]]</f>
        <v>366215</v>
      </c>
      <c r="G72" s="12">
        <f>IFERROR(INDEX('مانده سوفاله'!F:F,MATCH(Table213[[#This Row],[كد تفصيلي]],'مانده سوفاله'!A:A,0)),0)</f>
        <v>8</v>
      </c>
    </row>
    <row r="73" spans="1:7" ht="24.75" customHeight="1" x14ac:dyDescent="0.35">
      <c r="A73" s="26">
        <v>30027</v>
      </c>
      <c r="B73" s="56" t="s">
        <v>75</v>
      </c>
      <c r="C73" s="10">
        <f>IFERROR(INDEX('حسابهای دریافتنی'!H:H,MATCH(Table213[[#This Row],[كد تفصيلي]],'حسابهای دریافتنی'!A:A,0)),0)</f>
        <v>326950</v>
      </c>
      <c r="D73" s="11">
        <f>IFERROR(INDEX('درجریان وصول'!F:F,MATCH(Table213[[#This Row],[كد تفصيلي]],'درجریان وصول'!A:A,0)),0)</f>
        <v>0</v>
      </c>
      <c r="E73" s="11">
        <f>IFERROR(INDEX('چکهای دریافتنی'!F:F,MATCH(Table213[[#This Row],[كد تفصيلي]],'چکهای دریافتنی'!A:A,0)),0)</f>
        <v>0</v>
      </c>
      <c r="F73" s="11">
        <f>Table213[[#This Row],[حسابهای دریافتنی]]+Table213[[#This Row],[چکهای در جریان وصول]]+Table213[[#This Row],[چکهای نزد صندوق]]</f>
        <v>326950</v>
      </c>
      <c r="G73" s="12">
        <f>IFERROR(INDEX('مانده سوفاله'!F:F,MATCH(Table213[[#This Row],[كد تفصيلي]],'مانده سوفاله'!A:A,0)),0)</f>
        <v>0</v>
      </c>
    </row>
    <row r="74" spans="1:7" ht="24.75" customHeight="1" x14ac:dyDescent="0.35">
      <c r="A74" s="27">
        <v>30135</v>
      </c>
      <c r="B74" s="55" t="s">
        <v>179</v>
      </c>
      <c r="C74" s="10">
        <f>IFERROR(INDEX('حسابهای دریافتنی'!H:H,MATCH(Table213[[#This Row],[كد تفصيلي]],'حسابهای دریافتنی'!A:A,0)),0)</f>
        <v>195000</v>
      </c>
      <c r="D74" s="11">
        <f>IFERROR(INDEX('درجریان وصول'!F:F,MATCH(Table213[[#This Row],[كد تفصيلي]],'درجریان وصول'!A:A,0)),0)</f>
        <v>0</v>
      </c>
      <c r="E74" s="11">
        <f>IFERROR(INDEX('چکهای دریافتنی'!F:F,MATCH(Table213[[#This Row],[كد تفصيلي]],'چکهای دریافتنی'!A:A,0)),0)</f>
        <v>0</v>
      </c>
      <c r="F74" s="11">
        <f>Table213[[#This Row],[حسابهای دریافتنی]]+Table213[[#This Row],[چکهای در جریان وصول]]+Table213[[#This Row],[چکهای نزد صندوق]]</f>
        <v>195000</v>
      </c>
      <c r="G74" s="12">
        <f>IFERROR(INDEX('مانده سوفاله'!F:F,MATCH(Table213[[#This Row],[كد تفصيلي]],'مانده سوفاله'!A:A,0)),0)</f>
        <v>-5</v>
      </c>
    </row>
    <row r="75" spans="1:7" ht="24.75" customHeight="1" x14ac:dyDescent="0.35">
      <c r="A75" s="27">
        <v>10131</v>
      </c>
      <c r="B75" s="55" t="s">
        <v>457</v>
      </c>
      <c r="C75" s="10">
        <f>IFERROR(INDEX('حسابهای دریافتنی'!H:H,MATCH(Table213[[#This Row],[كد تفصيلي]],'حسابهای دریافتنی'!A:A,0)),0)</f>
        <v>-1194000</v>
      </c>
      <c r="D75" s="11">
        <f>IFERROR(INDEX('درجریان وصول'!F:F,MATCH(Table213[[#This Row],[كد تفصيلي]],'درجریان وصول'!A:A,0)),0)</f>
        <v>0</v>
      </c>
      <c r="E75" s="11">
        <f>IFERROR(INDEX('چکهای دریافتنی'!F:F,MATCH(Table213[[#This Row],[كد تفصيلي]],'چکهای دریافتنی'!A:A,0)),0)</f>
        <v>0</v>
      </c>
      <c r="F75" s="11">
        <f>Table213[[#This Row],[حسابهای دریافتنی]]+Table213[[#This Row],[چکهای در جریان وصول]]+Table213[[#This Row],[چکهای نزد صندوق]]</f>
        <v>-1194000</v>
      </c>
      <c r="G75" s="12">
        <f>IFERROR(INDEX('مانده سوفاله'!F:F,MATCH(Table213[[#This Row],[كد تفصيلي]],'مانده سوفاله'!A:A,0)),0)</f>
        <v>1</v>
      </c>
    </row>
    <row r="76" spans="1:7" ht="24.75" customHeight="1" x14ac:dyDescent="0.35">
      <c r="A76" s="27">
        <v>10002</v>
      </c>
      <c r="B76" s="55" t="s">
        <v>9</v>
      </c>
      <c r="C76" s="10">
        <f>IFERROR(INDEX('حسابهای دریافتنی'!H:H,MATCH(Table213[[#This Row],[كد تفصيلي]],'حسابهای دریافتنی'!A:A,0)),0)</f>
        <v>-3600000000</v>
      </c>
      <c r="D76" s="11">
        <f>IFERROR(INDEX('درجریان وصول'!F:F,MATCH(Table213[[#This Row],[كد تفصيلي]],'درجریان وصول'!A:A,0)),0)</f>
        <v>0</v>
      </c>
      <c r="E76" s="11">
        <f>IFERROR(INDEX('چکهای دریافتنی'!F:F,MATCH(Table213[[#This Row],[كد تفصيلي]],'چکهای دریافتنی'!A:A,0)),0)</f>
        <v>0</v>
      </c>
      <c r="F76" s="11">
        <f>Table213[[#This Row],[حسابهای دریافتنی]]+Table213[[#This Row],[چکهای در جریان وصول]]+Table213[[#This Row],[چکهای نزد صندوق]]</f>
        <v>-3600000000</v>
      </c>
      <c r="G76" s="12">
        <f>IFERROR(INDEX('مانده سوفاله'!F:F,MATCH(Table213[[#This Row],[كد تفصيلي]],'مانده سوفاله'!A:A,0)),0)</f>
        <v>0</v>
      </c>
    </row>
    <row r="77" spans="1:7" ht="24.75" customHeight="1" x14ac:dyDescent="0.35">
      <c r="A77" s="27">
        <v>10072</v>
      </c>
      <c r="B77" s="55" t="s">
        <v>177</v>
      </c>
      <c r="C77" s="10">
        <f>IFERROR(INDEX('حسابهای دریافتنی'!H:H,MATCH(Table213[[#This Row],[كد تفصيلي]],'حسابهای دریافتنی'!A:A,0)),0)</f>
        <v>55880</v>
      </c>
      <c r="D77" s="11">
        <f>IFERROR(INDEX('درجریان وصول'!F:F,MATCH(Table213[[#This Row],[كد تفصيلي]],'درجریان وصول'!A:A,0)),0)</f>
        <v>0</v>
      </c>
      <c r="E77" s="11">
        <f>IFERROR(INDEX('چکهای دریافتنی'!F:F,MATCH(Table213[[#This Row],[كد تفصيلي]],'چکهای دریافتنی'!A:A,0)),0)</f>
        <v>427700000</v>
      </c>
      <c r="F77" s="11">
        <f>Table213[[#This Row],[حسابهای دریافتنی]]+Table213[[#This Row],[چکهای در جریان وصول]]+Table213[[#This Row],[چکهای نزد صندوق]]</f>
        <v>427755880</v>
      </c>
      <c r="G77" s="12">
        <f>IFERROR(INDEX('مانده سوفاله'!F:F,MATCH(Table213[[#This Row],[كد تفصيلي]],'مانده سوفاله'!A:A,0)),0)</f>
        <v>0</v>
      </c>
    </row>
    <row r="78" spans="1:7" ht="24.75" customHeight="1" x14ac:dyDescent="0.35">
      <c r="A78" s="27">
        <v>30020</v>
      </c>
      <c r="B78" s="55" t="s">
        <v>68</v>
      </c>
      <c r="C78" s="10">
        <f>IFERROR(INDEX('حسابهای دریافتنی'!H:H,MATCH(Table213[[#This Row],[كد تفصيلي]],'حسابهای دریافتنی'!A:A,0)),0)</f>
        <v>2253500</v>
      </c>
      <c r="D78" s="11">
        <f>IFERROR(INDEX('درجریان وصول'!F:F,MATCH(Table213[[#This Row],[كد تفصيلي]],'درجریان وصول'!A:A,0)),0)</f>
        <v>0</v>
      </c>
      <c r="E78" s="11">
        <f>IFERROR(INDEX('چکهای دریافتنی'!F:F,MATCH(Table213[[#This Row],[كد تفصيلي]],'چکهای دریافتنی'!A:A,0)),0)</f>
        <v>0</v>
      </c>
      <c r="F78" s="11">
        <f>Table213[[#This Row],[حسابهای دریافتنی]]+Table213[[#This Row],[چکهای در جریان وصول]]+Table213[[#This Row],[چکهای نزد صندوق]]</f>
        <v>2253500</v>
      </c>
      <c r="G78" s="12">
        <f>IFERROR(INDEX('مانده سوفاله'!F:F,MATCH(Table213[[#This Row],[كد تفصيلي]],'مانده سوفاله'!A:A,0)),0)</f>
        <v>4</v>
      </c>
    </row>
    <row r="79" spans="1:7" ht="24.75" customHeight="1" x14ac:dyDescent="0.35">
      <c r="A79" s="27">
        <v>10010</v>
      </c>
      <c r="B79" s="55" t="s">
        <v>17</v>
      </c>
      <c r="C79" s="10">
        <f>IFERROR(INDEX('حسابهای دریافتنی'!H:H,MATCH(Table213[[#This Row],[كد تفصيلي]],'حسابهای دریافتنی'!A:A,0)),0)</f>
        <v>0</v>
      </c>
      <c r="D79" s="11">
        <f>IFERROR(INDEX('درجریان وصول'!F:F,MATCH(Table213[[#This Row],[كد تفصيلي]],'درجریان وصول'!A:A,0)),0)</f>
        <v>0</v>
      </c>
      <c r="E79" s="11">
        <f>IFERROR(INDEX('چکهای دریافتنی'!F:F,MATCH(Table213[[#This Row],[كد تفصيلي]],'چکهای دریافتنی'!A:A,0)),0)</f>
        <v>0</v>
      </c>
      <c r="F79" s="11">
        <f>Table213[[#This Row],[حسابهای دریافتنی]]+Table213[[#This Row],[چکهای در جریان وصول]]+Table213[[#This Row],[چکهای نزد صندوق]]</f>
        <v>0</v>
      </c>
      <c r="G79" s="12">
        <f>IFERROR(INDEX('مانده سوفاله'!F:F,MATCH(Table213[[#This Row],[كد تفصيلي]],'مانده سوفاله'!A:A,0)),0)</f>
        <v>8</v>
      </c>
    </row>
    <row r="80" spans="1:7" ht="24.75" customHeight="1" x14ac:dyDescent="0.35">
      <c r="A80" s="26">
        <v>10023</v>
      </c>
      <c r="B80" s="56" t="s">
        <v>155</v>
      </c>
      <c r="C80" s="10">
        <f>IFERROR(INDEX('حسابهای دریافتنی'!H:H,MATCH(Table213[[#This Row],[كد تفصيلي]],'حسابهای دریافتنی'!A:A,0)),0)</f>
        <v>0</v>
      </c>
      <c r="D80" s="11">
        <f>IFERROR(INDEX('درجریان وصول'!F:F,MATCH(Table213[[#This Row],[كد تفصيلي]],'درجریان وصول'!A:A,0)),0)</f>
        <v>0</v>
      </c>
      <c r="E80" s="11">
        <f>IFERROR(INDEX('چکهای دریافتنی'!F:F,MATCH(Table213[[#This Row],[كد تفصيلي]],'چکهای دریافتنی'!A:A,0)),0)</f>
        <v>0</v>
      </c>
      <c r="F80" s="11">
        <f>Table213[[#This Row],[حسابهای دریافتنی]]+Table213[[#This Row],[چکهای در جریان وصول]]+Table213[[#This Row],[چکهای نزد صندوق]]</f>
        <v>0</v>
      </c>
      <c r="G80" s="12">
        <f>IFERROR(INDEX('مانده سوفاله'!F:F,MATCH(Table213[[#This Row],[كد تفصيلي]],'مانده سوفاله'!A:A,0)),0)</f>
        <v>6</v>
      </c>
    </row>
    <row r="81" spans="1:7" ht="24.75" customHeight="1" x14ac:dyDescent="0.35">
      <c r="A81" s="26">
        <v>10039</v>
      </c>
      <c r="B81" s="56" t="s">
        <v>45</v>
      </c>
      <c r="C81" s="10">
        <f>IFERROR(INDEX('حسابهای دریافتنی'!H:H,MATCH(Table213[[#This Row],[كد تفصيلي]],'حسابهای دریافتنی'!A:A,0)),0)</f>
        <v>0</v>
      </c>
      <c r="D81" s="11">
        <f>IFERROR(INDEX('درجریان وصول'!F:F,MATCH(Table213[[#This Row],[كد تفصيلي]],'درجریان وصول'!A:A,0)),0)</f>
        <v>0</v>
      </c>
      <c r="E81" s="11">
        <f>IFERROR(INDEX('چکهای دریافتنی'!F:F,MATCH(Table213[[#This Row],[كد تفصيلي]],'چکهای دریافتنی'!A:A,0)),0)</f>
        <v>0</v>
      </c>
      <c r="F81" s="11">
        <f>Table213[[#This Row],[حسابهای دریافتنی]]+Table213[[#This Row],[چکهای در جریان وصول]]+Table213[[#This Row],[چکهای نزد صندوق]]</f>
        <v>0</v>
      </c>
      <c r="G81" s="12">
        <f>IFERROR(INDEX('مانده سوفاله'!F:F,MATCH(Table213[[#This Row],[كد تفصيلي]],'مانده سوفاله'!A:A,0)),0)</f>
        <v>4</v>
      </c>
    </row>
    <row r="82" spans="1:7" customFormat="1" ht="24.75" customHeight="1" x14ac:dyDescent="0.35">
      <c r="A82" s="54">
        <v>10046</v>
      </c>
      <c r="B82" s="55" t="s">
        <v>51</v>
      </c>
      <c r="C82" s="10">
        <f>IFERROR(INDEX('حسابهای دریافتنی'!H:H,MATCH(Table213[[#This Row],[كد تفصيلي]],'حسابهای دریافتنی'!A:A,0)),0)</f>
        <v>0</v>
      </c>
      <c r="D82" s="11">
        <f>IFERROR(INDEX('درجریان وصول'!F:F,MATCH(Table213[[#This Row],[كد تفصيلي]],'درجریان وصول'!A:A,0)),0)</f>
        <v>0</v>
      </c>
      <c r="E82" s="11">
        <f>IFERROR(INDEX('چکهای دریافتنی'!F:F,MATCH(Table213[[#This Row],[كد تفصيلي]],'چکهای دریافتنی'!A:A,0)),0)</f>
        <v>0</v>
      </c>
      <c r="F82" s="11">
        <f>Table213[[#This Row],[حسابهای دریافتنی]]+Table213[[#This Row],[چکهای در جریان وصول]]+Table213[[#This Row],[چکهای نزد صندوق]]</f>
        <v>0</v>
      </c>
      <c r="G82" s="12">
        <f>IFERROR(INDEX('مانده سوفاله'!F:F,MATCH(Table213[[#This Row],[كد تفصيلي]],'مانده سوفاله'!A:A,0)),0)</f>
        <v>118</v>
      </c>
    </row>
    <row r="83" spans="1:7" customFormat="1" ht="24.75" customHeight="1" x14ac:dyDescent="0.35">
      <c r="A83" s="54">
        <v>10048</v>
      </c>
      <c r="B83" s="55" t="s">
        <v>191</v>
      </c>
      <c r="C83" s="10">
        <f>IFERROR(INDEX('حسابهای دریافتنی'!H:H,MATCH(Table213[[#This Row],[كد تفصيلي]],'حسابهای دریافتنی'!A:A,0)),0)</f>
        <v>0</v>
      </c>
      <c r="D83" s="11">
        <f>IFERROR(INDEX('درجریان وصول'!F:F,MATCH(Table213[[#This Row],[كد تفصيلي]],'درجریان وصول'!A:A,0)),0)</f>
        <v>0</v>
      </c>
      <c r="E83" s="11">
        <f>IFERROR(INDEX('چکهای دریافتنی'!F:F,MATCH(Table213[[#This Row],[كد تفصيلي]],'چکهای دریافتنی'!A:A,0)),0)</f>
        <v>0</v>
      </c>
      <c r="F83" s="11">
        <f>Table213[[#This Row],[حسابهای دریافتنی]]+Table213[[#This Row],[چکهای در جریان وصول]]+Table213[[#This Row],[چکهای نزد صندوق]]</f>
        <v>0</v>
      </c>
      <c r="G83" s="12">
        <f>IFERROR(INDEX('مانده سوفاله'!F:F,MATCH(Table213[[#This Row],[كد تفصيلي]],'مانده سوفاله'!A:A,0)),0)</f>
        <v>-1097</v>
      </c>
    </row>
    <row r="84" spans="1:7" customFormat="1" ht="24.75" customHeight="1" x14ac:dyDescent="0.35">
      <c r="A84" s="53">
        <v>10065</v>
      </c>
      <c r="B84" s="56" t="s">
        <v>228</v>
      </c>
      <c r="C84" s="10">
        <f>IFERROR(INDEX('حسابهای دریافتنی'!H:H,MATCH(Table213[[#This Row],[كد تفصيلي]],'حسابهای دریافتنی'!A:A,0)),0)</f>
        <v>0</v>
      </c>
      <c r="D84" s="11">
        <f>IFERROR(INDEX('درجریان وصول'!F:F,MATCH(Table213[[#This Row],[كد تفصيلي]],'درجریان وصول'!A:A,0)),0)</f>
        <v>0</v>
      </c>
      <c r="E84" s="11">
        <f>IFERROR(INDEX('چکهای دریافتنی'!F:F,MATCH(Table213[[#This Row],[كد تفصيلي]],'چکهای دریافتنی'!A:A,0)),0)</f>
        <v>0</v>
      </c>
      <c r="F84" s="11">
        <f>Table213[[#This Row],[حسابهای دریافتنی]]+Table213[[#This Row],[چکهای در جریان وصول]]+Table213[[#This Row],[چکهای نزد صندوق]]</f>
        <v>0</v>
      </c>
      <c r="G84" s="12">
        <f>IFERROR(INDEX('مانده سوفاله'!F:F,MATCH(Table213[[#This Row],[كد تفصيلي]],'مانده سوفاله'!A:A,0)),0)</f>
        <v>127</v>
      </c>
    </row>
    <row r="85" spans="1:7" customFormat="1" ht="24.75" customHeight="1" x14ac:dyDescent="0.35">
      <c r="A85" s="54">
        <v>10076</v>
      </c>
      <c r="B85" s="55" t="s">
        <v>182</v>
      </c>
      <c r="C85" s="10">
        <f>IFERROR(INDEX('حسابهای دریافتنی'!H:H,MATCH(Table213[[#This Row],[كد تفصيلي]],'حسابهای دریافتنی'!A:A,0)),0)</f>
        <v>0</v>
      </c>
      <c r="D85" s="11">
        <f>IFERROR(INDEX('درجریان وصول'!F:F,MATCH(Table213[[#This Row],[كد تفصيلي]],'درجریان وصول'!A:A,0)),0)</f>
        <v>0</v>
      </c>
      <c r="E85" s="11">
        <f>IFERROR(INDEX('چکهای دریافتنی'!F:F,MATCH(Table213[[#This Row],[كد تفصيلي]],'چکهای دریافتنی'!A:A,0)),0)</f>
        <v>0</v>
      </c>
      <c r="F85" s="11">
        <f>Table213[[#This Row],[حسابهای دریافتنی]]+Table213[[#This Row],[چکهای در جریان وصول]]+Table213[[#This Row],[چکهای نزد صندوق]]</f>
        <v>0</v>
      </c>
      <c r="G85" s="12">
        <f>IFERROR(INDEX('مانده سوفاله'!F:F,MATCH(Table213[[#This Row],[كد تفصيلي]],'مانده سوفاله'!A:A,0)),0)</f>
        <v>-13</v>
      </c>
    </row>
    <row r="86" spans="1:7" ht="24.75" customHeight="1" x14ac:dyDescent="0.35">
      <c r="A86" s="26">
        <v>30013</v>
      </c>
      <c r="B86" s="56" t="s">
        <v>62</v>
      </c>
      <c r="C86" s="10">
        <f>IFERROR(INDEX('حسابهای دریافتنی'!H:H,MATCH(Table213[[#This Row],[كد تفصيلي]],'حسابهای دریافتنی'!A:A,0)),0)</f>
        <v>-2744620</v>
      </c>
      <c r="D86" s="11">
        <f>IFERROR(INDEX('درجریان وصول'!F:F,MATCH(Table213[[#This Row],[كد تفصيلي]],'درجریان وصول'!A:A,0)),0)</f>
        <v>0</v>
      </c>
      <c r="E86" s="11">
        <f>IFERROR(INDEX('چکهای دریافتنی'!F:F,MATCH(Table213[[#This Row],[كد تفصيلي]],'چکهای دریافتنی'!A:A,0)),0)</f>
        <v>0</v>
      </c>
      <c r="F86" s="11">
        <f>Table213[[#This Row],[حسابهای دریافتنی]]+Table213[[#This Row],[چکهای در جریان وصول]]+Table213[[#This Row],[چکهای نزد صندوق]]</f>
        <v>-2744620</v>
      </c>
      <c r="G86" s="12">
        <f>IFERROR(INDEX('مانده سوفاله'!F:F,MATCH(Table213[[#This Row],[كد تفصيلي]],'مانده سوفاله'!A:A,0)),0)</f>
        <v>0</v>
      </c>
    </row>
    <row r="87" spans="1:7" ht="24.75" customHeight="1" x14ac:dyDescent="0.35">
      <c r="A87" s="27">
        <v>30065</v>
      </c>
      <c r="B87" s="55" t="s">
        <v>110</v>
      </c>
      <c r="C87" s="10">
        <f>IFERROR(INDEX('حسابهای دریافتنی'!H:H,MATCH(Table213[[#This Row],[كد تفصيلي]],'حسابهای دریافتنی'!A:A,0)),0)</f>
        <v>0</v>
      </c>
      <c r="D87" s="11">
        <f>IFERROR(INDEX('درجریان وصول'!F:F,MATCH(Table213[[#This Row],[كد تفصيلي]],'درجریان وصول'!A:A,0)),0)</f>
        <v>0</v>
      </c>
      <c r="E87" s="11">
        <f>IFERROR(INDEX('چکهای دریافتنی'!F:F,MATCH(Table213[[#This Row],[كد تفصيلي]],'چکهای دریافتنی'!A:A,0)),0)</f>
        <v>0</v>
      </c>
      <c r="F87" s="11">
        <f>Table213[[#This Row],[حسابهای دریافتنی]]+Table213[[#This Row],[چکهای در جریان وصول]]+Table213[[#This Row],[چکهای نزد صندوق]]</f>
        <v>0</v>
      </c>
      <c r="G87" s="12">
        <f>IFERROR(INDEX('مانده سوفاله'!F:F,MATCH(Table213[[#This Row],[كد تفصيلي]],'مانده سوفاله'!A:A,0)),0)</f>
        <v>33</v>
      </c>
    </row>
    <row r="88" spans="1:7" ht="24.75" customHeight="1" x14ac:dyDescent="0.35">
      <c r="A88" s="27">
        <v>30071</v>
      </c>
      <c r="B88" s="55" t="s">
        <v>116</v>
      </c>
      <c r="C88" s="10">
        <f>IFERROR(INDEX('حسابهای دریافتنی'!H:H,MATCH(Table213[[#This Row],[كد تفصيلي]],'حسابهای دریافتنی'!A:A,0)),0)</f>
        <v>0</v>
      </c>
      <c r="D88" s="11">
        <f>IFERROR(INDEX('درجریان وصول'!F:F,MATCH(Table213[[#This Row],[كد تفصيلي]],'درجریان وصول'!A:A,0)),0)</f>
        <v>0</v>
      </c>
      <c r="E88" s="11">
        <f>IFERROR(INDEX('چکهای دریافتنی'!F:F,MATCH(Table213[[#This Row],[كد تفصيلي]],'چکهای دریافتنی'!A:A,0)),0)</f>
        <v>0</v>
      </c>
      <c r="F88" s="11">
        <f>Table213[[#This Row],[حسابهای دریافتنی]]+Table213[[#This Row],[چکهای در جریان وصول]]+Table213[[#This Row],[چکهای نزد صندوق]]</f>
        <v>0</v>
      </c>
      <c r="G88" s="12">
        <f>IFERROR(INDEX('مانده سوفاله'!F:F,MATCH(Table213[[#This Row],[كد تفصيلي]],'مانده سوفاله'!A:A,0)),0)</f>
        <v>3</v>
      </c>
    </row>
    <row r="89" spans="1:7" ht="24.75" customHeight="1" x14ac:dyDescent="0.35">
      <c r="A89" s="27">
        <v>30077</v>
      </c>
      <c r="B89" s="55" t="s">
        <v>122</v>
      </c>
      <c r="C89" s="10">
        <f>IFERROR(INDEX('حسابهای دریافتنی'!H:H,MATCH(Table213[[#This Row],[كد تفصيلي]],'حسابهای دریافتنی'!A:A,0)),0)</f>
        <v>360000</v>
      </c>
      <c r="D89" s="11">
        <f>IFERROR(INDEX('درجریان وصول'!F:F,MATCH(Table213[[#This Row],[كد تفصيلي]],'درجریان وصول'!A:A,0)),0)</f>
        <v>0</v>
      </c>
      <c r="E89" s="11">
        <f>IFERROR(INDEX('چکهای دریافتنی'!F:F,MATCH(Table213[[#This Row],[كد تفصيلي]],'چکهای دریافتنی'!A:A,0)),0)</f>
        <v>0</v>
      </c>
      <c r="F89" s="11">
        <f>Table213[[#This Row],[حسابهای دریافتنی]]+Table213[[#This Row],[چکهای در جریان وصول]]+Table213[[#This Row],[چکهای نزد صندوق]]</f>
        <v>360000</v>
      </c>
      <c r="G89" s="12">
        <f>IFERROR(INDEX('مانده سوفاله'!F:F,MATCH(Table213[[#This Row],[كد تفصيلي]],'مانده سوفاله'!A:A,0)),0)</f>
        <v>-32</v>
      </c>
    </row>
    <row r="90" spans="1:7" ht="24.75" customHeight="1" x14ac:dyDescent="0.35">
      <c r="A90" s="27">
        <v>30079</v>
      </c>
      <c r="B90" s="55" t="s">
        <v>124</v>
      </c>
      <c r="C90" s="10">
        <f>IFERROR(INDEX('حسابهای دریافتنی'!H:H,MATCH(Table213[[#This Row],[كد تفصيلي]],'حسابهای دریافتنی'!A:A,0)),0)</f>
        <v>0</v>
      </c>
      <c r="D90" s="11">
        <f>IFERROR(INDEX('درجریان وصول'!F:F,MATCH(Table213[[#This Row],[كد تفصيلي]],'درجریان وصول'!A:A,0)),0)</f>
        <v>0</v>
      </c>
      <c r="E90" s="11">
        <f>IFERROR(INDEX('چکهای دریافتنی'!F:F,MATCH(Table213[[#This Row],[كد تفصيلي]],'چکهای دریافتنی'!A:A,0)),0)</f>
        <v>0</v>
      </c>
      <c r="F90" s="11">
        <f>Table213[[#This Row],[حسابهای دریافتنی]]+Table213[[#This Row],[چکهای در جریان وصول]]+Table213[[#This Row],[چکهای نزد صندوق]]</f>
        <v>0</v>
      </c>
      <c r="G90" s="12">
        <f>IFERROR(INDEX('مانده سوفاله'!F:F,MATCH(Table213[[#This Row],[كد تفصيلي]],'مانده سوفاله'!A:A,0)),0)</f>
        <v>-85</v>
      </c>
    </row>
    <row r="91" spans="1:7" ht="24.75" customHeight="1" x14ac:dyDescent="0.35">
      <c r="A91" s="27">
        <v>30097</v>
      </c>
      <c r="B91" s="55" t="s">
        <v>188</v>
      </c>
      <c r="C91" s="10">
        <f>IFERROR(INDEX('حسابهای دریافتنی'!H:H,MATCH(Table213[[#This Row],[كد تفصيلي]],'حسابهای دریافتنی'!A:A,0)),0)</f>
        <v>0</v>
      </c>
      <c r="D91" s="11">
        <f>IFERROR(INDEX('درجریان وصول'!F:F,MATCH(Table213[[#This Row],[كد تفصيلي]],'درجریان وصول'!A:A,0)),0)</f>
        <v>0</v>
      </c>
      <c r="E91" s="11">
        <f>IFERROR(INDEX('چکهای دریافتنی'!F:F,MATCH(Table213[[#This Row],[كد تفصيلي]],'چکهای دریافتنی'!A:A,0)),0)</f>
        <v>0</v>
      </c>
      <c r="F91" s="11">
        <f>Table213[[#This Row],[حسابهای دریافتنی]]+Table213[[#This Row],[چکهای در جریان وصول]]+Table213[[#This Row],[چکهای نزد صندوق]]</f>
        <v>0</v>
      </c>
      <c r="G91" s="12">
        <f>IFERROR(INDEX('مانده سوفاله'!F:F,MATCH(Table213[[#This Row],[كد تفصيلي]],'مانده سوفاله'!A:A,0)),0)</f>
        <v>-82</v>
      </c>
    </row>
    <row r="92" spans="1:7" ht="24.75" customHeight="1" x14ac:dyDescent="0.35">
      <c r="A92" s="26">
        <v>30118</v>
      </c>
      <c r="B92" s="56" t="s">
        <v>205</v>
      </c>
      <c r="C92" s="10">
        <f>IFERROR(INDEX('حسابهای دریافتنی'!H:H,MATCH(Table213[[#This Row],[كد تفصيلي]],'حسابهای دریافتنی'!A:A,0)),0)</f>
        <v>0</v>
      </c>
      <c r="D92" s="11">
        <f>IFERROR(INDEX('درجریان وصول'!F:F,MATCH(Table213[[#This Row],[كد تفصيلي]],'درجریان وصول'!A:A,0)),0)</f>
        <v>0</v>
      </c>
      <c r="E92" s="11">
        <f>IFERROR(INDEX('چکهای دریافتنی'!F:F,MATCH(Table213[[#This Row],[كد تفصيلي]],'چکهای دریافتنی'!A:A,0)),0)</f>
        <v>0</v>
      </c>
      <c r="F92" s="11">
        <f>Table213[[#This Row],[حسابهای دریافتنی]]+Table213[[#This Row],[چکهای در جریان وصول]]+Table213[[#This Row],[چکهای نزد صندوق]]</f>
        <v>0</v>
      </c>
      <c r="G92" s="12">
        <f>IFERROR(INDEX('مانده سوفاله'!F:F,MATCH(Table213[[#This Row],[كد تفصيلي]],'مانده سوفاله'!A:A,0)),0)</f>
        <v>-20</v>
      </c>
    </row>
    <row r="93" spans="1:7" ht="24.75" customHeight="1" x14ac:dyDescent="0.35">
      <c r="A93" s="27">
        <v>30137</v>
      </c>
      <c r="B93" s="55" t="s">
        <v>218</v>
      </c>
      <c r="C93" s="10">
        <f>IFERROR(INDEX('حسابهای دریافتنی'!H:H,MATCH(Table213[[#This Row],[كد تفصيلي]],'حسابهای دریافتنی'!A:A,0)),0)</f>
        <v>0</v>
      </c>
      <c r="D93" s="11">
        <f>IFERROR(INDEX('درجریان وصول'!F:F,MATCH(Table213[[#This Row],[كد تفصيلي]],'درجریان وصول'!A:A,0)),0)</f>
        <v>0</v>
      </c>
      <c r="E93" s="11">
        <f>IFERROR(INDEX('چکهای دریافتنی'!F:F,MATCH(Table213[[#This Row],[كد تفصيلي]],'چکهای دریافتنی'!A:A,0)),0)</f>
        <v>213182200</v>
      </c>
      <c r="F93" s="11">
        <f>Table213[[#This Row],[حسابهای دریافتنی]]+Table213[[#This Row],[چکهای در جریان وصول]]+Table213[[#This Row],[چکهای نزد صندوق]]</f>
        <v>213182200</v>
      </c>
      <c r="G93" s="12">
        <f>IFERROR(INDEX('مانده سوفاله'!F:F,MATCH(Table213[[#This Row],[كد تفصيلي]],'مانده سوفاله'!A:A,0)),0)</f>
        <v>0</v>
      </c>
    </row>
    <row r="94" spans="1:7" ht="24.75" customHeight="1" x14ac:dyDescent="0.35">
      <c r="A94" s="27">
        <v>30141</v>
      </c>
      <c r="B94" s="55" t="s">
        <v>261</v>
      </c>
      <c r="C94" s="10">
        <f>IFERROR(INDEX('حسابهای دریافتنی'!H:H,MATCH(Table213[[#This Row],[كد تفصيلي]],'حسابهای دریافتنی'!A:A,0)),0)</f>
        <v>0</v>
      </c>
      <c r="D94" s="11">
        <f>IFERROR(INDEX('درجریان وصول'!F:F,MATCH(Table213[[#This Row],[كد تفصيلي]],'درجریان وصول'!A:A,0)),0)</f>
        <v>0</v>
      </c>
      <c r="E94" s="11">
        <f>IFERROR(INDEX('چکهای دریافتنی'!F:F,MATCH(Table213[[#This Row],[كد تفصيلي]],'چکهای دریافتنی'!A:A,0)),0)</f>
        <v>0</v>
      </c>
      <c r="F94" s="11">
        <f>Table213[[#This Row],[حسابهای دریافتنی]]+Table213[[#This Row],[چکهای در جریان وصول]]+Table213[[#This Row],[چکهای نزد صندوق]]</f>
        <v>0</v>
      </c>
      <c r="G94" s="12">
        <f>IFERROR(INDEX('مانده سوفاله'!F:F,MATCH(Table213[[#This Row],[كد تفصيلي]],'مانده سوفاله'!A:A,0)),0)</f>
        <v>-42</v>
      </c>
    </row>
    <row r="95" spans="1:7" ht="24.75" customHeight="1" x14ac:dyDescent="0.35">
      <c r="A95" s="26">
        <v>30142</v>
      </c>
      <c r="B95" s="56" t="s">
        <v>263</v>
      </c>
      <c r="C95" s="10">
        <f>IFERROR(INDEX('حسابهای دریافتنی'!H:H,MATCH(Table213[[#This Row],[كد تفصيلي]],'حسابهای دریافتنی'!A:A,0)),0)</f>
        <v>0</v>
      </c>
      <c r="D95" s="11">
        <f>IFERROR(INDEX('درجریان وصول'!F:F,MATCH(Table213[[#This Row],[كد تفصيلي]],'درجریان وصول'!A:A,0)),0)</f>
        <v>0</v>
      </c>
      <c r="E95" s="11">
        <f>IFERROR(INDEX('چکهای دریافتنی'!F:F,MATCH(Table213[[#This Row],[كد تفصيلي]],'چکهای دریافتنی'!A:A,0)),0)</f>
        <v>0</v>
      </c>
      <c r="F95" s="11">
        <f>Table213[[#This Row],[حسابهای دریافتنی]]+Table213[[#This Row],[چکهای در جریان وصول]]+Table213[[#This Row],[چکهای نزد صندوق]]</f>
        <v>0</v>
      </c>
      <c r="G95" s="12">
        <f>IFERROR(INDEX('مانده سوفاله'!F:F,MATCH(Table213[[#This Row],[كد تفصيلي]],'مانده سوفاله'!A:A,0)),0)</f>
        <v>13</v>
      </c>
    </row>
    <row r="96" spans="1:7" ht="24.75" customHeight="1" x14ac:dyDescent="0.35">
      <c r="A96" s="26">
        <v>30186</v>
      </c>
      <c r="B96" s="56" t="s">
        <v>367</v>
      </c>
      <c r="C96" s="10">
        <f>IFERROR(INDEX('حسابهای دریافتنی'!H:H,MATCH(Table213[[#This Row],[كد تفصيلي]],'حسابهای دریافتنی'!A:A,0)),0)</f>
        <v>986425000</v>
      </c>
      <c r="D96" s="11">
        <f>IFERROR(INDEX('درجریان وصول'!F:F,MATCH(Table213[[#This Row],[كد تفصيلي]],'درجریان وصول'!A:A,0)),0)</f>
        <v>0</v>
      </c>
      <c r="E96" s="11">
        <f>IFERROR(INDEX('چکهای دریافتنی'!F:F,MATCH(Table213[[#This Row],[كد تفصيلي]],'چکهای دریافتنی'!A:A,0)),0)</f>
        <v>5982430000</v>
      </c>
      <c r="F96" s="11">
        <f>Table213[[#This Row],[حسابهای دریافتنی]]+Table213[[#This Row],[چکهای در جریان وصول]]+Table213[[#This Row],[چکهای نزد صندوق]]</f>
        <v>6968855000</v>
      </c>
      <c r="G96" s="12">
        <f>IFERROR(INDEX('مانده سوفاله'!F:F,MATCH(Table213[[#This Row],[كد تفصيلي]],'مانده سوفاله'!A:A,0)),0)</f>
        <v>-7388</v>
      </c>
    </row>
    <row r="97" spans="1:7" ht="24.75" customHeight="1" x14ac:dyDescent="0.35">
      <c r="A97" s="27">
        <v>79010</v>
      </c>
      <c r="B97" s="55" t="s">
        <v>176</v>
      </c>
      <c r="C97" s="10">
        <f>IFERROR(INDEX('حسابهای دریافتنی'!H:H,MATCH(Table213[[#This Row],[كد تفصيلي]],'حسابهای دریافتنی'!A:A,0)),0)</f>
        <v>0</v>
      </c>
      <c r="D97" s="11">
        <f>IFERROR(INDEX('درجریان وصول'!F:F,MATCH(Table213[[#This Row],[كد تفصيلي]],'درجریان وصول'!A:A,0)),0)</f>
        <v>0</v>
      </c>
      <c r="E97" s="11">
        <f>IFERROR(INDEX('چکهای دریافتنی'!F:F,MATCH(Table213[[#This Row],[كد تفصيلي]],'چکهای دریافتنی'!A:A,0)),0)</f>
        <v>0</v>
      </c>
      <c r="F97" s="11">
        <f>Table213[[#This Row],[حسابهای دریافتنی]]+Table213[[#This Row],[چکهای در جریان وصول]]+Table213[[#This Row],[چکهای نزد صندوق]]</f>
        <v>0</v>
      </c>
      <c r="G97" s="12">
        <f>IFERROR(INDEX('مانده سوفاله'!F:F,MATCH(Table213[[#This Row],[كد تفصيلي]],'مانده سوفاله'!A:A,0)),0)</f>
        <v>-110</v>
      </c>
    </row>
    <row r="98" spans="1:7" ht="24.75" customHeight="1" x14ac:dyDescent="0.35">
      <c r="A98" s="27">
        <v>30026</v>
      </c>
      <c r="B98" s="55" t="s">
        <v>74</v>
      </c>
      <c r="C98" s="10">
        <f>IFERROR(INDEX('حسابهای دریافتنی'!H:H,MATCH(Table213[[#This Row],[كد تفصيلي]],'حسابهای دریافتنی'!A:A,0)),0)</f>
        <v>5689439</v>
      </c>
      <c r="D98" s="11">
        <f>IFERROR(INDEX('درجریان وصول'!F:F,MATCH(Table213[[#This Row],[كد تفصيلي]],'درجریان وصول'!A:A,0)),0)</f>
        <v>0</v>
      </c>
      <c r="E98" s="11">
        <f>IFERROR(INDEX('چکهای دریافتنی'!F:F,MATCH(Table213[[#This Row],[كد تفصيلي]],'چکهای دریافتنی'!A:A,0)),0)</f>
        <v>0</v>
      </c>
      <c r="F98" s="11">
        <f>Table213[[#This Row],[حسابهای دریافتنی]]+Table213[[#This Row],[چکهای در جریان وصول]]+Table213[[#This Row],[چکهای نزد صندوق]]</f>
        <v>5689439</v>
      </c>
      <c r="G98" s="12">
        <f>IFERROR(INDEX('مانده سوفاله'!F:F,MATCH(Table213[[#This Row],[كد تفصيلي]],'مانده سوفاله'!A:A,0)),0)</f>
        <v>764</v>
      </c>
    </row>
    <row r="99" spans="1:7" ht="24.75" customHeight="1" x14ac:dyDescent="0.35">
      <c r="A99" s="26">
        <v>30164</v>
      </c>
      <c r="B99" s="56" t="s">
        <v>304</v>
      </c>
      <c r="C99" s="10">
        <f>IFERROR(INDEX('حسابهای دریافتنی'!H:H,MATCH(Table213[[#This Row],[كد تفصيلي]],'حسابهای دریافتنی'!A:A,0)),0)</f>
        <v>184944000</v>
      </c>
      <c r="D99" s="11">
        <f>IFERROR(INDEX('درجریان وصول'!F:F,MATCH(Table213[[#This Row],[كد تفصيلي]],'درجریان وصول'!A:A,0)),0)</f>
        <v>0</v>
      </c>
      <c r="E99" s="11">
        <f>IFERROR(INDEX('چکهای دریافتنی'!F:F,MATCH(Table213[[#This Row],[كد تفصيلي]],'چکهای دریافتنی'!A:A,0)),0)</f>
        <v>0</v>
      </c>
      <c r="F99" s="11">
        <f>Table213[[#This Row],[حسابهای دریافتنی]]+Table213[[#This Row],[چکهای در جریان وصول]]+Table213[[#This Row],[چکهای نزد صندوق]]</f>
        <v>184944000</v>
      </c>
      <c r="G99" s="12">
        <f>IFERROR(INDEX('مانده سوفاله'!F:F,MATCH(Table213[[#This Row],[كد تفصيلي]],'مانده سوفاله'!A:A,0)),0)</f>
        <v>561</v>
      </c>
    </row>
    <row r="100" spans="1:7" ht="24.75" customHeight="1" x14ac:dyDescent="0.35">
      <c r="A100" s="27">
        <v>10109</v>
      </c>
      <c r="B100" s="55" t="s">
        <v>303</v>
      </c>
      <c r="C100" s="10">
        <f>IFERROR(INDEX('حسابهای دریافتنی'!H:H,MATCH(Table213[[#This Row],[كد تفصيلي]],'حسابهای دریافتنی'!A:A,0)),0)</f>
        <v>-1124737000</v>
      </c>
      <c r="D100" s="11">
        <f>IFERROR(INDEX('درجریان وصول'!F:F,MATCH(Table213[[#This Row],[كد تفصيلي]],'درجریان وصول'!A:A,0)),0)</f>
        <v>0</v>
      </c>
      <c r="E100" s="11">
        <f>IFERROR(INDEX('چکهای دریافتنی'!F:F,MATCH(Table213[[#This Row],[كد تفصيلي]],'چکهای دریافتنی'!A:A,0)),0)</f>
        <v>0</v>
      </c>
      <c r="F100" s="11">
        <f>Table213[[#This Row],[حسابهای دریافتنی]]+Table213[[#This Row],[چکهای در جریان وصول]]+Table213[[#This Row],[چکهای نزد صندوق]]</f>
        <v>-1124737000</v>
      </c>
      <c r="G100" s="12">
        <f>IFERROR(INDEX('مانده سوفاله'!F:F,MATCH(Table213[[#This Row],[كد تفصيلي]],'مانده سوفاله'!A:A,0)),0)</f>
        <v>-241</v>
      </c>
    </row>
    <row r="101" spans="1:7" ht="24.75" customHeight="1" x14ac:dyDescent="0.35">
      <c r="A101" s="26">
        <v>30021</v>
      </c>
      <c r="B101" s="56" t="s">
        <v>69</v>
      </c>
      <c r="C101" s="10">
        <f>IFERROR(INDEX('حسابهای دریافتنی'!H:H,MATCH(Table213[[#This Row],[كد تفصيلي]],'حسابهای دریافتنی'!A:A,0)),0)</f>
        <v>-122000</v>
      </c>
      <c r="D101" s="11">
        <f>IFERROR(INDEX('درجریان وصول'!F:F,MATCH(Table213[[#This Row],[كد تفصيلي]],'درجریان وصول'!A:A,0)),0)</f>
        <v>0</v>
      </c>
      <c r="E101" s="11">
        <f>IFERROR(INDEX('چکهای دریافتنی'!F:F,MATCH(Table213[[#This Row],[كد تفصيلي]],'چکهای دریافتنی'!A:A,0)),0)</f>
        <v>0</v>
      </c>
      <c r="F101" s="11">
        <f>Table213[[#This Row],[حسابهای دریافتنی]]+Table213[[#This Row],[چکهای در جریان وصول]]+Table213[[#This Row],[چکهای نزد صندوق]]</f>
        <v>-122000</v>
      </c>
      <c r="G101" s="12">
        <f>IFERROR(INDEX('مانده سوفاله'!F:F,MATCH(Table213[[#This Row],[كد تفصيلي]],'مانده سوفاله'!A:A,0)),0)</f>
        <v>0</v>
      </c>
    </row>
    <row r="102" spans="1:7" ht="24.75" customHeight="1" x14ac:dyDescent="0.35">
      <c r="A102" s="27">
        <v>10066</v>
      </c>
      <c r="B102" s="55" t="s">
        <v>262</v>
      </c>
      <c r="C102" s="10">
        <f>IFERROR(INDEX('حسابهای دریافتنی'!H:H,MATCH(Table213[[#This Row],[كد تفصيلي]],'حسابهای دریافتنی'!A:A,0)),0)</f>
        <v>-191500</v>
      </c>
      <c r="D102" s="11">
        <f>IFERROR(INDEX('درجریان وصول'!F:F,MATCH(Table213[[#This Row],[كد تفصيلي]],'درجریان وصول'!A:A,0)),0)</f>
        <v>0</v>
      </c>
      <c r="E102" s="11">
        <f>IFERROR(INDEX('چکهای دریافتنی'!F:F,MATCH(Table213[[#This Row],[كد تفصيلي]],'چکهای دریافتنی'!A:A,0)),0)</f>
        <v>0</v>
      </c>
      <c r="F102" s="11">
        <f>Table213[[#This Row],[حسابهای دریافتنی]]+Table213[[#This Row],[چکهای در جریان وصول]]+Table213[[#This Row],[چکهای نزد صندوق]]</f>
        <v>-191500</v>
      </c>
      <c r="G102" s="12">
        <f>IFERROR(INDEX('مانده سوفاله'!F:F,MATCH(Table213[[#This Row],[كد تفصيلي]],'مانده سوفاله'!A:A,0)),0)</f>
        <v>2</v>
      </c>
    </row>
    <row r="103" spans="1:7" ht="24.75" customHeight="1" x14ac:dyDescent="0.35">
      <c r="A103" s="27">
        <v>30167</v>
      </c>
      <c r="B103" s="55" t="s">
        <v>311</v>
      </c>
      <c r="C103" s="10">
        <f>IFERROR(INDEX('حسابهای دریافتنی'!H:H,MATCH(Table213[[#This Row],[كد تفصيلي]],'حسابهای دریافتنی'!A:A,0)),0)</f>
        <v>-221000</v>
      </c>
      <c r="D103" s="11">
        <f>IFERROR(INDEX('درجریان وصول'!F:F,MATCH(Table213[[#This Row],[كد تفصيلي]],'درجریان وصول'!A:A,0)),0)</f>
        <v>0</v>
      </c>
      <c r="E103" s="11">
        <f>IFERROR(INDEX('چکهای دریافتنی'!F:F,MATCH(Table213[[#This Row],[كد تفصيلي]],'چکهای دریافتنی'!A:A,0)),0)</f>
        <v>0</v>
      </c>
      <c r="F103" s="11">
        <f>Table213[[#This Row],[حسابهای دریافتنی]]+Table213[[#This Row],[چکهای در جریان وصول]]+Table213[[#This Row],[چکهای نزد صندوق]]</f>
        <v>-221000</v>
      </c>
      <c r="G103" s="12">
        <f>IFERROR(INDEX('مانده سوفاله'!F:F,MATCH(Table213[[#This Row],[كد تفصيلي]],'مانده سوفاله'!A:A,0)),0)</f>
        <v>6</v>
      </c>
    </row>
    <row r="104" spans="1:7" ht="24.75" customHeight="1" x14ac:dyDescent="0.35">
      <c r="A104" s="26">
        <v>10077</v>
      </c>
      <c r="B104" s="56" t="s">
        <v>210</v>
      </c>
      <c r="C104" s="10">
        <f>IFERROR(INDEX('حسابهای دریافتنی'!H:H,MATCH(Table213[[#This Row],[كد تفصيلي]],'حسابهای دریافتنی'!A:A,0)),0)</f>
        <v>-238500</v>
      </c>
      <c r="D104" s="11">
        <f>IFERROR(INDEX('درجریان وصول'!F:F,MATCH(Table213[[#This Row],[كد تفصيلي]],'درجریان وصول'!A:A,0)),0)</f>
        <v>0</v>
      </c>
      <c r="E104" s="11">
        <f>IFERROR(INDEX('چکهای دریافتنی'!F:F,MATCH(Table213[[#This Row],[كد تفصيلي]],'چکهای دریافتنی'!A:A,0)),0)</f>
        <v>0</v>
      </c>
      <c r="F104" s="11">
        <f>Table213[[#This Row],[حسابهای دریافتنی]]+Table213[[#This Row],[چکهای در جریان وصول]]+Table213[[#This Row],[چکهای نزد صندوق]]</f>
        <v>-238500</v>
      </c>
      <c r="G104" s="12">
        <f>IFERROR(INDEX('مانده سوفاله'!F:F,MATCH(Table213[[#This Row],[كد تفصيلي]],'مانده سوفاله'!A:A,0)),0)</f>
        <v>0</v>
      </c>
    </row>
    <row r="105" spans="1:7" ht="24.75" customHeight="1" x14ac:dyDescent="0.35">
      <c r="A105" s="27">
        <v>10012</v>
      </c>
      <c r="B105" s="55" t="s">
        <v>19</v>
      </c>
      <c r="C105" s="10">
        <f>IFERROR(INDEX('حسابهای دریافتنی'!H:H,MATCH(Table213[[#This Row],[كد تفصيلي]],'حسابهای دریافتنی'!A:A,0)),0)</f>
        <v>-244000</v>
      </c>
      <c r="D105" s="11">
        <f>IFERROR(INDEX('درجریان وصول'!F:F,MATCH(Table213[[#This Row],[كد تفصيلي]],'درجریان وصول'!A:A,0)),0)</f>
        <v>0</v>
      </c>
      <c r="E105" s="11">
        <f>IFERROR(INDEX('چکهای دریافتنی'!F:F,MATCH(Table213[[#This Row],[كد تفصيلي]],'چکهای دریافتنی'!A:A,0)),0)</f>
        <v>0</v>
      </c>
      <c r="F105" s="11">
        <f>Table213[[#This Row],[حسابهای دریافتنی]]+Table213[[#This Row],[چکهای در جریان وصول]]+Table213[[#This Row],[چکهای نزد صندوق]]</f>
        <v>-244000</v>
      </c>
      <c r="G105" s="12">
        <f>IFERROR(INDEX('مانده سوفاله'!F:F,MATCH(Table213[[#This Row],[كد تفصيلي]],'مانده سوفاله'!A:A,0)),0)</f>
        <v>0</v>
      </c>
    </row>
    <row r="106" spans="1:7" ht="24.75" customHeight="1" x14ac:dyDescent="0.35">
      <c r="A106" s="26">
        <v>30088</v>
      </c>
      <c r="B106" s="56" t="s">
        <v>142</v>
      </c>
      <c r="C106" s="10">
        <f>IFERROR(INDEX('حسابهای دریافتنی'!H:H,MATCH(Table213[[#This Row],[كد تفصيلي]],'حسابهای دریافتنی'!A:A,0)),0)</f>
        <v>-252000</v>
      </c>
      <c r="D106" s="11">
        <f>IFERROR(INDEX('درجریان وصول'!F:F,MATCH(Table213[[#This Row],[كد تفصيلي]],'درجریان وصول'!A:A,0)),0)</f>
        <v>0</v>
      </c>
      <c r="E106" s="11">
        <f>IFERROR(INDEX('چکهای دریافتنی'!F:F,MATCH(Table213[[#This Row],[كد تفصيلي]],'چکهای دریافتنی'!A:A,0)),0)</f>
        <v>0</v>
      </c>
      <c r="F106" s="11">
        <f>Table213[[#This Row],[حسابهای دریافتنی]]+Table213[[#This Row],[چکهای در جریان وصول]]+Table213[[#This Row],[چکهای نزد صندوق]]</f>
        <v>-252000</v>
      </c>
      <c r="G106" s="12">
        <f>IFERROR(INDEX('مانده سوفاله'!F:F,MATCH(Table213[[#This Row],[كد تفصيلي]],'مانده سوفاله'!A:A,0)),0)</f>
        <v>0</v>
      </c>
    </row>
    <row r="107" spans="1:7" ht="24.75" customHeight="1" x14ac:dyDescent="0.35">
      <c r="A107" s="26">
        <v>10128</v>
      </c>
      <c r="B107" s="56" t="s">
        <v>372</v>
      </c>
      <c r="C107" s="10">
        <f>IFERROR(INDEX('حسابهای دریافتنی'!H:H,MATCH(Table213[[#This Row],[كد تفصيلي]],'حسابهای دریافتنی'!A:A,0)),0)</f>
        <v>-45000</v>
      </c>
      <c r="D107" s="11">
        <f>IFERROR(INDEX('درجریان وصول'!F:F,MATCH(Table213[[#This Row],[كد تفصيلي]],'درجریان وصول'!A:A,0)),0)</f>
        <v>0</v>
      </c>
      <c r="E107" s="11">
        <f>IFERROR(INDEX('چکهای دریافتنی'!F:F,MATCH(Table213[[#This Row],[كد تفصيلي]],'چکهای دریافتنی'!A:A,0)),0)</f>
        <v>0</v>
      </c>
      <c r="F107" s="11">
        <f>Table213[[#This Row],[حسابهای دریافتنی]]+Table213[[#This Row],[چکهای در جریان وصول]]+Table213[[#This Row],[چکهای نزد صندوق]]</f>
        <v>-45000</v>
      </c>
      <c r="G107" s="12">
        <f>IFERROR(INDEX('مانده سوفاله'!F:F,MATCH(Table213[[#This Row],[كد تفصيلي]],'مانده سوفاله'!A:A,0)),0)</f>
        <v>6</v>
      </c>
    </row>
    <row r="108" spans="1:7" ht="24.75" customHeight="1" x14ac:dyDescent="0.35">
      <c r="A108" s="26">
        <v>10045</v>
      </c>
      <c r="B108" s="56" t="s">
        <v>50</v>
      </c>
      <c r="C108" s="10">
        <f>IFERROR(INDEX('حسابهای دریافتنی'!H:H,MATCH(Table213[[#This Row],[كد تفصيلي]],'حسابهای دریافتنی'!A:A,0)),0)</f>
        <v>-383000</v>
      </c>
      <c r="D108" s="11">
        <f>IFERROR(INDEX('درجریان وصول'!F:F,MATCH(Table213[[#This Row],[كد تفصيلي]],'درجریان وصول'!A:A,0)),0)</f>
        <v>0</v>
      </c>
      <c r="E108" s="11">
        <f>IFERROR(INDEX('چکهای دریافتنی'!F:F,MATCH(Table213[[#This Row],[كد تفصيلي]],'چکهای دریافتنی'!A:A,0)),0)</f>
        <v>0</v>
      </c>
      <c r="F108" s="11">
        <f>Table213[[#This Row],[حسابهای دریافتنی]]+Table213[[#This Row],[چکهای در جریان وصول]]+Table213[[#This Row],[چکهای نزد صندوق]]</f>
        <v>-383000</v>
      </c>
      <c r="G108" s="12">
        <f>IFERROR(INDEX('مانده سوفاله'!F:F,MATCH(Table213[[#This Row],[كد تفصيلي]],'مانده سوفاله'!A:A,0)),0)</f>
        <v>-30</v>
      </c>
    </row>
    <row r="109" spans="1:7" ht="24.75" customHeight="1" x14ac:dyDescent="0.35">
      <c r="A109" s="26">
        <v>30051</v>
      </c>
      <c r="B109" s="56" t="s">
        <v>98</v>
      </c>
      <c r="C109" s="10">
        <f>IFERROR(INDEX('حسابهای دریافتنی'!H:H,MATCH(Table213[[#This Row],[كد تفصيلي]],'حسابهای دریافتنی'!A:A,0)),0)</f>
        <v>-384000</v>
      </c>
      <c r="D109" s="11">
        <f>IFERROR(INDEX('درجریان وصول'!F:F,MATCH(Table213[[#This Row],[كد تفصيلي]],'درجریان وصول'!A:A,0)),0)</f>
        <v>0</v>
      </c>
      <c r="E109" s="11">
        <f>IFERROR(INDEX('چکهای دریافتنی'!F:F,MATCH(Table213[[#This Row],[كد تفصيلي]],'چکهای دریافتنی'!A:A,0)),0)</f>
        <v>0</v>
      </c>
      <c r="F109" s="11">
        <f>Table213[[#This Row],[حسابهای دریافتنی]]+Table213[[#This Row],[چکهای در جریان وصول]]+Table213[[#This Row],[چکهای نزد صندوق]]</f>
        <v>-384000</v>
      </c>
      <c r="G109" s="12">
        <f>IFERROR(INDEX('مانده سوفاله'!F:F,MATCH(Table213[[#This Row],[كد تفصيلي]],'مانده سوفاله'!A:A,0)),0)</f>
        <v>0</v>
      </c>
    </row>
    <row r="110" spans="1:7" ht="24.75" customHeight="1" x14ac:dyDescent="0.35">
      <c r="A110" s="27">
        <v>30044</v>
      </c>
      <c r="B110" s="55" t="s">
        <v>91</v>
      </c>
      <c r="C110" s="10">
        <f>IFERROR(INDEX('حسابهای دریافتنی'!H:H,MATCH(Table213[[#This Row],[كد تفصيلي]],'حسابهای دریافتنی'!A:A,0)),0)</f>
        <v>-492500</v>
      </c>
      <c r="D110" s="11">
        <f>IFERROR(INDEX('درجریان وصول'!F:F,MATCH(Table213[[#This Row],[كد تفصيلي]],'درجریان وصول'!A:A,0)),0)</f>
        <v>0</v>
      </c>
      <c r="E110" s="11">
        <f>IFERROR(INDEX('چکهای دریافتنی'!F:F,MATCH(Table213[[#This Row],[كد تفصيلي]],'چکهای دریافتنی'!A:A,0)),0)</f>
        <v>0</v>
      </c>
      <c r="F110" s="11">
        <f>Table213[[#This Row],[حسابهای دریافتنی]]+Table213[[#This Row],[چکهای در جریان وصول]]+Table213[[#This Row],[چکهای نزد صندوق]]</f>
        <v>-492500</v>
      </c>
      <c r="G110" s="12">
        <f>IFERROR(INDEX('مانده سوفاله'!F:F,MATCH(Table213[[#This Row],[كد تفصيلي]],'مانده سوفاله'!A:A,0)),0)</f>
        <v>2</v>
      </c>
    </row>
    <row r="111" spans="1:7" ht="24.75" customHeight="1" x14ac:dyDescent="0.35">
      <c r="A111" s="26">
        <v>10095</v>
      </c>
      <c r="B111" s="56" t="s">
        <v>268</v>
      </c>
      <c r="C111" s="10">
        <f>IFERROR(INDEX('حسابهای دریافتنی'!H:H,MATCH(Table213[[#This Row],[كد تفصيلي]],'حسابهای دریافتنی'!A:A,0)),0)</f>
        <v>-496500</v>
      </c>
      <c r="D111" s="11">
        <f>IFERROR(INDEX('درجریان وصول'!F:F,MATCH(Table213[[#This Row],[كد تفصيلي]],'درجریان وصول'!A:A,0)),0)</f>
        <v>0</v>
      </c>
      <c r="E111" s="11">
        <f>IFERROR(INDEX('چکهای دریافتنی'!F:F,MATCH(Table213[[#This Row],[كد تفصيلي]],'چکهای دریافتنی'!A:A,0)),0)</f>
        <v>0</v>
      </c>
      <c r="F111" s="11">
        <f>Table213[[#This Row],[حسابهای دریافتنی]]+Table213[[#This Row],[چکهای در جریان وصول]]+Table213[[#This Row],[چکهای نزد صندوق]]</f>
        <v>-496500</v>
      </c>
      <c r="G111" s="12">
        <f>IFERROR(INDEX('مانده سوفاله'!F:F,MATCH(Table213[[#This Row],[كد تفصيلي]],'مانده سوفاله'!A:A,0)),0)</f>
        <v>0</v>
      </c>
    </row>
    <row r="112" spans="1:7" ht="24.75" customHeight="1" x14ac:dyDescent="0.35">
      <c r="A112" s="27">
        <v>30052</v>
      </c>
      <c r="B112" s="55" t="s">
        <v>149</v>
      </c>
      <c r="C112" s="10">
        <f>IFERROR(INDEX('حسابهای دریافتنی'!H:H,MATCH(Table213[[#This Row],[كد تفصيلي]],'حسابهای دریافتنی'!A:A,0)),0)</f>
        <v>-539000</v>
      </c>
      <c r="D112" s="11">
        <f>IFERROR(INDEX('درجریان وصول'!F:F,MATCH(Table213[[#This Row],[كد تفصيلي]],'درجریان وصول'!A:A,0)),0)</f>
        <v>0</v>
      </c>
      <c r="E112" s="11">
        <f>IFERROR(INDEX('چکهای دریافتنی'!F:F,MATCH(Table213[[#This Row],[كد تفصيلي]],'چکهای دریافتنی'!A:A,0)),0)</f>
        <v>0</v>
      </c>
      <c r="F112" s="11">
        <f>Table213[[#This Row],[حسابهای دریافتنی]]+Table213[[#This Row],[چکهای در جریان وصول]]+Table213[[#This Row],[چکهای نزد صندوق]]</f>
        <v>-539000</v>
      </c>
      <c r="G112" s="12">
        <f>IFERROR(INDEX('مانده سوفاله'!F:F,MATCH(Table213[[#This Row],[كد تفصيلي]],'مانده سوفاله'!A:A,0)),0)</f>
        <v>0</v>
      </c>
    </row>
    <row r="113" spans="1:7" ht="24.75" customHeight="1" x14ac:dyDescent="0.35">
      <c r="A113" s="26">
        <v>10061</v>
      </c>
      <c r="B113" s="56" t="s">
        <v>194</v>
      </c>
      <c r="C113" s="10">
        <f>IFERROR(INDEX('حسابهای دریافتنی'!H:H,MATCH(Table213[[#This Row],[كد تفصيلي]],'حسابهای دریافتنی'!A:A,0)),0)</f>
        <v>-565500</v>
      </c>
      <c r="D113" s="11">
        <f>IFERROR(INDEX('درجریان وصول'!F:F,MATCH(Table213[[#This Row],[كد تفصيلي]],'درجریان وصول'!A:A,0)),0)</f>
        <v>0</v>
      </c>
      <c r="E113" s="11">
        <f>IFERROR(INDEX('چکهای دریافتنی'!F:F,MATCH(Table213[[#This Row],[كد تفصيلي]],'چکهای دریافتنی'!A:A,0)),0)</f>
        <v>0</v>
      </c>
      <c r="F113" s="11">
        <f>Table213[[#This Row],[حسابهای دریافتنی]]+Table213[[#This Row],[چکهای در جریان وصول]]+Table213[[#This Row],[چکهای نزد صندوق]]</f>
        <v>-565500</v>
      </c>
      <c r="G113" s="12">
        <f>IFERROR(INDEX('مانده سوفاله'!F:F,MATCH(Table213[[#This Row],[كد تفصيلي]],'مانده سوفاله'!A:A,0)),0)</f>
        <v>0</v>
      </c>
    </row>
    <row r="114" spans="1:7" ht="24.75" customHeight="1" x14ac:dyDescent="0.35">
      <c r="A114" s="26">
        <v>10118</v>
      </c>
      <c r="B114" s="56" t="s">
        <v>334</v>
      </c>
      <c r="C114" s="10">
        <f>IFERROR(INDEX('حسابهای دریافتنی'!H:H,MATCH(Table213[[#This Row],[كد تفصيلي]],'حسابهای دریافتنی'!A:A,0)),0)</f>
        <v>-587500</v>
      </c>
      <c r="D114" s="11">
        <f>IFERROR(INDEX('درجریان وصول'!F:F,MATCH(Table213[[#This Row],[كد تفصيلي]],'درجریان وصول'!A:A,0)),0)</f>
        <v>0</v>
      </c>
      <c r="E114" s="11">
        <f>IFERROR(INDEX('چکهای دریافتنی'!F:F,MATCH(Table213[[#This Row],[كد تفصيلي]],'چکهای دریافتنی'!A:A,0)),0)</f>
        <v>0</v>
      </c>
      <c r="F114" s="11">
        <f>Table213[[#This Row],[حسابهای دریافتنی]]+Table213[[#This Row],[چکهای در جریان وصول]]+Table213[[#This Row],[چکهای نزد صندوق]]</f>
        <v>-587500</v>
      </c>
      <c r="G114" s="12">
        <f>IFERROR(INDEX('مانده سوفاله'!F:F,MATCH(Table213[[#This Row],[كد تفصيلي]],'مانده سوفاله'!A:A,0)),0)</f>
        <v>0</v>
      </c>
    </row>
    <row r="115" spans="1:7" ht="24.75" customHeight="1" x14ac:dyDescent="0.35">
      <c r="A115" s="27">
        <v>10018</v>
      </c>
      <c r="B115" s="55" t="s">
        <v>25</v>
      </c>
      <c r="C115" s="10">
        <f>IFERROR(INDEX('حسابهای دریافتنی'!H:H,MATCH(Table213[[#This Row],[كد تفصيلي]],'حسابهای دریافتنی'!A:A,0)),0)</f>
        <v>95282000</v>
      </c>
      <c r="D115" s="11">
        <f>IFERROR(INDEX('درجریان وصول'!F:F,MATCH(Table213[[#This Row],[كد تفصيلي]],'درجریان وصول'!A:A,0)),0)</f>
        <v>0</v>
      </c>
      <c r="E115" s="11">
        <f>IFERROR(INDEX('چکهای دریافتنی'!F:F,MATCH(Table213[[#This Row],[كد تفصيلي]],'چکهای دریافتنی'!A:A,0)),0)</f>
        <v>0</v>
      </c>
      <c r="F115" s="11">
        <f>Table213[[#This Row],[حسابهای دریافتنی]]+Table213[[#This Row],[چکهای در جریان وصول]]+Table213[[#This Row],[چکهای نزد صندوق]]</f>
        <v>95282000</v>
      </c>
      <c r="G115" s="12">
        <f>IFERROR(INDEX('مانده سوفاله'!F:F,MATCH(Table213[[#This Row],[كد تفصيلي]],'مانده سوفاله'!A:A,0)),0)</f>
        <v>-32</v>
      </c>
    </row>
    <row r="116" spans="1:7" ht="24.75" customHeight="1" x14ac:dyDescent="0.35">
      <c r="A116" s="26">
        <v>30112</v>
      </c>
      <c r="B116" s="56" t="s">
        <v>201</v>
      </c>
      <c r="C116" s="10">
        <f>IFERROR(INDEX('حسابهای دریافتنی'!H:H,MATCH(Table213[[#This Row],[كد تفصيلي]],'حسابهای دریافتنی'!A:A,0)),0)</f>
        <v>-720500</v>
      </c>
      <c r="D116" s="11">
        <f>IFERROR(INDEX('درجریان وصول'!F:F,MATCH(Table213[[#This Row],[كد تفصيلي]],'درجریان وصول'!A:A,0)),0)</f>
        <v>0</v>
      </c>
      <c r="E116" s="11">
        <f>IFERROR(INDEX('چکهای دریافتنی'!F:F,MATCH(Table213[[#This Row],[كد تفصيلي]],'چکهای دریافتنی'!A:A,0)),0)</f>
        <v>0</v>
      </c>
      <c r="F116" s="11">
        <f>Table213[[#This Row],[حسابهای دریافتنی]]+Table213[[#This Row],[چکهای در جریان وصول]]+Table213[[#This Row],[چکهای نزد صندوق]]</f>
        <v>-720500</v>
      </c>
      <c r="G116" s="12">
        <f>IFERROR(INDEX('مانده سوفاله'!F:F,MATCH(Table213[[#This Row],[كد تفصيلي]],'مانده سوفاله'!A:A,0)),0)</f>
        <v>36</v>
      </c>
    </row>
    <row r="117" spans="1:7" ht="24.75" customHeight="1" x14ac:dyDescent="0.35">
      <c r="A117" s="26">
        <v>10013</v>
      </c>
      <c r="B117" s="56" t="s">
        <v>20</v>
      </c>
      <c r="C117" s="10">
        <f>IFERROR(INDEX('حسابهای دریافتنی'!H:H,MATCH(Table213[[#This Row],[كد تفصيلي]],'حسابهای دریافتنی'!A:A,0)),0)</f>
        <v>-915000</v>
      </c>
      <c r="D117" s="11">
        <f>IFERROR(INDEX('درجریان وصول'!F:F,MATCH(Table213[[#This Row],[كد تفصيلي]],'درجریان وصول'!A:A,0)),0)</f>
        <v>0</v>
      </c>
      <c r="E117" s="11">
        <f>IFERROR(INDEX('چکهای دریافتنی'!F:F,MATCH(Table213[[#This Row],[كد تفصيلي]],'چکهای دریافتنی'!A:A,0)),0)</f>
        <v>0</v>
      </c>
      <c r="F117" s="11">
        <f>Table213[[#This Row],[حسابهای دریافتنی]]+Table213[[#This Row],[چکهای در جریان وصول]]+Table213[[#This Row],[چکهای نزد صندوق]]</f>
        <v>-915000</v>
      </c>
      <c r="G117" s="12">
        <f>IFERROR(INDEX('مانده سوفاله'!F:F,MATCH(Table213[[#This Row],[كد تفصيلي]],'مانده سوفاله'!A:A,0)),0)</f>
        <v>0</v>
      </c>
    </row>
    <row r="118" spans="1:7" ht="24.75" customHeight="1" x14ac:dyDescent="0.35">
      <c r="A118" s="27">
        <v>10042</v>
      </c>
      <c r="B118" s="55" t="s">
        <v>47</v>
      </c>
      <c r="C118" s="10">
        <f>IFERROR(INDEX('حسابهای دریافتنی'!H:H,MATCH(Table213[[#This Row],[كد تفصيلي]],'حسابهای دریافتنی'!A:A,0)),0)</f>
        <v>-1120000</v>
      </c>
      <c r="D118" s="11">
        <f>IFERROR(INDEX('درجریان وصول'!F:F,MATCH(Table213[[#This Row],[كد تفصيلي]],'درجریان وصول'!A:A,0)),0)</f>
        <v>0</v>
      </c>
      <c r="E118" s="11">
        <f>IFERROR(INDEX('چکهای دریافتنی'!F:F,MATCH(Table213[[#This Row],[كد تفصيلي]],'چکهای دریافتنی'!A:A,0)),0)</f>
        <v>0</v>
      </c>
      <c r="F118" s="11">
        <f>Table213[[#This Row],[حسابهای دریافتنی]]+Table213[[#This Row],[چکهای در جریان وصول]]+Table213[[#This Row],[چکهای نزد صندوق]]</f>
        <v>-1120000</v>
      </c>
      <c r="G118" s="12">
        <f>IFERROR(INDEX('مانده سوفاله'!F:F,MATCH(Table213[[#This Row],[كد تفصيلي]],'مانده سوفاله'!A:A,0)),0)</f>
        <v>2</v>
      </c>
    </row>
    <row r="119" spans="1:7" ht="24.75" customHeight="1" x14ac:dyDescent="0.35">
      <c r="A119" s="27">
        <v>30032</v>
      </c>
      <c r="B119" s="55" t="s">
        <v>79</v>
      </c>
      <c r="C119" s="10">
        <f>IFERROR(INDEX('حسابهای دریافتنی'!H:H,MATCH(Table213[[#This Row],[كد تفصيلي]],'حسابهای دریافتنی'!A:A,0)),0)</f>
        <v>-1347000</v>
      </c>
      <c r="D119" s="11">
        <f>IFERROR(INDEX('درجریان وصول'!F:F,MATCH(Table213[[#This Row],[كد تفصيلي]],'درجریان وصول'!A:A,0)),0)</f>
        <v>0</v>
      </c>
      <c r="E119" s="11">
        <f>IFERROR(INDEX('چکهای دریافتنی'!F:F,MATCH(Table213[[#This Row],[كد تفصيلي]],'چکهای دریافتنی'!A:A,0)),0)</f>
        <v>0</v>
      </c>
      <c r="F119" s="11">
        <f>Table213[[#This Row],[حسابهای دریافتنی]]+Table213[[#This Row],[چکهای در جریان وصول]]+Table213[[#This Row],[چکهای نزد صندوق]]</f>
        <v>-1347000</v>
      </c>
      <c r="G119" s="12">
        <f>IFERROR(INDEX('مانده سوفاله'!F:F,MATCH(Table213[[#This Row],[كد تفصيلي]],'مانده سوفاله'!A:A,0)),0)</f>
        <v>0</v>
      </c>
    </row>
    <row r="120" spans="1:7" ht="24.75" customHeight="1" x14ac:dyDescent="0.35">
      <c r="A120" s="27">
        <v>30171</v>
      </c>
      <c r="B120" s="55" t="s">
        <v>322</v>
      </c>
      <c r="C120" s="10">
        <f>IFERROR(INDEX('حسابهای دریافتنی'!H:H,MATCH(Table213[[#This Row],[كد تفصيلي]],'حسابهای دریافتنی'!A:A,0)),0)</f>
        <v>-1500000</v>
      </c>
      <c r="D120" s="11">
        <f>IFERROR(INDEX('درجریان وصول'!F:F,MATCH(Table213[[#This Row],[كد تفصيلي]],'درجریان وصول'!A:A,0)),0)</f>
        <v>0</v>
      </c>
      <c r="E120" s="11">
        <f>IFERROR(INDEX('چکهای دریافتنی'!F:F,MATCH(Table213[[#This Row],[كد تفصيلي]],'چکهای دریافتنی'!A:A,0)),0)</f>
        <v>0</v>
      </c>
      <c r="F120" s="11">
        <f>Table213[[#This Row],[حسابهای دریافتنی]]+Table213[[#This Row],[چکهای در جریان وصول]]+Table213[[#This Row],[چکهای نزد صندوق]]</f>
        <v>-1500000</v>
      </c>
      <c r="G120" s="12">
        <f>IFERROR(INDEX('مانده سوفاله'!F:F,MATCH(Table213[[#This Row],[كد تفصيلي]],'مانده سوفاله'!A:A,0)),0)</f>
        <v>0</v>
      </c>
    </row>
    <row r="121" spans="1:7" ht="24.75" customHeight="1" x14ac:dyDescent="0.35">
      <c r="A121" s="26">
        <v>10103</v>
      </c>
      <c r="B121" s="56" t="s">
        <v>283</v>
      </c>
      <c r="C121" s="10">
        <f>IFERROR(INDEX('حسابهای دریافتنی'!H:H,MATCH(Table213[[#This Row],[كد تفصيلي]],'حسابهای دریافتنی'!A:A,0)),0)</f>
        <v>-1580000</v>
      </c>
      <c r="D121" s="11">
        <f>IFERROR(INDEX('درجریان وصول'!F:F,MATCH(Table213[[#This Row],[كد تفصيلي]],'درجریان وصول'!A:A,0)),0)</f>
        <v>0</v>
      </c>
      <c r="E121" s="11">
        <f>IFERROR(INDEX('چکهای دریافتنی'!F:F,MATCH(Table213[[#This Row],[كد تفصيلي]],'چکهای دریافتنی'!A:A,0)),0)</f>
        <v>0</v>
      </c>
      <c r="F121" s="11">
        <f>Table213[[#This Row],[حسابهای دریافتنی]]+Table213[[#This Row],[چکهای در جریان وصول]]+Table213[[#This Row],[چکهای نزد صندوق]]</f>
        <v>-1580000</v>
      </c>
      <c r="G121" s="12">
        <f>IFERROR(INDEX('مانده سوفاله'!F:F,MATCH(Table213[[#This Row],[كد تفصيلي]],'مانده سوفاله'!A:A,0)),0)</f>
        <v>0</v>
      </c>
    </row>
    <row r="122" spans="1:7" ht="24.75" customHeight="1" x14ac:dyDescent="0.35">
      <c r="A122" s="27">
        <v>10125</v>
      </c>
      <c r="B122" s="55" t="s">
        <v>345</v>
      </c>
      <c r="C122" s="10">
        <f>IFERROR(INDEX('حسابهای دریافتنی'!H:H,MATCH(Table213[[#This Row],[كد تفصيلي]],'حسابهای دریافتنی'!A:A,0)),0)</f>
        <v>-1650000</v>
      </c>
      <c r="D122" s="11">
        <f>IFERROR(INDEX('درجریان وصول'!F:F,MATCH(Table213[[#This Row],[كد تفصيلي]],'درجریان وصول'!A:A,0)),0)</f>
        <v>0</v>
      </c>
      <c r="E122" s="11">
        <f>IFERROR(INDEX('چکهای دریافتنی'!F:F,MATCH(Table213[[#This Row],[كد تفصيلي]],'چکهای دریافتنی'!A:A,0)),0)</f>
        <v>0</v>
      </c>
      <c r="F122" s="11">
        <f>Table213[[#This Row],[حسابهای دریافتنی]]+Table213[[#This Row],[چکهای در جریان وصول]]+Table213[[#This Row],[چکهای نزد صندوق]]</f>
        <v>-1650000</v>
      </c>
      <c r="G122" s="12">
        <f>IFERROR(INDEX('مانده سوفاله'!F:F,MATCH(Table213[[#This Row],[كد تفصيلي]],'مانده سوفاله'!A:A,0)),0)</f>
        <v>0</v>
      </c>
    </row>
    <row r="123" spans="1:7" ht="24.75" customHeight="1" x14ac:dyDescent="0.35">
      <c r="A123" s="26">
        <v>10110</v>
      </c>
      <c r="B123" s="56" t="s">
        <v>306</v>
      </c>
      <c r="C123" s="10">
        <f>IFERROR(INDEX('حسابهای دریافتنی'!H:H,MATCH(Table213[[#This Row],[كد تفصيلي]],'حسابهای دریافتنی'!A:A,0)),0)</f>
        <v>-1817500</v>
      </c>
      <c r="D123" s="11">
        <f>IFERROR(INDEX('درجریان وصول'!F:F,MATCH(Table213[[#This Row],[كد تفصيلي]],'درجریان وصول'!A:A,0)),0)</f>
        <v>0</v>
      </c>
      <c r="E123" s="11">
        <f>IFERROR(INDEX('چکهای دریافتنی'!F:F,MATCH(Table213[[#This Row],[كد تفصيلي]],'چکهای دریافتنی'!A:A,0)),0)</f>
        <v>0</v>
      </c>
      <c r="F123" s="11">
        <f>Table213[[#This Row],[حسابهای دریافتنی]]+Table213[[#This Row],[چکهای در جریان وصول]]+Table213[[#This Row],[چکهای نزد صندوق]]</f>
        <v>-1817500</v>
      </c>
      <c r="G123" s="12">
        <f>IFERROR(INDEX('مانده سوفاله'!F:F,MATCH(Table213[[#This Row],[كد تفصيلي]],'مانده سوفاله'!A:A,0)),0)</f>
        <v>7</v>
      </c>
    </row>
    <row r="124" spans="1:7" ht="24.75" customHeight="1" x14ac:dyDescent="0.35">
      <c r="A124" s="27">
        <v>30103</v>
      </c>
      <c r="B124" s="55" t="s">
        <v>240</v>
      </c>
      <c r="C124" s="10">
        <f>IFERROR(INDEX('حسابهای دریافتنی'!H:H,MATCH(Table213[[#This Row],[كد تفصيلي]],'حسابهای دریافتنی'!A:A,0)),0)</f>
        <v>-1820000</v>
      </c>
      <c r="D124" s="11">
        <f>IFERROR(INDEX('درجریان وصول'!F:F,MATCH(Table213[[#This Row],[كد تفصيلي]],'درجریان وصول'!A:A,0)),0)</f>
        <v>0</v>
      </c>
      <c r="E124" s="11">
        <f>IFERROR(INDEX('چکهای دریافتنی'!F:F,MATCH(Table213[[#This Row],[كد تفصيلي]],'چکهای دریافتنی'!A:A,0)),0)</f>
        <v>0</v>
      </c>
      <c r="F124" s="11">
        <f>Table213[[#This Row],[حسابهای دریافتنی]]+Table213[[#This Row],[چکهای در جریان وصول]]+Table213[[#This Row],[چکهای نزد صندوق]]</f>
        <v>-1820000</v>
      </c>
      <c r="G124" s="12">
        <f>IFERROR(INDEX('مانده سوفاله'!F:F,MATCH(Table213[[#This Row],[كد تفصيلي]],'مانده سوفاله'!A:A,0)),0)</f>
        <v>0</v>
      </c>
    </row>
    <row r="125" spans="1:7" ht="24.75" customHeight="1" x14ac:dyDescent="0.35">
      <c r="A125" s="26">
        <v>30174</v>
      </c>
      <c r="B125" s="56" t="s">
        <v>327</v>
      </c>
      <c r="C125" s="10">
        <f>IFERROR(INDEX('حسابهای دریافتنی'!H:H,MATCH(Table213[[#This Row],[كد تفصيلي]],'حسابهای دریافتنی'!A:A,0)),0)</f>
        <v>-5000</v>
      </c>
      <c r="D125" s="11">
        <f>IFERROR(INDEX('درجریان وصول'!F:F,MATCH(Table213[[#This Row],[كد تفصيلي]],'درجریان وصول'!A:A,0)),0)</f>
        <v>0</v>
      </c>
      <c r="E125" s="11">
        <f>IFERROR(INDEX('چکهای دریافتنی'!F:F,MATCH(Table213[[#This Row],[كد تفصيلي]],'چکهای دریافتنی'!A:A,0)),0)</f>
        <v>0</v>
      </c>
      <c r="F125" s="11">
        <f>Table213[[#This Row],[حسابهای دریافتنی]]+Table213[[#This Row],[چکهای در جریان وصول]]+Table213[[#This Row],[چکهای نزد صندوق]]</f>
        <v>-5000</v>
      </c>
      <c r="G125" s="12">
        <f>IFERROR(INDEX('مانده سوفاله'!F:F,MATCH(Table213[[#This Row],[كد تفصيلي]],'مانده سوفاله'!A:A,0)),0)</f>
        <v>0</v>
      </c>
    </row>
    <row r="126" spans="1:7" ht="24.75" customHeight="1" x14ac:dyDescent="0.35">
      <c r="A126" s="26">
        <v>30128</v>
      </c>
      <c r="B126" s="56" t="s">
        <v>212</v>
      </c>
      <c r="C126" s="10">
        <f>IFERROR(INDEX('حسابهای دریافتنی'!H:H,MATCH(Table213[[#This Row],[كد تفصيلي]],'حسابهای دریافتنی'!A:A,0)),0)</f>
        <v>-2451320</v>
      </c>
      <c r="D126" s="11">
        <f>IFERROR(INDEX('درجریان وصول'!F:F,MATCH(Table213[[#This Row],[كد تفصيلي]],'درجریان وصول'!A:A,0)),0)</f>
        <v>0</v>
      </c>
      <c r="E126" s="11">
        <f>IFERROR(INDEX('چکهای دریافتنی'!F:F,MATCH(Table213[[#This Row],[كد تفصيلي]],'چکهای دریافتنی'!A:A,0)),0)</f>
        <v>0</v>
      </c>
      <c r="F126" s="11">
        <f>Table213[[#This Row],[حسابهای دریافتنی]]+Table213[[#This Row],[چکهای در جریان وصول]]+Table213[[#This Row],[چکهای نزد صندوق]]</f>
        <v>-2451320</v>
      </c>
      <c r="G126" s="12">
        <f>IFERROR(INDEX('مانده سوفاله'!F:F,MATCH(Table213[[#This Row],[كد تفصيلي]],'مانده سوفاله'!A:A,0)),0)</f>
        <v>0</v>
      </c>
    </row>
    <row r="127" spans="1:7" ht="24.75" customHeight="1" x14ac:dyDescent="0.35">
      <c r="A127" s="26">
        <v>30015</v>
      </c>
      <c r="B127" s="56" t="s">
        <v>64</v>
      </c>
      <c r="C127" s="10">
        <f>IFERROR(INDEX('حسابهای دریافتنی'!H:H,MATCH(Table213[[#This Row],[كد تفصيلي]],'حسابهای دریافتنی'!A:A,0)),0)</f>
        <v>-3105895</v>
      </c>
      <c r="D127" s="11">
        <f>IFERROR(INDEX('درجریان وصول'!F:F,MATCH(Table213[[#This Row],[كد تفصيلي]],'درجریان وصول'!A:A,0)),0)</f>
        <v>0</v>
      </c>
      <c r="E127" s="11">
        <f>IFERROR(INDEX('چکهای دریافتنی'!F:F,MATCH(Table213[[#This Row],[كد تفصيلي]],'چکهای دریافتنی'!A:A,0)),0)</f>
        <v>0</v>
      </c>
      <c r="F127" s="11">
        <f>Table213[[#This Row],[حسابهای دریافتنی]]+Table213[[#This Row],[چکهای در جریان وصول]]+Table213[[#This Row],[چکهای نزد صندوق]]</f>
        <v>-3105895</v>
      </c>
      <c r="G127" s="12">
        <f>IFERROR(INDEX('مانده سوفاله'!F:F,MATCH(Table213[[#This Row],[كد تفصيلي]],'مانده سوفاله'!A:A,0)),0)</f>
        <v>0</v>
      </c>
    </row>
    <row r="128" spans="1:7" ht="24.75" customHeight="1" x14ac:dyDescent="0.35">
      <c r="A128" s="26">
        <v>30110</v>
      </c>
      <c r="B128" s="56" t="s">
        <v>200</v>
      </c>
      <c r="C128" s="10">
        <f>IFERROR(INDEX('حسابهای دریافتنی'!H:H,MATCH(Table213[[#This Row],[كد تفصيلي]],'حسابهای دریافتنی'!A:A,0)),0)</f>
        <v>-3492360</v>
      </c>
      <c r="D128" s="11">
        <f>IFERROR(INDEX('درجریان وصول'!F:F,MATCH(Table213[[#This Row],[كد تفصيلي]],'درجریان وصول'!A:A,0)),0)</f>
        <v>0</v>
      </c>
      <c r="E128" s="11">
        <f>IFERROR(INDEX('چکهای دریافتنی'!F:F,MATCH(Table213[[#This Row],[كد تفصيلي]],'چکهای دریافتنی'!A:A,0)),0)</f>
        <v>0</v>
      </c>
      <c r="F128" s="11">
        <f>Table213[[#This Row],[حسابهای دریافتنی]]+Table213[[#This Row],[چکهای در جریان وصول]]+Table213[[#This Row],[چکهای نزد صندوق]]</f>
        <v>-3492360</v>
      </c>
      <c r="G128" s="12">
        <f>IFERROR(INDEX('مانده سوفاله'!F:F,MATCH(Table213[[#This Row],[كد تفصيلي]],'مانده سوفاله'!A:A,0)),0)</f>
        <v>0</v>
      </c>
    </row>
    <row r="129" spans="1:7" customFormat="1" ht="24.75" customHeight="1" x14ac:dyDescent="0.35">
      <c r="A129" s="53">
        <v>10049</v>
      </c>
      <c r="B129" s="56" t="s">
        <v>157</v>
      </c>
      <c r="C129" s="10">
        <f>IFERROR(INDEX('حسابهای دریافتنی'!H:H,MATCH(Table213[[#This Row],[كد تفصيلي]],'حسابهای دریافتنی'!A:A,0)),0)</f>
        <v>-32909500</v>
      </c>
      <c r="D129" s="11">
        <f>IFERROR(INDEX('درجریان وصول'!F:F,MATCH(Table213[[#This Row],[كد تفصيلي]],'درجریان وصول'!A:A,0)),0)</f>
        <v>0</v>
      </c>
      <c r="E129" s="11">
        <f>IFERROR(INDEX('چکهای دریافتنی'!F:F,MATCH(Table213[[#This Row],[كد تفصيلي]],'چکهای دریافتنی'!A:A,0)),0)</f>
        <v>0</v>
      </c>
      <c r="F129" s="11">
        <f>Table213[[#This Row],[حسابهای دریافتنی]]+Table213[[#This Row],[چکهای در جریان وصول]]+Table213[[#This Row],[چکهای نزد صندوق]]</f>
        <v>-32909500</v>
      </c>
      <c r="G129" s="12">
        <f>IFERROR(INDEX('مانده سوفاله'!F:F,MATCH(Table213[[#This Row],[كد تفصيلي]],'مانده سوفاله'!A:A,0)),0)</f>
        <v>0</v>
      </c>
    </row>
    <row r="130" spans="1:7" customFormat="1" ht="24.75" customHeight="1" x14ac:dyDescent="0.35">
      <c r="A130" s="53">
        <v>10015</v>
      </c>
      <c r="B130" s="56" t="s">
        <v>22</v>
      </c>
      <c r="C130" s="10">
        <f>IFERROR(INDEX('حسابهای دریافتنی'!H:H,MATCH(Table213[[#This Row],[كد تفصيلي]],'حسابهای دریافتنی'!A:A,0)),0)</f>
        <v>-4735000</v>
      </c>
      <c r="D130" s="11">
        <f>IFERROR(INDEX('درجریان وصول'!F:F,MATCH(Table213[[#This Row],[كد تفصيلي]],'درجریان وصول'!A:A,0)),0)</f>
        <v>0</v>
      </c>
      <c r="E130" s="11">
        <f>IFERROR(INDEX('چکهای دریافتنی'!F:F,MATCH(Table213[[#This Row],[كد تفصيلي]],'چکهای دریافتنی'!A:A,0)),0)</f>
        <v>0</v>
      </c>
      <c r="F130" s="11">
        <f>Table213[[#This Row],[حسابهای دریافتنی]]+Table213[[#This Row],[چکهای در جریان وصول]]+Table213[[#This Row],[چکهای نزد صندوق]]</f>
        <v>-4735000</v>
      </c>
      <c r="G130" s="12">
        <f>IFERROR(INDEX('مانده سوفاله'!F:F,MATCH(Table213[[#This Row],[كد تفصيلي]],'مانده سوفاله'!A:A,0)),0)</f>
        <v>12</v>
      </c>
    </row>
    <row r="131" spans="1:7" customFormat="1" ht="24.75" customHeight="1" x14ac:dyDescent="0.35">
      <c r="A131" s="53">
        <v>30023</v>
      </c>
      <c r="B131" s="56" t="s">
        <v>71</v>
      </c>
      <c r="C131" s="10">
        <f>IFERROR(INDEX('حسابهای دریافتنی'!H:H,MATCH(Table213[[#This Row],[كد تفصيلي]],'حسابهای دریافتنی'!A:A,0)),0)</f>
        <v>-5793600</v>
      </c>
      <c r="D131" s="11">
        <f>IFERROR(INDEX('درجریان وصول'!F:F,MATCH(Table213[[#This Row],[كد تفصيلي]],'درجریان وصول'!A:A,0)),0)</f>
        <v>0</v>
      </c>
      <c r="E131" s="11">
        <f>IFERROR(INDEX('چکهای دریافتنی'!F:F,MATCH(Table213[[#This Row],[كد تفصيلي]],'چکهای دریافتنی'!A:A,0)),0)</f>
        <v>0</v>
      </c>
      <c r="F131" s="11">
        <f>Table213[[#This Row],[حسابهای دریافتنی]]+Table213[[#This Row],[چکهای در جریان وصول]]+Table213[[#This Row],[چکهای نزد صندوق]]</f>
        <v>-5793600</v>
      </c>
      <c r="G131" s="12">
        <f>IFERROR(INDEX('مانده سوفاله'!F:F,MATCH(Table213[[#This Row],[كد تفصيلي]],'مانده سوفاله'!A:A,0)),0)</f>
        <v>0</v>
      </c>
    </row>
    <row r="132" spans="1:7" customFormat="1" ht="24.75" customHeight="1" x14ac:dyDescent="0.35">
      <c r="A132" s="53">
        <v>10091</v>
      </c>
      <c r="B132" s="56" t="s">
        <v>258</v>
      </c>
      <c r="C132" s="10">
        <f>IFERROR(INDEX('حسابهای دریافتنی'!H:H,MATCH(Table213[[#This Row],[كد تفصيلي]],'حسابهای دریافتنی'!A:A,0)),0)</f>
        <v>59321500</v>
      </c>
      <c r="D132" s="11">
        <f>IFERROR(INDEX('درجریان وصول'!F:F,MATCH(Table213[[#This Row],[كد تفصيلي]],'درجریان وصول'!A:A,0)),0)</f>
        <v>0</v>
      </c>
      <c r="E132" s="11">
        <f>IFERROR(INDEX('چکهای دریافتنی'!F:F,MATCH(Table213[[#This Row],[كد تفصيلي]],'چکهای دریافتنی'!A:A,0)),0)</f>
        <v>0</v>
      </c>
      <c r="F132" s="11">
        <f>Table213[[#This Row],[حسابهای دریافتنی]]+Table213[[#This Row],[چکهای در جریان وصول]]+Table213[[#This Row],[چکهای نزد صندوق]]</f>
        <v>59321500</v>
      </c>
      <c r="G132" s="12">
        <f>IFERROR(INDEX('مانده سوفاله'!F:F,MATCH(Table213[[#This Row],[كد تفصيلي]],'مانده سوفاله'!A:A,0)),0)</f>
        <v>0</v>
      </c>
    </row>
    <row r="133" spans="1:7" customFormat="1" ht="24.75" customHeight="1" x14ac:dyDescent="0.35">
      <c r="A133" s="54">
        <v>10088</v>
      </c>
      <c r="B133" s="55" t="s">
        <v>254</v>
      </c>
      <c r="C133" s="10">
        <f>IFERROR(INDEX('حسابهای دریافتنی'!H:H,MATCH(Table213[[#This Row],[كد تفصيلي]],'حسابهای دریافتنی'!A:A,0)),0)</f>
        <v>113500</v>
      </c>
      <c r="D133" s="11">
        <f>IFERROR(INDEX('درجریان وصول'!F:F,MATCH(Table213[[#This Row],[كد تفصيلي]],'درجریان وصول'!A:A,0)),0)</f>
        <v>0</v>
      </c>
      <c r="E133" s="11">
        <f>IFERROR(INDEX('چکهای دریافتنی'!F:F,MATCH(Table213[[#This Row],[كد تفصيلي]],'چکهای دریافتنی'!A:A,0)),0)</f>
        <v>0</v>
      </c>
      <c r="F133" s="11">
        <f>Table213[[#This Row],[حسابهای دریافتنی]]+Table213[[#This Row],[چکهای در جریان وصول]]+Table213[[#This Row],[چکهای نزد صندوق]]</f>
        <v>113500</v>
      </c>
      <c r="G133" s="12">
        <f>IFERROR(INDEX('مانده سوفاله'!F:F,MATCH(Table213[[#This Row],[كد تفصيلي]],'مانده سوفاله'!A:A,0)),0)</f>
        <v>0</v>
      </c>
    </row>
    <row r="134" spans="1:7" customFormat="1" ht="24.75" customHeight="1" x14ac:dyDescent="0.35">
      <c r="A134" s="53">
        <v>30176</v>
      </c>
      <c r="B134" s="56" t="s">
        <v>332</v>
      </c>
      <c r="C134" s="10">
        <f>IFERROR(INDEX('حسابهای دریافتنی'!H:H,MATCH(Table213[[#This Row],[كد تفصيلي]],'حسابهای دریافتنی'!A:A,0)),0)</f>
        <v>-7540075</v>
      </c>
      <c r="D134" s="11">
        <f>IFERROR(INDEX('درجریان وصول'!F:F,MATCH(Table213[[#This Row],[كد تفصيلي]],'درجریان وصول'!A:A,0)),0)</f>
        <v>0</v>
      </c>
      <c r="E134" s="11">
        <f>IFERROR(INDEX('چکهای دریافتنی'!F:F,MATCH(Table213[[#This Row],[كد تفصيلي]],'چکهای دریافتنی'!A:A,0)),0)</f>
        <v>0</v>
      </c>
      <c r="F134" s="11">
        <f>Table213[[#This Row],[حسابهای دریافتنی]]+Table213[[#This Row],[چکهای در جریان وصول]]+Table213[[#This Row],[چکهای نزد صندوق]]</f>
        <v>-7540075</v>
      </c>
      <c r="G134" s="12">
        <f>IFERROR(INDEX('مانده سوفاله'!F:F,MATCH(Table213[[#This Row],[كد تفصيلي]],'مانده سوفاله'!A:A,0)),0)</f>
        <v>0</v>
      </c>
    </row>
    <row r="135" spans="1:7" customFormat="1" ht="24.75" customHeight="1" x14ac:dyDescent="0.35">
      <c r="A135" s="53">
        <v>10106</v>
      </c>
      <c r="B135" s="56" t="s">
        <v>298</v>
      </c>
      <c r="C135" s="10">
        <f>IFERROR(INDEX('حسابهای دریافتنی'!H:H,MATCH(Table213[[#This Row],[كد تفصيلي]],'حسابهای دریافتنی'!A:A,0)),0)</f>
        <v>-9134000</v>
      </c>
      <c r="D135" s="11">
        <f>IFERROR(INDEX('درجریان وصول'!F:F,MATCH(Table213[[#This Row],[كد تفصيلي]],'درجریان وصول'!A:A,0)),0)</f>
        <v>0</v>
      </c>
      <c r="E135" s="11">
        <f>IFERROR(INDEX('چکهای دریافتنی'!F:F,MATCH(Table213[[#This Row],[كد تفصيلي]],'چکهای دریافتنی'!A:A,0)),0)</f>
        <v>0</v>
      </c>
      <c r="F135" s="11">
        <f>Table213[[#This Row],[حسابهای دریافتنی]]+Table213[[#This Row],[چکهای در جریان وصول]]+Table213[[#This Row],[چکهای نزد صندوق]]</f>
        <v>-9134000</v>
      </c>
      <c r="G135" s="12">
        <f>IFERROR(INDEX('مانده سوفاله'!F:F,MATCH(Table213[[#This Row],[كد تفصيلي]],'مانده سوفاله'!A:A,0)),0)</f>
        <v>0</v>
      </c>
    </row>
    <row r="136" spans="1:7" customFormat="1" ht="24.75" customHeight="1" x14ac:dyDescent="0.35">
      <c r="A136" s="54">
        <v>10102</v>
      </c>
      <c r="B136" s="55" t="s">
        <v>282</v>
      </c>
      <c r="C136" s="10">
        <f>IFERROR(INDEX('حسابهای دریافتنی'!H:H,MATCH(Table213[[#This Row],[كد تفصيلي]],'حسابهای دریافتنی'!A:A,0)),0)</f>
        <v>-10374000</v>
      </c>
      <c r="D136" s="11">
        <f>IFERROR(INDEX('درجریان وصول'!F:F,MATCH(Table213[[#This Row],[كد تفصيلي]],'درجریان وصول'!A:A,0)),0)</f>
        <v>0</v>
      </c>
      <c r="E136" s="11">
        <f>IFERROR(INDEX('چکهای دریافتنی'!F:F,MATCH(Table213[[#This Row],[كد تفصيلي]],'چکهای دریافتنی'!A:A,0)),0)</f>
        <v>0</v>
      </c>
      <c r="F136" s="11">
        <f>Table213[[#This Row],[حسابهای دریافتنی]]+Table213[[#This Row],[چکهای در جریان وصول]]+Table213[[#This Row],[چکهای نزد صندوق]]</f>
        <v>-10374000</v>
      </c>
      <c r="G136" s="12">
        <f>IFERROR(INDEX('مانده سوفاله'!F:F,MATCH(Table213[[#This Row],[كد تفصيلي]],'مانده سوفاله'!A:A,0)),0)</f>
        <v>0</v>
      </c>
    </row>
    <row r="137" spans="1:7" customFormat="1" ht="24.75" customHeight="1" x14ac:dyDescent="0.35">
      <c r="A137" s="54">
        <v>30189</v>
      </c>
      <c r="B137" s="55" t="s">
        <v>458</v>
      </c>
      <c r="C137" s="10">
        <f>IFERROR(INDEX('حسابهای دریافتنی'!H:H,MATCH(Table213[[#This Row],[كد تفصيلي]],'حسابهای دریافتنی'!A:A,0)),0)</f>
        <v>20776490</v>
      </c>
      <c r="D137" s="11">
        <f>IFERROR(INDEX('درجریان وصول'!F:F,MATCH(Table213[[#This Row],[كد تفصيلي]],'درجریان وصول'!A:A,0)),0)</f>
        <v>0</v>
      </c>
      <c r="E137" s="11">
        <f>IFERROR(INDEX('چکهای دریافتنی'!F:F,MATCH(Table213[[#This Row],[كد تفصيلي]],'چکهای دریافتنی'!A:A,0)),0)</f>
        <v>0</v>
      </c>
      <c r="F137" s="11">
        <f>Table213[[#This Row],[حسابهای دریافتنی]]+Table213[[#This Row],[چکهای در جریان وصول]]+Table213[[#This Row],[چکهای نزد صندوق]]</f>
        <v>20776490</v>
      </c>
      <c r="G137" s="12">
        <f>IFERROR(INDEX('مانده سوفاله'!F:F,MATCH(Table213[[#This Row],[كد تفصيلي]],'مانده سوفاله'!A:A,0)),0)</f>
        <v>0</v>
      </c>
    </row>
    <row r="138" spans="1:7" customFormat="1" ht="24.75" customHeight="1" x14ac:dyDescent="0.35">
      <c r="A138" s="54">
        <v>10058</v>
      </c>
      <c r="B138" s="55" t="s">
        <v>173</v>
      </c>
      <c r="C138" s="10">
        <f>IFERROR(INDEX('حسابهای دریافتنی'!H:H,MATCH(Table213[[#This Row],[كد تفصيلي]],'حسابهای دریافتنی'!A:A,0)),0)</f>
        <v>-13650000</v>
      </c>
      <c r="D138" s="11">
        <f>IFERROR(INDEX('درجریان وصول'!F:F,MATCH(Table213[[#This Row],[كد تفصيلي]],'درجریان وصول'!A:A,0)),0)</f>
        <v>0</v>
      </c>
      <c r="E138" s="11">
        <f>IFERROR(INDEX('چکهای دریافتنی'!F:F,MATCH(Table213[[#This Row],[كد تفصيلي]],'چکهای دریافتنی'!A:A,0)),0)</f>
        <v>0</v>
      </c>
      <c r="F138" s="11">
        <f>Table213[[#This Row],[حسابهای دریافتنی]]+Table213[[#This Row],[چکهای در جریان وصول]]+Table213[[#This Row],[چکهای نزد صندوق]]</f>
        <v>-13650000</v>
      </c>
      <c r="G138" s="12">
        <f>IFERROR(INDEX('مانده سوفاله'!F:F,MATCH(Table213[[#This Row],[كد تفصيلي]],'مانده سوفاله'!A:A,0)),0)</f>
        <v>0</v>
      </c>
    </row>
    <row r="139" spans="1:7" customFormat="1" ht="24.75" customHeight="1" x14ac:dyDescent="0.35">
      <c r="A139" s="53">
        <v>30082</v>
      </c>
      <c r="B139" s="56" t="s">
        <v>127</v>
      </c>
      <c r="C139" s="10">
        <f>IFERROR(INDEX('حسابهای دریافتنی'!H:H,MATCH(Table213[[#This Row],[كد تفصيلي]],'حسابهای دریافتنی'!A:A,0)),0)</f>
        <v>-15037000</v>
      </c>
      <c r="D139" s="11">
        <f>IFERROR(INDEX('درجریان وصول'!F:F,MATCH(Table213[[#This Row],[كد تفصيلي]],'درجریان وصول'!A:A,0)),0)</f>
        <v>0</v>
      </c>
      <c r="E139" s="11">
        <f>IFERROR(INDEX('چکهای دریافتنی'!F:F,MATCH(Table213[[#This Row],[كد تفصيلي]],'چکهای دریافتنی'!A:A,0)),0)</f>
        <v>0</v>
      </c>
      <c r="F139" s="11">
        <f>Table213[[#This Row],[حسابهای دریافتنی]]+Table213[[#This Row],[چکهای در جریان وصول]]+Table213[[#This Row],[چکهای نزد صندوق]]</f>
        <v>-15037000</v>
      </c>
      <c r="G139" s="12">
        <f>IFERROR(INDEX('مانده سوفاله'!F:F,MATCH(Table213[[#This Row],[كد تفصيلي]],'مانده سوفاله'!A:A,0)),0)</f>
        <v>-16</v>
      </c>
    </row>
    <row r="140" spans="1:7" customFormat="1" ht="24.75" customHeight="1" x14ac:dyDescent="0.35">
      <c r="A140" s="54">
        <v>30034</v>
      </c>
      <c r="B140" s="55" t="s">
        <v>81</v>
      </c>
      <c r="C140" s="10">
        <f>IFERROR(INDEX('حسابهای دریافتنی'!H:H,MATCH(Table213[[#This Row],[كد تفصيلي]],'حسابهای دریافتنی'!A:A,0)),0)</f>
        <v>388329200</v>
      </c>
      <c r="D140" s="11">
        <f>IFERROR(INDEX('درجریان وصول'!F:F,MATCH(Table213[[#This Row],[كد تفصيلي]],'درجریان وصول'!A:A,0)),0)</f>
        <v>0</v>
      </c>
      <c r="E140" s="11">
        <f>IFERROR(INDEX('چکهای دریافتنی'!F:F,MATCH(Table213[[#This Row],[كد تفصيلي]],'چکهای دریافتنی'!A:A,0)),0)</f>
        <v>0</v>
      </c>
      <c r="F140" s="11">
        <f>Table213[[#This Row],[حسابهای دریافتنی]]+Table213[[#This Row],[چکهای در جریان وصول]]+Table213[[#This Row],[چکهای نزد صندوق]]</f>
        <v>388329200</v>
      </c>
      <c r="G140" s="12">
        <f>IFERROR(INDEX('مانده سوفاله'!F:F,MATCH(Table213[[#This Row],[كد تفصيلي]],'مانده سوفاله'!A:A,0)),0)</f>
        <v>2886</v>
      </c>
    </row>
    <row r="141" spans="1:7" customFormat="1" ht="24.75" customHeight="1" x14ac:dyDescent="0.35">
      <c r="A141" s="54">
        <v>30042</v>
      </c>
      <c r="B141" s="55" t="s">
        <v>89</v>
      </c>
      <c r="C141" s="10">
        <f>IFERROR(INDEX('حسابهای دریافتنی'!H:H,MATCH(Table213[[#This Row],[كد تفصيلي]],'حسابهای دریافتنی'!A:A,0)),0)</f>
        <v>-18303540</v>
      </c>
      <c r="D141" s="11">
        <f>IFERROR(INDEX('درجریان وصول'!F:F,MATCH(Table213[[#This Row],[كد تفصيلي]],'درجریان وصول'!A:A,0)),0)</f>
        <v>0</v>
      </c>
      <c r="E141" s="11">
        <f>IFERROR(INDEX('چکهای دریافتنی'!F:F,MATCH(Table213[[#This Row],[كد تفصيلي]],'چکهای دریافتنی'!A:A,0)),0)</f>
        <v>0</v>
      </c>
      <c r="F141" s="11">
        <f>Table213[[#This Row],[حسابهای دریافتنی]]+Table213[[#This Row],[چکهای در جریان وصول]]+Table213[[#This Row],[چکهای نزد صندوق]]</f>
        <v>-18303540</v>
      </c>
      <c r="G141" s="12">
        <f>IFERROR(INDEX('مانده سوفاله'!F:F,MATCH(Table213[[#This Row],[كد تفصيلي]],'مانده سوفاله'!A:A,0)),0)</f>
        <v>0</v>
      </c>
    </row>
    <row r="142" spans="1:7" customFormat="1" ht="24.75" customHeight="1" x14ac:dyDescent="0.35">
      <c r="A142" s="54">
        <v>10119</v>
      </c>
      <c r="B142" s="55" t="s">
        <v>333</v>
      </c>
      <c r="C142" s="10">
        <f>IFERROR(INDEX('حسابهای دریافتنی'!H:H,MATCH(Table213[[#This Row],[كد تفصيلي]],'حسابهای دریافتنی'!A:A,0)),0)</f>
        <v>-2592000</v>
      </c>
      <c r="D142" s="11">
        <f>IFERROR(INDEX('درجریان وصول'!F:F,MATCH(Table213[[#This Row],[كد تفصيلي]],'درجریان وصول'!A:A,0)),0)</f>
        <v>0</v>
      </c>
      <c r="E142" s="11">
        <f>IFERROR(INDEX('چکهای دریافتنی'!F:F,MATCH(Table213[[#This Row],[كد تفصيلي]],'چکهای دریافتنی'!A:A,0)),0)</f>
        <v>0</v>
      </c>
      <c r="F142" s="11">
        <f>Table213[[#This Row],[حسابهای دریافتنی]]+Table213[[#This Row],[چکهای در جریان وصول]]+Table213[[#This Row],[چکهای نزد صندوق]]</f>
        <v>-2592000</v>
      </c>
      <c r="G142" s="12">
        <f>IFERROR(INDEX('مانده سوفاله'!F:F,MATCH(Table213[[#This Row],[كد تفصيلي]],'مانده سوفاله'!A:A,0)),0)</f>
        <v>353</v>
      </c>
    </row>
    <row r="143" spans="1:7" customFormat="1" ht="24.75" customHeight="1" x14ac:dyDescent="0.35">
      <c r="A143" s="54">
        <v>30028</v>
      </c>
      <c r="B143" s="55" t="s">
        <v>76</v>
      </c>
      <c r="C143" s="10">
        <f>IFERROR(INDEX('حسابهای دریافتنی'!H:H,MATCH(Table213[[#This Row],[كد تفصيلي]],'حسابهای دریافتنی'!A:A,0)),0)</f>
        <v>-23665000</v>
      </c>
      <c r="D143" s="11">
        <f>IFERROR(INDEX('درجریان وصول'!F:F,MATCH(Table213[[#This Row],[كد تفصيلي]],'درجریان وصول'!A:A,0)),0)</f>
        <v>0</v>
      </c>
      <c r="E143" s="11">
        <f>IFERROR(INDEX('چکهای دریافتنی'!F:F,MATCH(Table213[[#This Row],[كد تفصيلي]],'چکهای دریافتنی'!A:A,0)),0)</f>
        <v>0</v>
      </c>
      <c r="F143" s="11">
        <f>Table213[[#This Row],[حسابهای دریافتنی]]+Table213[[#This Row],[چکهای در جریان وصول]]+Table213[[#This Row],[چکهای نزد صندوق]]</f>
        <v>-23665000</v>
      </c>
      <c r="G143" s="12">
        <f>IFERROR(INDEX('مانده سوفاله'!F:F,MATCH(Table213[[#This Row],[كد تفصيلي]],'مانده سوفاله'!A:A,0)),0)</f>
        <v>0</v>
      </c>
    </row>
    <row r="144" spans="1:7" customFormat="1" ht="24.75" customHeight="1" x14ac:dyDescent="0.35">
      <c r="A144" s="53">
        <v>30160</v>
      </c>
      <c r="B144" s="56" t="s">
        <v>296</v>
      </c>
      <c r="C144" s="10">
        <f>IFERROR(INDEX('حسابهای دریافتنی'!H:H,MATCH(Table213[[#This Row],[كد تفصيلي]],'حسابهای دریافتنی'!A:A,0)),0)</f>
        <v>0</v>
      </c>
      <c r="D144" s="11">
        <f>IFERROR(INDEX('درجریان وصول'!F:F,MATCH(Table213[[#This Row],[كد تفصيلي]],'درجریان وصول'!A:A,0)),0)</f>
        <v>0</v>
      </c>
      <c r="E144" s="11">
        <f>IFERROR(INDEX('چکهای دریافتنی'!F:F,MATCH(Table213[[#This Row],[كد تفصيلي]],'چکهای دریافتنی'!A:A,0)),0)</f>
        <v>0</v>
      </c>
      <c r="F144" s="11">
        <f>Table213[[#This Row],[حسابهای دریافتنی]]+Table213[[#This Row],[چکهای در جریان وصول]]+Table213[[#This Row],[چکهای نزد صندوق]]</f>
        <v>0</v>
      </c>
      <c r="G144" s="12">
        <f>IFERROR(INDEX('مانده سوفاله'!F:F,MATCH(Table213[[#This Row],[كد تفصيلي]],'مانده سوفاله'!A:A,0)),0)</f>
        <v>-425</v>
      </c>
    </row>
    <row r="145" spans="1:7" customFormat="1" ht="24.75" customHeight="1" x14ac:dyDescent="0.35">
      <c r="A145" s="53">
        <v>30072</v>
      </c>
      <c r="B145" s="56" t="s">
        <v>117</v>
      </c>
      <c r="C145" s="10">
        <f>IFERROR(INDEX('حسابهای دریافتنی'!H:H,MATCH(Table213[[#This Row],[كد تفصيلي]],'حسابهای دریافتنی'!A:A,0)),0)</f>
        <v>-30178900</v>
      </c>
      <c r="D145" s="11">
        <f>IFERROR(INDEX('درجریان وصول'!F:F,MATCH(Table213[[#This Row],[كد تفصيلي]],'درجریان وصول'!A:A,0)),0)</f>
        <v>0</v>
      </c>
      <c r="E145" s="11">
        <f>IFERROR(INDEX('چکهای دریافتنی'!F:F,MATCH(Table213[[#This Row],[كد تفصيلي]],'چکهای دریافتنی'!A:A,0)),0)</f>
        <v>0</v>
      </c>
      <c r="F145" s="11">
        <f>Table213[[#This Row],[حسابهای دریافتنی]]+Table213[[#This Row],[چکهای در جریان وصول]]+Table213[[#This Row],[چکهای نزد صندوق]]</f>
        <v>-30178900</v>
      </c>
      <c r="G145" s="12">
        <f>IFERROR(INDEX('مانده سوفاله'!F:F,MATCH(Table213[[#This Row],[كد تفصيلي]],'مانده سوفاله'!A:A,0)),0)</f>
        <v>-79</v>
      </c>
    </row>
    <row r="146" spans="1:7" customFormat="1" ht="24.75" customHeight="1" x14ac:dyDescent="0.35">
      <c r="A146" s="54">
        <v>10104</v>
      </c>
      <c r="B146" s="55" t="s">
        <v>293</v>
      </c>
      <c r="C146" s="10">
        <f>IFERROR(INDEX('حسابهای دریافتنی'!H:H,MATCH(Table213[[#This Row],[كد تفصيلي]],'حسابهای دریافتنی'!A:A,0)),0)</f>
        <v>0</v>
      </c>
      <c r="D146" s="11">
        <f>IFERROR(INDEX('درجریان وصول'!F:F,MATCH(Table213[[#This Row],[كد تفصيلي]],'درجریان وصول'!A:A,0)),0)</f>
        <v>0</v>
      </c>
      <c r="E146" s="11">
        <f>IFERROR(INDEX('چکهای دریافتنی'!F:F,MATCH(Table213[[#This Row],[كد تفصيلي]],'چکهای دریافتنی'!A:A,0)),0)</f>
        <v>0</v>
      </c>
      <c r="F146" s="11">
        <f>Table213[[#This Row],[حسابهای دریافتنی]]+Table213[[#This Row],[چکهای در جریان وصول]]+Table213[[#This Row],[چکهای نزد صندوق]]</f>
        <v>0</v>
      </c>
      <c r="G146" s="12">
        <f>IFERROR(INDEX('مانده سوفاله'!F:F,MATCH(Table213[[#This Row],[كد تفصيلي]],'مانده سوفاله'!A:A,0)),0)</f>
        <v>4065</v>
      </c>
    </row>
    <row r="147" spans="1:7" customFormat="1" ht="24.75" customHeight="1" x14ac:dyDescent="0.35">
      <c r="A147" s="54">
        <v>30000</v>
      </c>
      <c r="B147" s="55" t="s">
        <v>189</v>
      </c>
      <c r="C147" s="10">
        <f>IFERROR(INDEX('حسابهای دریافتنی'!H:H,MATCH(Table213[[#This Row],[كد تفصيلي]],'حسابهای دریافتنی'!A:A,0)),0)</f>
        <v>-55440000</v>
      </c>
      <c r="D147" s="11">
        <f>IFERROR(INDEX('درجریان وصول'!F:F,MATCH(Table213[[#This Row],[كد تفصيلي]],'درجریان وصول'!A:A,0)),0)</f>
        <v>0</v>
      </c>
      <c r="E147" s="11">
        <f>IFERROR(INDEX('چکهای دریافتنی'!F:F,MATCH(Table213[[#This Row],[كد تفصيلي]],'چکهای دریافتنی'!A:A,0)),0)</f>
        <v>0</v>
      </c>
      <c r="F147" s="11">
        <f>Table213[[#This Row],[حسابهای دریافتنی]]+Table213[[#This Row],[چکهای در جریان وصول]]+Table213[[#This Row],[چکهای نزد صندوق]]</f>
        <v>-55440000</v>
      </c>
      <c r="G147" s="12">
        <f>IFERROR(INDEX('مانده سوفاله'!F:F,MATCH(Table213[[#This Row],[كد تفصيلي]],'مانده سوفاله'!A:A,0)),0)</f>
        <v>0</v>
      </c>
    </row>
    <row r="148" spans="1:7" customFormat="1" ht="24.75" customHeight="1" x14ac:dyDescent="0.35">
      <c r="A148" s="54">
        <v>30133</v>
      </c>
      <c r="B148" s="55" t="s">
        <v>251</v>
      </c>
      <c r="C148" s="10">
        <f>IFERROR(INDEX('حسابهای دریافتنی'!H:H,MATCH(Table213[[#This Row],[كد تفصيلي]],'حسابهای دریافتنی'!A:A,0)),0)</f>
        <v>-66889500</v>
      </c>
      <c r="D148" s="11">
        <f>IFERROR(INDEX('درجریان وصول'!F:F,MATCH(Table213[[#This Row],[كد تفصيلي]],'درجریان وصول'!A:A,0)),0)</f>
        <v>0</v>
      </c>
      <c r="E148" s="11">
        <f>IFERROR(INDEX('چکهای دریافتنی'!F:F,MATCH(Table213[[#This Row],[كد تفصيلي]],'چکهای دریافتنی'!A:A,0)),0)</f>
        <v>0</v>
      </c>
      <c r="F148" s="11">
        <f>Table213[[#This Row],[حسابهای دریافتنی]]+Table213[[#This Row],[چکهای در جریان وصول]]+Table213[[#This Row],[چکهای نزد صندوق]]</f>
        <v>-66889500</v>
      </c>
      <c r="G148" s="12">
        <f>IFERROR(INDEX('مانده سوفاله'!F:F,MATCH(Table213[[#This Row],[كد تفصيلي]],'مانده سوفاله'!A:A,0)),0)</f>
        <v>0</v>
      </c>
    </row>
    <row r="149" spans="1:7" customFormat="1" ht="24.75" customHeight="1" x14ac:dyDescent="0.35">
      <c r="A149" s="53">
        <v>30182</v>
      </c>
      <c r="B149" s="56" t="s">
        <v>342</v>
      </c>
      <c r="C149" s="10">
        <f>IFERROR(INDEX('حسابهای دریافتنی'!H:H,MATCH(Table213[[#This Row],[كد تفصيلي]],'حسابهای دریافتنی'!A:A,0)),0)</f>
        <v>-528256400</v>
      </c>
      <c r="D149" s="11">
        <f>IFERROR(INDEX('درجریان وصول'!F:F,MATCH(Table213[[#This Row],[كد تفصيلي]],'درجریان وصول'!A:A,0)),0)</f>
        <v>0</v>
      </c>
      <c r="E149" s="11">
        <f>IFERROR(INDEX('چکهای دریافتنی'!F:F,MATCH(Table213[[#This Row],[كد تفصيلي]],'چکهای دریافتنی'!A:A,0)),0)</f>
        <v>0</v>
      </c>
      <c r="F149" s="11">
        <f>Table213[[#This Row],[حسابهای دریافتنی]]+Table213[[#This Row],[چکهای در جریان وصول]]+Table213[[#This Row],[چکهای نزد صندوق]]</f>
        <v>-528256400</v>
      </c>
      <c r="G149" s="12">
        <f>IFERROR(INDEX('مانده سوفاله'!F:F,MATCH(Table213[[#This Row],[كد تفصيلي]],'مانده سوفاله'!A:A,0)),0)</f>
        <v>0</v>
      </c>
    </row>
    <row r="150" spans="1:7" customFormat="1" ht="24.75" customHeight="1" x14ac:dyDescent="0.35">
      <c r="A150" s="53">
        <v>10126</v>
      </c>
      <c r="B150" s="56" t="s">
        <v>370</v>
      </c>
      <c r="C150" s="10">
        <f>IFERROR(INDEX('حسابهای دریافتنی'!H:H,MATCH(Table213[[#This Row],[كد تفصيلي]],'حسابهای دریافتنی'!A:A,0)),0)</f>
        <v>12165000</v>
      </c>
      <c r="D150" s="11">
        <f>IFERROR(INDEX('درجریان وصول'!F:F,MATCH(Table213[[#This Row],[كد تفصيلي]],'درجریان وصول'!A:A,0)),0)</f>
        <v>0</v>
      </c>
      <c r="E150" s="11">
        <f>IFERROR(INDEX('چکهای دریافتنی'!F:F,MATCH(Table213[[#This Row],[كد تفصيلي]],'چکهای دریافتنی'!A:A,0)),0)</f>
        <v>0</v>
      </c>
      <c r="F150" s="11">
        <f>Table213[[#This Row],[حسابهای دریافتنی]]+Table213[[#This Row],[چکهای در جریان وصول]]+Table213[[#This Row],[چکهای نزد صندوق]]</f>
        <v>12165000</v>
      </c>
      <c r="G150" s="12">
        <f>IFERROR(INDEX('مانده سوفاله'!F:F,MATCH(Table213[[#This Row],[كد تفصيلي]],'مانده سوفاله'!A:A,0)),0)</f>
        <v>0</v>
      </c>
    </row>
    <row r="151" spans="1:7" customFormat="1" ht="24.75" customHeight="1" x14ac:dyDescent="0.35">
      <c r="A151" s="53">
        <v>10089</v>
      </c>
      <c r="B151" s="56" t="s">
        <v>255</v>
      </c>
      <c r="C151" s="10">
        <f>IFERROR(INDEX('حسابهای دریافتنی'!H:H,MATCH(Table213[[#This Row],[كد تفصيلي]],'حسابهای دریافتنی'!A:A,0)),0)</f>
        <v>-143944000</v>
      </c>
      <c r="D151" s="11">
        <f>IFERROR(INDEX('درجریان وصول'!F:F,MATCH(Table213[[#This Row],[كد تفصيلي]],'درجریان وصول'!A:A,0)),0)</f>
        <v>0</v>
      </c>
      <c r="E151" s="11">
        <f>IFERROR(INDEX('چکهای دریافتنی'!F:F,MATCH(Table213[[#This Row],[كد تفصيلي]],'چکهای دریافتنی'!A:A,0)),0)</f>
        <v>0</v>
      </c>
      <c r="F151" s="11">
        <f>Table213[[#This Row],[حسابهای دریافتنی]]+Table213[[#This Row],[چکهای در جریان وصول]]+Table213[[#This Row],[چکهای نزد صندوق]]</f>
        <v>-143944000</v>
      </c>
      <c r="G151" s="12">
        <f>IFERROR(INDEX('مانده سوفاله'!F:F,MATCH(Table213[[#This Row],[كد تفصيلي]],'مانده سوفاله'!A:A,0)),0)</f>
        <v>-948</v>
      </c>
    </row>
    <row r="152" spans="1:7" customFormat="1" ht="24.75" customHeight="1" x14ac:dyDescent="0.35">
      <c r="A152" s="53">
        <v>30001</v>
      </c>
      <c r="B152" s="56" t="s">
        <v>190</v>
      </c>
      <c r="C152" s="10">
        <f>IFERROR(INDEX('حسابهای دریافتنی'!H:H,MATCH(Table213[[#This Row],[كد تفصيلي]],'حسابهای دریافتنی'!A:A,0)),0)</f>
        <v>119647176</v>
      </c>
      <c r="D152" s="11">
        <f>IFERROR(INDEX('درجریان وصول'!F:F,MATCH(Table213[[#This Row],[كد تفصيلي]],'درجریان وصول'!A:A,0)),0)</f>
        <v>0</v>
      </c>
      <c r="E152" s="11">
        <f>IFERROR(INDEX('چکهای دریافتنی'!F:F,MATCH(Table213[[#This Row],[كد تفصيلي]],'چکهای دریافتنی'!A:A,0)),0)</f>
        <v>0</v>
      </c>
      <c r="F152" s="11">
        <f>Table213[[#This Row],[حسابهای دریافتنی]]+Table213[[#This Row],[چکهای در جریان وصول]]+Table213[[#This Row],[چکهای نزد صندوق]]</f>
        <v>119647176</v>
      </c>
      <c r="G152" s="12">
        <f>IFERROR(INDEX('مانده سوفاله'!F:F,MATCH(Table213[[#This Row],[كد تفصيلي]],'مانده سوفاله'!A:A,0)),0)</f>
        <v>123</v>
      </c>
    </row>
    <row r="153" spans="1:7" customFormat="1" ht="24.75" customHeight="1" x14ac:dyDescent="0.35">
      <c r="A153" s="54">
        <v>30190</v>
      </c>
      <c r="B153" s="55" t="s">
        <v>459</v>
      </c>
      <c r="C153" s="10">
        <f>IFERROR(INDEX('حسابهای دریافتنی'!H:H,MATCH(Table213[[#This Row],[كد تفصيلي]],'حسابهای دریافتنی'!A:A,0)),0)</f>
        <v>328477520</v>
      </c>
      <c r="D153" s="11">
        <f>IFERROR(INDEX('درجریان وصول'!F:F,MATCH(Table213[[#This Row],[كد تفصيلي]],'درجریان وصول'!A:A,0)),0)</f>
        <v>0</v>
      </c>
      <c r="E153" s="11">
        <f>IFERROR(INDEX('چکهای دریافتنی'!F:F,MATCH(Table213[[#This Row],[كد تفصيلي]],'چکهای دریافتنی'!A:A,0)),0)</f>
        <v>0</v>
      </c>
      <c r="F153" s="11">
        <f>Table213[[#This Row],[حسابهای دریافتنی]]+Table213[[#This Row],[چکهای در جریان وصول]]+Table213[[#This Row],[چکهای نزد صندوق]]</f>
        <v>328477520</v>
      </c>
      <c r="G153" s="12">
        <f>IFERROR(INDEX('مانده سوفاله'!F:F,MATCH(Table213[[#This Row],[كد تفصيلي]],'مانده سوفاله'!A:A,0)),0)</f>
        <v>1790</v>
      </c>
    </row>
    <row r="154" spans="1:7" ht="24.75" customHeight="1" x14ac:dyDescent="0.35">
      <c r="A154" s="27">
        <v>30016</v>
      </c>
      <c r="B154" s="55" t="s">
        <v>253</v>
      </c>
      <c r="C154" s="10">
        <f>IFERROR(INDEX('حسابهای دریافتنی'!H:H,MATCH(Table213[[#This Row],[كد تفصيلي]],'حسابهای دریافتنی'!A:A,0)),0)</f>
        <v>0</v>
      </c>
      <c r="D154" s="11">
        <f>IFERROR(INDEX('درجریان وصول'!F:F,MATCH(Table213[[#This Row],[كد تفصيلي]],'درجریان وصول'!A:A,0)),0)</f>
        <v>0</v>
      </c>
      <c r="E154" s="11">
        <f>IFERROR(INDEX('چکهای دریافتنی'!F:F,MATCH(Table213[[#This Row],[كد تفصيلي]],'چکهای دریافتنی'!A:A,0)),0)</f>
        <v>0</v>
      </c>
      <c r="F154" s="11">
        <f>Table213[[#This Row],[حسابهای دریافتنی]]+Table213[[#This Row],[چکهای در جریان وصول]]+Table213[[#This Row],[چکهای نزد صندوق]]</f>
        <v>0</v>
      </c>
      <c r="G154" s="12">
        <f>IFERROR(INDEX('مانده سوفاله'!F:F,MATCH(Table213[[#This Row],[كد تفصيلي]],'مانده سوفاله'!A:A,0)),0)</f>
        <v>0</v>
      </c>
    </row>
    <row r="155" spans="1:7" ht="24.75" customHeight="1" x14ac:dyDescent="0.35">
      <c r="A155" s="26">
        <v>10009</v>
      </c>
      <c r="B155" s="56" t="s">
        <v>16</v>
      </c>
      <c r="C155" s="10">
        <f>IFERROR(INDEX('حسابهای دریافتنی'!H:H,MATCH(Table213[[#This Row],[كد تفصيلي]],'حسابهای دریافتنی'!A:A,0)),0)</f>
        <v>-4260580000</v>
      </c>
      <c r="D155" s="11">
        <f>IFERROR(INDEX('درجریان وصول'!F:F,MATCH(Table213[[#This Row],[كد تفصيلي]],'درجریان وصول'!A:A,0)),0)</f>
        <v>0</v>
      </c>
      <c r="E155" s="11">
        <f>IFERROR(INDEX('چکهای دریافتنی'!F:F,MATCH(Table213[[#This Row],[كد تفصيلي]],'چکهای دریافتنی'!A:A,0)),0)</f>
        <v>1600000000</v>
      </c>
      <c r="F155" s="11">
        <f>Table213[[#This Row],[حسابهای دریافتنی]]+Table213[[#This Row],[چکهای در جریان وصول]]+Table213[[#This Row],[چکهای نزد صندوق]]</f>
        <v>-2660580000</v>
      </c>
      <c r="G155" s="12">
        <f>IFERROR(INDEX('مانده سوفاله'!F:F,MATCH(Table213[[#This Row],[كد تفصيلي]],'مانده سوفاله'!A:A,0)),0)</f>
        <v>9952</v>
      </c>
    </row>
    <row r="156" spans="1:7" ht="24.75" customHeight="1" x14ac:dyDescent="0.35">
      <c r="A156" s="26">
        <v>10079</v>
      </c>
      <c r="B156" s="56" t="s">
        <v>174</v>
      </c>
      <c r="C156" s="10">
        <f>IFERROR(INDEX('حسابهای دریافتنی'!H:H,MATCH(Table213[[#This Row],[كد تفصيلي]],'حسابهای دریافتنی'!A:A,0)),0)</f>
        <v>-226593500</v>
      </c>
      <c r="D156" s="11">
        <f>IFERROR(INDEX('درجریان وصول'!F:F,MATCH(Table213[[#This Row],[كد تفصيلي]],'درجریان وصول'!A:A,0)),0)</f>
        <v>0</v>
      </c>
      <c r="E156" s="11">
        <f>IFERROR(INDEX('چکهای دریافتنی'!F:F,MATCH(Table213[[#This Row],[كد تفصيلي]],'چکهای دریافتنی'!A:A,0)),0)</f>
        <v>0</v>
      </c>
      <c r="F156" s="11">
        <f>Table213[[#This Row],[حسابهای دریافتنی]]+Table213[[#This Row],[چکهای در جریان وصول]]+Table213[[#This Row],[چکهای نزد صندوق]]</f>
        <v>-226593500</v>
      </c>
      <c r="G156" s="12">
        <f>IFERROR(INDEX('مانده سوفاله'!F:F,MATCH(Table213[[#This Row],[كد تفصيلي]],'مانده سوفاله'!A:A,0)),0)</f>
        <v>0</v>
      </c>
    </row>
    <row r="157" spans="1:7" ht="24.75" customHeight="1" x14ac:dyDescent="0.35">
      <c r="A157" s="26">
        <v>10019</v>
      </c>
      <c r="B157" s="56" t="s">
        <v>26</v>
      </c>
      <c r="C157" s="10">
        <f>IFERROR(INDEX('حسابهای دریافتنی'!H:H,MATCH(Table213[[#This Row],[كد تفصيلي]],'حسابهای دریافتنی'!A:A,0)),0)</f>
        <v>0</v>
      </c>
      <c r="D157" s="11">
        <f>IFERROR(INDEX('درجریان وصول'!F:F,MATCH(Table213[[#This Row],[كد تفصيلي]],'درجریان وصول'!A:A,0)),0)</f>
        <v>0</v>
      </c>
      <c r="E157" s="11">
        <f>IFERROR(INDEX('چکهای دریافتنی'!F:F,MATCH(Table213[[#This Row],[كد تفصيلي]],'چکهای دریافتنی'!A:A,0)),0)</f>
        <v>0</v>
      </c>
      <c r="F157" s="11">
        <f>Table213[[#This Row],[حسابهای دریافتنی]]+Table213[[#This Row],[چکهای در جریان وصول]]+Table213[[#This Row],[چکهای نزد صندوق]]</f>
        <v>0</v>
      </c>
      <c r="G157" s="12">
        <f>IFERROR(INDEX('مانده سوفاله'!F:F,MATCH(Table213[[#This Row],[كد تفصيلي]],'مانده سوفاله'!A:A,0)),0)</f>
        <v>285</v>
      </c>
    </row>
    <row r="158" spans="1:7" ht="24.75" customHeight="1" x14ac:dyDescent="0.35">
      <c r="A158" s="26">
        <v>30156</v>
      </c>
      <c r="B158" s="56" t="s">
        <v>290</v>
      </c>
      <c r="C158" s="10">
        <f>IFERROR(INDEX('حسابهای دریافتنی'!H:H,MATCH(Table213[[#This Row],[كد تفصيلي]],'حسابهای دریافتنی'!A:A,0)),0)</f>
        <v>-180917500</v>
      </c>
      <c r="D158" s="11">
        <f>IFERROR(INDEX('درجریان وصول'!F:F,MATCH(Table213[[#This Row],[كد تفصيلي]],'درجریان وصول'!A:A,0)),0)</f>
        <v>0</v>
      </c>
      <c r="E158" s="11">
        <f>IFERROR(INDEX('چکهای دریافتنی'!F:F,MATCH(Table213[[#This Row],[كد تفصيلي]],'چکهای دریافتنی'!A:A,0)),0)</f>
        <v>0</v>
      </c>
      <c r="F158" s="11">
        <f>Table213[[#This Row],[حسابهای دریافتنی]]+Table213[[#This Row],[چکهای در جریان وصول]]+Table213[[#This Row],[چکهای نزد صندوق]]</f>
        <v>-180917500</v>
      </c>
      <c r="G158" s="12">
        <f>IFERROR(INDEX('مانده سوفاله'!F:F,MATCH(Table213[[#This Row],[كد تفصيلي]],'مانده سوفاله'!A:A,0)),0)</f>
        <v>0</v>
      </c>
    </row>
    <row r="159" spans="1:7" ht="24.75" customHeight="1" x14ac:dyDescent="0.35">
      <c r="A159" s="26">
        <v>10029</v>
      </c>
      <c r="B159" s="56" t="s">
        <v>35</v>
      </c>
      <c r="C159" s="10">
        <f>IFERROR(INDEX('حسابهای دریافتنی'!H:H,MATCH(Table213[[#This Row],[كد تفصيلي]],'حسابهای دریافتنی'!A:A,0)),0)</f>
        <v>-1038298620</v>
      </c>
      <c r="D159" s="11">
        <f>IFERROR(INDEX('درجریان وصول'!F:F,MATCH(Table213[[#This Row],[كد تفصيلي]],'درجریان وصول'!A:A,0)),0)</f>
        <v>0</v>
      </c>
      <c r="E159" s="11">
        <f>IFERROR(INDEX('چکهای دریافتنی'!F:F,MATCH(Table213[[#This Row],[كد تفصيلي]],'چکهای دریافتنی'!A:A,0)),0)</f>
        <v>2019000000</v>
      </c>
      <c r="F159" s="11">
        <f>Table213[[#This Row],[حسابهای دریافتنی]]+Table213[[#This Row],[چکهای در جریان وصول]]+Table213[[#This Row],[چکهای نزد صندوق]]</f>
        <v>980701380</v>
      </c>
      <c r="G159" s="12">
        <f>IFERROR(INDEX('مانده سوفاله'!F:F,MATCH(Table213[[#This Row],[كد تفصيلي]],'مانده سوفاله'!A:A,0)),0)</f>
        <v>6603</v>
      </c>
    </row>
    <row r="160" spans="1:7" ht="24.75" customHeight="1" x14ac:dyDescent="0.35">
      <c r="A160" s="27">
        <v>50008</v>
      </c>
      <c r="B160" s="55" t="s">
        <v>146</v>
      </c>
      <c r="C160" s="10">
        <f>IFERROR(INDEX('حسابهای دریافتنی'!H:H,MATCH(Table213[[#This Row],[كد تفصيلي]],'حسابهای دریافتنی'!A:A,0)),0)</f>
        <v>-406230000</v>
      </c>
      <c r="D160" s="11">
        <f>IFERROR(INDEX('درجریان وصول'!F:F,MATCH(Table213[[#This Row],[كد تفصيلي]],'درجریان وصول'!A:A,0)),0)</f>
        <v>0</v>
      </c>
      <c r="E160" s="11">
        <f>IFERROR(INDEX('چکهای دریافتنی'!F:F,MATCH(Table213[[#This Row],[كد تفصيلي]],'چکهای دریافتنی'!A:A,0)),0)</f>
        <v>0</v>
      </c>
      <c r="F160" s="11">
        <f>Table213[[#This Row],[حسابهای دریافتنی]]+Table213[[#This Row],[چکهای در جریان وصول]]+Table213[[#This Row],[چکهای نزد صندوق]]</f>
        <v>-406230000</v>
      </c>
      <c r="G160" s="12">
        <f>IFERROR(INDEX('مانده سوفاله'!F:F,MATCH(Table213[[#This Row],[كد تفصيلي]],'مانده سوفاله'!A:A,0)),0)</f>
        <v>0</v>
      </c>
    </row>
    <row r="161" spans="1:7" ht="24.75" customHeight="1" x14ac:dyDescent="0.35">
      <c r="A161" s="27">
        <v>30040</v>
      </c>
      <c r="B161" s="55" t="s">
        <v>87</v>
      </c>
      <c r="C161" s="10">
        <f>IFERROR(INDEX('حسابهای دریافتنی'!H:H,MATCH(Table213[[#This Row],[كد تفصيلي]],'حسابهای دریافتنی'!A:A,0)),0)</f>
        <v>0</v>
      </c>
      <c r="D161" s="11">
        <f>IFERROR(INDEX('درجریان وصول'!F:F,MATCH(Table213[[#This Row],[كد تفصيلي]],'درجریان وصول'!A:A,0)),0)</f>
        <v>0</v>
      </c>
      <c r="E161" s="11">
        <f>IFERROR(INDEX('چکهای دریافتنی'!F:F,MATCH(Table213[[#This Row],[كد تفصيلي]],'چکهای دریافتنی'!A:A,0)),0)</f>
        <v>0</v>
      </c>
      <c r="F161" s="11">
        <f>Table213[[#This Row],[حسابهای دریافتنی]]+Table213[[#This Row],[چکهای در جریان وصول]]+Table213[[#This Row],[چکهای نزد صندوق]]</f>
        <v>0</v>
      </c>
      <c r="G161" s="12">
        <f>IFERROR(INDEX('مانده سوفاله'!F:F,MATCH(Table213[[#This Row],[كد تفصيلي]],'مانده سوفاله'!A:A,0)),0)</f>
        <v>0</v>
      </c>
    </row>
    <row r="162" spans="1:7" ht="24.75" customHeight="1" x14ac:dyDescent="0.35">
      <c r="A162" s="26">
        <v>79120</v>
      </c>
      <c r="B162" s="56" t="s">
        <v>195</v>
      </c>
      <c r="C162" s="10">
        <f>IFERROR(INDEX('حسابهای دریافتنی'!H:H,MATCH(Table213[[#This Row],[كد تفصيلي]],'حسابهای دریافتنی'!A:A,0)),0)</f>
        <v>-15776160000</v>
      </c>
      <c r="D162" s="11">
        <f>IFERROR(INDEX('درجریان وصول'!F:F,MATCH(Table213[[#This Row],[كد تفصيلي]],'درجریان وصول'!A:A,0)),0)</f>
        <v>0</v>
      </c>
      <c r="E162" s="11">
        <f>IFERROR(INDEX('چکهای دریافتنی'!F:F,MATCH(Table213[[#This Row],[كد تفصيلي]],'چکهای دریافتنی'!A:A,0)),0)</f>
        <v>0</v>
      </c>
      <c r="F162" s="11">
        <f>Table213[[#This Row],[حسابهای دریافتنی]]+Table213[[#This Row],[چکهای در جریان وصول]]+Table213[[#This Row],[چکهای نزد صندوق]]</f>
        <v>-15776160000</v>
      </c>
      <c r="G162" s="12">
        <f>IFERROR(INDEX('مانده سوفاله'!F:F,MATCH(Table213[[#This Row],[كد تفصيلي]],'مانده سوفاله'!A:A,0)),0)</f>
        <v>0</v>
      </c>
    </row>
    <row r="163" spans="1:7" ht="24.75" customHeight="1" x14ac:dyDescent="0.35">
      <c r="A163" s="26">
        <v>30184</v>
      </c>
      <c r="B163" s="56" t="s">
        <v>368</v>
      </c>
      <c r="C163" s="10">
        <f>IFERROR(INDEX('حسابهای دریافتنی'!H:H,MATCH(Table213[[#This Row],[كد تفصيلي]],'حسابهای دریافتنی'!A:A,0)),0)</f>
        <v>904890480</v>
      </c>
      <c r="D163" s="11">
        <f>IFERROR(INDEX('درجریان وصول'!F:F,MATCH(Table213[[#This Row],[كد تفصيلي]],'درجریان وصول'!A:A,0)),0)</f>
        <v>0</v>
      </c>
      <c r="E163" s="11">
        <f>IFERROR(INDEX('چکهای دریافتنی'!F:F,MATCH(Table213[[#This Row],[كد تفصيلي]],'چکهای دریافتنی'!A:A,0)),0)</f>
        <v>0</v>
      </c>
      <c r="F163" s="11">
        <f>Table213[[#This Row],[حسابهای دریافتنی]]+Table213[[#This Row],[چکهای در جریان وصول]]+Table213[[#This Row],[چکهای نزد صندوق]]</f>
        <v>904890480</v>
      </c>
      <c r="G163" s="12">
        <f>IFERROR(INDEX('مانده سوفاله'!F:F,MATCH(Table213[[#This Row],[كد تفصيلي]],'مانده سوفاله'!A:A,0)),0)</f>
        <v>-100</v>
      </c>
    </row>
    <row r="164" spans="1:7" ht="24.75" customHeight="1" x14ac:dyDescent="0.35">
      <c r="A164" s="27">
        <v>30169</v>
      </c>
      <c r="B164" s="55" t="s">
        <v>318</v>
      </c>
      <c r="C164" s="10">
        <f>IFERROR(INDEX('حسابهای دریافتنی'!H:H,MATCH(Table213[[#This Row],[كد تفصيلي]],'حسابهای دریافتنی'!A:A,0)),0)</f>
        <v>-658993316</v>
      </c>
      <c r="D164" s="11">
        <f>IFERROR(INDEX('درجریان وصول'!F:F,MATCH(Table213[[#This Row],[كد تفصيلي]],'درجریان وصول'!A:A,0)),0)</f>
        <v>0</v>
      </c>
      <c r="E164" s="11">
        <f>IFERROR(INDEX('چکهای دریافتنی'!F:F,MATCH(Table213[[#This Row],[كد تفصيلي]],'چکهای دریافتنی'!A:A,0)),0)</f>
        <v>2085000000</v>
      </c>
      <c r="F164" s="11">
        <f>Table213[[#This Row],[حسابهای دریافتنی]]+Table213[[#This Row],[چکهای در جریان وصول]]+Table213[[#This Row],[چکهای نزد صندوق]]</f>
        <v>1426006684</v>
      </c>
      <c r="G164" s="12">
        <f>IFERROR(INDEX('مانده سوفاله'!F:F,MATCH(Table213[[#This Row],[كد تفصيلي]],'مانده سوفاله'!A:A,0)),0)</f>
        <v>0</v>
      </c>
    </row>
    <row r="165" spans="1:7" ht="24.75" customHeight="1" x14ac:dyDescent="0.35">
      <c r="A165" s="26">
        <v>50005</v>
      </c>
      <c r="B165" s="56" t="s">
        <v>148</v>
      </c>
      <c r="C165" s="10">
        <f>IFERROR(INDEX('حسابهای دریافتنی'!H:H,MATCH(Table213[[#This Row],[كد تفصيلي]],'حسابهای دریافتنی'!A:A,0)),0)</f>
        <v>0</v>
      </c>
      <c r="D165" s="11">
        <f>IFERROR(INDEX('درجریان وصول'!F:F,MATCH(Table213[[#This Row],[كد تفصيلي]],'درجریان وصول'!A:A,0)),0)</f>
        <v>0</v>
      </c>
      <c r="E165" s="11">
        <f>IFERROR(INDEX('چکهای دریافتنی'!F:F,MATCH(Table213[[#This Row],[كد تفصيلي]],'چکهای دریافتنی'!A:A,0)),0)</f>
        <v>0</v>
      </c>
      <c r="F165" s="11">
        <f>Table213[[#This Row],[حسابهای دریافتنی]]+Table213[[#This Row],[چکهای در جریان وصول]]+Table213[[#This Row],[چکهای نزد صندوق]]</f>
        <v>0</v>
      </c>
      <c r="G165" s="12">
        <f>IFERROR(INDEX('مانده سوفاله'!F:F,MATCH(Table213[[#This Row],[كد تفصيلي]],'مانده سوفاله'!A:A,0)),0)</f>
        <v>0</v>
      </c>
    </row>
    <row r="166" spans="1:7" ht="24.75" customHeight="1" x14ac:dyDescent="0.35">
      <c r="A166" s="27">
        <v>30127</v>
      </c>
      <c r="B166" s="55" t="s">
        <v>163</v>
      </c>
      <c r="C166" s="10">
        <f>IFERROR(INDEX('حسابهای دریافتنی'!H:H,MATCH(Table213[[#This Row],[كد تفصيلي]],'حسابهای دریافتنی'!A:A,0)),0)</f>
        <v>31800110000</v>
      </c>
      <c r="D166" s="11">
        <f>IFERROR(INDEX('درجریان وصول'!F:F,MATCH(Table213[[#This Row],[كد تفصيلي]],'درجریان وصول'!A:A,0)),0)</f>
        <v>0</v>
      </c>
      <c r="E166" s="11">
        <f>IFERROR(INDEX('چکهای دریافتنی'!F:F,MATCH(Table213[[#This Row],[كد تفصيلي]],'چکهای دریافتنی'!A:A,0)),0)</f>
        <v>0</v>
      </c>
      <c r="F166" s="11">
        <f>Table213[[#This Row],[حسابهای دریافتنی]]+Table213[[#This Row],[چکهای در جریان وصول]]+Table213[[#This Row],[چکهای نزد صندوق]]</f>
        <v>31800110000</v>
      </c>
      <c r="G166" s="12">
        <f>IFERROR(INDEX('مانده سوفاله'!F:F,MATCH(Table213[[#This Row],[كد تفصيلي]],'مانده سوفاله'!A:A,0)),0)</f>
        <v>-18472</v>
      </c>
    </row>
    <row r="167" spans="1:7" ht="24.75" customHeight="1" x14ac:dyDescent="0.35">
      <c r="A167" s="63"/>
      <c r="B167" s="64"/>
      <c r="C167" s="38">
        <f>SUBTOTAL(109,Table213[حسابهای دریافتنی])</f>
        <v>73970749979</v>
      </c>
      <c r="D167" s="38">
        <f>SUBTOTAL(109,Table213[چکهای در جریان وصول])</f>
        <v>0</v>
      </c>
      <c r="E167" s="38">
        <f>SUBTOTAL(109,Table213[چکهای نزد صندوق])</f>
        <v>62507828942</v>
      </c>
      <c r="F167" s="38"/>
      <c r="G167" s="39">
        <f>SUBTOTAL(109,Table213[مانده سوفاله])</f>
        <v>-132142.5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67"/>
  <sheetViews>
    <sheetView rightToLeft="1" topLeftCell="A160" workbookViewId="0">
      <selection activeCell="C3" sqref="C3"/>
    </sheetView>
  </sheetViews>
  <sheetFormatPr defaultColWidth="9.08984375" defaultRowHeight="24.75" customHeight="1" x14ac:dyDescent="0.35"/>
  <cols>
    <col min="1" max="1" width="11" style="5" customWidth="1"/>
    <col min="2" max="2" width="35.90625" style="5" customWidth="1"/>
    <col min="3" max="3" width="20.26953125" style="3" customWidth="1"/>
    <col min="4" max="4" width="18.632812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9.25" customHeight="1" thickBot="1" x14ac:dyDescent="0.4">
      <c r="A1" s="97" t="s">
        <v>483</v>
      </c>
      <c r="B1" s="98"/>
      <c r="C1" s="98"/>
      <c r="D1" s="98"/>
      <c r="E1" s="98"/>
      <c r="F1" s="98"/>
      <c r="G1" s="99"/>
    </row>
    <row r="2" spans="1:7" s="2" customFormat="1" ht="49.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.75" customHeight="1" x14ac:dyDescent="0.35">
      <c r="A3" s="26">
        <v>10003</v>
      </c>
      <c r="B3" s="56" t="s">
        <v>10</v>
      </c>
      <c r="C3" s="10">
        <f>IFERROR(INDEX('حسابهای دریافتنی'!H:H,MATCH(Table214[[#This Row],[كد تفصيلي]],'حسابهای دریافتنی'!A:A,0)),0)</f>
        <v>10804267992</v>
      </c>
      <c r="D3" s="11">
        <f>IFERROR(INDEX('درجریان وصول'!F:F,MATCH(Table214[[#This Row],[كد تفصيلي]],'درجریان وصول'!A:A,0)),0)</f>
        <v>0</v>
      </c>
      <c r="E3" s="11">
        <f>IFERROR(INDEX('چکهای دریافتنی'!F:F,MATCH(Table214[[#This Row],[كد تفصيلي]],'چکهای دریافتنی'!A:A,0)),0)</f>
        <v>13698001280</v>
      </c>
      <c r="F3" s="11">
        <f>Table214[[#This Row],[حسابهای دریافتنی]]+Table214[[#This Row],[چکهای در جریان وصول]]+Table214[[#This Row],[چکهای نزد صندوق]]</f>
        <v>24502269272</v>
      </c>
      <c r="G3" s="12">
        <f>IFERROR(INDEX('مانده سوفاله'!F:F,MATCH(Table214[[#This Row],[كد تفصيلي]],'مانده سوفاله'!A:A,0)),0)</f>
        <v>-39886</v>
      </c>
    </row>
    <row r="4" spans="1:7" ht="24.75" customHeight="1" x14ac:dyDescent="0.35">
      <c r="A4" s="26">
        <v>10055</v>
      </c>
      <c r="B4" s="56" t="s">
        <v>162</v>
      </c>
      <c r="C4" s="10">
        <f>IFERROR(INDEX('حسابهای دریافتنی'!H:H,MATCH(Table214[[#This Row],[كد تفصيلي]],'حسابهای دریافتنی'!A:A,0)),0)</f>
        <v>10460111325</v>
      </c>
      <c r="D4" s="11">
        <f>IFERROR(INDEX('درجریان وصول'!F:F,MATCH(Table214[[#This Row],[كد تفصيلي]],'درجریان وصول'!A:A,0)),0)</f>
        <v>0</v>
      </c>
      <c r="E4" s="11">
        <f>IFERROR(INDEX('چکهای دریافتنی'!F:F,MATCH(Table214[[#This Row],[كد تفصيلي]],'چکهای دریافتنی'!A:A,0)),0)</f>
        <v>2783298655</v>
      </c>
      <c r="F4" s="11">
        <f>Table214[[#This Row],[حسابهای دریافتنی]]+Table214[[#This Row],[چکهای در جریان وصول]]+Table214[[#This Row],[چکهای نزد صندوق]]</f>
        <v>13243409980</v>
      </c>
      <c r="G4" s="12">
        <f>IFERROR(INDEX('مانده سوفاله'!F:F,MATCH(Table214[[#This Row],[كد تفصيلي]],'مانده سوفاله'!A:A,0)),0)</f>
        <v>-12714</v>
      </c>
    </row>
    <row r="5" spans="1:7" ht="24.75" customHeight="1" x14ac:dyDescent="0.35">
      <c r="A5" s="27">
        <v>30004</v>
      </c>
      <c r="B5" s="55" t="s">
        <v>54</v>
      </c>
      <c r="C5" s="10">
        <f>IFERROR(INDEX('حسابهای دریافتنی'!H:H,MATCH(Table214[[#This Row],[كد تفصيلي]],'حسابهای دریافتنی'!A:A,0)),0)</f>
        <v>7598548260</v>
      </c>
      <c r="D5" s="11">
        <f>IFERROR(INDEX('درجریان وصول'!F:F,MATCH(Table214[[#This Row],[كد تفصيلي]],'درجریان وصول'!A:A,0)),0)</f>
        <v>0</v>
      </c>
      <c r="E5" s="11">
        <f>IFERROR(INDEX('چکهای دریافتنی'!F:F,MATCH(Table214[[#This Row],[كد تفصيلي]],'چکهای دریافتنی'!A:A,0)),0)</f>
        <v>11698760000</v>
      </c>
      <c r="F5" s="11">
        <f>Table214[[#This Row],[حسابهای دریافتنی]]+Table214[[#This Row],[چکهای در جریان وصول]]+Table214[[#This Row],[چکهای نزد صندوق]]</f>
        <v>19297308260</v>
      </c>
      <c r="G5" s="12">
        <f>IFERROR(INDEX('مانده سوفاله'!F:F,MATCH(Table214[[#This Row],[كد تفصيلي]],'مانده سوفاله'!A:A,0)),0)</f>
        <v>-4237</v>
      </c>
    </row>
    <row r="6" spans="1:7" ht="24.75" customHeight="1" x14ac:dyDescent="0.35">
      <c r="A6" s="27">
        <v>10026</v>
      </c>
      <c r="B6" s="55" t="s">
        <v>32</v>
      </c>
      <c r="C6" s="10">
        <f>IFERROR(INDEX('حسابهای دریافتنی'!H:H,MATCH(Table214[[#This Row],[كد تفصيلي]],'حسابهای دریافتنی'!A:A,0)),0)</f>
        <v>3795031844</v>
      </c>
      <c r="D6" s="11">
        <f>IFERROR(INDEX('درجریان وصول'!F:F,MATCH(Table214[[#This Row],[كد تفصيلي]],'درجریان وصول'!A:A,0)),0)</f>
        <v>0</v>
      </c>
      <c r="E6" s="11">
        <f>IFERROR(INDEX('چکهای دریافتنی'!F:F,MATCH(Table214[[#This Row],[كد تفصيلي]],'چکهای دریافتنی'!A:A,0)),0)</f>
        <v>2690000000</v>
      </c>
      <c r="F6" s="11">
        <f>Table214[[#This Row],[حسابهای دریافتنی]]+Table214[[#This Row],[چکهای در جریان وصول]]+Table214[[#This Row],[چکهای نزد صندوق]]</f>
        <v>6485031844</v>
      </c>
      <c r="G6" s="12">
        <f>IFERROR(INDEX('مانده سوفاله'!F:F,MATCH(Table214[[#This Row],[كد تفصيلي]],'مانده سوفاله'!A:A,0)),0)</f>
        <v>-12543</v>
      </c>
    </row>
    <row r="7" spans="1:7" ht="24.75" customHeight="1" x14ac:dyDescent="0.35">
      <c r="A7" s="26">
        <v>30009</v>
      </c>
      <c r="B7" s="56" t="s">
        <v>164</v>
      </c>
      <c r="C7" s="10">
        <f>IFERROR(INDEX('حسابهای دریافتنی'!H:H,MATCH(Table214[[#This Row],[كد تفصيلي]],'حسابهای دریافتنی'!A:A,0)),0)</f>
        <v>7853844277</v>
      </c>
      <c r="D7" s="11">
        <f>IFERROR(INDEX('درجریان وصول'!F:F,MATCH(Table214[[#This Row],[كد تفصيلي]],'درجریان وصول'!A:A,0)),0)</f>
        <v>0</v>
      </c>
      <c r="E7" s="11">
        <f>IFERROR(INDEX('چکهای دریافتنی'!F:F,MATCH(Table214[[#This Row],[كد تفصيلي]],'چکهای دریافتنی'!A:A,0)),0)</f>
        <v>6474835380</v>
      </c>
      <c r="F7" s="11">
        <f>Table214[[#This Row],[حسابهای دریافتنی]]+Table214[[#This Row],[چکهای در جریان وصول]]+Table214[[#This Row],[چکهای نزد صندوق]]</f>
        <v>14328679657</v>
      </c>
      <c r="G7" s="12">
        <f>IFERROR(INDEX('مانده سوفاله'!F:F,MATCH(Table214[[#This Row],[كد تفصيلي]],'مانده سوفاله'!A:A,0)),0)</f>
        <v>-11452</v>
      </c>
    </row>
    <row r="8" spans="1:7" ht="24.75" customHeight="1" x14ac:dyDescent="0.35">
      <c r="A8" s="26">
        <v>30066</v>
      </c>
      <c r="B8" s="56" t="s">
        <v>111</v>
      </c>
      <c r="C8" s="10">
        <f>IFERROR(INDEX('حسابهای دریافتنی'!H:H,MATCH(Table214[[#This Row],[كد تفصيلي]],'حسابهای دریافتنی'!A:A,0)),0)</f>
        <v>6484147500</v>
      </c>
      <c r="D8" s="11">
        <f>IFERROR(INDEX('درجریان وصول'!F:F,MATCH(Table214[[#This Row],[كد تفصيلي]],'درجریان وصول'!A:A,0)),0)</f>
        <v>0</v>
      </c>
      <c r="E8" s="11">
        <f>IFERROR(INDEX('چکهای دریافتنی'!F:F,MATCH(Table214[[#This Row],[كد تفصيلي]],'چکهای دریافتنی'!A:A,0)),0)</f>
        <v>0</v>
      </c>
      <c r="F8" s="11">
        <f>Table214[[#This Row],[حسابهای دریافتنی]]+Table214[[#This Row],[چکهای در جریان وصول]]+Table214[[#This Row],[چکهای نزد صندوق]]</f>
        <v>6484147500</v>
      </c>
      <c r="G8" s="12">
        <f>IFERROR(INDEX('مانده سوفاله'!F:F,MATCH(Table214[[#This Row],[كد تفصيلي]],'مانده سوفاله'!A:A,0)),0)</f>
        <v>-1320</v>
      </c>
    </row>
    <row r="9" spans="1:7" ht="24.75" customHeight="1" x14ac:dyDescent="0.35">
      <c r="A9" s="26">
        <v>30058</v>
      </c>
      <c r="B9" s="56" t="s">
        <v>103</v>
      </c>
      <c r="C9" s="10">
        <f>IFERROR(INDEX('حسابهای دریافتنی'!H:H,MATCH(Table214[[#This Row],[كد تفصيلي]],'حسابهای دریافتنی'!A:A,0)),0)</f>
        <v>1700045560</v>
      </c>
      <c r="D9" s="11">
        <f>IFERROR(INDEX('درجریان وصول'!F:F,MATCH(Table214[[#This Row],[كد تفصيلي]],'درجریان وصول'!A:A,0)),0)</f>
        <v>0</v>
      </c>
      <c r="E9" s="11">
        <f>IFERROR(INDEX('چکهای دریافتنی'!F:F,MATCH(Table214[[#This Row],[كد تفصيلي]],'چکهای دریافتنی'!A:A,0)),0)</f>
        <v>0</v>
      </c>
      <c r="F9" s="11">
        <f>Table214[[#This Row],[حسابهای دریافتنی]]+Table214[[#This Row],[چکهای در جریان وصول]]+Table214[[#This Row],[چکهای نزد صندوق]]</f>
        <v>1700045560</v>
      </c>
      <c r="G9" s="12">
        <f>IFERROR(INDEX('مانده سوفاله'!F:F,MATCH(Table214[[#This Row],[كد تفصيلي]],'مانده سوفاله'!A:A,0)),0)</f>
        <v>-225</v>
      </c>
    </row>
    <row r="10" spans="1:7" ht="24.75" customHeight="1" x14ac:dyDescent="0.35">
      <c r="A10" s="26">
        <v>30017</v>
      </c>
      <c r="B10" s="56" t="s">
        <v>65</v>
      </c>
      <c r="C10" s="10">
        <f>IFERROR(INDEX('حسابهای دریافتنی'!H:H,MATCH(Table214[[#This Row],[كد تفصيلي]],'حسابهای دریافتنی'!A:A,0)),0)</f>
        <v>905000830</v>
      </c>
      <c r="D10" s="11">
        <f>IFERROR(INDEX('درجریان وصول'!F:F,MATCH(Table214[[#This Row],[كد تفصيلي]],'درجریان وصول'!A:A,0)),0)</f>
        <v>0</v>
      </c>
      <c r="E10" s="11">
        <f>IFERROR(INDEX('چکهای دریافتنی'!F:F,MATCH(Table214[[#This Row],[كد تفصيلي]],'چکهای دریافتنی'!A:A,0)),0)</f>
        <v>0</v>
      </c>
      <c r="F10" s="11">
        <f>Table214[[#This Row],[حسابهای دریافتنی]]+Table214[[#This Row],[چکهای در جریان وصول]]+Table214[[#This Row],[چکهای نزد صندوق]]</f>
        <v>905000830</v>
      </c>
      <c r="G10" s="12">
        <f>IFERROR(INDEX('مانده سوفاله'!F:F,MATCH(Table214[[#This Row],[كد تفصيلي]],'مانده سوفاله'!A:A,0)),0)</f>
        <v>-2186</v>
      </c>
    </row>
    <row r="11" spans="1:7" ht="24.75" customHeight="1" x14ac:dyDescent="0.35">
      <c r="A11" s="27">
        <v>30081</v>
      </c>
      <c r="B11" s="55" t="s">
        <v>126</v>
      </c>
      <c r="C11" s="10">
        <f>IFERROR(INDEX('حسابهای دریافتنی'!H:H,MATCH(Table214[[#This Row],[كد تفصيلي]],'حسابهای دریافتنی'!A:A,0)),0)</f>
        <v>1148992373</v>
      </c>
      <c r="D11" s="11">
        <f>IFERROR(INDEX('درجریان وصول'!F:F,MATCH(Table214[[#This Row],[كد تفصيلي]],'درجریان وصول'!A:A,0)),0)</f>
        <v>0</v>
      </c>
      <c r="E11" s="11">
        <f>IFERROR(INDEX('چکهای دریافتنی'!F:F,MATCH(Table214[[#This Row],[كد تفصيلي]],'چکهای دریافتنی'!A:A,0)),0)</f>
        <v>0</v>
      </c>
      <c r="F11" s="11">
        <f>Table214[[#This Row],[حسابهای دریافتنی]]+Table214[[#This Row],[چکهای در جریان وصول]]+Table214[[#This Row],[چکهای نزد صندوق]]</f>
        <v>1148992373</v>
      </c>
      <c r="G11" s="12">
        <f>IFERROR(INDEX('مانده سوفاله'!F:F,MATCH(Table214[[#This Row],[كد تفصيلي]],'مانده سوفاله'!A:A,0)),0)</f>
        <v>-6924</v>
      </c>
    </row>
    <row r="12" spans="1:7" ht="24.75" customHeight="1" x14ac:dyDescent="0.35">
      <c r="A12" s="27">
        <v>30006</v>
      </c>
      <c r="B12" s="55" t="s">
        <v>56</v>
      </c>
      <c r="C12" s="10">
        <f>IFERROR(INDEX('حسابهای دریافتنی'!H:H,MATCH(Table214[[#This Row],[كد تفصيلي]],'حسابهای دریافتنی'!A:A,0)),0)</f>
        <v>-162677545</v>
      </c>
      <c r="D12" s="11">
        <f>IFERROR(INDEX('درجریان وصول'!F:F,MATCH(Table214[[#This Row],[كد تفصيلي]],'درجریان وصول'!A:A,0)),0)</f>
        <v>0</v>
      </c>
      <c r="E12" s="11">
        <f>IFERROR(INDEX('چکهای دریافتنی'!F:F,MATCH(Table214[[#This Row],[كد تفصيلي]],'چکهای دریافتنی'!A:A,0)),0)</f>
        <v>0</v>
      </c>
      <c r="F12" s="11">
        <f>Table214[[#This Row],[حسابهای دریافتنی]]+Table214[[#This Row],[چکهای در جریان وصول]]+Table214[[#This Row],[چکهای نزد صندوق]]</f>
        <v>-162677545</v>
      </c>
      <c r="G12" s="12">
        <f>IFERROR(INDEX('مانده سوفاله'!F:F,MATCH(Table214[[#This Row],[كد تفصيلي]],'مانده سوفاله'!A:A,0)),0)</f>
        <v>-6</v>
      </c>
    </row>
    <row r="13" spans="1:7" ht="24.75" customHeight="1" x14ac:dyDescent="0.35">
      <c r="A13" s="27">
        <v>10123</v>
      </c>
      <c r="B13" s="55" t="s">
        <v>340</v>
      </c>
      <c r="C13" s="10">
        <f>IFERROR(INDEX('حسابهای دریافتنی'!H:H,MATCH(Table214[[#This Row],[كد تفصيلي]],'حسابهای دریافتنی'!A:A,0)),0)</f>
        <v>-50813000</v>
      </c>
      <c r="D13" s="11">
        <f>IFERROR(INDEX('درجریان وصول'!F:F,MATCH(Table214[[#This Row],[كد تفصيلي]],'درجریان وصول'!A:A,0)),0)</f>
        <v>0</v>
      </c>
      <c r="E13" s="11">
        <f>IFERROR(INDEX('چکهای دریافتنی'!F:F,MATCH(Table214[[#This Row],[كد تفصيلي]],'چکهای دریافتنی'!A:A,0)),0)</f>
        <v>0</v>
      </c>
      <c r="F13" s="11">
        <f>Table214[[#This Row],[حسابهای دریافتنی]]+Table214[[#This Row],[چکهای در جریان وصول]]+Table214[[#This Row],[چکهای نزد صندوق]]</f>
        <v>-50813000</v>
      </c>
      <c r="G13" s="12">
        <f>IFERROR(INDEX('مانده سوفاله'!F:F,MATCH(Table214[[#This Row],[كد تفصيلي]],'مانده سوفاله'!A:A,0)),0)</f>
        <v>0</v>
      </c>
    </row>
    <row r="14" spans="1:7" ht="24.75" customHeight="1" x14ac:dyDescent="0.35">
      <c r="A14" s="26">
        <v>10057</v>
      </c>
      <c r="B14" s="56" t="s">
        <v>225</v>
      </c>
      <c r="C14" s="10">
        <f>IFERROR(INDEX('حسابهای دریافتنی'!H:H,MATCH(Table214[[#This Row],[كد تفصيلي]],'حسابهای دریافتنی'!A:A,0)),0)</f>
        <v>1390485500</v>
      </c>
      <c r="D14" s="11">
        <f>IFERROR(INDEX('درجریان وصول'!F:F,MATCH(Table214[[#This Row],[كد تفصيلي]],'درجریان وصول'!A:A,0)),0)</f>
        <v>0</v>
      </c>
      <c r="E14" s="11">
        <f>IFERROR(INDEX('چکهای دریافتنی'!F:F,MATCH(Table214[[#This Row],[كد تفصيلي]],'چکهای دریافتنی'!A:A,0)),0)</f>
        <v>0</v>
      </c>
      <c r="F14" s="11">
        <f>Table214[[#This Row],[حسابهای دریافتنی]]+Table214[[#This Row],[چکهای در جریان وصول]]+Table214[[#This Row],[چکهای نزد صندوق]]</f>
        <v>1390485500</v>
      </c>
      <c r="G14" s="12">
        <f>IFERROR(INDEX('مانده سوفاله'!F:F,MATCH(Table214[[#This Row],[كد تفصيلي]],'مانده سوفاله'!A:A,0)),0)</f>
        <v>-2044</v>
      </c>
    </row>
    <row r="15" spans="1:7" ht="24.75" customHeight="1" x14ac:dyDescent="0.35">
      <c r="A15" s="26">
        <v>30162</v>
      </c>
      <c r="B15" s="56" t="s">
        <v>301</v>
      </c>
      <c r="C15" s="10">
        <f>IFERROR(INDEX('حسابهای دریافتنی'!H:H,MATCH(Table214[[#This Row],[كد تفصيلي]],'حسابهای دریافتنی'!A:A,0)),0)</f>
        <v>204890235</v>
      </c>
      <c r="D15" s="11">
        <f>IFERROR(INDEX('درجریان وصول'!F:F,MATCH(Table214[[#This Row],[كد تفصيلي]],'درجریان وصول'!A:A,0)),0)</f>
        <v>0</v>
      </c>
      <c r="E15" s="11">
        <f>IFERROR(INDEX('چکهای دریافتنی'!F:F,MATCH(Table214[[#This Row],[كد تفصيلي]],'چکهای دریافتنی'!A:A,0)),0)</f>
        <v>0</v>
      </c>
      <c r="F15" s="11">
        <f>Table214[[#This Row],[حسابهای دریافتنی]]+Table214[[#This Row],[چکهای در جریان وصول]]+Table214[[#This Row],[چکهای نزد صندوق]]</f>
        <v>204890235</v>
      </c>
      <c r="G15" s="12">
        <f>IFERROR(INDEX('مانده سوفاله'!F:F,MATCH(Table214[[#This Row],[كد تفصيلي]],'مانده سوفاله'!A:A,0)),0)</f>
        <v>-251</v>
      </c>
    </row>
    <row r="16" spans="1:7" ht="24.75" customHeight="1" x14ac:dyDescent="0.35">
      <c r="A16" s="26">
        <v>10027</v>
      </c>
      <c r="B16" s="56" t="s">
        <v>33</v>
      </c>
      <c r="C16" s="10">
        <f>IFERROR(INDEX('حسابهای دریافتنی'!H:H,MATCH(Table214[[#This Row],[كد تفصيلي]],'حسابهای دریافتنی'!A:A,0)),0)</f>
        <v>33078340</v>
      </c>
      <c r="D16" s="11">
        <f>IFERROR(INDEX('درجریان وصول'!F:F,MATCH(Table214[[#This Row],[كد تفصيلي]],'درجریان وصول'!A:A,0)),0)</f>
        <v>0</v>
      </c>
      <c r="E16" s="11">
        <f>IFERROR(INDEX('چکهای دریافتنی'!F:F,MATCH(Table214[[#This Row],[كد تفصيلي]],'چکهای دریافتنی'!A:A,0)),0)</f>
        <v>1588359160</v>
      </c>
      <c r="F16" s="11">
        <f>Table214[[#This Row],[حسابهای دریافتنی]]+Table214[[#This Row],[چکهای در جریان وصول]]+Table214[[#This Row],[چکهای نزد صندوق]]</f>
        <v>1621437500</v>
      </c>
      <c r="G16" s="12">
        <f>IFERROR(INDEX('مانده سوفاله'!F:F,MATCH(Table214[[#This Row],[كد تفصيلي]],'مانده سوفاله'!A:A,0)),0)</f>
        <v>-647</v>
      </c>
    </row>
    <row r="17" spans="1:7" ht="24.75" customHeight="1" x14ac:dyDescent="0.35">
      <c r="A17" s="26">
        <v>30140</v>
      </c>
      <c r="B17" s="56" t="s">
        <v>259</v>
      </c>
      <c r="C17" s="10">
        <f>IFERROR(INDEX('حسابهای دریافتنی'!H:H,MATCH(Table214[[#This Row],[كد تفصيلي]],'حسابهای دریافتنی'!A:A,0)),0)</f>
        <v>553728200</v>
      </c>
      <c r="D17" s="11">
        <f>IFERROR(INDEX('درجریان وصول'!F:F,MATCH(Table214[[#This Row],[كد تفصيلي]],'درجریان وصول'!A:A,0)),0)</f>
        <v>0</v>
      </c>
      <c r="E17" s="11">
        <f>IFERROR(INDEX('چکهای دریافتنی'!F:F,MATCH(Table214[[#This Row],[كد تفصيلي]],'چکهای دریافتنی'!A:A,0)),0)</f>
        <v>1030000000</v>
      </c>
      <c r="F17" s="11">
        <f>Table214[[#This Row],[حسابهای دریافتنی]]+Table214[[#This Row],[چکهای در جریان وصول]]+Table214[[#This Row],[چکهای نزد صندوق]]</f>
        <v>1583728200</v>
      </c>
      <c r="G17" s="12">
        <f>IFERROR(INDEX('مانده سوفاله'!F:F,MATCH(Table214[[#This Row],[كد تفصيلي]],'مانده سوفاله'!A:A,0)),0)</f>
        <v>-12630</v>
      </c>
    </row>
    <row r="18" spans="1:7" ht="24.75" customHeight="1" x14ac:dyDescent="0.35">
      <c r="A18" s="27">
        <v>30022</v>
      </c>
      <c r="B18" s="55" t="s">
        <v>70</v>
      </c>
      <c r="C18" s="10">
        <f>IFERROR(INDEX('حسابهای دریافتنی'!H:H,MATCH(Table214[[#This Row],[كد تفصيلي]],'حسابهای دریافتنی'!A:A,0)),0)</f>
        <v>2933770530</v>
      </c>
      <c r="D18" s="11">
        <f>IFERROR(INDEX('درجریان وصول'!F:F,MATCH(Table214[[#This Row],[كد تفصيلي]],'درجریان وصول'!A:A,0)),0)</f>
        <v>0</v>
      </c>
      <c r="E18" s="11">
        <f>IFERROR(INDEX('چکهای دریافتنی'!F:F,MATCH(Table214[[#This Row],[كد تفصيلي]],'چکهای دریافتنی'!A:A,0)),0)</f>
        <v>0</v>
      </c>
      <c r="F18" s="11">
        <f>Table214[[#This Row],[حسابهای دریافتنی]]+Table214[[#This Row],[چکهای در جریان وصول]]+Table214[[#This Row],[چکهای نزد صندوق]]</f>
        <v>2933770530</v>
      </c>
      <c r="G18" s="12">
        <f>IFERROR(INDEX('مانده سوفاله'!F:F,MATCH(Table214[[#This Row],[كد تفصيلي]],'مانده سوفاله'!A:A,0)),0)</f>
        <v>-14747</v>
      </c>
    </row>
    <row r="19" spans="1:7" ht="24.75" customHeight="1" x14ac:dyDescent="0.35">
      <c r="A19" s="27">
        <v>30014</v>
      </c>
      <c r="B19" s="55" t="s">
        <v>63</v>
      </c>
      <c r="C19" s="10">
        <f>IFERROR(INDEX('حسابهای دریافتنی'!H:H,MATCH(Table214[[#This Row],[كد تفصيلي]],'حسابهای دریافتنی'!A:A,0)),0)</f>
        <v>1762223932</v>
      </c>
      <c r="D19" s="11">
        <f>IFERROR(INDEX('درجریان وصول'!F:F,MATCH(Table214[[#This Row],[كد تفصيلي]],'درجریان وصول'!A:A,0)),0)</f>
        <v>0</v>
      </c>
      <c r="E19" s="11">
        <f>IFERROR(INDEX('چکهای دریافتنی'!F:F,MATCH(Table214[[#This Row],[كد تفصيلي]],'چکهای دریافتنی'!A:A,0)),0)</f>
        <v>0</v>
      </c>
      <c r="F19" s="11">
        <f>Table214[[#This Row],[حسابهای دریافتنی]]+Table214[[#This Row],[چکهای در جریان وصول]]+Table214[[#This Row],[چکهای نزد صندوق]]</f>
        <v>1762223932</v>
      </c>
      <c r="G19" s="12">
        <f>IFERROR(INDEX('مانده سوفاله'!F:F,MATCH(Table214[[#This Row],[كد تفصيلي]],'مانده سوفاله'!A:A,0)),0)</f>
        <v>-1368</v>
      </c>
    </row>
    <row r="20" spans="1:7" ht="24.75" customHeight="1" x14ac:dyDescent="0.35">
      <c r="A20" s="26">
        <v>30184</v>
      </c>
      <c r="B20" s="56" t="s">
        <v>368</v>
      </c>
      <c r="C20" s="10">
        <f>IFERROR(INDEX('حسابهای دریافتنی'!H:H,MATCH(Table214[[#This Row],[كد تفصيلي]],'حسابهای دریافتنی'!A:A,0)),0)</f>
        <v>904890480</v>
      </c>
      <c r="D20" s="11">
        <f>IFERROR(INDEX('درجریان وصول'!F:F,MATCH(Table214[[#This Row],[كد تفصيلي]],'درجریان وصول'!A:A,0)),0)</f>
        <v>0</v>
      </c>
      <c r="E20" s="11">
        <f>IFERROR(INDEX('چکهای دریافتنی'!F:F,MATCH(Table214[[#This Row],[كد تفصيلي]],'چکهای دریافتنی'!A:A,0)),0)</f>
        <v>0</v>
      </c>
      <c r="F20" s="11">
        <f>Table214[[#This Row],[حسابهای دریافتنی]]+Table214[[#This Row],[چکهای در جریان وصول]]+Table214[[#This Row],[چکهای نزد صندوق]]</f>
        <v>904890480</v>
      </c>
      <c r="G20" s="12">
        <f>IFERROR(INDEX('مانده سوفاله'!F:F,MATCH(Table214[[#This Row],[كد تفصيلي]],'مانده سوفاله'!A:A,0)),0)</f>
        <v>-100</v>
      </c>
    </row>
    <row r="21" spans="1:7" ht="24.75" customHeight="1" x14ac:dyDescent="0.35">
      <c r="A21" s="27">
        <v>10020</v>
      </c>
      <c r="B21" s="55" t="s">
        <v>27</v>
      </c>
      <c r="C21" s="10">
        <f>IFERROR(INDEX('حسابهای دریافتنی'!H:H,MATCH(Table214[[#This Row],[كد تفصيلي]],'حسابهای دریافتنی'!A:A,0)),0)</f>
        <v>57999963</v>
      </c>
      <c r="D21" s="11">
        <f>IFERROR(INDEX('درجریان وصول'!F:F,MATCH(Table214[[#This Row],[كد تفصيلي]],'درجریان وصول'!A:A,0)),0)</f>
        <v>0</v>
      </c>
      <c r="E21" s="11">
        <f>IFERROR(INDEX('چکهای دریافتنی'!F:F,MATCH(Table214[[#This Row],[كد تفصيلي]],'چکهای دریافتنی'!A:A,0)),0)</f>
        <v>728000000</v>
      </c>
      <c r="F21" s="11">
        <f>Table214[[#This Row],[حسابهای دریافتنی]]+Table214[[#This Row],[چکهای در جریان وصول]]+Table214[[#This Row],[چکهای نزد صندوق]]</f>
        <v>785999963</v>
      </c>
      <c r="G21" s="12">
        <f>IFERROR(INDEX('مانده سوفاله'!F:F,MATCH(Table214[[#This Row],[كد تفصيلي]],'مانده سوفاله'!A:A,0)),0)</f>
        <v>-1031</v>
      </c>
    </row>
    <row r="22" spans="1:7" ht="24.75" customHeight="1" x14ac:dyDescent="0.35">
      <c r="A22" s="27">
        <v>30191</v>
      </c>
      <c r="B22" s="55" t="s">
        <v>460</v>
      </c>
      <c r="C22" s="10">
        <f>IFERROR(INDEX('حسابهای دریافتنی'!H:H,MATCH(Table214[[#This Row],[كد تفصيلي]],'حسابهای دریافتنی'!A:A,0)),0)</f>
        <v>792933000</v>
      </c>
      <c r="D22" s="11">
        <f>IFERROR(INDEX('درجریان وصول'!F:F,MATCH(Table214[[#This Row],[كد تفصيلي]],'درجریان وصول'!A:A,0)),0)</f>
        <v>0</v>
      </c>
      <c r="E22" s="11">
        <f>IFERROR(INDEX('چکهای دریافتنی'!F:F,MATCH(Table214[[#This Row],[كد تفصيلي]],'چکهای دریافتنی'!A:A,0)),0)</f>
        <v>0</v>
      </c>
      <c r="F22" s="11">
        <f>Table214[[#This Row],[حسابهای دریافتنی]]+Table214[[#This Row],[چکهای در جریان وصول]]+Table214[[#This Row],[چکهای نزد صندوق]]</f>
        <v>792933000</v>
      </c>
      <c r="G22" s="12">
        <f>IFERROR(INDEX('مانده سوفاله'!F:F,MATCH(Table214[[#This Row],[كد تفصيلي]],'مانده سوفاله'!A:A,0)),0)</f>
        <v>134</v>
      </c>
    </row>
    <row r="23" spans="1:7" ht="24.75" customHeight="1" x14ac:dyDescent="0.35">
      <c r="A23" s="26">
        <v>50011</v>
      </c>
      <c r="B23" s="56" t="s">
        <v>147</v>
      </c>
      <c r="C23" s="10">
        <f>IFERROR(INDEX('حسابهای دریافتنی'!H:H,MATCH(Table214[[#This Row],[كد تفصيلي]],'حسابهای دریافتنی'!A:A,0)),0)</f>
        <v>832182413</v>
      </c>
      <c r="D23" s="11">
        <f>IFERROR(INDEX('درجریان وصول'!F:F,MATCH(Table214[[#This Row],[كد تفصيلي]],'درجریان وصول'!A:A,0)),0)</f>
        <v>0</v>
      </c>
      <c r="E23" s="11">
        <f>IFERROR(INDEX('چکهای دریافتنی'!F:F,MATCH(Table214[[#This Row],[كد تفصيلي]],'چکهای دریافتنی'!A:A,0)),0)</f>
        <v>0</v>
      </c>
      <c r="F23" s="11">
        <f>Table214[[#This Row],[حسابهای دریافتنی]]+Table214[[#This Row],[چکهای در جریان وصول]]+Table214[[#This Row],[چکهای نزد صندوق]]</f>
        <v>832182413</v>
      </c>
      <c r="G23" s="12">
        <f>IFERROR(INDEX('مانده سوفاله'!F:F,MATCH(Table214[[#This Row],[كد تفصيلي]],'مانده سوفاله'!A:A,0)),0)</f>
        <v>30</v>
      </c>
    </row>
    <row r="24" spans="1:7" ht="24.75" customHeight="1" x14ac:dyDescent="0.35">
      <c r="A24" s="26">
        <v>30186</v>
      </c>
      <c r="B24" s="56" t="s">
        <v>367</v>
      </c>
      <c r="C24" s="10">
        <f>IFERROR(INDEX('حسابهای دریافتنی'!H:H,MATCH(Table214[[#This Row],[كد تفصيلي]],'حسابهای دریافتنی'!A:A,0)),0)</f>
        <v>986425000</v>
      </c>
      <c r="D24" s="11">
        <f>IFERROR(INDEX('درجریان وصول'!F:F,MATCH(Table214[[#This Row],[كد تفصيلي]],'درجریان وصول'!A:A,0)),0)</f>
        <v>0</v>
      </c>
      <c r="E24" s="11">
        <f>IFERROR(INDEX('چکهای دریافتنی'!F:F,MATCH(Table214[[#This Row],[كد تفصيلي]],'چکهای دریافتنی'!A:A,0)),0)</f>
        <v>5982430000</v>
      </c>
      <c r="F24" s="11">
        <f>Table214[[#This Row],[حسابهای دریافتنی]]+Table214[[#This Row],[چکهای در جریان وصول]]+Table214[[#This Row],[چکهای نزد صندوق]]</f>
        <v>6968855000</v>
      </c>
      <c r="G24" s="12">
        <f>IFERROR(INDEX('مانده سوفاله'!F:F,MATCH(Table214[[#This Row],[كد تفصيلي]],'مانده سوفاله'!A:A,0)),0)</f>
        <v>-7388</v>
      </c>
    </row>
    <row r="25" spans="1:7" ht="24.75" customHeight="1" x14ac:dyDescent="0.35">
      <c r="A25" s="26">
        <v>30124</v>
      </c>
      <c r="B25" s="56" t="s">
        <v>246</v>
      </c>
      <c r="C25" s="10">
        <f>IFERROR(INDEX('حسابهای دریافتنی'!H:H,MATCH(Table214[[#This Row],[كد تفصيلي]],'حسابهای دریافتنی'!A:A,0)),0)</f>
        <v>0</v>
      </c>
      <c r="D25" s="11">
        <f>IFERROR(INDEX('درجریان وصول'!F:F,MATCH(Table214[[#This Row],[كد تفصيلي]],'درجریان وصول'!A:A,0)),0)</f>
        <v>0</v>
      </c>
      <c r="E25" s="11">
        <f>IFERROR(INDEX('چکهای دریافتنی'!F:F,MATCH(Table214[[#This Row],[كد تفصيلي]],'چکهای دریافتنی'!A:A,0)),0)</f>
        <v>505676000</v>
      </c>
      <c r="F25" s="11">
        <f>Table214[[#This Row],[حسابهای دریافتنی]]+Table214[[#This Row],[چکهای در جریان وصول]]+Table214[[#This Row],[چکهای نزد صندوق]]</f>
        <v>505676000</v>
      </c>
      <c r="G25" s="12">
        <f>IFERROR(INDEX('مانده سوفاله'!F:F,MATCH(Table214[[#This Row],[كد تفصيلي]],'مانده سوفاله'!A:A,0)),0)</f>
        <v>1498</v>
      </c>
    </row>
    <row r="26" spans="1:7" ht="24.75" customHeight="1" x14ac:dyDescent="0.35">
      <c r="A26" s="27">
        <v>10008</v>
      </c>
      <c r="B26" s="55" t="s">
        <v>15</v>
      </c>
      <c r="C26" s="10">
        <f>IFERROR(INDEX('حسابهای دریافتنی'!H:H,MATCH(Table214[[#This Row],[كد تفصيلي]],'حسابهای دریافتنی'!A:A,0)),0)</f>
        <v>597342000</v>
      </c>
      <c r="D26" s="11">
        <f>IFERROR(INDEX('درجریان وصول'!F:F,MATCH(Table214[[#This Row],[كد تفصيلي]],'درجریان وصول'!A:A,0)),0)</f>
        <v>0</v>
      </c>
      <c r="E26" s="11">
        <f>IFERROR(INDEX('چکهای دریافتنی'!F:F,MATCH(Table214[[#This Row],[كد تفصيلي]],'چکهای دریافتنی'!A:A,0)),0)</f>
        <v>0</v>
      </c>
      <c r="F26" s="11">
        <f>Table214[[#This Row],[حسابهای دریافتنی]]+Table214[[#This Row],[چکهای در جریان وصول]]+Table214[[#This Row],[چکهای نزد صندوق]]</f>
        <v>597342000</v>
      </c>
      <c r="G26" s="12">
        <f>IFERROR(INDEX('مانده سوفاله'!F:F,MATCH(Table214[[#This Row],[كد تفصيلي]],'مانده سوفاله'!A:A,0)),0)</f>
        <v>-578</v>
      </c>
    </row>
    <row r="27" spans="1:7" ht="24.75" customHeight="1" x14ac:dyDescent="0.35">
      <c r="A27" s="27">
        <v>10127</v>
      </c>
      <c r="B27" s="55" t="s">
        <v>371</v>
      </c>
      <c r="C27" s="10">
        <f>IFERROR(INDEX('حسابهای دریافتنی'!H:H,MATCH(Table214[[#This Row],[كد تفصيلي]],'حسابهای دریافتنی'!A:A,0)),0)</f>
        <v>803728000</v>
      </c>
      <c r="D27" s="11">
        <f>IFERROR(INDEX('درجریان وصول'!F:F,MATCH(Table214[[#This Row],[كد تفصيلي]],'درجریان وصول'!A:A,0)),0)</f>
        <v>0</v>
      </c>
      <c r="E27" s="11">
        <f>IFERROR(INDEX('چکهای دریافتنی'!F:F,MATCH(Table214[[#This Row],[كد تفصيلي]],'چکهای دریافتنی'!A:A,0)),0)</f>
        <v>0</v>
      </c>
      <c r="F27" s="11">
        <f>Table214[[#This Row],[حسابهای دریافتنی]]+Table214[[#This Row],[چکهای در جریان وصول]]+Table214[[#This Row],[چکهای نزد صندوق]]</f>
        <v>803728000</v>
      </c>
      <c r="G27" s="12">
        <f>IFERROR(INDEX('مانده سوفاله'!F:F,MATCH(Table214[[#This Row],[كد تفصيلي]],'مانده سوفاله'!A:A,0)),0)</f>
        <v>-1469</v>
      </c>
    </row>
    <row r="28" spans="1:7" ht="24.75" customHeight="1" x14ac:dyDescent="0.35">
      <c r="A28" s="26">
        <v>30003</v>
      </c>
      <c r="B28" s="56" t="s">
        <v>53</v>
      </c>
      <c r="C28" s="10">
        <f>IFERROR(INDEX('حسابهای دریافتنی'!H:H,MATCH(Table214[[#This Row],[كد تفصيلي]],'حسابهای دریافتنی'!A:A,0)),0)</f>
        <v>754765900</v>
      </c>
      <c r="D28" s="11">
        <f>IFERROR(INDEX('درجریان وصول'!F:F,MATCH(Table214[[#This Row],[كد تفصيلي]],'درجریان وصول'!A:A,0)),0)</f>
        <v>0</v>
      </c>
      <c r="E28" s="11">
        <f>IFERROR(INDEX('چکهای دریافتنی'!F:F,MATCH(Table214[[#This Row],[كد تفصيلي]],'چکهای دریافتنی'!A:A,0)),0)</f>
        <v>571000000</v>
      </c>
      <c r="F28" s="11">
        <f>Table214[[#This Row],[حسابهای دریافتنی]]+Table214[[#This Row],[چکهای در جریان وصول]]+Table214[[#This Row],[چکهای نزد صندوق]]</f>
        <v>1325765900</v>
      </c>
      <c r="G28" s="12">
        <f>IFERROR(INDEX('مانده سوفاله'!F:F,MATCH(Table214[[#This Row],[كد تفصيلي]],'مانده سوفاله'!A:A,0)),0)</f>
        <v>-3538</v>
      </c>
    </row>
    <row r="29" spans="1:7" ht="24.75" customHeight="1" x14ac:dyDescent="0.35">
      <c r="A29" s="27">
        <v>30069</v>
      </c>
      <c r="B29" s="55" t="s">
        <v>114</v>
      </c>
      <c r="C29" s="10">
        <f>IFERROR(INDEX('حسابهای دریافتنی'!H:H,MATCH(Table214[[#This Row],[كد تفصيلي]],'حسابهای دریافتنی'!A:A,0)),0)</f>
        <v>377909400</v>
      </c>
      <c r="D29" s="11">
        <f>IFERROR(INDEX('درجریان وصول'!F:F,MATCH(Table214[[#This Row],[كد تفصيلي]],'درجریان وصول'!A:A,0)),0)</f>
        <v>0</v>
      </c>
      <c r="E29" s="11">
        <f>IFERROR(INDEX('چکهای دریافتنی'!F:F,MATCH(Table214[[#This Row],[كد تفصيلي]],'چکهای دریافتنی'!A:A,0)),0)</f>
        <v>0</v>
      </c>
      <c r="F29" s="11">
        <f>Table214[[#This Row],[حسابهای دریافتنی]]+Table214[[#This Row],[چکهای در جریان وصول]]+Table214[[#This Row],[چکهای نزد صندوق]]</f>
        <v>377909400</v>
      </c>
      <c r="G29" s="12">
        <f>IFERROR(INDEX('مانده سوفاله'!F:F,MATCH(Table214[[#This Row],[كد تفصيلي]],'مانده سوفاله'!A:A,0)),0)</f>
        <v>66</v>
      </c>
    </row>
    <row r="30" spans="1:7" ht="24.75" customHeight="1" x14ac:dyDescent="0.35">
      <c r="A30" s="27">
        <v>10070</v>
      </c>
      <c r="B30" s="55" t="s">
        <v>230</v>
      </c>
      <c r="C30" s="10">
        <f>IFERROR(INDEX('حسابهای دریافتنی'!H:H,MATCH(Table214[[#This Row],[كد تفصيلي]],'حسابهای دریافتنی'!A:A,0)),0)</f>
        <v>508152500</v>
      </c>
      <c r="D30" s="11">
        <f>IFERROR(INDEX('درجریان وصول'!F:F,MATCH(Table214[[#This Row],[كد تفصيلي]],'درجریان وصول'!A:A,0)),0)</f>
        <v>0</v>
      </c>
      <c r="E30" s="11">
        <f>IFERROR(INDEX('چکهای دریافتنی'!F:F,MATCH(Table214[[#This Row],[كد تفصيلي]],'چکهای دریافتنی'!A:A,0)),0)</f>
        <v>570000000</v>
      </c>
      <c r="F30" s="11">
        <f>Table214[[#This Row],[حسابهای دریافتنی]]+Table214[[#This Row],[چکهای در جریان وصول]]+Table214[[#This Row],[چکهای نزد صندوق]]</f>
        <v>1078152500</v>
      </c>
      <c r="G30" s="12">
        <f>IFERROR(INDEX('مانده سوفاله'!F:F,MATCH(Table214[[#This Row],[كد تفصيلي]],'مانده سوفاله'!A:A,0)),0)</f>
        <v>-3170</v>
      </c>
    </row>
    <row r="31" spans="1:7" ht="24.75" customHeight="1" x14ac:dyDescent="0.35">
      <c r="A31" s="26">
        <v>30070</v>
      </c>
      <c r="B31" s="56" t="s">
        <v>115</v>
      </c>
      <c r="C31" s="10">
        <f>IFERROR(INDEX('حسابهای دریافتنی'!H:H,MATCH(Table214[[#This Row],[كد تفصيلي]],'حسابهای دریافتنی'!A:A,0)),0)</f>
        <v>2651728820</v>
      </c>
      <c r="D31" s="11">
        <f>IFERROR(INDEX('درجریان وصول'!F:F,MATCH(Table214[[#This Row],[كد تفصيلي]],'درجریان وصول'!A:A,0)),0)</f>
        <v>0</v>
      </c>
      <c r="E31" s="11">
        <f>IFERROR(INDEX('چکهای دریافتنی'!F:F,MATCH(Table214[[#This Row],[كد تفصيلي]],'چکهای دریافتنی'!A:A,0)),0)</f>
        <v>3660000000</v>
      </c>
      <c r="F31" s="11">
        <f>Table214[[#This Row],[حسابهای دریافتنی]]+Table214[[#This Row],[چکهای در جریان وصول]]+Table214[[#This Row],[چکهای نزد صندوق]]</f>
        <v>6311728820</v>
      </c>
      <c r="G31" s="12">
        <f>IFERROR(INDEX('مانده سوفاله'!F:F,MATCH(Table214[[#This Row],[كد تفصيلي]],'مانده سوفاله'!A:A,0)),0)</f>
        <v>4378</v>
      </c>
    </row>
    <row r="32" spans="1:7" ht="24.75" customHeight="1" x14ac:dyDescent="0.35">
      <c r="A32" s="27">
        <v>30099</v>
      </c>
      <c r="B32" s="55" t="s">
        <v>167</v>
      </c>
      <c r="C32" s="10">
        <f>IFERROR(INDEX('حسابهای دریافتنی'!H:H,MATCH(Table214[[#This Row],[كد تفصيلي]],'حسابهای دریافتنی'!A:A,0)),0)</f>
        <v>1398393484</v>
      </c>
      <c r="D32" s="11">
        <f>IFERROR(INDEX('درجریان وصول'!F:F,MATCH(Table214[[#This Row],[كد تفصيلي]],'درجریان وصول'!A:A,0)),0)</f>
        <v>0</v>
      </c>
      <c r="E32" s="11">
        <f>IFERROR(INDEX('چکهای دریافتنی'!F:F,MATCH(Table214[[#This Row],[كد تفصيلي]],'چکهای دریافتنی'!A:A,0)),0)</f>
        <v>583000000</v>
      </c>
      <c r="F32" s="11">
        <f>Table214[[#This Row],[حسابهای دریافتنی]]+Table214[[#This Row],[چکهای در جریان وصول]]+Table214[[#This Row],[چکهای نزد صندوق]]</f>
        <v>1981393484</v>
      </c>
      <c r="G32" s="12">
        <f>IFERROR(INDEX('مانده سوفاله'!F:F,MATCH(Table214[[#This Row],[كد تفصيلي]],'مانده سوفاله'!A:A,0)),0)</f>
        <v>-332</v>
      </c>
    </row>
    <row r="33" spans="1:7" ht="24.75" customHeight="1" x14ac:dyDescent="0.35">
      <c r="A33" s="27">
        <v>10084</v>
      </c>
      <c r="B33" s="55" t="s">
        <v>217</v>
      </c>
      <c r="C33" s="10">
        <f>IFERROR(INDEX('حسابهای دریافتنی'!H:H,MATCH(Table214[[#This Row],[كد تفصيلي]],'حسابهای دریافتنی'!A:A,0)),0)</f>
        <v>358092810</v>
      </c>
      <c r="D33" s="11">
        <f>IFERROR(INDEX('درجریان وصول'!F:F,MATCH(Table214[[#This Row],[كد تفصيلي]],'درجریان وصول'!A:A,0)),0)</f>
        <v>0</v>
      </c>
      <c r="E33" s="11">
        <f>IFERROR(INDEX('چکهای دریافتنی'!F:F,MATCH(Table214[[#This Row],[كد تفصيلي]],'چکهای دریافتنی'!A:A,0)),0)</f>
        <v>870000000</v>
      </c>
      <c r="F33" s="11">
        <f>Table214[[#This Row],[حسابهای دریافتنی]]+Table214[[#This Row],[چکهای در جریان وصول]]+Table214[[#This Row],[چکهای نزد صندوق]]</f>
        <v>1228092810</v>
      </c>
      <c r="G33" s="12">
        <f>IFERROR(INDEX('مانده سوفاله'!F:F,MATCH(Table214[[#This Row],[كد تفصيلي]],'مانده سوفاله'!A:A,0)),0)</f>
        <v>-1656</v>
      </c>
    </row>
    <row r="34" spans="1:7" ht="24.75" customHeight="1" x14ac:dyDescent="0.35">
      <c r="A34" s="27">
        <v>30101</v>
      </c>
      <c r="B34" s="55" t="s">
        <v>196</v>
      </c>
      <c r="C34" s="10">
        <f>IFERROR(INDEX('حسابهای دریافتنی'!H:H,MATCH(Table214[[#This Row],[كد تفصيلي]],'حسابهای دریافتنی'!A:A,0)),0)</f>
        <v>203336095</v>
      </c>
      <c r="D34" s="11">
        <f>IFERROR(INDEX('درجریان وصول'!F:F,MATCH(Table214[[#This Row],[كد تفصيلي]],'درجریان وصول'!A:A,0)),0)</f>
        <v>0</v>
      </c>
      <c r="E34" s="11">
        <f>IFERROR(INDEX('چکهای دریافتنی'!F:F,MATCH(Table214[[#This Row],[كد تفصيلي]],'چکهای دریافتنی'!A:A,0)),0)</f>
        <v>0</v>
      </c>
      <c r="F34" s="11">
        <f>Table214[[#This Row],[حسابهای دریافتنی]]+Table214[[#This Row],[چکهای در جریان وصول]]+Table214[[#This Row],[چکهای نزد صندوق]]</f>
        <v>203336095</v>
      </c>
      <c r="G34" s="12">
        <f>IFERROR(INDEX('مانده سوفاله'!F:F,MATCH(Table214[[#This Row],[كد تفصيلي]],'مانده سوفاله'!A:A,0)),0)</f>
        <v>15</v>
      </c>
    </row>
    <row r="35" spans="1:7" ht="24.75" customHeight="1" x14ac:dyDescent="0.35">
      <c r="A35" s="26">
        <v>30086</v>
      </c>
      <c r="B35" s="56" t="s">
        <v>131</v>
      </c>
      <c r="C35" s="10">
        <f>IFERROR(INDEX('حسابهای دریافتنی'!H:H,MATCH(Table214[[#This Row],[كد تفصيلي]],'حسابهای دریافتنی'!A:A,0)),0)</f>
        <v>187376603</v>
      </c>
      <c r="D35" s="11">
        <f>IFERROR(INDEX('درجریان وصول'!F:F,MATCH(Table214[[#This Row],[كد تفصيلي]],'درجریان وصول'!A:A,0)),0)</f>
        <v>0</v>
      </c>
      <c r="E35" s="11">
        <f>IFERROR(INDEX('چکهای دریافتنی'!F:F,MATCH(Table214[[#This Row],[كد تفصيلي]],'چکهای دریافتنی'!A:A,0)),0)</f>
        <v>0</v>
      </c>
      <c r="F35" s="11">
        <f>Table214[[#This Row],[حسابهای دریافتنی]]+Table214[[#This Row],[چکهای در جریان وصول]]+Table214[[#This Row],[چکهای نزد صندوق]]</f>
        <v>187376603</v>
      </c>
      <c r="G35" s="12">
        <f>IFERROR(INDEX('مانده سوفاله'!F:F,MATCH(Table214[[#This Row],[كد تفصيلي]],'مانده سوفاله'!A:A,0)),0)</f>
        <v>1549</v>
      </c>
    </row>
    <row r="36" spans="1:7" ht="24.75" customHeight="1" x14ac:dyDescent="0.35">
      <c r="A36" s="27">
        <v>30055</v>
      </c>
      <c r="B36" s="55" t="s">
        <v>100</v>
      </c>
      <c r="C36" s="10">
        <f>IFERROR(INDEX('حسابهای دریافتنی'!H:H,MATCH(Table214[[#This Row],[كد تفصيلي]],'حسابهای دریافتنی'!A:A,0)),0)</f>
        <v>0</v>
      </c>
      <c r="D36" s="11">
        <f>IFERROR(INDEX('درجریان وصول'!F:F,MATCH(Table214[[#This Row],[كد تفصيلي]],'درجریان وصول'!A:A,0)),0)</f>
        <v>0</v>
      </c>
      <c r="E36" s="11">
        <f>IFERROR(INDEX('چکهای دریافتنی'!F:F,MATCH(Table214[[#This Row],[كد تفصيلي]],'چکهای دریافتنی'!A:A,0)),0)</f>
        <v>0</v>
      </c>
      <c r="F36" s="11">
        <f>Table214[[#This Row],[حسابهای دریافتنی]]+Table214[[#This Row],[چکهای در جریان وصول]]+Table214[[#This Row],[چکهای نزد صندوق]]</f>
        <v>0</v>
      </c>
      <c r="G36" s="12">
        <f>IFERROR(INDEX('مانده سوفاله'!F:F,MATCH(Table214[[#This Row],[كد تفصيلي]],'مانده سوفاله'!A:A,0)),0)</f>
        <v>48</v>
      </c>
    </row>
    <row r="37" spans="1:7" ht="24.75" customHeight="1" x14ac:dyDescent="0.35">
      <c r="A37" s="27">
        <v>30077</v>
      </c>
      <c r="B37" s="55" t="s">
        <v>122</v>
      </c>
      <c r="C37" s="10">
        <f>IFERROR(INDEX('حسابهای دریافتنی'!H:H,MATCH(Table214[[#This Row],[كد تفصيلي]],'حسابهای دریافتنی'!A:A,0)),0)</f>
        <v>360000</v>
      </c>
      <c r="D37" s="11">
        <f>IFERROR(INDEX('درجریان وصول'!F:F,MATCH(Table214[[#This Row],[كد تفصيلي]],'درجریان وصول'!A:A,0)),0)</f>
        <v>0</v>
      </c>
      <c r="E37" s="11">
        <f>IFERROR(INDEX('چکهای دریافتنی'!F:F,MATCH(Table214[[#This Row],[كد تفصيلي]],'چکهای دریافتنی'!A:A,0)),0)</f>
        <v>0</v>
      </c>
      <c r="F37" s="11">
        <f>Table214[[#This Row],[حسابهای دریافتنی]]+Table214[[#This Row],[چکهای در جریان وصول]]+Table214[[#This Row],[چکهای نزد صندوق]]</f>
        <v>360000</v>
      </c>
      <c r="G37" s="12">
        <f>IFERROR(INDEX('مانده سوفاله'!F:F,MATCH(Table214[[#This Row],[كد تفصيلي]],'مانده سوفاله'!A:A,0)),0)</f>
        <v>-32</v>
      </c>
    </row>
    <row r="38" spans="1:7" ht="24.75" customHeight="1" x14ac:dyDescent="0.35">
      <c r="A38" s="26">
        <v>10069</v>
      </c>
      <c r="B38" s="56" t="s">
        <v>204</v>
      </c>
      <c r="C38" s="10">
        <f>IFERROR(INDEX('حسابهای دریافتنی'!H:H,MATCH(Table214[[#This Row],[كد تفصيلي]],'حسابهای دریافتنی'!A:A,0)),0)</f>
        <v>952500</v>
      </c>
      <c r="D38" s="11">
        <f>IFERROR(INDEX('درجریان وصول'!F:F,MATCH(Table214[[#This Row],[كد تفصيلي]],'درجریان وصول'!A:A,0)),0)</f>
        <v>0</v>
      </c>
      <c r="E38" s="11">
        <f>IFERROR(INDEX('چکهای دریافتنی'!F:F,MATCH(Table214[[#This Row],[كد تفصيلي]],'چکهای دریافتنی'!A:A,0)),0)</f>
        <v>73000000</v>
      </c>
      <c r="F38" s="11">
        <f>Table214[[#This Row],[حسابهای دریافتنی]]+Table214[[#This Row],[چکهای در جریان وصول]]+Table214[[#This Row],[چکهای نزد صندوق]]</f>
        <v>73952500</v>
      </c>
      <c r="G38" s="12">
        <f>IFERROR(INDEX('مانده سوفاله'!F:F,MATCH(Table214[[#This Row],[كد تفصيلي]],'مانده سوفاله'!A:A,0)),0)</f>
        <v>339</v>
      </c>
    </row>
    <row r="39" spans="1:7" ht="24.75" customHeight="1" x14ac:dyDescent="0.35">
      <c r="A39" s="27">
        <v>10092</v>
      </c>
      <c r="B39" s="55" t="s">
        <v>260</v>
      </c>
      <c r="C39" s="10">
        <f>IFERROR(INDEX('حسابهای دریافتنی'!H:H,MATCH(Table214[[#This Row],[كد تفصيلي]],'حسابهای دریافتنی'!A:A,0)),0)</f>
        <v>-1749946500</v>
      </c>
      <c r="D39" s="11">
        <f>IFERROR(INDEX('درجریان وصول'!F:F,MATCH(Table214[[#This Row],[كد تفصيلي]],'درجریان وصول'!A:A,0)),0)</f>
        <v>0</v>
      </c>
      <c r="E39" s="11">
        <f>IFERROR(INDEX('چکهای دریافتنی'!F:F,MATCH(Table214[[#This Row],[كد تفصيلي]],'چکهای دریافتنی'!A:A,0)),0)</f>
        <v>300000000</v>
      </c>
      <c r="F39" s="11">
        <f>Table214[[#This Row],[حسابهای دریافتنی]]+Table214[[#This Row],[چکهای در جریان وصول]]+Table214[[#This Row],[چکهای نزد صندوق]]</f>
        <v>-1449946500</v>
      </c>
      <c r="G39" s="12">
        <f>IFERROR(INDEX('مانده سوفاله'!F:F,MATCH(Table214[[#This Row],[كد تفصيلي]],'مانده سوفاله'!A:A,0)),0)</f>
        <v>0</v>
      </c>
    </row>
    <row r="40" spans="1:7" ht="24.75" customHeight="1" x14ac:dyDescent="0.35">
      <c r="A40" s="26">
        <v>30019</v>
      </c>
      <c r="B40" s="56" t="s">
        <v>67</v>
      </c>
      <c r="C40" s="10">
        <f>IFERROR(INDEX('حسابهای دریافتنی'!H:H,MATCH(Table214[[#This Row],[كد تفصيلي]],'حسابهای دریافتنی'!A:A,0)),0)</f>
        <v>823484840</v>
      </c>
      <c r="D40" s="11">
        <f>IFERROR(INDEX('درجریان وصول'!F:F,MATCH(Table214[[#This Row],[كد تفصيلي]],'درجریان وصول'!A:A,0)),0)</f>
        <v>0</v>
      </c>
      <c r="E40" s="11">
        <f>IFERROR(INDEX('چکهای دریافتنی'!F:F,MATCH(Table214[[#This Row],[كد تفصيلي]],'چکهای دریافتنی'!A:A,0)),0)</f>
        <v>0</v>
      </c>
      <c r="F40" s="11">
        <f>Table214[[#This Row],[حسابهای دریافتنی]]+Table214[[#This Row],[چکهای در جریان وصول]]+Table214[[#This Row],[چکهای نزد صندوق]]</f>
        <v>823484840</v>
      </c>
      <c r="G40" s="12">
        <f>IFERROR(INDEX('مانده سوفاله'!F:F,MATCH(Table214[[#This Row],[كد تفصيلي]],'مانده سوفاله'!A:A,0)),0)</f>
        <v>612</v>
      </c>
    </row>
    <row r="41" spans="1:7" ht="24.75" customHeight="1" x14ac:dyDescent="0.35">
      <c r="A41" s="26">
        <v>30196</v>
      </c>
      <c r="B41" s="56" t="s">
        <v>481</v>
      </c>
      <c r="C41" s="10">
        <f>IFERROR(INDEX('حسابهای دریافتنی'!H:H,MATCH(Table214[[#This Row],[كد تفصيلي]],'حسابهای دریافتنی'!A:A,0)),0)</f>
        <v>3592950000</v>
      </c>
      <c r="D41" s="11">
        <f>IFERROR(INDEX('درجریان وصول'!F:F,MATCH(Table214[[#This Row],[كد تفصيلي]],'درجریان وصول'!A:A,0)),0)</f>
        <v>0</v>
      </c>
      <c r="E41" s="11">
        <f>IFERROR(INDEX('چکهای دریافتنی'!F:F,MATCH(Table214[[#This Row],[كد تفصيلي]],'چکهای دریافتنی'!A:A,0)),0)</f>
        <v>0</v>
      </c>
      <c r="F41" s="11">
        <f>Table214[[#This Row],[حسابهای دریافتنی]]+Table214[[#This Row],[چکهای در جریان وصول]]+Table214[[#This Row],[چکهای نزد صندوق]]</f>
        <v>3592950000</v>
      </c>
      <c r="G41" s="12">
        <f>IFERROR(INDEX('مانده سوفاله'!F:F,MATCH(Table214[[#This Row],[كد تفصيلي]],'مانده سوفاله'!A:A,0)),0)</f>
        <v>-8965</v>
      </c>
    </row>
    <row r="42" spans="1:7" ht="24.75" customHeight="1" x14ac:dyDescent="0.35">
      <c r="A42" s="27">
        <v>10096</v>
      </c>
      <c r="B42" s="55" t="s">
        <v>271</v>
      </c>
      <c r="C42" s="10">
        <f>IFERROR(INDEX('حسابهای دریافتنی'!H:H,MATCH(Table214[[#This Row],[كد تفصيلي]],'حسابهای دریافتنی'!A:A,0)),0)</f>
        <v>36455500</v>
      </c>
      <c r="D42" s="11">
        <f>IFERROR(INDEX('درجریان وصول'!F:F,MATCH(Table214[[#This Row],[كد تفصيلي]],'درجریان وصول'!A:A,0)),0)</f>
        <v>0</v>
      </c>
      <c r="E42" s="11">
        <f>IFERROR(INDEX('چکهای دریافتنی'!F:F,MATCH(Table214[[#This Row],[كد تفصيلي]],'چکهای دریافتنی'!A:A,0)),0)</f>
        <v>0</v>
      </c>
      <c r="F42" s="11">
        <f>Table214[[#This Row],[حسابهای دریافتنی]]+Table214[[#This Row],[چکهای در جریان وصول]]+Table214[[#This Row],[چکهای نزد صندوق]]</f>
        <v>36455500</v>
      </c>
      <c r="G42" s="12">
        <f>IFERROR(INDEX('مانده سوفاله'!F:F,MATCH(Table214[[#This Row],[كد تفصيلي]],'مانده سوفاله'!A:A,0)),0)</f>
        <v>0</v>
      </c>
    </row>
    <row r="43" spans="1:7" ht="24.75" customHeight="1" x14ac:dyDescent="0.35">
      <c r="A43" s="26">
        <v>30025</v>
      </c>
      <c r="B43" s="56" t="s">
        <v>73</v>
      </c>
      <c r="C43" s="10">
        <f>IFERROR(INDEX('حسابهای دریافتنی'!H:H,MATCH(Table214[[#This Row],[كد تفصيلي]],'حسابهای دریافتنی'!A:A,0)),0)</f>
        <v>35598920</v>
      </c>
      <c r="D43" s="11">
        <f>IFERROR(INDEX('درجریان وصول'!F:F,MATCH(Table214[[#This Row],[كد تفصيلي]],'درجریان وصول'!A:A,0)),0)</f>
        <v>0</v>
      </c>
      <c r="E43" s="11">
        <f>IFERROR(INDEX('چکهای دریافتنی'!F:F,MATCH(Table214[[#This Row],[كد تفصيلي]],'چکهای دریافتنی'!A:A,0)),0)</f>
        <v>0</v>
      </c>
      <c r="F43" s="11">
        <f>Table214[[#This Row],[حسابهای دریافتنی]]+Table214[[#This Row],[چکهای در جریان وصول]]+Table214[[#This Row],[چکهای نزد صندوق]]</f>
        <v>35598920</v>
      </c>
      <c r="G43" s="12">
        <f>IFERROR(INDEX('مانده سوفاله'!F:F,MATCH(Table214[[#This Row],[كد تفصيلي]],'مانده سوفاله'!A:A,0)),0)</f>
        <v>-165</v>
      </c>
    </row>
    <row r="44" spans="1:7" ht="24.75" customHeight="1" x14ac:dyDescent="0.35">
      <c r="A44" s="26">
        <v>30005</v>
      </c>
      <c r="B44" s="56" t="s">
        <v>55</v>
      </c>
      <c r="C44" s="10">
        <f>IFERROR(INDEX('حسابهای دریافتنی'!H:H,MATCH(Table214[[#This Row],[كد تفصيلي]],'حسابهای دریافتنی'!A:A,0)),0)</f>
        <v>35368209</v>
      </c>
      <c r="D44" s="11">
        <f>IFERROR(INDEX('درجریان وصول'!F:F,MATCH(Table214[[#This Row],[كد تفصيلي]],'درجریان وصول'!A:A,0)),0)</f>
        <v>0</v>
      </c>
      <c r="E44" s="11">
        <f>IFERROR(INDEX('چکهای دریافتنی'!F:F,MATCH(Table214[[#This Row],[كد تفصيلي]],'چکهای دریافتنی'!A:A,0)),0)</f>
        <v>0</v>
      </c>
      <c r="F44" s="11">
        <f>Table214[[#This Row],[حسابهای دریافتنی]]+Table214[[#This Row],[چکهای در جریان وصول]]+Table214[[#This Row],[چکهای نزد صندوق]]</f>
        <v>35368209</v>
      </c>
      <c r="G44" s="12">
        <f>IFERROR(INDEX('مانده سوفاله'!F:F,MATCH(Table214[[#This Row],[كد تفصيلي]],'مانده سوفاله'!A:A,0)),0)</f>
        <v>61</v>
      </c>
    </row>
    <row r="45" spans="1:7" ht="24.75" customHeight="1" x14ac:dyDescent="0.35">
      <c r="A45" s="27">
        <v>30093</v>
      </c>
      <c r="B45" s="55" t="s">
        <v>151</v>
      </c>
      <c r="C45" s="10">
        <f>IFERROR(INDEX('حسابهای دریافتنی'!H:H,MATCH(Table214[[#This Row],[كد تفصيلي]],'حسابهای دریافتنی'!A:A,0)),0)</f>
        <v>0</v>
      </c>
      <c r="D45" s="11">
        <f>IFERROR(INDEX('درجریان وصول'!F:F,MATCH(Table214[[#This Row],[كد تفصيلي]],'درجریان وصول'!A:A,0)),0)</f>
        <v>0</v>
      </c>
      <c r="E45" s="11">
        <f>IFERROR(INDEX('چکهای دریافتنی'!F:F,MATCH(Table214[[#This Row],[كد تفصيلي]],'چکهای دریافتنی'!A:A,0)),0)</f>
        <v>0</v>
      </c>
      <c r="F45" s="11">
        <f>Table214[[#This Row],[حسابهای دریافتنی]]+Table214[[#This Row],[چکهای در جریان وصول]]+Table214[[#This Row],[چکهای نزد صندوق]]</f>
        <v>0</v>
      </c>
      <c r="G45" s="12">
        <v>77</v>
      </c>
    </row>
    <row r="46" spans="1:7" ht="24.75" customHeight="1" x14ac:dyDescent="0.35">
      <c r="A46" s="27">
        <v>30018</v>
      </c>
      <c r="B46" s="55" t="s">
        <v>66</v>
      </c>
      <c r="C46" s="10">
        <f>IFERROR(INDEX('حسابهای دریافتنی'!H:H,MATCH(Table214[[#This Row],[كد تفصيلي]],'حسابهای دریافتنی'!A:A,0)),0)</f>
        <v>1901077182</v>
      </c>
      <c r="D46" s="11">
        <f>IFERROR(INDEX('درجریان وصول'!F:F,MATCH(Table214[[#This Row],[كد تفصيلي]],'درجریان وصول'!A:A,0)),0)</f>
        <v>0</v>
      </c>
      <c r="E46" s="11">
        <f>IFERROR(INDEX('چکهای دریافتنی'!F:F,MATCH(Table214[[#This Row],[كد تفصيلي]],'چکهای دریافتنی'!A:A,0)),0)</f>
        <v>0</v>
      </c>
      <c r="F46" s="11">
        <f>Table214[[#This Row],[حسابهای دریافتنی]]+Table214[[#This Row],[چکهای در جریان وصول]]+Table214[[#This Row],[چکهای نزد صندوق]]</f>
        <v>1901077182</v>
      </c>
      <c r="G46" s="12">
        <f>IFERROR(INDEX('مانده سوفاله'!F:F,MATCH(Table214[[#This Row],[كد تفصيلي]],'مانده سوفاله'!A:A,0)),0)</f>
        <v>-3024</v>
      </c>
    </row>
    <row r="47" spans="1:7" ht="24.75" customHeight="1" x14ac:dyDescent="0.35">
      <c r="A47" s="27">
        <v>30008</v>
      </c>
      <c r="B47" s="55" t="s">
        <v>58</v>
      </c>
      <c r="C47" s="10">
        <f>IFERROR(INDEX('حسابهای دریافتنی'!H:H,MATCH(Table214[[#This Row],[كد تفصيلي]],'حسابهای دریافتنی'!A:A,0)),0)</f>
        <v>15520000</v>
      </c>
      <c r="D47" s="11">
        <f>IFERROR(INDEX('درجریان وصول'!F:F,MATCH(Table214[[#This Row],[كد تفصيلي]],'درجریان وصول'!A:A,0)),0)</f>
        <v>0</v>
      </c>
      <c r="E47" s="11">
        <f>IFERROR(INDEX('چکهای دریافتنی'!F:F,MATCH(Table214[[#This Row],[كد تفصيلي]],'چکهای دریافتنی'!A:A,0)),0)</f>
        <v>0</v>
      </c>
      <c r="F47" s="11">
        <f>Table214[[#This Row],[حسابهای دریافتنی]]+Table214[[#This Row],[چکهای در جریان وصول]]+Table214[[#This Row],[چکهای نزد صندوق]]</f>
        <v>15520000</v>
      </c>
      <c r="G47" s="12">
        <f>IFERROR(INDEX('مانده سوفاله'!F:F,MATCH(Table214[[#This Row],[كد تفصيلي]],'مانده سوفاله'!A:A,0)),0)</f>
        <v>0</v>
      </c>
    </row>
    <row r="48" spans="1:7" ht="24.75" customHeight="1" x14ac:dyDescent="0.35">
      <c r="A48" s="26">
        <v>10007</v>
      </c>
      <c r="B48" s="56" t="s">
        <v>14</v>
      </c>
      <c r="C48" s="10">
        <f>IFERROR(INDEX('حسابهای دریافتنی'!H:H,MATCH(Table214[[#This Row],[كد تفصيلي]],'حسابهای دریافتنی'!A:A,0)),0)</f>
        <v>12770000</v>
      </c>
      <c r="D48" s="11">
        <f>IFERROR(INDEX('درجریان وصول'!F:F,MATCH(Table214[[#This Row],[كد تفصيلي]],'درجریان وصول'!A:A,0)),0)</f>
        <v>0</v>
      </c>
      <c r="E48" s="11">
        <f>IFERROR(INDEX('چکهای دریافتنی'!F:F,MATCH(Table214[[#This Row],[كد تفصيلي]],'چکهای دریافتنی'!A:A,0)),0)</f>
        <v>0</v>
      </c>
      <c r="F48" s="11">
        <f>Table214[[#This Row],[حسابهای دریافتنی]]+Table214[[#This Row],[چکهای در جریان وصول]]+Table214[[#This Row],[چکهای نزد صندوق]]</f>
        <v>12770000</v>
      </c>
      <c r="G48" s="12">
        <f>IFERROR(INDEX('مانده سوفاله'!F:F,MATCH(Table214[[#This Row],[كد تفصيلي]],'مانده سوفاله'!A:A,0)),0)</f>
        <v>-52.5</v>
      </c>
    </row>
    <row r="49" spans="1:7" ht="24.75" customHeight="1" x14ac:dyDescent="0.35">
      <c r="A49" s="27">
        <v>30131</v>
      </c>
      <c r="B49" s="55" t="s">
        <v>213</v>
      </c>
      <c r="C49" s="10">
        <f>IFERROR(INDEX('حسابهای دریافتنی'!H:H,MATCH(Table214[[#This Row],[كد تفصيلي]],'حسابهای دریافتنی'!A:A,0)),0)</f>
        <v>-6228486500</v>
      </c>
      <c r="D49" s="11">
        <f>IFERROR(INDEX('درجریان وصول'!F:F,MATCH(Table214[[#This Row],[كد تفصيلي]],'درجریان وصول'!A:A,0)),0)</f>
        <v>0</v>
      </c>
      <c r="E49" s="11">
        <f>IFERROR(INDEX('چکهای دریافتنی'!F:F,MATCH(Table214[[#This Row],[كد تفصيلي]],'چکهای دریافتنی'!A:A,0)),0)</f>
        <v>0</v>
      </c>
      <c r="F49" s="11">
        <f>Table214[[#This Row],[حسابهای دریافتنی]]+Table214[[#This Row],[چکهای در جریان وصول]]+Table214[[#This Row],[چکهای نزد صندوق]]</f>
        <v>-6228486500</v>
      </c>
      <c r="G49" s="12">
        <f>IFERROR(INDEX('مانده سوفاله'!F:F,MATCH(Table214[[#This Row],[كد تفصيلي]],'مانده سوفاله'!A:A,0)),0)</f>
        <v>222</v>
      </c>
    </row>
    <row r="50" spans="1:7" ht="24.75" customHeight="1" x14ac:dyDescent="0.35">
      <c r="A50" s="27">
        <v>30012</v>
      </c>
      <c r="B50" s="55" t="s">
        <v>61</v>
      </c>
      <c r="C50" s="10">
        <f>IFERROR(INDEX('حسابهای دریافتنی'!H:H,MATCH(Table214[[#This Row],[كد تفصيلي]],'حسابهای دریافتنی'!A:A,0)),0)</f>
        <v>-46099000</v>
      </c>
      <c r="D50" s="11">
        <f>IFERROR(INDEX('درجریان وصول'!F:F,MATCH(Table214[[#This Row],[كد تفصيلي]],'درجریان وصول'!A:A,0)),0)</f>
        <v>0</v>
      </c>
      <c r="E50" s="11">
        <f>IFERROR(INDEX('چکهای دریافتنی'!F:F,MATCH(Table214[[#This Row],[كد تفصيلي]],'چکهای دریافتنی'!A:A,0)),0)</f>
        <v>348650000</v>
      </c>
      <c r="F50" s="11">
        <f>Table214[[#This Row],[حسابهای دریافتنی]]+Table214[[#This Row],[چکهای در جریان وصول]]+Table214[[#This Row],[چکهای نزد صندوق]]</f>
        <v>302551000</v>
      </c>
      <c r="G50" s="12">
        <f>IFERROR(INDEX('مانده سوفاله'!F:F,MATCH(Table214[[#This Row],[كد تفصيلي]],'مانده سوفاله'!A:A,0)),0)</f>
        <v>141</v>
      </c>
    </row>
    <row r="51" spans="1:7" ht="24.75" customHeight="1" x14ac:dyDescent="0.35">
      <c r="A51" s="27">
        <v>30145</v>
      </c>
      <c r="B51" s="55" t="s">
        <v>265</v>
      </c>
      <c r="C51" s="10">
        <f>IFERROR(INDEX('حسابهای دریافتنی'!H:H,MATCH(Table214[[#This Row],[كد تفصيلي]],'حسابهای دریافتنی'!A:A,0)),0)</f>
        <v>6442500</v>
      </c>
      <c r="D51" s="11">
        <f>IFERROR(INDEX('درجریان وصول'!F:F,MATCH(Table214[[#This Row],[كد تفصيلي]],'درجریان وصول'!A:A,0)),0)</f>
        <v>0</v>
      </c>
      <c r="E51" s="11">
        <f>IFERROR(INDEX('چکهای دریافتنی'!F:F,MATCH(Table214[[#This Row],[كد تفصيلي]],'چکهای دریافتنی'!A:A,0)),0)</f>
        <v>0</v>
      </c>
      <c r="F51" s="11">
        <f>Table214[[#This Row],[حسابهای دریافتنی]]+Table214[[#This Row],[چکهای در جریان وصول]]+Table214[[#This Row],[چکهای نزد صندوق]]</f>
        <v>6442500</v>
      </c>
      <c r="G51" s="12">
        <f>IFERROR(INDEX('مانده سوفاله'!F:F,MATCH(Table214[[#This Row],[كد تفصيلي]],'مانده سوفاله'!A:A,0)),0)</f>
        <v>0</v>
      </c>
    </row>
    <row r="52" spans="1:7" ht="24.75" customHeight="1" x14ac:dyDescent="0.35">
      <c r="A52" s="26">
        <v>30047</v>
      </c>
      <c r="B52" s="56" t="s">
        <v>94</v>
      </c>
      <c r="C52" s="10">
        <f>IFERROR(INDEX('حسابهای دریافتنی'!H:H,MATCH(Table214[[#This Row],[كد تفصيلي]],'حسابهای دریافتنی'!A:A,0)),0)</f>
        <v>5794900</v>
      </c>
      <c r="D52" s="11">
        <f>IFERROR(INDEX('درجریان وصول'!F:F,MATCH(Table214[[#This Row],[كد تفصيلي]],'درجریان وصول'!A:A,0)),0)</f>
        <v>0</v>
      </c>
      <c r="E52" s="11">
        <f>IFERROR(INDEX('چکهای دریافتنی'!F:F,MATCH(Table214[[#This Row],[كد تفصيلي]],'چکهای دریافتنی'!A:A,0)),0)</f>
        <v>0</v>
      </c>
      <c r="F52" s="11">
        <f>Table214[[#This Row],[حسابهای دریافتنی]]+Table214[[#This Row],[چکهای در جریان وصول]]+Table214[[#This Row],[چکهای نزد صندوق]]</f>
        <v>5794900</v>
      </c>
      <c r="G52" s="12">
        <f>IFERROR(INDEX('مانده سوفاله'!F:F,MATCH(Table214[[#This Row],[كد تفصيلي]],'مانده سوفاله'!A:A,0)),0)</f>
        <v>-630</v>
      </c>
    </row>
    <row r="53" spans="1:7" ht="24.75" customHeight="1" x14ac:dyDescent="0.35">
      <c r="A53" s="26">
        <v>30011</v>
      </c>
      <c r="B53" s="56" t="s">
        <v>60</v>
      </c>
      <c r="C53" s="10">
        <f>IFERROR(INDEX('حسابهای دریافتنی'!H:H,MATCH(Table214[[#This Row],[كد تفصيلي]],'حسابهای دریافتنی'!A:A,0)),0)</f>
        <v>5595200</v>
      </c>
      <c r="D53" s="11">
        <f>IFERROR(INDEX('درجریان وصول'!F:F,MATCH(Table214[[#This Row],[كد تفصيلي]],'درجریان وصول'!A:A,0)),0)</f>
        <v>0</v>
      </c>
      <c r="E53" s="11">
        <f>IFERROR(INDEX('چکهای دریافتنی'!F:F,MATCH(Table214[[#This Row],[كد تفصيلي]],'چکهای دریافتنی'!A:A,0)),0)</f>
        <v>0</v>
      </c>
      <c r="F53" s="11">
        <f>Table214[[#This Row],[حسابهای دریافتنی]]+Table214[[#This Row],[چکهای در جریان وصول]]+Table214[[#This Row],[چکهای نزد صندوق]]</f>
        <v>5595200</v>
      </c>
      <c r="G53" s="12">
        <f>IFERROR(INDEX('مانده سوفاله'!F:F,MATCH(Table214[[#This Row],[كد تفصيلي]],'مانده سوفاله'!A:A,0)),0)</f>
        <v>-5</v>
      </c>
    </row>
    <row r="54" spans="1:7" ht="24.75" customHeight="1" x14ac:dyDescent="0.35">
      <c r="A54" s="27">
        <v>10080</v>
      </c>
      <c r="B54" s="55" t="s">
        <v>214</v>
      </c>
      <c r="C54" s="10">
        <f>IFERROR(INDEX('حسابهای دریافتنی'!H:H,MATCH(Table214[[#This Row],[كد تفصيلي]],'حسابهای دریافتنی'!A:A,0)),0)</f>
        <v>5395000</v>
      </c>
      <c r="D54" s="11">
        <f>IFERROR(INDEX('درجریان وصول'!F:F,MATCH(Table214[[#This Row],[كد تفصيلي]],'درجریان وصول'!A:A,0)),0)</f>
        <v>0</v>
      </c>
      <c r="E54" s="11">
        <f>IFERROR(INDEX('چکهای دریافتنی'!F:F,MATCH(Table214[[#This Row],[كد تفصيلي]],'چکهای دریافتنی'!A:A,0)),0)</f>
        <v>0</v>
      </c>
      <c r="F54" s="11">
        <f>Table214[[#This Row],[حسابهای دریافتنی]]+Table214[[#This Row],[چکهای در جریان وصول]]+Table214[[#This Row],[چکهای نزد صندوق]]</f>
        <v>5395000</v>
      </c>
      <c r="G54" s="12">
        <f>IFERROR(INDEX('مانده سوفاله'!F:F,MATCH(Table214[[#This Row],[كد تفصيلي]],'مانده سوفاله'!A:A,0)),0)</f>
        <v>0</v>
      </c>
    </row>
    <row r="55" spans="1:7" ht="24.75" customHeight="1" x14ac:dyDescent="0.35">
      <c r="A55" s="26">
        <v>30114</v>
      </c>
      <c r="B55" s="56" t="s">
        <v>175</v>
      </c>
      <c r="C55" s="10">
        <f>IFERROR(INDEX('حسابهای دریافتنی'!H:H,MATCH(Table214[[#This Row],[كد تفصيلي]],'حسابهای دریافتنی'!A:A,0)),0)</f>
        <v>5385600</v>
      </c>
      <c r="D55" s="11">
        <f>IFERROR(INDEX('درجریان وصول'!F:F,MATCH(Table214[[#This Row],[كد تفصيلي]],'درجریان وصول'!A:A,0)),0)</f>
        <v>0</v>
      </c>
      <c r="E55" s="11">
        <f>IFERROR(INDEX('چکهای دریافتنی'!F:F,MATCH(Table214[[#This Row],[كد تفصيلي]],'چکهای دریافتنی'!A:A,0)),0)</f>
        <v>0</v>
      </c>
      <c r="F55" s="11">
        <f>Table214[[#This Row],[حسابهای دریافتنی]]+Table214[[#This Row],[چکهای در جریان وصول]]+Table214[[#This Row],[چکهای نزد صندوق]]</f>
        <v>5385600</v>
      </c>
      <c r="G55" s="12">
        <f>IFERROR(INDEX('مانده سوفاله'!F:F,MATCH(Table214[[#This Row],[كد تفصيلي]],'مانده سوفاله'!A:A,0)),0)</f>
        <v>0</v>
      </c>
    </row>
    <row r="56" spans="1:7" ht="24.75" customHeight="1" x14ac:dyDescent="0.35">
      <c r="A56" s="27">
        <v>30123</v>
      </c>
      <c r="B56" s="55" t="s">
        <v>208</v>
      </c>
      <c r="C56" s="10">
        <f>IFERROR(INDEX('حسابهای دریافتنی'!H:H,MATCH(Table214[[#This Row],[كد تفصيلي]],'حسابهای دریافتنی'!A:A,0)),0)</f>
        <v>4138250</v>
      </c>
      <c r="D56" s="11">
        <f>IFERROR(INDEX('درجریان وصول'!F:F,MATCH(Table214[[#This Row],[كد تفصيلي]],'درجریان وصول'!A:A,0)),0)</f>
        <v>0</v>
      </c>
      <c r="E56" s="11">
        <f>IFERROR(INDEX('چکهای دریافتنی'!F:F,MATCH(Table214[[#This Row],[كد تفصيلي]],'چکهای دریافتنی'!A:A,0)),0)</f>
        <v>0</v>
      </c>
      <c r="F56" s="11">
        <f>Table214[[#This Row],[حسابهای دریافتنی]]+Table214[[#This Row],[چکهای در جریان وصول]]+Table214[[#This Row],[چکهای نزد صندوق]]</f>
        <v>4138250</v>
      </c>
      <c r="G56" s="12">
        <f>IFERROR(INDEX('مانده سوفاله'!F:F,MATCH(Table214[[#This Row],[كد تفصيلي]],'مانده سوفاله'!A:A,0)),0)</f>
        <v>-20</v>
      </c>
    </row>
    <row r="57" spans="1:7" ht="24.75" customHeight="1" x14ac:dyDescent="0.35">
      <c r="A57" s="26">
        <v>10116</v>
      </c>
      <c r="B57" s="56" t="s">
        <v>321</v>
      </c>
      <c r="C57" s="10">
        <f>IFERROR(INDEX('حسابهای دریافتنی'!H:H,MATCH(Table214[[#This Row],[كد تفصيلي]],'حسابهای دریافتنی'!A:A,0)),0)</f>
        <v>3892500</v>
      </c>
      <c r="D57" s="11">
        <f>IFERROR(INDEX('درجریان وصول'!F:F,MATCH(Table214[[#This Row],[كد تفصيلي]],'درجریان وصول'!A:A,0)),0)</f>
        <v>0</v>
      </c>
      <c r="E57" s="11">
        <f>IFERROR(INDEX('چکهای دریافتنی'!F:F,MATCH(Table214[[#This Row],[كد تفصيلي]],'چکهای دریافتنی'!A:A,0)),0)</f>
        <v>0</v>
      </c>
      <c r="F57" s="11">
        <f>Table214[[#This Row],[حسابهای دریافتنی]]+Table214[[#This Row],[چکهای در جریان وصول]]+Table214[[#This Row],[چکهای نزد صندوق]]</f>
        <v>3892500</v>
      </c>
      <c r="G57" s="12">
        <f>IFERROR(INDEX('مانده سوفاله'!F:F,MATCH(Table214[[#This Row],[كد تفصيلي]],'مانده سوفاله'!A:A,0)),0)</f>
        <v>0</v>
      </c>
    </row>
    <row r="58" spans="1:7" ht="24.75" customHeight="1" x14ac:dyDescent="0.35">
      <c r="A58" s="26">
        <v>10101</v>
      </c>
      <c r="B58" s="56" t="s">
        <v>281</v>
      </c>
      <c r="C58" s="10">
        <f>IFERROR(INDEX('حسابهای دریافتنی'!H:H,MATCH(Table214[[#This Row],[كد تفصيلي]],'حسابهای دریافتنی'!A:A,0)),0)</f>
        <v>0</v>
      </c>
      <c r="D58" s="11">
        <f>IFERROR(INDEX('درجریان وصول'!F:F,MATCH(Table214[[#This Row],[كد تفصيلي]],'درجریان وصول'!A:A,0)),0)</f>
        <v>0</v>
      </c>
      <c r="E58" s="11">
        <f>IFERROR(INDEX('چکهای دریافتنی'!F:F,MATCH(Table214[[#This Row],[كد تفصيلي]],'چکهای دریافتنی'!A:A,0)),0)</f>
        <v>0</v>
      </c>
      <c r="F58" s="11">
        <f>Table214[[#This Row],[حسابهای دریافتنی]]+Table214[[#This Row],[چکهای در جریان وصول]]+Table214[[#This Row],[چکهای نزد صندوق]]</f>
        <v>0</v>
      </c>
      <c r="G58" s="12">
        <f>IFERROR(INDEX('مانده سوفاله'!F:F,MATCH(Table214[[#This Row],[كد تفصيلي]],'مانده سوفاله'!A:A,0)),0)</f>
        <v>0</v>
      </c>
    </row>
    <row r="59" spans="1:7" ht="24.75" customHeight="1" x14ac:dyDescent="0.35">
      <c r="A59" s="27">
        <v>10030</v>
      </c>
      <c r="B59" s="55" t="s">
        <v>36</v>
      </c>
      <c r="C59" s="10">
        <f>IFERROR(INDEX('حسابهای دریافتنی'!H:H,MATCH(Table214[[#This Row],[كد تفصيلي]],'حسابهای دریافتنی'!A:A,0)),0)</f>
        <v>3272000</v>
      </c>
      <c r="D59" s="11">
        <f>IFERROR(INDEX('درجریان وصول'!F:F,MATCH(Table214[[#This Row],[كد تفصيلي]],'درجریان وصول'!A:A,0)),0)</f>
        <v>0</v>
      </c>
      <c r="E59" s="11">
        <f>IFERROR(INDEX('چکهای دریافتنی'!F:F,MATCH(Table214[[#This Row],[كد تفصيلي]],'چکهای دریافتنی'!A:A,0)),0)</f>
        <v>0</v>
      </c>
      <c r="F59" s="11">
        <f>Table214[[#This Row],[حسابهای دریافتنی]]+Table214[[#This Row],[چکهای در جریان وصول]]+Table214[[#This Row],[چکهای نزد صندوق]]</f>
        <v>3272000</v>
      </c>
      <c r="G59" s="12">
        <f>IFERROR(INDEX('مانده سوفاله'!F:F,MATCH(Table214[[#This Row],[كد تفصيلي]],'مانده سوفاله'!A:A,0)),0)</f>
        <v>-222</v>
      </c>
    </row>
    <row r="60" spans="1:7" ht="24.75" customHeight="1" x14ac:dyDescent="0.35">
      <c r="A60" s="26">
        <v>30178</v>
      </c>
      <c r="B60" s="56" t="s">
        <v>335</v>
      </c>
      <c r="C60" s="10">
        <f>IFERROR(INDEX('حسابهای دریافتنی'!H:H,MATCH(Table214[[#This Row],[كد تفصيلي]],'حسابهای دریافتنی'!A:A,0)),0)</f>
        <v>3040000</v>
      </c>
      <c r="D60" s="11">
        <f>IFERROR(INDEX('درجریان وصول'!F:F,MATCH(Table214[[#This Row],[كد تفصيلي]],'درجریان وصول'!A:A,0)),0)</f>
        <v>0</v>
      </c>
      <c r="E60" s="11">
        <f>IFERROR(INDEX('چکهای دریافتنی'!F:F,MATCH(Table214[[#This Row],[كد تفصيلي]],'چکهای دریافتنی'!A:A,0)),0)</f>
        <v>0</v>
      </c>
      <c r="F60" s="11">
        <f>Table214[[#This Row],[حسابهای دریافتنی]]+Table214[[#This Row],[چکهای در جریان وصول]]+Table214[[#This Row],[چکهای نزد صندوق]]</f>
        <v>3040000</v>
      </c>
      <c r="G60" s="12">
        <f>IFERROR(INDEX('مانده سوفاله'!F:F,MATCH(Table214[[#This Row],[كد تفصيلي]],'مانده سوفاله'!A:A,0)),0)</f>
        <v>0</v>
      </c>
    </row>
    <row r="61" spans="1:7" ht="24.75" customHeight="1" x14ac:dyDescent="0.35">
      <c r="A61" s="26">
        <v>30146</v>
      </c>
      <c r="B61" s="56" t="s">
        <v>266</v>
      </c>
      <c r="C61" s="10">
        <f>IFERROR(INDEX('حسابهای دریافتنی'!H:H,MATCH(Table214[[#This Row],[كد تفصيلي]],'حسابهای دریافتنی'!A:A,0)),0)</f>
        <v>-4146512500</v>
      </c>
      <c r="D61" s="11">
        <f>IFERROR(INDEX('درجریان وصول'!F:F,MATCH(Table214[[#This Row],[كد تفصيلي]],'درجریان وصول'!A:A,0)),0)</f>
        <v>0</v>
      </c>
      <c r="E61" s="11">
        <f>IFERROR(INDEX('چکهای دریافتنی'!F:F,MATCH(Table214[[#This Row],[كد تفصيلي]],'چکهای دریافتنی'!A:A,0)),0)</f>
        <v>0</v>
      </c>
      <c r="F61" s="11">
        <f>Table214[[#This Row],[حسابهای دریافتنی]]+Table214[[#This Row],[چکهای در جریان وصول]]+Table214[[#This Row],[چکهای نزد صندوق]]</f>
        <v>-4146512500</v>
      </c>
      <c r="G61" s="12">
        <f>IFERROR(INDEX('مانده سوفاله'!F:F,MATCH(Table214[[#This Row],[كد تفصيلي]],'مانده سوفاله'!A:A,0)),0)</f>
        <v>2823</v>
      </c>
    </row>
    <row r="62" spans="1:7" ht="24.75" customHeight="1" x14ac:dyDescent="0.35">
      <c r="A62" s="27">
        <v>10004</v>
      </c>
      <c r="B62" s="55" t="s">
        <v>11</v>
      </c>
      <c r="C62" s="10">
        <f>IFERROR(INDEX('حسابهای دریافتنی'!H:H,MATCH(Table214[[#This Row],[كد تفصيلي]],'حسابهای دریافتنی'!A:A,0)),0)</f>
        <v>853000</v>
      </c>
      <c r="D62" s="11">
        <f>IFERROR(INDEX('درجریان وصول'!F:F,MATCH(Table214[[#This Row],[كد تفصيلي]],'درجریان وصول'!A:A,0)),0)</f>
        <v>0</v>
      </c>
      <c r="E62" s="11">
        <f>IFERROR(INDEX('چکهای دریافتنی'!F:F,MATCH(Table214[[#This Row],[كد تفصيلي]],'چکهای دریافتنی'!A:A,0)),0)</f>
        <v>341000000</v>
      </c>
      <c r="F62" s="11">
        <f>Table214[[#This Row],[حسابهای دریافتنی]]+Table214[[#This Row],[چکهای در جریان وصول]]+Table214[[#This Row],[چکهای نزد صندوق]]</f>
        <v>341853000</v>
      </c>
      <c r="G62" s="12">
        <f>IFERROR(INDEX('مانده سوفاله'!F:F,MATCH(Table214[[#This Row],[كد تفصيلي]],'مانده سوفاله'!A:A,0)),0)</f>
        <v>-12</v>
      </c>
    </row>
    <row r="63" spans="1:7" ht="24.75" customHeight="1" x14ac:dyDescent="0.35">
      <c r="A63" s="26">
        <v>30084</v>
      </c>
      <c r="B63" s="56" t="s">
        <v>129</v>
      </c>
      <c r="C63" s="10">
        <f>IFERROR(INDEX('حسابهای دریافتنی'!H:H,MATCH(Table214[[#This Row],[كد تفصيلي]],'حسابهای دریافتنی'!A:A,0)),0)</f>
        <v>1220000</v>
      </c>
      <c r="D63" s="11">
        <f>IFERROR(INDEX('درجریان وصول'!F:F,MATCH(Table214[[#This Row],[كد تفصيلي]],'درجریان وصول'!A:A,0)),0)</f>
        <v>0</v>
      </c>
      <c r="E63" s="11">
        <f>IFERROR(INDEX('چکهای دریافتنی'!F:F,MATCH(Table214[[#This Row],[كد تفصيلي]],'چکهای دریافتنی'!A:A,0)),0)</f>
        <v>0</v>
      </c>
      <c r="F63" s="11">
        <f>Table214[[#This Row],[حسابهای دریافتنی]]+Table214[[#This Row],[چکهای در جریان وصول]]+Table214[[#This Row],[چکهای نزد صندوق]]</f>
        <v>1220000</v>
      </c>
      <c r="G63" s="12">
        <f>IFERROR(INDEX('مانده سوفاله'!F:F,MATCH(Table214[[#This Row],[كد تفصيلي]],'مانده سوفاله'!A:A,0)),0)</f>
        <v>0</v>
      </c>
    </row>
    <row r="64" spans="1:7" ht="24.75" customHeight="1" x14ac:dyDescent="0.35">
      <c r="A64" s="27">
        <v>79055</v>
      </c>
      <c r="B64" s="55" t="s">
        <v>297</v>
      </c>
      <c r="C64" s="10">
        <f>IFERROR(INDEX('حسابهای دریافتنی'!H:H,MATCH(Table214[[#This Row],[كد تفصيلي]],'حسابهای دریافتنی'!A:A,0)),0)</f>
        <v>896500</v>
      </c>
      <c r="D64" s="11">
        <f>IFERROR(INDEX('درجریان وصول'!F:F,MATCH(Table214[[#This Row],[كد تفصيلي]],'درجریان وصول'!A:A,0)),0)</f>
        <v>0</v>
      </c>
      <c r="E64" s="11">
        <f>IFERROR(INDEX('چکهای دریافتنی'!F:F,MATCH(Table214[[#This Row],[كد تفصيلي]],'چکهای دریافتنی'!A:A,0)),0)</f>
        <v>0</v>
      </c>
      <c r="F64" s="11">
        <f>Table214[[#This Row],[حسابهای دریافتنی]]+Table214[[#This Row],[چکهای در جریان وصول]]+Table214[[#This Row],[چکهای نزد صندوق]]</f>
        <v>896500</v>
      </c>
      <c r="G64" s="12">
        <f>IFERROR(INDEX('مانده سوفاله'!F:F,MATCH(Table214[[#This Row],[كد تفصيلي]],'مانده سوفاله'!A:A,0)),0)</f>
        <v>0</v>
      </c>
    </row>
    <row r="65" spans="1:7" ht="24.75" customHeight="1" x14ac:dyDescent="0.35">
      <c r="A65" s="27">
        <v>30030</v>
      </c>
      <c r="B65" s="55" t="s">
        <v>77</v>
      </c>
      <c r="C65" s="10">
        <f>IFERROR(INDEX('حسابهای دریافتنی'!H:H,MATCH(Table214[[#This Row],[كد تفصيلي]],'حسابهای دریافتنی'!A:A,0)),0)</f>
        <v>850500</v>
      </c>
      <c r="D65" s="11">
        <f>IFERROR(INDEX('درجریان وصول'!F:F,MATCH(Table214[[#This Row],[كد تفصيلي]],'درجریان وصول'!A:A,0)),0)</f>
        <v>0</v>
      </c>
      <c r="E65" s="11">
        <f>IFERROR(INDEX('چکهای دریافتنی'!F:F,MATCH(Table214[[#This Row],[كد تفصيلي]],'چکهای دریافتنی'!A:A,0)),0)</f>
        <v>0</v>
      </c>
      <c r="F65" s="11">
        <f>Table214[[#This Row],[حسابهای دریافتنی]]+Table214[[#This Row],[چکهای در جریان وصول]]+Table214[[#This Row],[چکهای نزد صندوق]]</f>
        <v>850500</v>
      </c>
      <c r="G65" s="12">
        <f>IFERROR(INDEX('مانده سوفاله'!F:F,MATCH(Table214[[#This Row],[كد تفصيلي]],'مانده سوفاله'!A:A,0)),0)</f>
        <v>-49</v>
      </c>
    </row>
    <row r="66" spans="1:7" ht="24.75" customHeight="1" x14ac:dyDescent="0.35">
      <c r="A66" s="27">
        <v>30129</v>
      </c>
      <c r="B66" s="55" t="s">
        <v>178</v>
      </c>
      <c r="C66" s="10">
        <f>IFERROR(INDEX('حسابهای دریافتنی'!H:H,MATCH(Table214[[#This Row],[كد تفصيلي]],'حسابهای دریافتنی'!A:A,0)),0)</f>
        <v>783000</v>
      </c>
      <c r="D66" s="11">
        <f>IFERROR(INDEX('درجریان وصول'!F:F,MATCH(Table214[[#This Row],[كد تفصيلي]],'درجریان وصول'!A:A,0)),0)</f>
        <v>0</v>
      </c>
      <c r="E66" s="11">
        <f>IFERROR(INDEX('چکهای دریافتنی'!F:F,MATCH(Table214[[#This Row],[كد تفصيلي]],'چکهای دریافتنی'!A:A,0)),0)</f>
        <v>0</v>
      </c>
      <c r="F66" s="11">
        <f>Table214[[#This Row],[حسابهای دریافتنی]]+Table214[[#This Row],[چکهای در جریان وصول]]+Table214[[#This Row],[چکهای نزد صندوق]]</f>
        <v>783000</v>
      </c>
      <c r="G66" s="12">
        <f>IFERROR(INDEX('مانده سوفاله'!F:F,MATCH(Table214[[#This Row],[كد تفصيلي]],'مانده سوفاله'!A:A,0)),0)</f>
        <v>0</v>
      </c>
    </row>
    <row r="67" spans="1:7" ht="24.75" customHeight="1" x14ac:dyDescent="0.35">
      <c r="A67" s="26">
        <v>30090</v>
      </c>
      <c r="B67" s="56" t="s">
        <v>144</v>
      </c>
      <c r="C67" s="10">
        <f>IFERROR(INDEX('حسابهای دریافتنی'!H:H,MATCH(Table214[[#This Row],[كد تفصيلي]],'حسابهای دریافتنی'!A:A,0)),0)</f>
        <v>640100</v>
      </c>
      <c r="D67" s="11">
        <f>IFERROR(INDEX('درجریان وصول'!F:F,MATCH(Table214[[#This Row],[كد تفصيلي]],'درجریان وصول'!A:A,0)),0)</f>
        <v>0</v>
      </c>
      <c r="E67" s="11">
        <f>IFERROR(INDEX('چکهای دریافتنی'!F:F,MATCH(Table214[[#This Row],[كد تفصيلي]],'چکهای دریافتنی'!A:A,0)),0)</f>
        <v>0</v>
      </c>
      <c r="F67" s="11">
        <f>Table214[[#This Row],[حسابهای دریافتنی]]+Table214[[#This Row],[چکهای در جریان وصول]]+Table214[[#This Row],[چکهای نزد صندوق]]</f>
        <v>640100</v>
      </c>
      <c r="G67" s="12">
        <f>IFERROR(INDEX('مانده سوفاله'!F:F,MATCH(Table214[[#This Row],[كد تفصيلي]],'مانده سوفاله'!A:A,0)),0)</f>
        <v>0</v>
      </c>
    </row>
    <row r="68" spans="1:7" ht="24.75" customHeight="1" x14ac:dyDescent="0.35">
      <c r="A68" s="27">
        <v>30109</v>
      </c>
      <c r="B68" s="55" t="s">
        <v>165</v>
      </c>
      <c r="C68" s="10">
        <f>IFERROR(INDEX('حسابهای دریافتنی'!H:H,MATCH(Table214[[#This Row],[كد تفصيلي]],'حسابهای دریافتنی'!A:A,0)),0)</f>
        <v>607300</v>
      </c>
      <c r="D68" s="11">
        <f>IFERROR(INDEX('درجریان وصول'!F:F,MATCH(Table214[[#This Row],[كد تفصيلي]],'درجریان وصول'!A:A,0)),0)</f>
        <v>0</v>
      </c>
      <c r="E68" s="11">
        <f>IFERROR(INDEX('چکهای دریافتنی'!F:F,MATCH(Table214[[#This Row],[كد تفصيلي]],'چکهای دریافتنی'!A:A,0)),0)</f>
        <v>0</v>
      </c>
      <c r="F68" s="11">
        <f>Table214[[#This Row],[حسابهای دریافتنی]]+Table214[[#This Row],[چکهای در جریان وصول]]+Table214[[#This Row],[چکهای نزد صندوق]]</f>
        <v>607300</v>
      </c>
      <c r="G68" s="12">
        <f>IFERROR(INDEX('مانده سوفاله'!F:F,MATCH(Table214[[#This Row],[كد تفصيلي]],'مانده سوفاله'!A:A,0)),0)</f>
        <v>0</v>
      </c>
    </row>
    <row r="69" spans="1:7" ht="24.75" customHeight="1" x14ac:dyDescent="0.35">
      <c r="A69" s="26">
        <v>10131</v>
      </c>
      <c r="B69" s="56" t="s">
        <v>457</v>
      </c>
      <c r="C69" s="10">
        <f>IFERROR(INDEX('حسابهای دریافتنی'!H:H,MATCH(Table214[[#This Row],[كد تفصيلي]],'حسابهای دریافتنی'!A:A,0)),0)</f>
        <v>-1194000</v>
      </c>
      <c r="D69" s="11">
        <f>IFERROR(INDEX('درجریان وصول'!F:F,MATCH(Table214[[#This Row],[كد تفصيلي]],'درجریان وصول'!A:A,0)),0)</f>
        <v>0</v>
      </c>
      <c r="E69" s="11">
        <f>IFERROR(INDEX('چکهای دریافتنی'!F:F,MATCH(Table214[[#This Row],[كد تفصيلي]],'چکهای دریافتنی'!A:A,0)),0)</f>
        <v>0</v>
      </c>
      <c r="F69" s="11">
        <f>Table214[[#This Row],[حسابهای دریافتنی]]+Table214[[#This Row],[چکهای در جریان وصول]]+Table214[[#This Row],[چکهای نزد صندوق]]</f>
        <v>-1194000</v>
      </c>
      <c r="G69" s="12">
        <f>IFERROR(INDEX('مانده سوفاله'!F:F,MATCH(Table214[[#This Row],[كد تفصيلي]],'مانده سوفاله'!A:A,0)),0)</f>
        <v>1</v>
      </c>
    </row>
    <row r="70" spans="1:7" ht="24.75" customHeight="1" x14ac:dyDescent="0.35">
      <c r="A70" s="26">
        <v>10097</v>
      </c>
      <c r="B70" s="56" t="s">
        <v>270</v>
      </c>
      <c r="C70" s="10">
        <f>IFERROR(INDEX('حسابهای دریافتنی'!H:H,MATCH(Table214[[#This Row],[كد تفصيلي]],'حسابهای دریافتنی'!A:A,0)),0)</f>
        <v>270642500</v>
      </c>
      <c r="D70" s="11">
        <f>IFERROR(INDEX('درجریان وصول'!F:F,MATCH(Table214[[#This Row],[كد تفصيلي]],'درجریان وصول'!A:A,0)),0)</f>
        <v>0</v>
      </c>
      <c r="E70" s="11">
        <f>IFERROR(INDEX('چکهای دریافتنی'!F:F,MATCH(Table214[[#This Row],[كد تفصيلي]],'چکهای دریافتنی'!A:A,0)),0)</f>
        <v>287000000</v>
      </c>
      <c r="F70" s="11">
        <f>Table214[[#This Row],[حسابهای دریافتنی]]+Table214[[#This Row],[چکهای در جریان وصول]]+Table214[[#This Row],[چکهای نزد صندوق]]</f>
        <v>557642500</v>
      </c>
      <c r="G70" s="12">
        <f>IFERROR(INDEX('مانده سوفاله'!F:F,MATCH(Table214[[#This Row],[كد تفصيلي]],'مانده سوفاله'!A:A,0)),0)</f>
        <v>0</v>
      </c>
    </row>
    <row r="71" spans="1:7" ht="24.75" customHeight="1" x14ac:dyDescent="0.35">
      <c r="A71" s="27">
        <v>30010</v>
      </c>
      <c r="B71" s="55" t="s">
        <v>59</v>
      </c>
      <c r="C71" s="10">
        <f>IFERROR(INDEX('حسابهای دریافتنی'!H:H,MATCH(Table214[[#This Row],[كد تفصيلي]],'حسابهای دریافتنی'!A:A,0)),0)</f>
        <v>366215</v>
      </c>
      <c r="D71" s="11">
        <f>IFERROR(INDEX('درجریان وصول'!F:F,MATCH(Table214[[#This Row],[كد تفصيلي]],'درجریان وصول'!A:A,0)),0)</f>
        <v>0</v>
      </c>
      <c r="E71" s="11">
        <f>IFERROR(INDEX('چکهای دریافتنی'!F:F,MATCH(Table214[[#This Row],[كد تفصيلي]],'چکهای دریافتنی'!A:A,0)),0)</f>
        <v>0</v>
      </c>
      <c r="F71" s="11">
        <f>Table214[[#This Row],[حسابهای دریافتنی]]+Table214[[#This Row],[چکهای در جریان وصول]]+Table214[[#This Row],[چکهای نزد صندوق]]</f>
        <v>366215</v>
      </c>
      <c r="G71" s="12">
        <f>IFERROR(INDEX('مانده سوفاله'!F:F,MATCH(Table214[[#This Row],[كد تفصيلي]],'مانده سوفاله'!A:A,0)),0)</f>
        <v>8</v>
      </c>
    </row>
    <row r="72" spans="1:7" ht="24.75" customHeight="1" x14ac:dyDescent="0.35">
      <c r="A72" s="26">
        <v>30027</v>
      </c>
      <c r="B72" s="56" t="s">
        <v>75</v>
      </c>
      <c r="C72" s="10">
        <f>IFERROR(INDEX('حسابهای دریافتنی'!H:H,MATCH(Table214[[#This Row],[كد تفصيلي]],'حسابهای دریافتنی'!A:A,0)),0)</f>
        <v>326950</v>
      </c>
      <c r="D72" s="11">
        <f>IFERROR(INDEX('درجریان وصول'!F:F,MATCH(Table214[[#This Row],[كد تفصيلي]],'درجریان وصول'!A:A,0)),0)</f>
        <v>0</v>
      </c>
      <c r="E72" s="11">
        <f>IFERROR(INDEX('چکهای دریافتنی'!F:F,MATCH(Table214[[#This Row],[كد تفصيلي]],'چکهای دریافتنی'!A:A,0)),0)</f>
        <v>0</v>
      </c>
      <c r="F72" s="11">
        <f>Table214[[#This Row],[حسابهای دریافتنی]]+Table214[[#This Row],[چکهای در جریان وصول]]+Table214[[#This Row],[چکهای نزد صندوق]]</f>
        <v>326950</v>
      </c>
      <c r="G72" s="12">
        <f>IFERROR(INDEX('مانده سوفاله'!F:F,MATCH(Table214[[#This Row],[كد تفصيلي]],'مانده سوفاله'!A:A,0)),0)</f>
        <v>0</v>
      </c>
    </row>
    <row r="73" spans="1:7" ht="24.75" customHeight="1" x14ac:dyDescent="0.35">
      <c r="A73" s="27">
        <v>30135</v>
      </c>
      <c r="B73" s="55" t="s">
        <v>179</v>
      </c>
      <c r="C73" s="10">
        <f>IFERROR(INDEX('حسابهای دریافتنی'!H:H,MATCH(Table214[[#This Row],[كد تفصيلي]],'حسابهای دریافتنی'!A:A,0)),0)</f>
        <v>195000</v>
      </c>
      <c r="D73" s="11">
        <f>IFERROR(INDEX('درجریان وصول'!F:F,MATCH(Table214[[#This Row],[كد تفصيلي]],'درجریان وصول'!A:A,0)),0)</f>
        <v>0</v>
      </c>
      <c r="E73" s="11">
        <f>IFERROR(INDEX('چکهای دریافتنی'!F:F,MATCH(Table214[[#This Row],[كد تفصيلي]],'چکهای دریافتنی'!A:A,0)),0)</f>
        <v>0</v>
      </c>
      <c r="F73" s="11">
        <f>Table214[[#This Row],[حسابهای دریافتنی]]+Table214[[#This Row],[چکهای در جریان وصول]]+Table214[[#This Row],[چکهای نزد صندوق]]</f>
        <v>195000</v>
      </c>
      <c r="G73" s="12">
        <f>IFERROR(INDEX('مانده سوفاله'!F:F,MATCH(Table214[[#This Row],[كد تفصيلي]],'مانده سوفاله'!A:A,0)),0)</f>
        <v>-5</v>
      </c>
    </row>
    <row r="74" spans="1:7" ht="24" customHeight="1" x14ac:dyDescent="0.35">
      <c r="A74" s="27">
        <v>10002</v>
      </c>
      <c r="B74" s="55" t="s">
        <v>9</v>
      </c>
      <c r="C74" s="10">
        <f>IFERROR(INDEX('حسابهای دریافتنی'!H:H,MATCH(Table214[[#This Row],[كد تفصيلي]],'حسابهای دریافتنی'!A:A,0)),0)</f>
        <v>-3600000000</v>
      </c>
      <c r="D74" s="11">
        <f>IFERROR(INDEX('درجریان وصول'!F:F,MATCH(Table214[[#This Row],[كد تفصيلي]],'درجریان وصول'!A:A,0)),0)</f>
        <v>0</v>
      </c>
      <c r="E74" s="11">
        <f>IFERROR(INDEX('چکهای دریافتنی'!F:F,MATCH(Table214[[#This Row],[كد تفصيلي]],'چکهای دریافتنی'!A:A,0)),0)</f>
        <v>0</v>
      </c>
      <c r="F74" s="11">
        <f>Table214[[#This Row],[حسابهای دریافتنی]]+Table214[[#This Row],[چکهای در جریان وصول]]+Table214[[#This Row],[چکهای نزد صندوق]]</f>
        <v>-3600000000</v>
      </c>
      <c r="G74" s="12">
        <f>IFERROR(INDEX('مانده سوفاله'!F:F,MATCH(Table214[[#This Row],[كد تفصيلي]],'مانده سوفاله'!A:A,0)),0)</f>
        <v>0</v>
      </c>
    </row>
    <row r="75" spans="1:7" ht="24.75" customHeight="1" x14ac:dyDescent="0.35">
      <c r="A75" s="27">
        <v>10133</v>
      </c>
      <c r="B75" s="55" t="s">
        <v>474</v>
      </c>
      <c r="C75" s="10">
        <f>IFERROR(INDEX('حسابهای دریافتنی'!H:H,MATCH(Table214[[#This Row],[كد تفصيلي]],'حسابهای دریافتنی'!A:A,0)),0)</f>
        <v>-1249039000</v>
      </c>
      <c r="D75" s="11">
        <f>IFERROR(INDEX('درجریان وصول'!F:F,MATCH(Table214[[#This Row],[كد تفصيلي]],'درجریان وصول'!A:A,0)),0)</f>
        <v>0</v>
      </c>
      <c r="E75" s="11">
        <f>IFERROR(INDEX('چکهای دریافتنی'!F:F,MATCH(Table214[[#This Row],[كد تفصيلي]],'چکهای دریافتنی'!A:A,0)),0)</f>
        <v>0</v>
      </c>
      <c r="F75" s="11">
        <f>Table214[[#This Row],[حسابهای دریافتنی]]+Table214[[#This Row],[چکهای در جریان وصول]]+Table214[[#This Row],[چکهای نزد صندوق]]</f>
        <v>-1249039000</v>
      </c>
      <c r="G75" s="12">
        <f>IFERROR(INDEX('مانده سوفاله'!F:F,MATCH(Table214[[#This Row],[كد تفصيلي]],'مانده سوفاله'!A:A,0)),0)</f>
        <v>0</v>
      </c>
    </row>
    <row r="76" spans="1:7" ht="24.75" customHeight="1" x14ac:dyDescent="0.35">
      <c r="A76" s="27">
        <v>10072</v>
      </c>
      <c r="B76" s="55" t="s">
        <v>177</v>
      </c>
      <c r="C76" s="10">
        <f>IFERROR(INDEX('حسابهای دریافتنی'!H:H,MATCH(Table214[[#This Row],[كد تفصيلي]],'حسابهای دریافتنی'!A:A,0)),0)</f>
        <v>55880</v>
      </c>
      <c r="D76" s="11">
        <f>IFERROR(INDEX('درجریان وصول'!F:F,MATCH(Table214[[#This Row],[كد تفصيلي]],'درجریان وصول'!A:A,0)),0)</f>
        <v>0</v>
      </c>
      <c r="E76" s="11">
        <f>IFERROR(INDEX('چکهای دریافتنی'!F:F,MATCH(Table214[[#This Row],[كد تفصيلي]],'چکهای دریافتنی'!A:A,0)),0)</f>
        <v>427700000</v>
      </c>
      <c r="F76" s="11">
        <f>Table214[[#This Row],[حسابهای دریافتنی]]+Table214[[#This Row],[چکهای در جریان وصول]]+Table214[[#This Row],[چکهای نزد صندوق]]</f>
        <v>427755880</v>
      </c>
      <c r="G76" s="12">
        <f>IFERROR(INDEX('مانده سوفاله'!F:F,MATCH(Table214[[#This Row],[كد تفصيلي]],'مانده سوفاله'!A:A,0)),0)</f>
        <v>0</v>
      </c>
    </row>
    <row r="77" spans="1:7" ht="24.75" customHeight="1" x14ac:dyDescent="0.35">
      <c r="A77" s="27">
        <v>30020</v>
      </c>
      <c r="B77" s="55" t="s">
        <v>68</v>
      </c>
      <c r="C77" s="10">
        <f>IFERROR(INDEX('حسابهای دریافتنی'!H:H,MATCH(Table214[[#This Row],[كد تفصيلي]],'حسابهای دریافتنی'!A:A,0)),0)</f>
        <v>2253500</v>
      </c>
      <c r="D77" s="11">
        <f>IFERROR(INDEX('درجریان وصول'!F:F,MATCH(Table214[[#This Row],[كد تفصيلي]],'درجریان وصول'!A:A,0)),0)</f>
        <v>0</v>
      </c>
      <c r="E77" s="11">
        <f>IFERROR(INDEX('چکهای دریافتنی'!F:F,MATCH(Table214[[#This Row],[كد تفصيلي]],'چکهای دریافتنی'!A:A,0)),0)</f>
        <v>0</v>
      </c>
      <c r="F77" s="11">
        <f>Table214[[#This Row],[حسابهای دریافتنی]]+Table214[[#This Row],[چکهای در جریان وصول]]+Table214[[#This Row],[چکهای نزد صندوق]]</f>
        <v>2253500</v>
      </c>
      <c r="G77" s="12">
        <f>IFERROR(INDEX('مانده سوفاله'!F:F,MATCH(Table214[[#This Row],[كد تفصيلي]],'مانده سوفاله'!A:A,0)),0)</f>
        <v>4</v>
      </c>
    </row>
    <row r="78" spans="1:7" ht="24.75" customHeight="1" x14ac:dyDescent="0.35">
      <c r="A78" s="27">
        <v>10010</v>
      </c>
      <c r="B78" s="55" t="s">
        <v>17</v>
      </c>
      <c r="C78" s="10">
        <f>IFERROR(INDEX('حسابهای دریافتنی'!H:H,MATCH(Table214[[#This Row],[كد تفصيلي]],'حسابهای دریافتنی'!A:A,0)),0)</f>
        <v>0</v>
      </c>
      <c r="D78" s="11">
        <f>IFERROR(INDEX('درجریان وصول'!F:F,MATCH(Table214[[#This Row],[كد تفصيلي]],'درجریان وصول'!A:A,0)),0)</f>
        <v>0</v>
      </c>
      <c r="E78" s="11">
        <f>IFERROR(INDEX('چکهای دریافتنی'!F:F,MATCH(Table214[[#This Row],[كد تفصيلي]],'چکهای دریافتنی'!A:A,0)),0)</f>
        <v>0</v>
      </c>
      <c r="F78" s="11">
        <f>Table214[[#This Row],[حسابهای دریافتنی]]+Table214[[#This Row],[چکهای در جریان وصول]]+Table214[[#This Row],[چکهای نزد صندوق]]</f>
        <v>0</v>
      </c>
      <c r="G78" s="12">
        <f>IFERROR(INDEX('مانده سوفاله'!F:F,MATCH(Table214[[#This Row],[كد تفصيلي]],'مانده سوفاله'!A:A,0)),0)</f>
        <v>8</v>
      </c>
    </row>
    <row r="79" spans="1:7" customFormat="1" ht="24.75" customHeight="1" x14ac:dyDescent="0.35">
      <c r="A79" s="53">
        <v>10023</v>
      </c>
      <c r="B79" s="56" t="s">
        <v>155</v>
      </c>
      <c r="C79" s="10">
        <f>IFERROR(INDEX('حسابهای دریافتنی'!H:H,MATCH(Table214[[#This Row],[كد تفصيلي]],'حسابهای دریافتنی'!A:A,0)),0)</f>
        <v>0</v>
      </c>
      <c r="D79" s="11">
        <f>IFERROR(INDEX('درجریان وصول'!F:F,MATCH(Table214[[#This Row],[كد تفصيلي]],'درجریان وصول'!A:A,0)),0)</f>
        <v>0</v>
      </c>
      <c r="E79" s="11">
        <f>IFERROR(INDEX('چکهای دریافتنی'!F:F,MATCH(Table214[[#This Row],[كد تفصيلي]],'چکهای دریافتنی'!A:A,0)),0)</f>
        <v>0</v>
      </c>
      <c r="F79" s="11">
        <f>Table214[[#This Row],[حسابهای دریافتنی]]+Table214[[#This Row],[چکهای در جریان وصول]]+Table214[[#This Row],[چکهای نزد صندوق]]</f>
        <v>0</v>
      </c>
      <c r="G79" s="12">
        <f>IFERROR(INDEX('مانده سوفاله'!F:F,MATCH(Table214[[#This Row],[كد تفصيلي]],'مانده سوفاله'!A:A,0)),0)</f>
        <v>6</v>
      </c>
    </row>
    <row r="80" spans="1:7" customFormat="1" ht="24.75" customHeight="1" x14ac:dyDescent="0.35">
      <c r="A80" s="53">
        <v>10039</v>
      </c>
      <c r="B80" s="56" t="s">
        <v>45</v>
      </c>
      <c r="C80" s="10">
        <f>IFERROR(INDEX('حسابهای دریافتنی'!H:H,MATCH(Table214[[#This Row],[كد تفصيلي]],'حسابهای دریافتنی'!A:A,0)),0)</f>
        <v>0</v>
      </c>
      <c r="D80" s="11">
        <f>IFERROR(INDEX('درجریان وصول'!F:F,MATCH(Table214[[#This Row],[كد تفصيلي]],'درجریان وصول'!A:A,0)),0)</f>
        <v>0</v>
      </c>
      <c r="E80" s="11">
        <f>IFERROR(INDEX('چکهای دریافتنی'!F:F,MATCH(Table214[[#This Row],[كد تفصيلي]],'چکهای دریافتنی'!A:A,0)),0)</f>
        <v>0</v>
      </c>
      <c r="F80" s="11">
        <f>Table214[[#This Row],[حسابهای دریافتنی]]+Table214[[#This Row],[چکهای در جریان وصول]]+Table214[[#This Row],[چکهای نزد صندوق]]</f>
        <v>0</v>
      </c>
      <c r="G80" s="12">
        <f>IFERROR(INDEX('مانده سوفاله'!F:F,MATCH(Table214[[#This Row],[كد تفصيلي]],'مانده سوفاله'!A:A,0)),0)</f>
        <v>4</v>
      </c>
    </row>
    <row r="81" spans="1:7" customFormat="1" ht="24.75" customHeight="1" x14ac:dyDescent="0.35">
      <c r="A81" s="54">
        <v>10046</v>
      </c>
      <c r="B81" s="55" t="s">
        <v>51</v>
      </c>
      <c r="C81" s="10">
        <f>IFERROR(INDEX('حسابهای دریافتنی'!H:H,MATCH(Table214[[#This Row],[كد تفصيلي]],'حسابهای دریافتنی'!A:A,0)),0)</f>
        <v>0</v>
      </c>
      <c r="D81" s="11">
        <f>IFERROR(INDEX('درجریان وصول'!F:F,MATCH(Table214[[#This Row],[كد تفصيلي]],'درجریان وصول'!A:A,0)),0)</f>
        <v>0</v>
      </c>
      <c r="E81" s="11">
        <f>IFERROR(INDEX('چکهای دریافتنی'!F:F,MATCH(Table214[[#This Row],[كد تفصيلي]],'چکهای دریافتنی'!A:A,0)),0)</f>
        <v>0</v>
      </c>
      <c r="F81" s="11">
        <f>Table214[[#This Row],[حسابهای دریافتنی]]+Table214[[#This Row],[چکهای در جریان وصول]]+Table214[[#This Row],[چکهای نزد صندوق]]</f>
        <v>0</v>
      </c>
      <c r="G81" s="12">
        <f>IFERROR(INDEX('مانده سوفاله'!F:F,MATCH(Table214[[#This Row],[كد تفصيلي]],'مانده سوفاله'!A:A,0)),0)</f>
        <v>118</v>
      </c>
    </row>
    <row r="82" spans="1:7" customFormat="1" ht="24.75" customHeight="1" x14ac:dyDescent="0.35">
      <c r="A82" s="54">
        <v>10048</v>
      </c>
      <c r="B82" s="55" t="s">
        <v>191</v>
      </c>
      <c r="C82" s="10">
        <f>IFERROR(INDEX('حسابهای دریافتنی'!H:H,MATCH(Table214[[#This Row],[كد تفصيلي]],'حسابهای دریافتنی'!A:A,0)),0)</f>
        <v>0</v>
      </c>
      <c r="D82" s="11">
        <f>IFERROR(INDEX('درجریان وصول'!F:F,MATCH(Table214[[#This Row],[كد تفصيلي]],'درجریان وصول'!A:A,0)),0)</f>
        <v>0</v>
      </c>
      <c r="E82" s="11">
        <f>IFERROR(INDEX('چکهای دریافتنی'!F:F,MATCH(Table214[[#This Row],[كد تفصيلي]],'چکهای دریافتنی'!A:A,0)),0)</f>
        <v>0</v>
      </c>
      <c r="F82" s="11">
        <f>Table214[[#This Row],[حسابهای دریافتنی]]+Table214[[#This Row],[چکهای در جریان وصول]]+Table214[[#This Row],[چکهای نزد صندوق]]</f>
        <v>0</v>
      </c>
      <c r="G82" s="12">
        <f>IFERROR(INDEX('مانده سوفاله'!F:F,MATCH(Table214[[#This Row],[كد تفصيلي]],'مانده سوفاله'!A:A,0)),0)</f>
        <v>-1097</v>
      </c>
    </row>
    <row r="83" spans="1:7" customFormat="1" ht="24.75" customHeight="1" x14ac:dyDescent="0.35">
      <c r="A83" s="53">
        <v>10065</v>
      </c>
      <c r="B83" s="56" t="s">
        <v>228</v>
      </c>
      <c r="C83" s="10">
        <f>IFERROR(INDEX('حسابهای دریافتنی'!H:H,MATCH(Table214[[#This Row],[كد تفصيلي]],'حسابهای دریافتنی'!A:A,0)),0)</f>
        <v>0</v>
      </c>
      <c r="D83" s="11">
        <f>IFERROR(INDEX('درجریان وصول'!F:F,MATCH(Table214[[#This Row],[كد تفصيلي]],'درجریان وصول'!A:A,0)),0)</f>
        <v>0</v>
      </c>
      <c r="E83" s="11">
        <f>IFERROR(INDEX('چکهای دریافتنی'!F:F,MATCH(Table214[[#This Row],[كد تفصيلي]],'چکهای دریافتنی'!A:A,0)),0)</f>
        <v>0</v>
      </c>
      <c r="F83" s="11">
        <f>Table214[[#This Row],[حسابهای دریافتنی]]+Table214[[#This Row],[چکهای در جریان وصول]]+Table214[[#This Row],[چکهای نزد صندوق]]</f>
        <v>0</v>
      </c>
      <c r="G83" s="12">
        <f>IFERROR(INDEX('مانده سوفاله'!F:F,MATCH(Table214[[#This Row],[كد تفصيلي]],'مانده سوفاله'!A:A,0)),0)</f>
        <v>127</v>
      </c>
    </row>
    <row r="84" spans="1:7" customFormat="1" ht="24.75" customHeight="1" x14ac:dyDescent="0.35">
      <c r="A84" s="54">
        <v>10076</v>
      </c>
      <c r="B84" s="55" t="s">
        <v>182</v>
      </c>
      <c r="C84" s="10">
        <f>IFERROR(INDEX('حسابهای دریافتنی'!H:H,MATCH(Table214[[#This Row],[كد تفصيلي]],'حسابهای دریافتنی'!A:A,0)),0)</f>
        <v>0</v>
      </c>
      <c r="D84" s="11">
        <f>IFERROR(INDEX('درجریان وصول'!F:F,MATCH(Table214[[#This Row],[كد تفصيلي]],'درجریان وصول'!A:A,0)),0)</f>
        <v>0</v>
      </c>
      <c r="E84" s="11">
        <f>IFERROR(INDEX('چکهای دریافتنی'!F:F,MATCH(Table214[[#This Row],[كد تفصيلي]],'چکهای دریافتنی'!A:A,0)),0)</f>
        <v>0</v>
      </c>
      <c r="F84" s="11">
        <f>Table214[[#This Row],[حسابهای دریافتنی]]+Table214[[#This Row],[چکهای در جریان وصول]]+Table214[[#This Row],[چکهای نزد صندوق]]</f>
        <v>0</v>
      </c>
      <c r="G84" s="12">
        <f>IFERROR(INDEX('مانده سوفاله'!F:F,MATCH(Table214[[#This Row],[كد تفصيلي]],'مانده سوفاله'!A:A,0)),0)</f>
        <v>-13</v>
      </c>
    </row>
    <row r="85" spans="1:7" customFormat="1" ht="24.75" customHeight="1" x14ac:dyDescent="0.35">
      <c r="A85" s="53">
        <v>30013</v>
      </c>
      <c r="B85" s="56" t="s">
        <v>62</v>
      </c>
      <c r="C85" s="10">
        <f>IFERROR(INDEX('حسابهای دریافتنی'!H:H,MATCH(Table214[[#This Row],[كد تفصيلي]],'حسابهای دریافتنی'!A:A,0)),0)</f>
        <v>-2744620</v>
      </c>
      <c r="D85" s="11">
        <f>IFERROR(INDEX('درجریان وصول'!F:F,MATCH(Table214[[#This Row],[كد تفصيلي]],'درجریان وصول'!A:A,0)),0)</f>
        <v>0</v>
      </c>
      <c r="E85" s="11">
        <f>IFERROR(INDEX('چکهای دریافتنی'!F:F,MATCH(Table214[[#This Row],[كد تفصيلي]],'چکهای دریافتنی'!A:A,0)),0)</f>
        <v>0</v>
      </c>
      <c r="F85" s="11">
        <f>Table214[[#This Row],[حسابهای دریافتنی]]+Table214[[#This Row],[چکهای در جریان وصول]]+Table214[[#This Row],[چکهای نزد صندوق]]</f>
        <v>-2744620</v>
      </c>
      <c r="G85" s="12">
        <f>IFERROR(INDEX('مانده سوفاله'!F:F,MATCH(Table214[[#This Row],[كد تفصيلي]],'مانده سوفاله'!A:A,0)),0)</f>
        <v>0</v>
      </c>
    </row>
    <row r="86" spans="1:7" ht="24.75" customHeight="1" x14ac:dyDescent="0.35">
      <c r="A86" s="54">
        <v>30065</v>
      </c>
      <c r="B86" s="55" t="s">
        <v>110</v>
      </c>
      <c r="C86" s="10">
        <f>IFERROR(INDEX('حسابهای دریافتنی'!H:H,MATCH(Table214[[#This Row],[كد تفصيلي]],'حسابهای دریافتنی'!A:A,0)),0)</f>
        <v>0</v>
      </c>
      <c r="D86" s="11">
        <f>IFERROR(INDEX('درجریان وصول'!F:F,MATCH(Table214[[#This Row],[كد تفصيلي]],'درجریان وصول'!A:A,0)),0)</f>
        <v>0</v>
      </c>
      <c r="E86" s="11">
        <f>IFERROR(INDEX('چکهای دریافتنی'!F:F,MATCH(Table214[[#This Row],[كد تفصيلي]],'چکهای دریافتنی'!A:A,0)),0)</f>
        <v>0</v>
      </c>
      <c r="F86" s="11">
        <f>Table214[[#This Row],[حسابهای دریافتنی]]+Table214[[#This Row],[چکهای در جریان وصول]]+Table214[[#This Row],[چکهای نزد صندوق]]</f>
        <v>0</v>
      </c>
      <c r="G86" s="12">
        <f>IFERROR(INDEX('مانده سوفاله'!F:F,MATCH(Table214[[#This Row],[كد تفصيلي]],'مانده سوفاله'!A:A,0)),0)</f>
        <v>33</v>
      </c>
    </row>
    <row r="87" spans="1:7" ht="24.75" customHeight="1" x14ac:dyDescent="0.35">
      <c r="A87" s="27">
        <v>30071</v>
      </c>
      <c r="B87" s="55" t="s">
        <v>116</v>
      </c>
      <c r="C87" s="10">
        <f>IFERROR(INDEX('حسابهای دریافتنی'!H:H,MATCH(Table214[[#This Row],[كد تفصيلي]],'حسابهای دریافتنی'!A:A,0)),0)</f>
        <v>0</v>
      </c>
      <c r="D87" s="11">
        <f>IFERROR(INDEX('درجریان وصول'!F:F,MATCH(Table214[[#This Row],[كد تفصيلي]],'درجریان وصول'!A:A,0)),0)</f>
        <v>0</v>
      </c>
      <c r="E87" s="11">
        <f>IFERROR(INDEX('چکهای دریافتنی'!F:F,MATCH(Table214[[#This Row],[كد تفصيلي]],'چکهای دریافتنی'!A:A,0)),0)</f>
        <v>0</v>
      </c>
      <c r="F87" s="11">
        <f>Table214[[#This Row],[حسابهای دریافتنی]]+Table214[[#This Row],[چکهای در جریان وصول]]+Table214[[#This Row],[چکهای نزد صندوق]]</f>
        <v>0</v>
      </c>
      <c r="G87" s="12">
        <f>IFERROR(INDEX('مانده سوفاله'!F:F,MATCH(Table214[[#This Row],[كد تفصيلي]],'مانده سوفاله'!A:A,0)),0)</f>
        <v>3</v>
      </c>
    </row>
    <row r="88" spans="1:7" ht="24.75" customHeight="1" x14ac:dyDescent="0.35">
      <c r="A88" s="27">
        <v>30079</v>
      </c>
      <c r="B88" s="55" t="s">
        <v>124</v>
      </c>
      <c r="C88" s="10">
        <f>IFERROR(INDEX('حسابهای دریافتنی'!H:H,MATCH(Table214[[#This Row],[كد تفصيلي]],'حسابهای دریافتنی'!A:A,0)),0)</f>
        <v>0</v>
      </c>
      <c r="D88" s="11">
        <f>IFERROR(INDEX('درجریان وصول'!F:F,MATCH(Table214[[#This Row],[كد تفصيلي]],'درجریان وصول'!A:A,0)),0)</f>
        <v>0</v>
      </c>
      <c r="E88" s="11">
        <f>IFERROR(INDEX('چکهای دریافتنی'!F:F,MATCH(Table214[[#This Row],[كد تفصيلي]],'چکهای دریافتنی'!A:A,0)),0)</f>
        <v>0</v>
      </c>
      <c r="F88" s="11">
        <f>Table214[[#This Row],[حسابهای دریافتنی]]+Table214[[#This Row],[چکهای در جریان وصول]]+Table214[[#This Row],[چکهای نزد صندوق]]</f>
        <v>0</v>
      </c>
      <c r="G88" s="12">
        <f>IFERROR(INDEX('مانده سوفاله'!F:F,MATCH(Table214[[#This Row],[كد تفصيلي]],'مانده سوفاله'!A:A,0)),0)</f>
        <v>-85</v>
      </c>
    </row>
    <row r="89" spans="1:7" ht="24.75" customHeight="1" x14ac:dyDescent="0.35">
      <c r="A89" s="27">
        <v>30097</v>
      </c>
      <c r="B89" s="55" t="s">
        <v>188</v>
      </c>
      <c r="C89" s="10">
        <f>IFERROR(INDEX('حسابهای دریافتنی'!H:H,MATCH(Table214[[#This Row],[كد تفصيلي]],'حسابهای دریافتنی'!A:A,0)),0)</f>
        <v>0</v>
      </c>
      <c r="D89" s="11">
        <f>IFERROR(INDEX('درجریان وصول'!F:F,MATCH(Table214[[#This Row],[كد تفصيلي]],'درجریان وصول'!A:A,0)),0)</f>
        <v>0</v>
      </c>
      <c r="E89" s="11">
        <f>IFERROR(INDEX('چکهای دریافتنی'!F:F,MATCH(Table214[[#This Row],[كد تفصيلي]],'چکهای دریافتنی'!A:A,0)),0)</f>
        <v>0</v>
      </c>
      <c r="F89" s="11">
        <f>Table214[[#This Row],[حسابهای دریافتنی]]+Table214[[#This Row],[چکهای در جریان وصول]]+Table214[[#This Row],[چکهای نزد صندوق]]</f>
        <v>0</v>
      </c>
      <c r="G89" s="12">
        <f>IFERROR(INDEX('مانده سوفاله'!F:F,MATCH(Table214[[#This Row],[كد تفصيلي]],'مانده سوفاله'!A:A,0)),0)</f>
        <v>-82</v>
      </c>
    </row>
    <row r="90" spans="1:7" ht="24.75" customHeight="1" x14ac:dyDescent="0.35">
      <c r="A90" s="26">
        <v>30118</v>
      </c>
      <c r="B90" s="56" t="s">
        <v>205</v>
      </c>
      <c r="C90" s="10">
        <f>IFERROR(INDEX('حسابهای دریافتنی'!H:H,MATCH(Table214[[#This Row],[كد تفصيلي]],'حسابهای دریافتنی'!A:A,0)),0)</f>
        <v>0</v>
      </c>
      <c r="D90" s="11">
        <f>IFERROR(INDEX('درجریان وصول'!F:F,MATCH(Table214[[#This Row],[كد تفصيلي]],'درجریان وصول'!A:A,0)),0)</f>
        <v>0</v>
      </c>
      <c r="E90" s="11">
        <f>IFERROR(INDEX('چکهای دریافتنی'!F:F,MATCH(Table214[[#This Row],[كد تفصيلي]],'چکهای دریافتنی'!A:A,0)),0)</f>
        <v>0</v>
      </c>
      <c r="F90" s="11">
        <f>Table214[[#This Row],[حسابهای دریافتنی]]+Table214[[#This Row],[چکهای در جریان وصول]]+Table214[[#This Row],[چکهای نزد صندوق]]</f>
        <v>0</v>
      </c>
      <c r="G90" s="12">
        <f>IFERROR(INDEX('مانده سوفاله'!F:F,MATCH(Table214[[#This Row],[كد تفصيلي]],'مانده سوفاله'!A:A,0)),0)</f>
        <v>-20</v>
      </c>
    </row>
    <row r="91" spans="1:7" ht="24.75" customHeight="1" x14ac:dyDescent="0.35">
      <c r="A91" s="27">
        <v>30137</v>
      </c>
      <c r="B91" s="55" t="s">
        <v>218</v>
      </c>
      <c r="C91" s="10">
        <f>IFERROR(INDEX('حسابهای دریافتنی'!H:H,MATCH(Table214[[#This Row],[كد تفصيلي]],'حسابهای دریافتنی'!A:A,0)),0)</f>
        <v>0</v>
      </c>
      <c r="D91" s="11">
        <f>IFERROR(INDEX('درجریان وصول'!F:F,MATCH(Table214[[#This Row],[كد تفصيلي]],'درجریان وصول'!A:A,0)),0)</f>
        <v>0</v>
      </c>
      <c r="E91" s="11">
        <f>IFERROR(INDEX('چکهای دریافتنی'!F:F,MATCH(Table214[[#This Row],[كد تفصيلي]],'چکهای دریافتنی'!A:A,0)),0)</f>
        <v>213182200</v>
      </c>
      <c r="F91" s="11">
        <f>Table214[[#This Row],[حسابهای دریافتنی]]+Table214[[#This Row],[چکهای در جریان وصول]]+Table214[[#This Row],[چکهای نزد صندوق]]</f>
        <v>213182200</v>
      </c>
      <c r="G91" s="12">
        <f>IFERROR(INDEX('مانده سوفاله'!F:F,MATCH(Table214[[#This Row],[كد تفصيلي]],'مانده سوفاله'!A:A,0)),0)</f>
        <v>0</v>
      </c>
    </row>
    <row r="92" spans="1:7" ht="24.75" customHeight="1" x14ac:dyDescent="0.35">
      <c r="A92" s="27">
        <v>30141</v>
      </c>
      <c r="B92" s="55" t="s">
        <v>261</v>
      </c>
      <c r="C92" s="10">
        <f>IFERROR(INDEX('حسابهای دریافتنی'!H:H,MATCH(Table214[[#This Row],[كد تفصيلي]],'حسابهای دریافتنی'!A:A,0)),0)</f>
        <v>0</v>
      </c>
      <c r="D92" s="11">
        <f>IFERROR(INDEX('درجریان وصول'!F:F,MATCH(Table214[[#This Row],[كد تفصيلي]],'درجریان وصول'!A:A,0)),0)</f>
        <v>0</v>
      </c>
      <c r="E92" s="11">
        <f>IFERROR(INDEX('چکهای دریافتنی'!F:F,MATCH(Table214[[#This Row],[كد تفصيلي]],'چکهای دریافتنی'!A:A,0)),0)</f>
        <v>0</v>
      </c>
      <c r="F92" s="11">
        <f>Table214[[#This Row],[حسابهای دریافتنی]]+Table214[[#This Row],[چکهای در جریان وصول]]+Table214[[#This Row],[چکهای نزد صندوق]]</f>
        <v>0</v>
      </c>
      <c r="G92" s="12">
        <f>IFERROR(INDEX('مانده سوفاله'!F:F,MATCH(Table214[[#This Row],[كد تفصيلي]],'مانده سوفاله'!A:A,0)),0)</f>
        <v>-42</v>
      </c>
    </row>
    <row r="93" spans="1:7" ht="24.75" customHeight="1" x14ac:dyDescent="0.35">
      <c r="A93" s="26">
        <v>30142</v>
      </c>
      <c r="B93" s="56" t="s">
        <v>263</v>
      </c>
      <c r="C93" s="10">
        <f>IFERROR(INDEX('حسابهای دریافتنی'!H:H,MATCH(Table214[[#This Row],[كد تفصيلي]],'حسابهای دریافتنی'!A:A,0)),0)</f>
        <v>0</v>
      </c>
      <c r="D93" s="11">
        <f>IFERROR(INDEX('درجریان وصول'!F:F,MATCH(Table214[[#This Row],[كد تفصيلي]],'درجریان وصول'!A:A,0)),0)</f>
        <v>0</v>
      </c>
      <c r="E93" s="11">
        <f>IFERROR(INDEX('چکهای دریافتنی'!F:F,MATCH(Table214[[#This Row],[كد تفصيلي]],'چکهای دریافتنی'!A:A,0)),0)</f>
        <v>0</v>
      </c>
      <c r="F93" s="11">
        <f>Table214[[#This Row],[حسابهای دریافتنی]]+Table214[[#This Row],[چکهای در جریان وصول]]+Table214[[#This Row],[چکهای نزد صندوق]]</f>
        <v>0</v>
      </c>
      <c r="G93" s="12">
        <f>IFERROR(INDEX('مانده سوفاله'!F:F,MATCH(Table214[[#This Row],[كد تفصيلي]],'مانده سوفاله'!A:A,0)),0)</f>
        <v>13</v>
      </c>
    </row>
    <row r="94" spans="1:7" ht="24.75" customHeight="1" x14ac:dyDescent="0.35">
      <c r="A94" s="27">
        <v>79010</v>
      </c>
      <c r="B94" s="55" t="s">
        <v>176</v>
      </c>
      <c r="C94" s="10">
        <f>IFERROR(INDEX('حسابهای دریافتنی'!H:H,MATCH(Table214[[#This Row],[كد تفصيلي]],'حسابهای دریافتنی'!A:A,0)),0)</f>
        <v>0</v>
      </c>
      <c r="D94" s="11">
        <f>IFERROR(INDEX('درجریان وصول'!F:F,MATCH(Table214[[#This Row],[كد تفصيلي]],'درجریان وصول'!A:A,0)),0)</f>
        <v>0</v>
      </c>
      <c r="E94" s="11">
        <f>IFERROR(INDEX('چکهای دریافتنی'!F:F,MATCH(Table214[[#This Row],[كد تفصيلي]],'چکهای دریافتنی'!A:A,0)),0)</f>
        <v>0</v>
      </c>
      <c r="F94" s="11">
        <f>Table214[[#This Row],[حسابهای دریافتنی]]+Table214[[#This Row],[چکهای در جریان وصول]]+Table214[[#This Row],[چکهای نزد صندوق]]</f>
        <v>0</v>
      </c>
      <c r="G94" s="12">
        <f>IFERROR(INDEX('مانده سوفاله'!F:F,MATCH(Table214[[#This Row],[كد تفصيلي]],'مانده سوفاله'!A:A,0)),0)</f>
        <v>-110</v>
      </c>
    </row>
    <row r="95" spans="1:7" ht="24.75" customHeight="1" x14ac:dyDescent="0.35">
      <c r="A95" s="27">
        <v>30026</v>
      </c>
      <c r="B95" s="55" t="s">
        <v>74</v>
      </c>
      <c r="C95" s="10">
        <f>IFERROR(INDEX('حسابهای دریافتنی'!H:H,MATCH(Table214[[#This Row],[كد تفصيلي]],'حسابهای دریافتنی'!A:A,0)),0)</f>
        <v>5689439</v>
      </c>
      <c r="D95" s="11">
        <f>IFERROR(INDEX('درجریان وصول'!F:F,MATCH(Table214[[#This Row],[كد تفصيلي]],'درجریان وصول'!A:A,0)),0)</f>
        <v>0</v>
      </c>
      <c r="E95" s="11">
        <f>IFERROR(INDEX('چکهای دریافتنی'!F:F,MATCH(Table214[[#This Row],[كد تفصيلي]],'چکهای دریافتنی'!A:A,0)),0)</f>
        <v>0</v>
      </c>
      <c r="F95" s="11">
        <f>Table214[[#This Row],[حسابهای دریافتنی]]+Table214[[#This Row],[چکهای در جریان وصول]]+Table214[[#This Row],[چکهای نزد صندوق]]</f>
        <v>5689439</v>
      </c>
      <c r="G95" s="12">
        <f>IFERROR(INDEX('مانده سوفاله'!F:F,MATCH(Table214[[#This Row],[كد تفصيلي]],'مانده سوفاله'!A:A,0)),0)</f>
        <v>764</v>
      </c>
    </row>
    <row r="96" spans="1:7" ht="24.75" customHeight="1" x14ac:dyDescent="0.35">
      <c r="A96" s="26">
        <v>30164</v>
      </c>
      <c r="B96" s="56" t="s">
        <v>304</v>
      </c>
      <c r="C96" s="10">
        <f>IFERROR(INDEX('حسابهای دریافتنی'!H:H,MATCH(Table214[[#This Row],[كد تفصيلي]],'حسابهای دریافتنی'!A:A,0)),0)</f>
        <v>184944000</v>
      </c>
      <c r="D96" s="11">
        <f>IFERROR(INDEX('درجریان وصول'!F:F,MATCH(Table214[[#This Row],[كد تفصيلي]],'درجریان وصول'!A:A,0)),0)</f>
        <v>0</v>
      </c>
      <c r="E96" s="11">
        <f>IFERROR(INDEX('چکهای دریافتنی'!F:F,MATCH(Table214[[#This Row],[كد تفصيلي]],'چکهای دریافتنی'!A:A,0)),0)</f>
        <v>0</v>
      </c>
      <c r="F96" s="11">
        <f>Table214[[#This Row],[حسابهای دریافتنی]]+Table214[[#This Row],[چکهای در جریان وصول]]+Table214[[#This Row],[چکهای نزد صندوق]]</f>
        <v>184944000</v>
      </c>
      <c r="G96" s="12">
        <f>IFERROR(INDEX('مانده سوفاله'!F:F,MATCH(Table214[[#This Row],[كد تفصيلي]],'مانده سوفاله'!A:A,0)),0)</f>
        <v>561</v>
      </c>
    </row>
    <row r="97" spans="1:7" ht="24.75" customHeight="1" x14ac:dyDescent="0.35">
      <c r="A97" s="27">
        <v>10109</v>
      </c>
      <c r="B97" s="55" t="s">
        <v>303</v>
      </c>
      <c r="C97" s="10">
        <f>IFERROR(INDEX('حسابهای دریافتنی'!H:H,MATCH(Table214[[#This Row],[كد تفصيلي]],'حسابهای دریافتنی'!A:A,0)),0)</f>
        <v>-1124737000</v>
      </c>
      <c r="D97" s="11">
        <f>IFERROR(INDEX('درجریان وصول'!F:F,MATCH(Table214[[#This Row],[كد تفصيلي]],'درجریان وصول'!A:A,0)),0)</f>
        <v>0</v>
      </c>
      <c r="E97" s="11">
        <f>IFERROR(INDEX('چکهای دریافتنی'!F:F,MATCH(Table214[[#This Row],[كد تفصيلي]],'چکهای دریافتنی'!A:A,0)),0)</f>
        <v>0</v>
      </c>
      <c r="F97" s="11">
        <f>Table214[[#This Row],[حسابهای دریافتنی]]+Table214[[#This Row],[چکهای در جریان وصول]]+Table214[[#This Row],[چکهای نزد صندوق]]</f>
        <v>-1124737000</v>
      </c>
      <c r="G97" s="12">
        <f>IFERROR(INDEX('مانده سوفاله'!F:F,MATCH(Table214[[#This Row],[كد تفصيلي]],'مانده سوفاله'!A:A,0)),0)</f>
        <v>-241</v>
      </c>
    </row>
    <row r="98" spans="1:7" ht="24.75" customHeight="1" x14ac:dyDescent="0.35">
      <c r="A98" s="26">
        <v>30021</v>
      </c>
      <c r="B98" s="56" t="s">
        <v>69</v>
      </c>
      <c r="C98" s="10">
        <f>IFERROR(INDEX('حسابهای دریافتنی'!H:H,MATCH(Table214[[#This Row],[كد تفصيلي]],'حسابهای دریافتنی'!A:A,0)),0)</f>
        <v>-122000</v>
      </c>
      <c r="D98" s="11">
        <f>IFERROR(INDEX('درجریان وصول'!F:F,MATCH(Table214[[#This Row],[كد تفصيلي]],'درجریان وصول'!A:A,0)),0)</f>
        <v>0</v>
      </c>
      <c r="E98" s="11">
        <f>IFERROR(INDEX('چکهای دریافتنی'!F:F,MATCH(Table214[[#This Row],[كد تفصيلي]],'چکهای دریافتنی'!A:A,0)),0)</f>
        <v>0</v>
      </c>
      <c r="F98" s="11">
        <f>Table214[[#This Row],[حسابهای دریافتنی]]+Table214[[#This Row],[چکهای در جریان وصول]]+Table214[[#This Row],[چکهای نزد صندوق]]</f>
        <v>-122000</v>
      </c>
      <c r="G98" s="12">
        <f>IFERROR(INDEX('مانده سوفاله'!F:F,MATCH(Table214[[#This Row],[كد تفصيلي]],'مانده سوفاله'!A:A,0)),0)</f>
        <v>0</v>
      </c>
    </row>
    <row r="99" spans="1:7" ht="24.75" customHeight="1" x14ac:dyDescent="0.35">
      <c r="A99" s="27">
        <v>10066</v>
      </c>
      <c r="B99" s="55" t="s">
        <v>262</v>
      </c>
      <c r="C99" s="10">
        <f>IFERROR(INDEX('حسابهای دریافتنی'!H:H,MATCH(Table214[[#This Row],[كد تفصيلي]],'حسابهای دریافتنی'!A:A,0)),0)</f>
        <v>-191500</v>
      </c>
      <c r="D99" s="11">
        <f>IFERROR(INDEX('درجریان وصول'!F:F,MATCH(Table214[[#This Row],[كد تفصيلي]],'درجریان وصول'!A:A,0)),0)</f>
        <v>0</v>
      </c>
      <c r="E99" s="11">
        <f>IFERROR(INDEX('چکهای دریافتنی'!F:F,MATCH(Table214[[#This Row],[كد تفصيلي]],'چکهای دریافتنی'!A:A,0)),0)</f>
        <v>0</v>
      </c>
      <c r="F99" s="11">
        <f>Table214[[#This Row],[حسابهای دریافتنی]]+Table214[[#This Row],[چکهای در جریان وصول]]+Table214[[#This Row],[چکهای نزد صندوق]]</f>
        <v>-191500</v>
      </c>
      <c r="G99" s="12">
        <f>IFERROR(INDEX('مانده سوفاله'!F:F,MATCH(Table214[[#This Row],[كد تفصيلي]],'مانده سوفاله'!A:A,0)),0)</f>
        <v>2</v>
      </c>
    </row>
    <row r="100" spans="1:7" ht="24.75" customHeight="1" x14ac:dyDescent="0.35">
      <c r="A100" s="27">
        <v>30167</v>
      </c>
      <c r="B100" s="55" t="s">
        <v>311</v>
      </c>
      <c r="C100" s="10">
        <f>IFERROR(INDEX('حسابهای دریافتنی'!H:H,MATCH(Table214[[#This Row],[كد تفصيلي]],'حسابهای دریافتنی'!A:A,0)),0)</f>
        <v>-221000</v>
      </c>
      <c r="D100" s="11">
        <f>IFERROR(INDEX('درجریان وصول'!F:F,MATCH(Table214[[#This Row],[كد تفصيلي]],'درجریان وصول'!A:A,0)),0)</f>
        <v>0</v>
      </c>
      <c r="E100" s="11">
        <f>IFERROR(INDEX('چکهای دریافتنی'!F:F,MATCH(Table214[[#This Row],[كد تفصيلي]],'چکهای دریافتنی'!A:A,0)),0)</f>
        <v>0</v>
      </c>
      <c r="F100" s="11">
        <f>Table214[[#This Row],[حسابهای دریافتنی]]+Table214[[#This Row],[چکهای در جریان وصول]]+Table214[[#This Row],[چکهای نزد صندوق]]</f>
        <v>-221000</v>
      </c>
      <c r="G100" s="12">
        <f>IFERROR(INDEX('مانده سوفاله'!F:F,MATCH(Table214[[#This Row],[كد تفصيلي]],'مانده سوفاله'!A:A,0)),0)</f>
        <v>6</v>
      </c>
    </row>
    <row r="101" spans="1:7" ht="24.75" customHeight="1" x14ac:dyDescent="0.35">
      <c r="A101" s="26">
        <v>10077</v>
      </c>
      <c r="B101" s="56" t="s">
        <v>210</v>
      </c>
      <c r="C101" s="10">
        <f>IFERROR(INDEX('حسابهای دریافتنی'!H:H,MATCH(Table214[[#This Row],[كد تفصيلي]],'حسابهای دریافتنی'!A:A,0)),0)</f>
        <v>-238500</v>
      </c>
      <c r="D101" s="11">
        <f>IFERROR(INDEX('درجریان وصول'!F:F,MATCH(Table214[[#This Row],[كد تفصيلي]],'درجریان وصول'!A:A,0)),0)</f>
        <v>0</v>
      </c>
      <c r="E101" s="11">
        <f>IFERROR(INDEX('چکهای دریافتنی'!F:F,MATCH(Table214[[#This Row],[كد تفصيلي]],'چکهای دریافتنی'!A:A,0)),0)</f>
        <v>0</v>
      </c>
      <c r="F101" s="11">
        <f>Table214[[#This Row],[حسابهای دریافتنی]]+Table214[[#This Row],[چکهای در جریان وصول]]+Table214[[#This Row],[چکهای نزد صندوق]]</f>
        <v>-238500</v>
      </c>
      <c r="G101" s="12">
        <f>IFERROR(INDEX('مانده سوفاله'!F:F,MATCH(Table214[[#This Row],[كد تفصيلي]],'مانده سوفاله'!A:A,0)),0)</f>
        <v>0</v>
      </c>
    </row>
    <row r="102" spans="1:7" ht="24.75" customHeight="1" x14ac:dyDescent="0.35">
      <c r="A102" s="27">
        <v>10012</v>
      </c>
      <c r="B102" s="55" t="s">
        <v>19</v>
      </c>
      <c r="C102" s="10">
        <f>IFERROR(INDEX('حسابهای دریافتنی'!H:H,MATCH(Table214[[#This Row],[كد تفصيلي]],'حسابهای دریافتنی'!A:A,0)),0)</f>
        <v>-244000</v>
      </c>
      <c r="D102" s="11">
        <f>IFERROR(INDEX('درجریان وصول'!F:F,MATCH(Table214[[#This Row],[كد تفصيلي]],'درجریان وصول'!A:A,0)),0)</f>
        <v>0</v>
      </c>
      <c r="E102" s="11">
        <f>IFERROR(INDEX('چکهای دریافتنی'!F:F,MATCH(Table214[[#This Row],[كد تفصيلي]],'چکهای دریافتنی'!A:A,0)),0)</f>
        <v>0</v>
      </c>
      <c r="F102" s="11">
        <f>Table214[[#This Row],[حسابهای دریافتنی]]+Table214[[#This Row],[چکهای در جریان وصول]]+Table214[[#This Row],[چکهای نزد صندوق]]</f>
        <v>-244000</v>
      </c>
      <c r="G102" s="12">
        <f>IFERROR(INDEX('مانده سوفاله'!F:F,MATCH(Table214[[#This Row],[كد تفصيلي]],'مانده سوفاله'!A:A,0)),0)</f>
        <v>0</v>
      </c>
    </row>
    <row r="103" spans="1:7" ht="24.75" customHeight="1" x14ac:dyDescent="0.35">
      <c r="A103" s="26">
        <v>30088</v>
      </c>
      <c r="B103" s="56" t="s">
        <v>142</v>
      </c>
      <c r="C103" s="10">
        <f>IFERROR(INDEX('حسابهای دریافتنی'!H:H,MATCH(Table214[[#This Row],[كد تفصيلي]],'حسابهای دریافتنی'!A:A,0)),0)</f>
        <v>-252000</v>
      </c>
      <c r="D103" s="11">
        <f>IFERROR(INDEX('درجریان وصول'!F:F,MATCH(Table214[[#This Row],[كد تفصيلي]],'درجریان وصول'!A:A,0)),0)</f>
        <v>0</v>
      </c>
      <c r="E103" s="11">
        <f>IFERROR(INDEX('چکهای دریافتنی'!F:F,MATCH(Table214[[#This Row],[كد تفصيلي]],'چکهای دریافتنی'!A:A,0)),0)</f>
        <v>0</v>
      </c>
      <c r="F103" s="11">
        <f>Table214[[#This Row],[حسابهای دریافتنی]]+Table214[[#This Row],[چکهای در جریان وصول]]+Table214[[#This Row],[چکهای نزد صندوق]]</f>
        <v>-252000</v>
      </c>
      <c r="G103" s="12">
        <f>IFERROR(INDEX('مانده سوفاله'!F:F,MATCH(Table214[[#This Row],[كد تفصيلي]],'مانده سوفاله'!A:A,0)),0)</f>
        <v>0</v>
      </c>
    </row>
    <row r="104" spans="1:7" ht="24.75" customHeight="1" x14ac:dyDescent="0.35">
      <c r="A104" s="26">
        <v>10128</v>
      </c>
      <c r="B104" s="56" t="s">
        <v>372</v>
      </c>
      <c r="C104" s="10">
        <f>IFERROR(INDEX('حسابهای دریافتنی'!H:H,MATCH(Table214[[#This Row],[كد تفصيلي]],'حسابهای دریافتنی'!A:A,0)),0)</f>
        <v>-45000</v>
      </c>
      <c r="D104" s="11">
        <f>IFERROR(INDEX('درجریان وصول'!F:F,MATCH(Table214[[#This Row],[كد تفصيلي]],'درجریان وصول'!A:A,0)),0)</f>
        <v>0</v>
      </c>
      <c r="E104" s="11">
        <f>IFERROR(INDEX('چکهای دریافتنی'!F:F,MATCH(Table214[[#This Row],[كد تفصيلي]],'چکهای دریافتنی'!A:A,0)),0)</f>
        <v>0</v>
      </c>
      <c r="F104" s="11">
        <f>Table214[[#This Row],[حسابهای دریافتنی]]+Table214[[#This Row],[چکهای در جریان وصول]]+Table214[[#This Row],[چکهای نزد صندوق]]</f>
        <v>-45000</v>
      </c>
      <c r="G104" s="12">
        <f>IFERROR(INDEX('مانده سوفاله'!F:F,MATCH(Table214[[#This Row],[كد تفصيلي]],'مانده سوفاله'!A:A,0)),0)</f>
        <v>6</v>
      </c>
    </row>
    <row r="105" spans="1:7" ht="24.75" customHeight="1" x14ac:dyDescent="0.35">
      <c r="A105" s="26">
        <v>10045</v>
      </c>
      <c r="B105" s="56" t="s">
        <v>50</v>
      </c>
      <c r="C105" s="10">
        <f>IFERROR(INDEX('حسابهای دریافتنی'!H:H,MATCH(Table214[[#This Row],[كد تفصيلي]],'حسابهای دریافتنی'!A:A,0)),0)</f>
        <v>-383000</v>
      </c>
      <c r="D105" s="11">
        <f>IFERROR(INDEX('درجریان وصول'!F:F,MATCH(Table214[[#This Row],[كد تفصيلي]],'درجریان وصول'!A:A,0)),0)</f>
        <v>0</v>
      </c>
      <c r="E105" s="11">
        <f>IFERROR(INDEX('چکهای دریافتنی'!F:F,MATCH(Table214[[#This Row],[كد تفصيلي]],'چکهای دریافتنی'!A:A,0)),0)</f>
        <v>0</v>
      </c>
      <c r="F105" s="11">
        <f>Table214[[#This Row],[حسابهای دریافتنی]]+Table214[[#This Row],[چکهای در جریان وصول]]+Table214[[#This Row],[چکهای نزد صندوق]]</f>
        <v>-383000</v>
      </c>
      <c r="G105" s="12">
        <f>IFERROR(INDEX('مانده سوفاله'!F:F,MATCH(Table214[[#This Row],[كد تفصيلي]],'مانده سوفاله'!A:A,0)),0)</f>
        <v>-30</v>
      </c>
    </row>
    <row r="106" spans="1:7" ht="24.75" customHeight="1" x14ac:dyDescent="0.35">
      <c r="A106" s="26">
        <v>30051</v>
      </c>
      <c r="B106" s="56" t="s">
        <v>98</v>
      </c>
      <c r="C106" s="10">
        <f>IFERROR(INDEX('حسابهای دریافتنی'!H:H,MATCH(Table214[[#This Row],[كد تفصيلي]],'حسابهای دریافتنی'!A:A,0)),0)</f>
        <v>-384000</v>
      </c>
      <c r="D106" s="11">
        <f>IFERROR(INDEX('درجریان وصول'!F:F,MATCH(Table214[[#This Row],[كد تفصيلي]],'درجریان وصول'!A:A,0)),0)</f>
        <v>0</v>
      </c>
      <c r="E106" s="11">
        <f>IFERROR(INDEX('چکهای دریافتنی'!F:F,MATCH(Table214[[#This Row],[كد تفصيلي]],'چکهای دریافتنی'!A:A,0)),0)</f>
        <v>0</v>
      </c>
      <c r="F106" s="11">
        <f>Table214[[#This Row],[حسابهای دریافتنی]]+Table214[[#This Row],[چکهای در جریان وصول]]+Table214[[#This Row],[چکهای نزد صندوق]]</f>
        <v>-384000</v>
      </c>
      <c r="G106" s="12">
        <f>IFERROR(INDEX('مانده سوفاله'!F:F,MATCH(Table214[[#This Row],[كد تفصيلي]],'مانده سوفاله'!A:A,0)),0)</f>
        <v>0</v>
      </c>
    </row>
    <row r="107" spans="1:7" ht="24.75" customHeight="1" x14ac:dyDescent="0.35">
      <c r="A107" s="27">
        <v>30044</v>
      </c>
      <c r="B107" s="55" t="s">
        <v>91</v>
      </c>
      <c r="C107" s="10">
        <f>IFERROR(INDEX('حسابهای دریافتنی'!H:H,MATCH(Table214[[#This Row],[كد تفصيلي]],'حسابهای دریافتنی'!A:A,0)),0)</f>
        <v>-492500</v>
      </c>
      <c r="D107" s="11">
        <f>IFERROR(INDEX('درجریان وصول'!F:F,MATCH(Table214[[#This Row],[كد تفصيلي]],'درجریان وصول'!A:A,0)),0)</f>
        <v>0</v>
      </c>
      <c r="E107" s="11">
        <f>IFERROR(INDEX('چکهای دریافتنی'!F:F,MATCH(Table214[[#This Row],[كد تفصيلي]],'چکهای دریافتنی'!A:A,0)),0)</f>
        <v>0</v>
      </c>
      <c r="F107" s="11">
        <f>Table214[[#This Row],[حسابهای دریافتنی]]+Table214[[#This Row],[چکهای در جریان وصول]]+Table214[[#This Row],[چکهای نزد صندوق]]</f>
        <v>-492500</v>
      </c>
      <c r="G107" s="12">
        <f>IFERROR(INDEX('مانده سوفاله'!F:F,MATCH(Table214[[#This Row],[كد تفصيلي]],'مانده سوفاله'!A:A,0)),0)</f>
        <v>2</v>
      </c>
    </row>
    <row r="108" spans="1:7" ht="24.75" customHeight="1" x14ac:dyDescent="0.35">
      <c r="A108" s="26">
        <v>10095</v>
      </c>
      <c r="B108" s="56" t="s">
        <v>268</v>
      </c>
      <c r="C108" s="10">
        <f>IFERROR(INDEX('حسابهای دریافتنی'!H:H,MATCH(Table214[[#This Row],[كد تفصيلي]],'حسابهای دریافتنی'!A:A,0)),0)</f>
        <v>-496500</v>
      </c>
      <c r="D108" s="11">
        <f>IFERROR(INDEX('درجریان وصول'!F:F,MATCH(Table214[[#This Row],[كد تفصيلي]],'درجریان وصول'!A:A,0)),0)</f>
        <v>0</v>
      </c>
      <c r="E108" s="11">
        <f>IFERROR(INDEX('چکهای دریافتنی'!F:F,MATCH(Table214[[#This Row],[كد تفصيلي]],'چکهای دریافتنی'!A:A,0)),0)</f>
        <v>0</v>
      </c>
      <c r="F108" s="11">
        <f>Table214[[#This Row],[حسابهای دریافتنی]]+Table214[[#This Row],[چکهای در جریان وصول]]+Table214[[#This Row],[چکهای نزد صندوق]]</f>
        <v>-496500</v>
      </c>
      <c r="G108" s="12">
        <f>IFERROR(INDEX('مانده سوفاله'!F:F,MATCH(Table214[[#This Row],[كد تفصيلي]],'مانده سوفاله'!A:A,0)),0)</f>
        <v>0</v>
      </c>
    </row>
    <row r="109" spans="1:7" ht="24.75" customHeight="1" x14ac:dyDescent="0.35">
      <c r="A109" s="26">
        <v>10126</v>
      </c>
      <c r="B109" s="56" t="s">
        <v>370</v>
      </c>
      <c r="C109" s="10">
        <f>IFERROR(INDEX('حسابهای دریافتنی'!H:H,MATCH(Table214[[#This Row],[كد تفصيلي]],'حسابهای دریافتنی'!A:A,0)),0)</f>
        <v>12165000</v>
      </c>
      <c r="D109" s="11">
        <f>IFERROR(INDEX('درجریان وصول'!F:F,MATCH(Table214[[#This Row],[كد تفصيلي]],'درجریان وصول'!A:A,0)),0)</f>
        <v>0</v>
      </c>
      <c r="E109" s="11">
        <f>IFERROR(INDEX('چکهای دریافتنی'!F:F,MATCH(Table214[[#This Row],[كد تفصيلي]],'چکهای دریافتنی'!A:A,0)),0)</f>
        <v>0</v>
      </c>
      <c r="F109" s="11">
        <f>Table214[[#This Row],[حسابهای دریافتنی]]+Table214[[#This Row],[چکهای در جریان وصول]]+Table214[[#This Row],[چکهای نزد صندوق]]</f>
        <v>12165000</v>
      </c>
      <c r="G109" s="12">
        <f>IFERROR(INDEX('مانده سوفاله'!F:F,MATCH(Table214[[#This Row],[كد تفصيلي]],'مانده سوفاله'!A:A,0)),0)</f>
        <v>0</v>
      </c>
    </row>
    <row r="110" spans="1:7" ht="24.75" customHeight="1" x14ac:dyDescent="0.35">
      <c r="A110" s="27">
        <v>30052</v>
      </c>
      <c r="B110" s="55" t="s">
        <v>149</v>
      </c>
      <c r="C110" s="10">
        <f>IFERROR(INDEX('حسابهای دریافتنی'!H:H,MATCH(Table214[[#This Row],[كد تفصيلي]],'حسابهای دریافتنی'!A:A,0)),0)</f>
        <v>-539000</v>
      </c>
      <c r="D110" s="11">
        <f>IFERROR(INDEX('درجریان وصول'!F:F,MATCH(Table214[[#This Row],[كد تفصيلي]],'درجریان وصول'!A:A,0)),0)</f>
        <v>0</v>
      </c>
      <c r="E110" s="11">
        <f>IFERROR(INDEX('چکهای دریافتنی'!F:F,MATCH(Table214[[#This Row],[كد تفصيلي]],'چکهای دریافتنی'!A:A,0)),0)</f>
        <v>0</v>
      </c>
      <c r="F110" s="11">
        <f>Table214[[#This Row],[حسابهای دریافتنی]]+Table214[[#This Row],[چکهای در جریان وصول]]+Table214[[#This Row],[چکهای نزد صندوق]]</f>
        <v>-539000</v>
      </c>
      <c r="G110" s="12">
        <f>IFERROR(INDEX('مانده سوفاله'!F:F,MATCH(Table214[[#This Row],[كد تفصيلي]],'مانده سوفاله'!A:A,0)),0)</f>
        <v>0</v>
      </c>
    </row>
    <row r="111" spans="1:7" ht="24.75" customHeight="1" x14ac:dyDescent="0.35">
      <c r="A111" s="26">
        <v>10061</v>
      </c>
      <c r="B111" s="56" t="s">
        <v>194</v>
      </c>
      <c r="C111" s="10">
        <f>IFERROR(INDEX('حسابهای دریافتنی'!H:H,MATCH(Table214[[#This Row],[كد تفصيلي]],'حسابهای دریافتنی'!A:A,0)),0)</f>
        <v>-565500</v>
      </c>
      <c r="D111" s="11">
        <f>IFERROR(INDEX('درجریان وصول'!F:F,MATCH(Table214[[#This Row],[كد تفصيلي]],'درجریان وصول'!A:A,0)),0)</f>
        <v>0</v>
      </c>
      <c r="E111" s="11">
        <f>IFERROR(INDEX('چکهای دریافتنی'!F:F,MATCH(Table214[[#This Row],[كد تفصيلي]],'چکهای دریافتنی'!A:A,0)),0)</f>
        <v>0</v>
      </c>
      <c r="F111" s="11">
        <f>Table214[[#This Row],[حسابهای دریافتنی]]+Table214[[#This Row],[چکهای در جریان وصول]]+Table214[[#This Row],[چکهای نزد صندوق]]</f>
        <v>-565500</v>
      </c>
      <c r="G111" s="12">
        <f>IFERROR(INDEX('مانده سوفاله'!F:F,MATCH(Table214[[#This Row],[كد تفصيلي]],'مانده سوفاله'!A:A,0)),0)</f>
        <v>0</v>
      </c>
    </row>
    <row r="112" spans="1:7" ht="24.75" customHeight="1" x14ac:dyDescent="0.35">
      <c r="A112" s="26">
        <v>10118</v>
      </c>
      <c r="B112" s="56" t="s">
        <v>334</v>
      </c>
      <c r="C112" s="10">
        <f>IFERROR(INDEX('حسابهای دریافتنی'!H:H,MATCH(Table214[[#This Row],[كد تفصيلي]],'حسابهای دریافتنی'!A:A,0)),0)</f>
        <v>-587500</v>
      </c>
      <c r="D112" s="11">
        <f>IFERROR(INDEX('درجریان وصول'!F:F,MATCH(Table214[[#This Row],[كد تفصيلي]],'درجریان وصول'!A:A,0)),0)</f>
        <v>0</v>
      </c>
      <c r="E112" s="11">
        <f>IFERROR(INDEX('چکهای دریافتنی'!F:F,MATCH(Table214[[#This Row],[كد تفصيلي]],'چکهای دریافتنی'!A:A,0)),0)</f>
        <v>0</v>
      </c>
      <c r="F112" s="11">
        <f>Table214[[#This Row],[حسابهای دریافتنی]]+Table214[[#This Row],[چکهای در جریان وصول]]+Table214[[#This Row],[چکهای نزد صندوق]]</f>
        <v>-587500</v>
      </c>
      <c r="G112" s="12">
        <f>IFERROR(INDEX('مانده سوفاله'!F:F,MATCH(Table214[[#This Row],[كد تفصيلي]],'مانده سوفاله'!A:A,0)),0)</f>
        <v>0</v>
      </c>
    </row>
    <row r="113" spans="1:7" ht="24.75" customHeight="1" x14ac:dyDescent="0.35">
      <c r="A113" s="27">
        <v>10018</v>
      </c>
      <c r="B113" s="55" t="s">
        <v>25</v>
      </c>
      <c r="C113" s="10">
        <f>IFERROR(INDEX('حسابهای دریافتنی'!H:H,MATCH(Table214[[#This Row],[كد تفصيلي]],'حسابهای دریافتنی'!A:A,0)),0)</f>
        <v>95282000</v>
      </c>
      <c r="D113" s="11">
        <f>IFERROR(INDEX('درجریان وصول'!F:F,MATCH(Table214[[#This Row],[كد تفصيلي]],'درجریان وصول'!A:A,0)),0)</f>
        <v>0</v>
      </c>
      <c r="E113" s="11">
        <f>IFERROR(INDEX('چکهای دریافتنی'!F:F,MATCH(Table214[[#This Row],[كد تفصيلي]],'چکهای دریافتنی'!A:A,0)),0)</f>
        <v>0</v>
      </c>
      <c r="F113" s="11">
        <f>Table214[[#This Row],[حسابهای دریافتنی]]+Table214[[#This Row],[چکهای در جریان وصول]]+Table214[[#This Row],[چکهای نزد صندوق]]</f>
        <v>95282000</v>
      </c>
      <c r="G113" s="12">
        <f>IFERROR(INDEX('مانده سوفاله'!F:F,MATCH(Table214[[#This Row],[كد تفصيلي]],'مانده سوفاله'!A:A,0)),0)</f>
        <v>-32</v>
      </c>
    </row>
    <row r="114" spans="1:7" ht="24.75" customHeight="1" x14ac:dyDescent="0.35">
      <c r="A114" s="26">
        <v>30112</v>
      </c>
      <c r="B114" s="56" t="s">
        <v>201</v>
      </c>
      <c r="C114" s="10">
        <f>IFERROR(INDEX('حسابهای دریافتنی'!H:H,MATCH(Table214[[#This Row],[كد تفصيلي]],'حسابهای دریافتنی'!A:A,0)),0)</f>
        <v>-720500</v>
      </c>
      <c r="D114" s="11">
        <f>IFERROR(INDEX('درجریان وصول'!F:F,MATCH(Table214[[#This Row],[كد تفصيلي]],'درجریان وصول'!A:A,0)),0)</f>
        <v>0</v>
      </c>
      <c r="E114" s="11">
        <f>IFERROR(INDEX('چکهای دریافتنی'!F:F,MATCH(Table214[[#This Row],[كد تفصيلي]],'چکهای دریافتنی'!A:A,0)),0)</f>
        <v>0</v>
      </c>
      <c r="F114" s="11">
        <f>Table214[[#This Row],[حسابهای دریافتنی]]+Table214[[#This Row],[چکهای در جریان وصول]]+Table214[[#This Row],[چکهای نزد صندوق]]</f>
        <v>-720500</v>
      </c>
      <c r="G114" s="12">
        <f>IFERROR(INDEX('مانده سوفاله'!F:F,MATCH(Table214[[#This Row],[كد تفصيلي]],'مانده سوفاله'!A:A,0)),0)</f>
        <v>36</v>
      </c>
    </row>
    <row r="115" spans="1:7" ht="24.75" customHeight="1" x14ac:dyDescent="0.35">
      <c r="A115" s="26">
        <v>10013</v>
      </c>
      <c r="B115" s="56" t="s">
        <v>20</v>
      </c>
      <c r="C115" s="10">
        <f>IFERROR(INDEX('حسابهای دریافتنی'!H:H,MATCH(Table214[[#This Row],[كد تفصيلي]],'حسابهای دریافتنی'!A:A,0)),0)</f>
        <v>-915000</v>
      </c>
      <c r="D115" s="11">
        <f>IFERROR(INDEX('درجریان وصول'!F:F,MATCH(Table214[[#This Row],[كد تفصيلي]],'درجریان وصول'!A:A,0)),0)</f>
        <v>0</v>
      </c>
      <c r="E115" s="11">
        <f>IFERROR(INDEX('چکهای دریافتنی'!F:F,MATCH(Table214[[#This Row],[كد تفصيلي]],'چکهای دریافتنی'!A:A,0)),0)</f>
        <v>0</v>
      </c>
      <c r="F115" s="11">
        <f>Table214[[#This Row],[حسابهای دریافتنی]]+Table214[[#This Row],[چکهای در جریان وصول]]+Table214[[#This Row],[چکهای نزد صندوق]]</f>
        <v>-915000</v>
      </c>
      <c r="G115" s="12">
        <f>IFERROR(INDEX('مانده سوفاله'!F:F,MATCH(Table214[[#This Row],[كد تفصيلي]],'مانده سوفاله'!A:A,0)),0)</f>
        <v>0</v>
      </c>
    </row>
    <row r="116" spans="1:7" ht="24.75" customHeight="1" x14ac:dyDescent="0.35">
      <c r="A116" s="27">
        <v>10042</v>
      </c>
      <c r="B116" s="55" t="s">
        <v>47</v>
      </c>
      <c r="C116" s="10">
        <f>IFERROR(INDEX('حسابهای دریافتنی'!H:H,MATCH(Table214[[#This Row],[كد تفصيلي]],'حسابهای دریافتنی'!A:A,0)),0)</f>
        <v>-1120000</v>
      </c>
      <c r="D116" s="11">
        <f>IFERROR(INDEX('درجریان وصول'!F:F,MATCH(Table214[[#This Row],[كد تفصيلي]],'درجریان وصول'!A:A,0)),0)</f>
        <v>0</v>
      </c>
      <c r="E116" s="11">
        <f>IFERROR(INDEX('چکهای دریافتنی'!F:F,MATCH(Table214[[#This Row],[كد تفصيلي]],'چکهای دریافتنی'!A:A,0)),0)</f>
        <v>0</v>
      </c>
      <c r="F116" s="11">
        <f>Table214[[#This Row],[حسابهای دریافتنی]]+Table214[[#This Row],[چکهای در جریان وصول]]+Table214[[#This Row],[چکهای نزد صندوق]]</f>
        <v>-1120000</v>
      </c>
      <c r="G116" s="12">
        <f>IFERROR(INDEX('مانده سوفاله'!F:F,MATCH(Table214[[#This Row],[كد تفصيلي]],'مانده سوفاله'!A:A,0)),0)</f>
        <v>2</v>
      </c>
    </row>
    <row r="117" spans="1:7" ht="24.75" customHeight="1" x14ac:dyDescent="0.35">
      <c r="A117" s="27">
        <v>30032</v>
      </c>
      <c r="B117" s="55" t="s">
        <v>79</v>
      </c>
      <c r="C117" s="10">
        <f>IFERROR(INDEX('حسابهای دریافتنی'!H:H,MATCH(Table214[[#This Row],[كد تفصيلي]],'حسابهای دریافتنی'!A:A,0)),0)</f>
        <v>-1347000</v>
      </c>
      <c r="D117" s="11">
        <f>IFERROR(INDEX('درجریان وصول'!F:F,MATCH(Table214[[#This Row],[كد تفصيلي]],'درجریان وصول'!A:A,0)),0)</f>
        <v>0</v>
      </c>
      <c r="E117" s="11">
        <f>IFERROR(INDEX('چکهای دریافتنی'!F:F,MATCH(Table214[[#This Row],[كد تفصيلي]],'چکهای دریافتنی'!A:A,0)),0)</f>
        <v>0</v>
      </c>
      <c r="F117" s="11">
        <f>Table214[[#This Row],[حسابهای دریافتنی]]+Table214[[#This Row],[چکهای در جریان وصول]]+Table214[[#This Row],[چکهای نزد صندوق]]</f>
        <v>-1347000</v>
      </c>
      <c r="G117" s="12">
        <f>IFERROR(INDEX('مانده سوفاله'!F:F,MATCH(Table214[[#This Row],[كد تفصيلي]],'مانده سوفاله'!A:A,0)),0)</f>
        <v>0</v>
      </c>
    </row>
    <row r="118" spans="1:7" ht="24.75" customHeight="1" x14ac:dyDescent="0.35">
      <c r="A118" s="27">
        <v>30171</v>
      </c>
      <c r="B118" s="55" t="s">
        <v>322</v>
      </c>
      <c r="C118" s="10">
        <f>IFERROR(INDEX('حسابهای دریافتنی'!H:H,MATCH(Table214[[#This Row],[كد تفصيلي]],'حسابهای دریافتنی'!A:A,0)),0)</f>
        <v>-1500000</v>
      </c>
      <c r="D118" s="11">
        <f>IFERROR(INDEX('درجریان وصول'!F:F,MATCH(Table214[[#This Row],[كد تفصيلي]],'درجریان وصول'!A:A,0)),0)</f>
        <v>0</v>
      </c>
      <c r="E118" s="11">
        <f>IFERROR(INDEX('چکهای دریافتنی'!F:F,MATCH(Table214[[#This Row],[كد تفصيلي]],'چکهای دریافتنی'!A:A,0)),0)</f>
        <v>0</v>
      </c>
      <c r="F118" s="11">
        <f>Table214[[#This Row],[حسابهای دریافتنی]]+Table214[[#This Row],[چکهای در جریان وصول]]+Table214[[#This Row],[چکهای نزد صندوق]]</f>
        <v>-1500000</v>
      </c>
      <c r="G118" s="12">
        <f>IFERROR(INDEX('مانده سوفاله'!F:F,MATCH(Table214[[#This Row],[كد تفصيلي]],'مانده سوفاله'!A:A,0)),0)</f>
        <v>0</v>
      </c>
    </row>
    <row r="119" spans="1:7" ht="24.75" customHeight="1" x14ac:dyDescent="0.35">
      <c r="A119" s="26">
        <v>10103</v>
      </c>
      <c r="B119" s="56" t="s">
        <v>283</v>
      </c>
      <c r="C119" s="10">
        <f>IFERROR(INDEX('حسابهای دریافتنی'!H:H,MATCH(Table214[[#This Row],[كد تفصيلي]],'حسابهای دریافتنی'!A:A,0)),0)</f>
        <v>-1580000</v>
      </c>
      <c r="D119" s="11">
        <f>IFERROR(INDEX('درجریان وصول'!F:F,MATCH(Table214[[#This Row],[كد تفصيلي]],'درجریان وصول'!A:A,0)),0)</f>
        <v>0</v>
      </c>
      <c r="E119" s="11">
        <f>IFERROR(INDEX('چکهای دریافتنی'!F:F,MATCH(Table214[[#This Row],[كد تفصيلي]],'چکهای دریافتنی'!A:A,0)),0)</f>
        <v>0</v>
      </c>
      <c r="F119" s="11">
        <f>Table214[[#This Row],[حسابهای دریافتنی]]+Table214[[#This Row],[چکهای در جریان وصول]]+Table214[[#This Row],[چکهای نزد صندوق]]</f>
        <v>-1580000</v>
      </c>
      <c r="G119" s="12">
        <f>IFERROR(INDEX('مانده سوفاله'!F:F,MATCH(Table214[[#This Row],[كد تفصيلي]],'مانده سوفاله'!A:A,0)),0)</f>
        <v>0</v>
      </c>
    </row>
    <row r="120" spans="1:7" ht="24.75" customHeight="1" x14ac:dyDescent="0.35">
      <c r="A120" s="27">
        <v>10125</v>
      </c>
      <c r="B120" s="55" t="s">
        <v>345</v>
      </c>
      <c r="C120" s="10">
        <f>IFERROR(INDEX('حسابهای دریافتنی'!H:H,MATCH(Table214[[#This Row],[كد تفصيلي]],'حسابهای دریافتنی'!A:A,0)),0)</f>
        <v>-1650000</v>
      </c>
      <c r="D120" s="11">
        <f>IFERROR(INDEX('درجریان وصول'!F:F,MATCH(Table214[[#This Row],[كد تفصيلي]],'درجریان وصول'!A:A,0)),0)</f>
        <v>0</v>
      </c>
      <c r="E120" s="11">
        <f>IFERROR(INDEX('چکهای دریافتنی'!F:F,MATCH(Table214[[#This Row],[كد تفصيلي]],'چکهای دریافتنی'!A:A,0)),0)</f>
        <v>0</v>
      </c>
      <c r="F120" s="11">
        <f>Table214[[#This Row],[حسابهای دریافتنی]]+Table214[[#This Row],[چکهای در جریان وصول]]+Table214[[#This Row],[چکهای نزد صندوق]]</f>
        <v>-1650000</v>
      </c>
      <c r="G120" s="12">
        <f>IFERROR(INDEX('مانده سوفاله'!F:F,MATCH(Table214[[#This Row],[كد تفصيلي]],'مانده سوفاله'!A:A,0)),0)</f>
        <v>0</v>
      </c>
    </row>
    <row r="121" spans="1:7" ht="24.75" customHeight="1" x14ac:dyDescent="0.35">
      <c r="A121" s="26">
        <v>10110</v>
      </c>
      <c r="B121" s="56" t="s">
        <v>306</v>
      </c>
      <c r="C121" s="10">
        <f>IFERROR(INDEX('حسابهای دریافتنی'!H:H,MATCH(Table214[[#This Row],[كد تفصيلي]],'حسابهای دریافتنی'!A:A,0)),0)</f>
        <v>-1817500</v>
      </c>
      <c r="D121" s="11">
        <f>IFERROR(INDEX('درجریان وصول'!F:F,MATCH(Table214[[#This Row],[كد تفصيلي]],'درجریان وصول'!A:A,0)),0)</f>
        <v>0</v>
      </c>
      <c r="E121" s="11">
        <f>IFERROR(INDEX('چکهای دریافتنی'!F:F,MATCH(Table214[[#This Row],[كد تفصيلي]],'چکهای دریافتنی'!A:A,0)),0)</f>
        <v>0</v>
      </c>
      <c r="F121" s="11">
        <f>Table214[[#This Row],[حسابهای دریافتنی]]+Table214[[#This Row],[چکهای در جریان وصول]]+Table214[[#This Row],[چکهای نزد صندوق]]</f>
        <v>-1817500</v>
      </c>
      <c r="G121" s="12">
        <f>IFERROR(INDEX('مانده سوفاله'!F:F,MATCH(Table214[[#This Row],[كد تفصيلي]],'مانده سوفاله'!A:A,0)),0)</f>
        <v>7</v>
      </c>
    </row>
    <row r="122" spans="1:7" ht="24.75" customHeight="1" x14ac:dyDescent="0.35">
      <c r="A122" s="27">
        <v>30103</v>
      </c>
      <c r="B122" s="55" t="s">
        <v>240</v>
      </c>
      <c r="C122" s="10">
        <f>IFERROR(INDEX('حسابهای دریافتنی'!H:H,MATCH(Table214[[#This Row],[كد تفصيلي]],'حسابهای دریافتنی'!A:A,0)),0)</f>
        <v>-1820000</v>
      </c>
      <c r="D122" s="11">
        <f>IFERROR(INDEX('درجریان وصول'!F:F,MATCH(Table214[[#This Row],[كد تفصيلي]],'درجریان وصول'!A:A,0)),0)</f>
        <v>0</v>
      </c>
      <c r="E122" s="11">
        <f>IFERROR(INDEX('چکهای دریافتنی'!F:F,MATCH(Table214[[#This Row],[كد تفصيلي]],'چکهای دریافتنی'!A:A,0)),0)</f>
        <v>0</v>
      </c>
      <c r="F122" s="11">
        <f>Table214[[#This Row],[حسابهای دریافتنی]]+Table214[[#This Row],[چکهای در جریان وصول]]+Table214[[#This Row],[چکهای نزد صندوق]]</f>
        <v>-1820000</v>
      </c>
      <c r="G122" s="12">
        <f>IFERROR(INDEX('مانده سوفاله'!F:F,MATCH(Table214[[#This Row],[كد تفصيلي]],'مانده سوفاله'!A:A,0)),0)</f>
        <v>0</v>
      </c>
    </row>
    <row r="123" spans="1:7" ht="24.75" customHeight="1" x14ac:dyDescent="0.35">
      <c r="A123" s="26">
        <v>30174</v>
      </c>
      <c r="B123" s="56" t="s">
        <v>327</v>
      </c>
      <c r="C123" s="10">
        <f>IFERROR(INDEX('حسابهای دریافتنی'!H:H,MATCH(Table214[[#This Row],[كد تفصيلي]],'حسابهای دریافتنی'!A:A,0)),0)</f>
        <v>-5000</v>
      </c>
      <c r="D123" s="11">
        <f>IFERROR(INDEX('درجریان وصول'!F:F,MATCH(Table214[[#This Row],[كد تفصيلي]],'درجریان وصول'!A:A,0)),0)</f>
        <v>0</v>
      </c>
      <c r="E123" s="11">
        <f>IFERROR(INDEX('چکهای دریافتنی'!F:F,MATCH(Table214[[#This Row],[كد تفصيلي]],'چکهای دریافتنی'!A:A,0)),0)</f>
        <v>0</v>
      </c>
      <c r="F123" s="11">
        <f>Table214[[#This Row],[حسابهای دریافتنی]]+Table214[[#This Row],[چکهای در جریان وصول]]+Table214[[#This Row],[چکهای نزد صندوق]]</f>
        <v>-5000</v>
      </c>
      <c r="G123" s="12">
        <f>IFERROR(INDEX('مانده سوفاله'!F:F,MATCH(Table214[[#This Row],[كد تفصيلي]],'مانده سوفاله'!A:A,0)),0)</f>
        <v>0</v>
      </c>
    </row>
    <row r="124" spans="1:7" ht="24.75" customHeight="1" x14ac:dyDescent="0.35">
      <c r="A124" s="26">
        <v>30128</v>
      </c>
      <c r="B124" s="56" t="s">
        <v>212</v>
      </c>
      <c r="C124" s="10">
        <f>IFERROR(INDEX('حسابهای دریافتنی'!H:H,MATCH(Table214[[#This Row],[كد تفصيلي]],'حسابهای دریافتنی'!A:A,0)),0)</f>
        <v>-2451320</v>
      </c>
      <c r="D124" s="11">
        <f>IFERROR(INDEX('درجریان وصول'!F:F,MATCH(Table214[[#This Row],[كد تفصيلي]],'درجریان وصول'!A:A,0)),0)</f>
        <v>0</v>
      </c>
      <c r="E124" s="11">
        <f>IFERROR(INDEX('چکهای دریافتنی'!F:F,MATCH(Table214[[#This Row],[كد تفصيلي]],'چکهای دریافتنی'!A:A,0)),0)</f>
        <v>0</v>
      </c>
      <c r="F124" s="11">
        <f>Table214[[#This Row],[حسابهای دریافتنی]]+Table214[[#This Row],[چکهای در جریان وصول]]+Table214[[#This Row],[چکهای نزد صندوق]]</f>
        <v>-2451320</v>
      </c>
      <c r="G124" s="12">
        <f>IFERROR(INDEX('مانده سوفاله'!F:F,MATCH(Table214[[#This Row],[كد تفصيلي]],'مانده سوفاله'!A:A,0)),0)</f>
        <v>0</v>
      </c>
    </row>
    <row r="125" spans="1:7" ht="24.75" customHeight="1" x14ac:dyDescent="0.35">
      <c r="A125" s="26">
        <v>30015</v>
      </c>
      <c r="B125" s="56" t="s">
        <v>64</v>
      </c>
      <c r="C125" s="10">
        <f>IFERROR(INDEX('حسابهای دریافتنی'!H:H,MATCH(Table214[[#This Row],[كد تفصيلي]],'حسابهای دریافتنی'!A:A,0)),0)</f>
        <v>-3105895</v>
      </c>
      <c r="D125" s="11">
        <f>IFERROR(INDEX('درجریان وصول'!F:F,MATCH(Table214[[#This Row],[كد تفصيلي]],'درجریان وصول'!A:A,0)),0)</f>
        <v>0</v>
      </c>
      <c r="E125" s="11">
        <f>IFERROR(INDEX('چکهای دریافتنی'!F:F,MATCH(Table214[[#This Row],[كد تفصيلي]],'چکهای دریافتنی'!A:A,0)),0)</f>
        <v>0</v>
      </c>
      <c r="F125" s="11">
        <f>Table214[[#This Row],[حسابهای دریافتنی]]+Table214[[#This Row],[چکهای در جریان وصول]]+Table214[[#This Row],[چکهای نزد صندوق]]</f>
        <v>-3105895</v>
      </c>
      <c r="G125" s="12">
        <f>IFERROR(INDEX('مانده سوفاله'!F:F,MATCH(Table214[[#This Row],[كد تفصيلي]],'مانده سوفاله'!A:A,0)),0)</f>
        <v>0</v>
      </c>
    </row>
    <row r="126" spans="1:7" ht="24.75" customHeight="1" x14ac:dyDescent="0.35">
      <c r="A126" s="26">
        <v>30110</v>
      </c>
      <c r="B126" s="56" t="s">
        <v>200</v>
      </c>
      <c r="C126" s="10">
        <f>IFERROR(INDEX('حسابهای دریافتنی'!H:H,MATCH(Table214[[#This Row],[كد تفصيلي]],'حسابهای دریافتنی'!A:A,0)),0)</f>
        <v>-3492360</v>
      </c>
      <c r="D126" s="11">
        <f>IFERROR(INDEX('درجریان وصول'!F:F,MATCH(Table214[[#This Row],[كد تفصيلي]],'درجریان وصول'!A:A,0)),0)</f>
        <v>0</v>
      </c>
      <c r="E126" s="11">
        <f>IFERROR(INDEX('چکهای دریافتنی'!F:F,MATCH(Table214[[#This Row],[كد تفصيلي]],'چکهای دریافتنی'!A:A,0)),0)</f>
        <v>0</v>
      </c>
      <c r="F126" s="11">
        <f>Table214[[#This Row],[حسابهای دریافتنی]]+Table214[[#This Row],[چکهای در جریان وصول]]+Table214[[#This Row],[چکهای نزد صندوق]]</f>
        <v>-3492360</v>
      </c>
      <c r="G126" s="12">
        <f>IFERROR(INDEX('مانده سوفاله'!F:F,MATCH(Table214[[#This Row],[كد تفصيلي]],'مانده سوفاله'!A:A,0)),0)</f>
        <v>0</v>
      </c>
    </row>
    <row r="127" spans="1:7" ht="24.75" customHeight="1" x14ac:dyDescent="0.35">
      <c r="A127" s="26">
        <v>10049</v>
      </c>
      <c r="B127" s="56" t="s">
        <v>157</v>
      </c>
      <c r="C127" s="10">
        <f>IFERROR(INDEX('حسابهای دریافتنی'!H:H,MATCH(Table214[[#This Row],[كد تفصيلي]],'حسابهای دریافتنی'!A:A,0)),0)</f>
        <v>-32909500</v>
      </c>
      <c r="D127" s="11">
        <f>IFERROR(INDEX('درجریان وصول'!F:F,MATCH(Table214[[#This Row],[كد تفصيلي]],'درجریان وصول'!A:A,0)),0)</f>
        <v>0</v>
      </c>
      <c r="E127" s="11">
        <f>IFERROR(INDEX('چکهای دریافتنی'!F:F,MATCH(Table214[[#This Row],[كد تفصيلي]],'چکهای دریافتنی'!A:A,0)),0)</f>
        <v>0</v>
      </c>
      <c r="F127" s="11">
        <f>Table214[[#This Row],[حسابهای دریافتنی]]+Table214[[#This Row],[چکهای در جریان وصول]]+Table214[[#This Row],[چکهای نزد صندوق]]</f>
        <v>-32909500</v>
      </c>
      <c r="G127" s="12">
        <f>IFERROR(INDEX('مانده سوفاله'!F:F,MATCH(Table214[[#This Row],[كد تفصيلي]],'مانده سوفاله'!A:A,0)),0)</f>
        <v>0</v>
      </c>
    </row>
    <row r="128" spans="1:7" ht="24.75" customHeight="1" x14ac:dyDescent="0.35">
      <c r="A128" s="26">
        <v>10015</v>
      </c>
      <c r="B128" s="56" t="s">
        <v>22</v>
      </c>
      <c r="C128" s="10">
        <f>IFERROR(INDEX('حسابهای دریافتنی'!H:H,MATCH(Table214[[#This Row],[كد تفصيلي]],'حسابهای دریافتنی'!A:A,0)),0)</f>
        <v>-4735000</v>
      </c>
      <c r="D128" s="11">
        <f>IFERROR(INDEX('درجریان وصول'!F:F,MATCH(Table214[[#This Row],[كد تفصيلي]],'درجریان وصول'!A:A,0)),0)</f>
        <v>0</v>
      </c>
      <c r="E128" s="11">
        <f>IFERROR(INDEX('چکهای دریافتنی'!F:F,MATCH(Table214[[#This Row],[كد تفصيلي]],'چکهای دریافتنی'!A:A,0)),0)</f>
        <v>0</v>
      </c>
      <c r="F128" s="11">
        <f>Table214[[#This Row],[حسابهای دریافتنی]]+Table214[[#This Row],[چکهای در جریان وصول]]+Table214[[#This Row],[چکهای نزد صندوق]]</f>
        <v>-4735000</v>
      </c>
      <c r="G128" s="12">
        <f>IFERROR(INDEX('مانده سوفاله'!F:F,MATCH(Table214[[#This Row],[كد تفصيلي]],'مانده سوفاله'!A:A,0)),0)</f>
        <v>12</v>
      </c>
    </row>
    <row r="129" spans="1:7" customFormat="1" ht="24.75" customHeight="1" x14ac:dyDescent="0.35">
      <c r="A129" s="53">
        <v>30023</v>
      </c>
      <c r="B129" s="56" t="s">
        <v>71</v>
      </c>
      <c r="C129" s="10">
        <f>IFERROR(INDEX('حسابهای دریافتنی'!H:H,MATCH(Table214[[#This Row],[كد تفصيلي]],'حسابهای دریافتنی'!A:A,0)),0)</f>
        <v>-5793600</v>
      </c>
      <c r="D129" s="11">
        <f>IFERROR(INDEX('درجریان وصول'!F:F,MATCH(Table214[[#This Row],[كد تفصيلي]],'درجریان وصول'!A:A,0)),0)</f>
        <v>0</v>
      </c>
      <c r="E129" s="11">
        <f>IFERROR(INDEX('چکهای دریافتنی'!F:F,MATCH(Table214[[#This Row],[كد تفصيلي]],'چکهای دریافتنی'!A:A,0)),0)</f>
        <v>0</v>
      </c>
      <c r="F129" s="11">
        <f>Table214[[#This Row],[حسابهای دریافتنی]]+Table214[[#This Row],[چکهای در جریان وصول]]+Table214[[#This Row],[چکهای نزد صندوق]]</f>
        <v>-5793600</v>
      </c>
      <c r="G129" s="12">
        <f>IFERROR(INDEX('مانده سوفاله'!F:F,MATCH(Table214[[#This Row],[كد تفصيلي]],'مانده سوفاله'!A:A,0)),0)</f>
        <v>0</v>
      </c>
    </row>
    <row r="130" spans="1:7" customFormat="1" ht="24.75" customHeight="1" x14ac:dyDescent="0.35">
      <c r="A130" s="53">
        <v>10091</v>
      </c>
      <c r="B130" s="56" t="s">
        <v>258</v>
      </c>
      <c r="C130" s="10">
        <f>IFERROR(INDEX('حسابهای دریافتنی'!H:H,MATCH(Table214[[#This Row],[كد تفصيلي]],'حسابهای دریافتنی'!A:A,0)),0)</f>
        <v>59321500</v>
      </c>
      <c r="D130" s="11">
        <f>IFERROR(INDEX('درجریان وصول'!F:F,MATCH(Table214[[#This Row],[كد تفصيلي]],'درجریان وصول'!A:A,0)),0)</f>
        <v>0</v>
      </c>
      <c r="E130" s="11">
        <f>IFERROR(INDEX('چکهای دریافتنی'!F:F,MATCH(Table214[[#This Row],[كد تفصيلي]],'چکهای دریافتنی'!A:A,0)),0)</f>
        <v>0</v>
      </c>
      <c r="F130" s="11">
        <f>Table214[[#This Row],[حسابهای دریافتنی]]+Table214[[#This Row],[چکهای در جریان وصول]]+Table214[[#This Row],[چکهای نزد صندوق]]</f>
        <v>59321500</v>
      </c>
      <c r="G130" s="12">
        <f>IFERROR(INDEX('مانده سوفاله'!F:F,MATCH(Table214[[#This Row],[كد تفصيلي]],'مانده سوفاله'!A:A,0)),0)</f>
        <v>0</v>
      </c>
    </row>
    <row r="131" spans="1:7" customFormat="1" ht="24.75" customHeight="1" x14ac:dyDescent="0.35">
      <c r="A131" s="54">
        <v>10088</v>
      </c>
      <c r="B131" s="55" t="s">
        <v>254</v>
      </c>
      <c r="C131" s="10">
        <f>IFERROR(INDEX('حسابهای دریافتنی'!H:H,MATCH(Table214[[#This Row],[كد تفصيلي]],'حسابهای دریافتنی'!A:A,0)),0)</f>
        <v>113500</v>
      </c>
      <c r="D131" s="11">
        <f>IFERROR(INDEX('درجریان وصول'!F:F,MATCH(Table214[[#This Row],[كد تفصيلي]],'درجریان وصول'!A:A,0)),0)</f>
        <v>0</v>
      </c>
      <c r="E131" s="11">
        <f>IFERROR(INDEX('چکهای دریافتنی'!F:F,MATCH(Table214[[#This Row],[كد تفصيلي]],'چکهای دریافتنی'!A:A,0)),0)</f>
        <v>0</v>
      </c>
      <c r="F131" s="11">
        <f>Table214[[#This Row],[حسابهای دریافتنی]]+Table214[[#This Row],[چکهای در جریان وصول]]+Table214[[#This Row],[چکهای نزد صندوق]]</f>
        <v>113500</v>
      </c>
      <c r="G131" s="12">
        <f>IFERROR(INDEX('مانده سوفاله'!F:F,MATCH(Table214[[#This Row],[كد تفصيلي]],'مانده سوفاله'!A:A,0)),0)</f>
        <v>0</v>
      </c>
    </row>
    <row r="132" spans="1:7" customFormat="1" ht="24.75" customHeight="1" x14ac:dyDescent="0.35">
      <c r="A132" s="53">
        <v>30176</v>
      </c>
      <c r="B132" s="56" t="s">
        <v>332</v>
      </c>
      <c r="C132" s="10">
        <f>IFERROR(INDEX('حسابهای دریافتنی'!H:H,MATCH(Table214[[#This Row],[كد تفصيلي]],'حسابهای دریافتنی'!A:A,0)),0)</f>
        <v>-7540075</v>
      </c>
      <c r="D132" s="11">
        <f>IFERROR(INDEX('درجریان وصول'!F:F,MATCH(Table214[[#This Row],[كد تفصيلي]],'درجریان وصول'!A:A,0)),0)</f>
        <v>0</v>
      </c>
      <c r="E132" s="11">
        <f>IFERROR(INDEX('چکهای دریافتنی'!F:F,MATCH(Table214[[#This Row],[كد تفصيلي]],'چکهای دریافتنی'!A:A,0)),0)</f>
        <v>0</v>
      </c>
      <c r="F132" s="11">
        <f>Table214[[#This Row],[حسابهای دریافتنی]]+Table214[[#This Row],[چکهای در جریان وصول]]+Table214[[#This Row],[چکهای نزد صندوق]]</f>
        <v>-7540075</v>
      </c>
      <c r="G132" s="12">
        <f>IFERROR(INDEX('مانده سوفاله'!F:F,MATCH(Table214[[#This Row],[كد تفصيلي]],'مانده سوفاله'!A:A,0)),0)</f>
        <v>0</v>
      </c>
    </row>
    <row r="133" spans="1:7" customFormat="1" ht="24.75" customHeight="1" x14ac:dyDescent="0.35">
      <c r="A133" s="53">
        <v>10106</v>
      </c>
      <c r="B133" s="56" t="s">
        <v>298</v>
      </c>
      <c r="C133" s="10">
        <f>IFERROR(INDEX('حسابهای دریافتنی'!H:H,MATCH(Table214[[#This Row],[كد تفصيلي]],'حسابهای دریافتنی'!A:A,0)),0)</f>
        <v>-9134000</v>
      </c>
      <c r="D133" s="11">
        <f>IFERROR(INDEX('درجریان وصول'!F:F,MATCH(Table214[[#This Row],[كد تفصيلي]],'درجریان وصول'!A:A,0)),0)</f>
        <v>0</v>
      </c>
      <c r="E133" s="11">
        <f>IFERROR(INDEX('چکهای دریافتنی'!F:F,MATCH(Table214[[#This Row],[كد تفصيلي]],'چکهای دریافتنی'!A:A,0)),0)</f>
        <v>0</v>
      </c>
      <c r="F133" s="11">
        <f>Table214[[#This Row],[حسابهای دریافتنی]]+Table214[[#This Row],[چکهای در جریان وصول]]+Table214[[#This Row],[چکهای نزد صندوق]]</f>
        <v>-9134000</v>
      </c>
      <c r="G133" s="12">
        <f>IFERROR(INDEX('مانده سوفاله'!F:F,MATCH(Table214[[#This Row],[كد تفصيلي]],'مانده سوفاله'!A:A,0)),0)</f>
        <v>0</v>
      </c>
    </row>
    <row r="134" spans="1:7" customFormat="1" ht="24.75" customHeight="1" x14ac:dyDescent="0.35">
      <c r="A134" s="54">
        <v>10102</v>
      </c>
      <c r="B134" s="55" t="s">
        <v>282</v>
      </c>
      <c r="C134" s="10">
        <f>IFERROR(INDEX('حسابهای دریافتنی'!H:H,MATCH(Table214[[#This Row],[كد تفصيلي]],'حسابهای دریافتنی'!A:A,0)),0)</f>
        <v>-10374000</v>
      </c>
      <c r="D134" s="11">
        <f>IFERROR(INDEX('درجریان وصول'!F:F,MATCH(Table214[[#This Row],[كد تفصيلي]],'درجریان وصول'!A:A,0)),0)</f>
        <v>0</v>
      </c>
      <c r="E134" s="11">
        <f>IFERROR(INDEX('چکهای دریافتنی'!F:F,MATCH(Table214[[#This Row],[كد تفصيلي]],'چکهای دریافتنی'!A:A,0)),0)</f>
        <v>0</v>
      </c>
      <c r="F134" s="11">
        <f>Table214[[#This Row],[حسابهای دریافتنی]]+Table214[[#This Row],[چکهای در جریان وصول]]+Table214[[#This Row],[چکهای نزد صندوق]]</f>
        <v>-10374000</v>
      </c>
      <c r="G134" s="12">
        <f>IFERROR(INDEX('مانده سوفاله'!F:F,MATCH(Table214[[#This Row],[كد تفصيلي]],'مانده سوفاله'!A:A,0)),0)</f>
        <v>0</v>
      </c>
    </row>
    <row r="135" spans="1:7" customFormat="1" ht="24.75" customHeight="1" x14ac:dyDescent="0.35">
      <c r="A135" s="53">
        <v>30189</v>
      </c>
      <c r="B135" s="56" t="s">
        <v>458</v>
      </c>
      <c r="C135" s="10">
        <f>IFERROR(INDEX('حسابهای دریافتنی'!H:H,MATCH(Table214[[#This Row],[كد تفصيلي]],'حسابهای دریافتنی'!A:A,0)),0)</f>
        <v>20776490</v>
      </c>
      <c r="D135" s="11">
        <f>IFERROR(INDEX('درجریان وصول'!F:F,MATCH(Table214[[#This Row],[كد تفصيلي]],'درجریان وصول'!A:A,0)),0)</f>
        <v>0</v>
      </c>
      <c r="E135" s="11">
        <f>IFERROR(INDEX('چکهای دریافتنی'!F:F,MATCH(Table214[[#This Row],[كد تفصيلي]],'چکهای دریافتنی'!A:A,0)),0)</f>
        <v>0</v>
      </c>
      <c r="F135" s="11">
        <f>Table214[[#This Row],[حسابهای دریافتنی]]+Table214[[#This Row],[چکهای در جریان وصول]]+Table214[[#This Row],[چکهای نزد صندوق]]</f>
        <v>20776490</v>
      </c>
      <c r="G135" s="12">
        <f>IFERROR(INDEX('مانده سوفاله'!F:F,MATCH(Table214[[#This Row],[كد تفصيلي]],'مانده سوفاله'!A:A,0)),0)</f>
        <v>0</v>
      </c>
    </row>
    <row r="136" spans="1:7" customFormat="1" ht="24.75" customHeight="1" x14ac:dyDescent="0.35">
      <c r="A136" s="54">
        <v>10058</v>
      </c>
      <c r="B136" s="55" t="s">
        <v>173</v>
      </c>
      <c r="C136" s="10">
        <f>IFERROR(INDEX('حسابهای دریافتنی'!H:H,MATCH(Table214[[#This Row],[كد تفصيلي]],'حسابهای دریافتنی'!A:A,0)),0)</f>
        <v>-13650000</v>
      </c>
      <c r="D136" s="11">
        <f>IFERROR(INDEX('درجریان وصول'!F:F,MATCH(Table214[[#This Row],[كد تفصيلي]],'درجریان وصول'!A:A,0)),0)</f>
        <v>0</v>
      </c>
      <c r="E136" s="11">
        <f>IFERROR(INDEX('چکهای دریافتنی'!F:F,MATCH(Table214[[#This Row],[كد تفصيلي]],'چکهای دریافتنی'!A:A,0)),0)</f>
        <v>0</v>
      </c>
      <c r="F136" s="11">
        <f>Table214[[#This Row],[حسابهای دریافتنی]]+Table214[[#This Row],[چکهای در جریان وصول]]+Table214[[#This Row],[چکهای نزد صندوق]]</f>
        <v>-13650000</v>
      </c>
      <c r="G136" s="12">
        <f>IFERROR(INDEX('مانده سوفاله'!F:F,MATCH(Table214[[#This Row],[كد تفصيلي]],'مانده سوفاله'!A:A,0)),0)</f>
        <v>0</v>
      </c>
    </row>
    <row r="137" spans="1:7" customFormat="1" ht="24.75" customHeight="1" x14ac:dyDescent="0.35">
      <c r="A137" s="53">
        <v>30082</v>
      </c>
      <c r="B137" s="56" t="s">
        <v>127</v>
      </c>
      <c r="C137" s="10">
        <f>IFERROR(INDEX('حسابهای دریافتنی'!H:H,MATCH(Table214[[#This Row],[كد تفصيلي]],'حسابهای دریافتنی'!A:A,0)),0)</f>
        <v>-15037000</v>
      </c>
      <c r="D137" s="11">
        <f>IFERROR(INDEX('درجریان وصول'!F:F,MATCH(Table214[[#This Row],[كد تفصيلي]],'درجریان وصول'!A:A,0)),0)</f>
        <v>0</v>
      </c>
      <c r="E137" s="11">
        <f>IFERROR(INDEX('چکهای دریافتنی'!F:F,MATCH(Table214[[#This Row],[كد تفصيلي]],'چکهای دریافتنی'!A:A,0)),0)</f>
        <v>0</v>
      </c>
      <c r="F137" s="11">
        <f>Table214[[#This Row],[حسابهای دریافتنی]]+Table214[[#This Row],[چکهای در جریان وصول]]+Table214[[#This Row],[چکهای نزد صندوق]]</f>
        <v>-15037000</v>
      </c>
      <c r="G137" s="12">
        <f>IFERROR(INDEX('مانده سوفاله'!F:F,MATCH(Table214[[#This Row],[كد تفصيلي]],'مانده سوفاله'!A:A,0)),0)</f>
        <v>-16</v>
      </c>
    </row>
    <row r="138" spans="1:7" customFormat="1" ht="24.75" customHeight="1" x14ac:dyDescent="0.35">
      <c r="A138" s="54">
        <v>30034</v>
      </c>
      <c r="B138" s="55" t="s">
        <v>81</v>
      </c>
      <c r="C138" s="10">
        <f>IFERROR(INDEX('حسابهای دریافتنی'!H:H,MATCH(Table214[[#This Row],[كد تفصيلي]],'حسابهای دریافتنی'!A:A,0)),0)</f>
        <v>388329200</v>
      </c>
      <c r="D138" s="11">
        <f>IFERROR(INDEX('درجریان وصول'!F:F,MATCH(Table214[[#This Row],[كد تفصيلي]],'درجریان وصول'!A:A,0)),0)</f>
        <v>0</v>
      </c>
      <c r="E138" s="11">
        <f>IFERROR(INDEX('چکهای دریافتنی'!F:F,MATCH(Table214[[#This Row],[كد تفصيلي]],'چکهای دریافتنی'!A:A,0)),0)</f>
        <v>0</v>
      </c>
      <c r="F138" s="11">
        <f>Table214[[#This Row],[حسابهای دریافتنی]]+Table214[[#This Row],[چکهای در جریان وصول]]+Table214[[#This Row],[چکهای نزد صندوق]]</f>
        <v>388329200</v>
      </c>
      <c r="G138" s="12">
        <f>IFERROR(INDEX('مانده سوفاله'!F:F,MATCH(Table214[[#This Row],[كد تفصيلي]],'مانده سوفاله'!A:A,0)),0)</f>
        <v>2886</v>
      </c>
    </row>
    <row r="139" spans="1:7" customFormat="1" ht="24.75" customHeight="1" x14ac:dyDescent="0.35">
      <c r="A139" s="54">
        <v>30042</v>
      </c>
      <c r="B139" s="55" t="s">
        <v>89</v>
      </c>
      <c r="C139" s="10">
        <f>IFERROR(INDEX('حسابهای دریافتنی'!H:H,MATCH(Table214[[#This Row],[كد تفصيلي]],'حسابهای دریافتنی'!A:A,0)),0)</f>
        <v>-18303540</v>
      </c>
      <c r="D139" s="11">
        <f>IFERROR(INDEX('درجریان وصول'!F:F,MATCH(Table214[[#This Row],[كد تفصيلي]],'درجریان وصول'!A:A,0)),0)</f>
        <v>0</v>
      </c>
      <c r="E139" s="11">
        <f>IFERROR(INDEX('چکهای دریافتنی'!F:F,MATCH(Table214[[#This Row],[كد تفصيلي]],'چکهای دریافتنی'!A:A,0)),0)</f>
        <v>0</v>
      </c>
      <c r="F139" s="11">
        <f>Table214[[#This Row],[حسابهای دریافتنی]]+Table214[[#This Row],[چکهای در جریان وصول]]+Table214[[#This Row],[چکهای نزد صندوق]]</f>
        <v>-18303540</v>
      </c>
      <c r="G139" s="12">
        <f>IFERROR(INDEX('مانده سوفاله'!F:F,MATCH(Table214[[#This Row],[كد تفصيلي]],'مانده سوفاله'!A:A,0)),0)</f>
        <v>0</v>
      </c>
    </row>
    <row r="140" spans="1:7" customFormat="1" ht="24.75" customHeight="1" x14ac:dyDescent="0.35">
      <c r="A140" s="54">
        <v>30155</v>
      </c>
      <c r="B140" s="55" t="s">
        <v>289</v>
      </c>
      <c r="C140" s="10">
        <f>IFERROR(INDEX('حسابهای دریافتنی'!H:H,MATCH(Table214[[#This Row],[كد تفصيلي]],'حسابهای دریافتنی'!A:A,0)),0)</f>
        <v>-454985417</v>
      </c>
      <c r="D140" s="11">
        <f>IFERROR(INDEX('درجریان وصول'!F:F,MATCH(Table214[[#This Row],[كد تفصيلي]],'درجریان وصول'!A:A,0)),0)</f>
        <v>0</v>
      </c>
      <c r="E140" s="11">
        <f>IFERROR(INDEX('چکهای دریافتنی'!F:F,MATCH(Table214[[#This Row],[كد تفصيلي]],'چکهای دریافتنی'!A:A,0)),0)</f>
        <v>1379936267</v>
      </c>
      <c r="F140" s="11">
        <f>Table214[[#This Row],[حسابهای دریافتنی]]+Table214[[#This Row],[چکهای در جریان وصول]]+Table214[[#This Row],[چکهای نزد صندوق]]</f>
        <v>924950850</v>
      </c>
      <c r="G140" s="12">
        <f>IFERROR(INDEX('مانده سوفاله'!F:F,MATCH(Table214[[#This Row],[كد تفصيلي]],'مانده سوفاله'!A:A,0)),0)</f>
        <v>0</v>
      </c>
    </row>
    <row r="141" spans="1:7" customFormat="1" ht="24.75" customHeight="1" x14ac:dyDescent="0.35">
      <c r="A141" s="54">
        <v>30028</v>
      </c>
      <c r="B141" s="55" t="s">
        <v>76</v>
      </c>
      <c r="C141" s="10">
        <f>IFERROR(INDEX('حسابهای دریافتنی'!H:H,MATCH(Table214[[#This Row],[كد تفصيلي]],'حسابهای دریافتنی'!A:A,0)),0)</f>
        <v>-23665000</v>
      </c>
      <c r="D141" s="11">
        <f>IFERROR(INDEX('درجریان وصول'!F:F,MATCH(Table214[[#This Row],[كد تفصيلي]],'درجریان وصول'!A:A,0)),0)</f>
        <v>0</v>
      </c>
      <c r="E141" s="11">
        <f>IFERROR(INDEX('چکهای دریافتنی'!F:F,MATCH(Table214[[#This Row],[كد تفصيلي]],'چکهای دریافتنی'!A:A,0)),0)</f>
        <v>0</v>
      </c>
      <c r="F141" s="11">
        <f>Table214[[#This Row],[حسابهای دریافتنی]]+Table214[[#This Row],[چکهای در جریان وصول]]+Table214[[#This Row],[چکهای نزد صندوق]]</f>
        <v>-23665000</v>
      </c>
      <c r="G141" s="12">
        <f>IFERROR(INDEX('مانده سوفاله'!F:F,MATCH(Table214[[#This Row],[كد تفصيلي]],'مانده سوفاله'!A:A,0)),0)</f>
        <v>0</v>
      </c>
    </row>
    <row r="142" spans="1:7" customFormat="1" ht="24.75" customHeight="1" x14ac:dyDescent="0.35">
      <c r="A142" s="53">
        <v>30160</v>
      </c>
      <c r="B142" s="56" t="s">
        <v>296</v>
      </c>
      <c r="C142" s="10">
        <f>IFERROR(INDEX('حسابهای دریافتنی'!H:H,MATCH(Table214[[#This Row],[كد تفصيلي]],'حسابهای دریافتنی'!A:A,0)),0)</f>
        <v>0</v>
      </c>
      <c r="D142" s="11">
        <f>IFERROR(INDEX('درجریان وصول'!F:F,MATCH(Table214[[#This Row],[كد تفصيلي]],'درجریان وصول'!A:A,0)),0)</f>
        <v>0</v>
      </c>
      <c r="E142" s="11">
        <f>IFERROR(INDEX('چکهای دریافتنی'!F:F,MATCH(Table214[[#This Row],[كد تفصيلي]],'چکهای دریافتنی'!A:A,0)),0)</f>
        <v>0</v>
      </c>
      <c r="F142" s="11">
        <f>Table214[[#This Row],[حسابهای دریافتنی]]+Table214[[#This Row],[چکهای در جریان وصول]]+Table214[[#This Row],[چکهای نزد صندوق]]</f>
        <v>0</v>
      </c>
      <c r="G142" s="12">
        <f>IFERROR(INDEX('مانده سوفاله'!F:F,MATCH(Table214[[#This Row],[كد تفصيلي]],'مانده سوفاله'!A:A,0)),0)</f>
        <v>-425</v>
      </c>
    </row>
    <row r="143" spans="1:7" customFormat="1" ht="24.75" customHeight="1" x14ac:dyDescent="0.35">
      <c r="A143" s="53">
        <v>30072</v>
      </c>
      <c r="B143" s="56" t="s">
        <v>117</v>
      </c>
      <c r="C143" s="10">
        <f>IFERROR(INDEX('حسابهای دریافتنی'!H:H,MATCH(Table214[[#This Row],[كد تفصيلي]],'حسابهای دریافتنی'!A:A,0)),0)</f>
        <v>-30178900</v>
      </c>
      <c r="D143" s="11">
        <f>IFERROR(INDEX('درجریان وصول'!F:F,MATCH(Table214[[#This Row],[كد تفصيلي]],'درجریان وصول'!A:A,0)),0)</f>
        <v>0</v>
      </c>
      <c r="E143" s="11">
        <f>IFERROR(INDEX('چکهای دریافتنی'!F:F,MATCH(Table214[[#This Row],[كد تفصيلي]],'چکهای دریافتنی'!A:A,0)),0)</f>
        <v>0</v>
      </c>
      <c r="F143" s="11">
        <f>Table214[[#This Row],[حسابهای دریافتنی]]+Table214[[#This Row],[چکهای در جریان وصول]]+Table214[[#This Row],[چکهای نزد صندوق]]</f>
        <v>-30178900</v>
      </c>
      <c r="G143" s="12">
        <f>IFERROR(INDEX('مانده سوفاله'!F:F,MATCH(Table214[[#This Row],[كد تفصيلي]],'مانده سوفاله'!A:A,0)),0)</f>
        <v>-79</v>
      </c>
    </row>
    <row r="144" spans="1:7" customFormat="1" ht="24.75" customHeight="1" x14ac:dyDescent="0.35">
      <c r="A144" s="54">
        <v>10104</v>
      </c>
      <c r="B144" s="55" t="s">
        <v>293</v>
      </c>
      <c r="C144" s="10">
        <f>IFERROR(INDEX('حسابهای دریافتنی'!H:H,MATCH(Table214[[#This Row],[كد تفصيلي]],'حسابهای دریافتنی'!A:A,0)),0)</f>
        <v>0</v>
      </c>
      <c r="D144" s="11">
        <f>IFERROR(INDEX('درجریان وصول'!F:F,MATCH(Table214[[#This Row],[كد تفصيلي]],'درجریان وصول'!A:A,0)),0)</f>
        <v>0</v>
      </c>
      <c r="E144" s="11">
        <f>IFERROR(INDEX('چکهای دریافتنی'!F:F,MATCH(Table214[[#This Row],[كد تفصيلي]],'چکهای دریافتنی'!A:A,0)),0)</f>
        <v>0</v>
      </c>
      <c r="F144" s="11">
        <f>Table214[[#This Row],[حسابهای دریافتنی]]+Table214[[#This Row],[چکهای در جریان وصول]]+Table214[[#This Row],[چکهای نزد صندوق]]</f>
        <v>0</v>
      </c>
      <c r="G144" s="12">
        <f>IFERROR(INDEX('مانده سوفاله'!F:F,MATCH(Table214[[#This Row],[كد تفصيلي]],'مانده سوفاله'!A:A,0)),0)</f>
        <v>4065</v>
      </c>
    </row>
    <row r="145" spans="1:7" customFormat="1" ht="24.75" customHeight="1" x14ac:dyDescent="0.35">
      <c r="A145" s="54">
        <v>30000</v>
      </c>
      <c r="B145" s="55" t="s">
        <v>189</v>
      </c>
      <c r="C145" s="10">
        <f>IFERROR(INDEX('حسابهای دریافتنی'!H:H,MATCH(Table214[[#This Row],[كد تفصيلي]],'حسابهای دریافتنی'!A:A,0)),0)</f>
        <v>-55440000</v>
      </c>
      <c r="D145" s="11">
        <f>IFERROR(INDEX('درجریان وصول'!F:F,MATCH(Table214[[#This Row],[كد تفصيلي]],'درجریان وصول'!A:A,0)),0)</f>
        <v>0</v>
      </c>
      <c r="E145" s="11">
        <f>IFERROR(INDEX('چکهای دریافتنی'!F:F,MATCH(Table214[[#This Row],[كد تفصيلي]],'چکهای دریافتنی'!A:A,0)),0)</f>
        <v>0</v>
      </c>
      <c r="F145" s="11">
        <f>Table214[[#This Row],[حسابهای دریافتنی]]+Table214[[#This Row],[چکهای در جریان وصول]]+Table214[[#This Row],[چکهای نزد صندوق]]</f>
        <v>-55440000</v>
      </c>
      <c r="G145" s="12">
        <f>IFERROR(INDEX('مانده سوفاله'!F:F,MATCH(Table214[[#This Row],[كد تفصيلي]],'مانده سوفاله'!A:A,0)),0)</f>
        <v>0</v>
      </c>
    </row>
    <row r="146" spans="1:7" customFormat="1" ht="24.75" customHeight="1" x14ac:dyDescent="0.35">
      <c r="A146" s="54">
        <v>30133</v>
      </c>
      <c r="B146" s="55" t="s">
        <v>251</v>
      </c>
      <c r="C146" s="10">
        <f>IFERROR(INDEX('حسابهای دریافتنی'!H:H,MATCH(Table214[[#This Row],[كد تفصيلي]],'حسابهای دریافتنی'!A:A,0)),0)</f>
        <v>-66889500</v>
      </c>
      <c r="D146" s="11">
        <f>IFERROR(INDEX('درجریان وصول'!F:F,MATCH(Table214[[#This Row],[كد تفصيلي]],'درجریان وصول'!A:A,0)),0)</f>
        <v>0</v>
      </c>
      <c r="E146" s="11">
        <f>IFERROR(INDEX('چکهای دریافتنی'!F:F,MATCH(Table214[[#This Row],[كد تفصيلي]],'چکهای دریافتنی'!A:A,0)),0)</f>
        <v>0</v>
      </c>
      <c r="F146" s="11">
        <f>Table214[[#This Row],[حسابهای دریافتنی]]+Table214[[#This Row],[چکهای در جریان وصول]]+Table214[[#This Row],[چکهای نزد صندوق]]</f>
        <v>-66889500</v>
      </c>
      <c r="G146" s="12">
        <f>IFERROR(INDEX('مانده سوفاله'!F:F,MATCH(Table214[[#This Row],[كد تفصيلي]],'مانده سوفاله'!A:A,0)),0)</f>
        <v>0</v>
      </c>
    </row>
    <row r="147" spans="1:7" customFormat="1" ht="24.75" customHeight="1" x14ac:dyDescent="0.35">
      <c r="A147" s="53">
        <v>10089</v>
      </c>
      <c r="B147" s="56" t="s">
        <v>255</v>
      </c>
      <c r="C147" s="10">
        <f>IFERROR(INDEX('حسابهای دریافتنی'!H:H,MATCH(Table214[[#This Row],[كد تفصيلي]],'حسابهای دریافتنی'!A:A,0)),0)</f>
        <v>-143944000</v>
      </c>
      <c r="D147" s="11">
        <f>IFERROR(INDEX('درجریان وصول'!F:F,MATCH(Table214[[#This Row],[كد تفصيلي]],'درجریان وصول'!A:A,0)),0)</f>
        <v>0</v>
      </c>
      <c r="E147" s="11">
        <f>IFERROR(INDEX('چکهای دریافتنی'!F:F,MATCH(Table214[[#This Row],[كد تفصيلي]],'چکهای دریافتنی'!A:A,0)),0)</f>
        <v>0</v>
      </c>
      <c r="F147" s="11">
        <f>Table214[[#This Row],[حسابهای دریافتنی]]+Table214[[#This Row],[چکهای در جریان وصول]]+Table214[[#This Row],[چکهای نزد صندوق]]</f>
        <v>-143944000</v>
      </c>
      <c r="G147" s="12">
        <f>IFERROR(INDEX('مانده سوفاله'!F:F,MATCH(Table214[[#This Row],[كد تفصيلي]],'مانده سوفاله'!A:A,0)),0)</f>
        <v>-948</v>
      </c>
    </row>
    <row r="148" spans="1:7" customFormat="1" ht="24.75" customHeight="1" x14ac:dyDescent="0.35">
      <c r="A148" s="53">
        <v>30001</v>
      </c>
      <c r="B148" s="56" t="s">
        <v>190</v>
      </c>
      <c r="C148" s="10">
        <f>IFERROR(INDEX('حسابهای دریافتنی'!H:H,MATCH(Table214[[#This Row],[كد تفصيلي]],'حسابهای دریافتنی'!A:A,0)),0)</f>
        <v>119647176</v>
      </c>
      <c r="D148" s="11">
        <f>IFERROR(INDEX('درجریان وصول'!F:F,MATCH(Table214[[#This Row],[كد تفصيلي]],'درجریان وصول'!A:A,0)),0)</f>
        <v>0</v>
      </c>
      <c r="E148" s="11">
        <f>IFERROR(INDEX('چکهای دریافتنی'!F:F,MATCH(Table214[[#This Row],[كد تفصيلي]],'چکهای دریافتنی'!A:A,0)),0)</f>
        <v>0</v>
      </c>
      <c r="F148" s="11">
        <f>Table214[[#This Row],[حسابهای دریافتنی]]+Table214[[#This Row],[چکهای در جریان وصول]]+Table214[[#This Row],[چکهای نزد صندوق]]</f>
        <v>119647176</v>
      </c>
      <c r="G148" s="12">
        <f>IFERROR(INDEX('مانده سوفاله'!F:F,MATCH(Table214[[#This Row],[كد تفصيلي]],'مانده سوفاله'!A:A,0)),0)</f>
        <v>123</v>
      </c>
    </row>
    <row r="149" spans="1:7" customFormat="1" ht="24.75" customHeight="1" x14ac:dyDescent="0.35">
      <c r="A149" s="54">
        <v>10119</v>
      </c>
      <c r="B149" s="55" t="s">
        <v>333</v>
      </c>
      <c r="C149" s="10">
        <f>IFERROR(INDEX('حسابهای دریافتنی'!H:H,MATCH(Table214[[#This Row],[كد تفصيلي]],'حسابهای دریافتنی'!A:A,0)),0)</f>
        <v>-2592000</v>
      </c>
      <c r="D149" s="11">
        <f>IFERROR(INDEX('درجریان وصول'!F:F,MATCH(Table214[[#This Row],[كد تفصيلي]],'درجریان وصول'!A:A,0)),0)</f>
        <v>0</v>
      </c>
      <c r="E149" s="11">
        <f>IFERROR(INDEX('چکهای دریافتنی'!F:F,MATCH(Table214[[#This Row],[كد تفصيلي]],'چکهای دریافتنی'!A:A,0)),0)</f>
        <v>0</v>
      </c>
      <c r="F149" s="11">
        <f>Table214[[#This Row],[حسابهای دریافتنی]]+Table214[[#This Row],[چکهای در جریان وصول]]+Table214[[#This Row],[چکهای نزد صندوق]]</f>
        <v>-2592000</v>
      </c>
      <c r="G149" s="12">
        <f>IFERROR(INDEX('مانده سوفاله'!F:F,MATCH(Table214[[#This Row],[كد تفصيلي]],'مانده سوفاله'!A:A,0)),0)</f>
        <v>353</v>
      </c>
    </row>
    <row r="150" spans="1:7" customFormat="1" ht="24.75" customHeight="1" x14ac:dyDescent="0.35">
      <c r="A150" s="53">
        <v>30190</v>
      </c>
      <c r="B150" s="56" t="s">
        <v>459</v>
      </c>
      <c r="C150" s="10">
        <f>IFERROR(INDEX('حسابهای دریافتنی'!H:H,MATCH(Table214[[#This Row],[كد تفصيلي]],'حسابهای دریافتنی'!A:A,0)),0)</f>
        <v>328477520</v>
      </c>
      <c r="D150" s="11">
        <f>IFERROR(INDEX('درجریان وصول'!F:F,MATCH(Table214[[#This Row],[كد تفصيلي]],'درجریان وصول'!A:A,0)),0)</f>
        <v>0</v>
      </c>
      <c r="E150" s="11">
        <f>IFERROR(INDEX('چکهای دریافتنی'!F:F,MATCH(Table214[[#This Row],[كد تفصيلي]],'چکهای دریافتنی'!A:A,0)),0)</f>
        <v>0</v>
      </c>
      <c r="F150" s="11">
        <f>Table214[[#This Row],[حسابهای دریافتنی]]+Table214[[#This Row],[چکهای در جریان وصول]]+Table214[[#This Row],[چکهای نزد صندوق]]</f>
        <v>328477520</v>
      </c>
      <c r="G150" s="12">
        <f>IFERROR(INDEX('مانده سوفاله'!F:F,MATCH(Table214[[#This Row],[كد تفصيلي]],'مانده سوفاله'!A:A,0)),0)</f>
        <v>1790</v>
      </c>
    </row>
    <row r="151" spans="1:7" customFormat="1" ht="24.75" customHeight="1" x14ac:dyDescent="0.35">
      <c r="A151" s="54">
        <v>30016</v>
      </c>
      <c r="B151" s="55" t="s">
        <v>253</v>
      </c>
      <c r="C151" s="10">
        <f>IFERROR(INDEX('حسابهای دریافتنی'!H:H,MATCH(Table214[[#This Row],[كد تفصيلي]],'حسابهای دریافتنی'!A:A,0)),0)</f>
        <v>0</v>
      </c>
      <c r="D151" s="11">
        <f>IFERROR(INDEX('درجریان وصول'!F:F,MATCH(Table214[[#This Row],[كد تفصيلي]],'درجریان وصول'!A:A,0)),0)</f>
        <v>0</v>
      </c>
      <c r="E151" s="11">
        <f>IFERROR(INDEX('چکهای دریافتنی'!F:F,MATCH(Table214[[#This Row],[كد تفصيلي]],'چکهای دریافتنی'!A:A,0)),0)</f>
        <v>0</v>
      </c>
      <c r="F151" s="11">
        <f>Table214[[#This Row],[حسابهای دریافتنی]]+Table214[[#This Row],[چکهای در جریان وصول]]+Table214[[#This Row],[چکهای نزد صندوق]]</f>
        <v>0</v>
      </c>
      <c r="G151" s="12">
        <f>IFERROR(INDEX('مانده سوفاله'!F:F,MATCH(Table214[[#This Row],[كد تفصيلي]],'مانده سوفاله'!A:A,0)),0)</f>
        <v>0</v>
      </c>
    </row>
    <row r="152" spans="1:7" customFormat="1" ht="24.75" customHeight="1" x14ac:dyDescent="0.35">
      <c r="A152" s="53">
        <v>10009</v>
      </c>
      <c r="B152" s="56" t="s">
        <v>16</v>
      </c>
      <c r="C152" s="10">
        <f>IFERROR(INDEX('حسابهای دریافتنی'!H:H,MATCH(Table214[[#This Row],[كد تفصيلي]],'حسابهای دریافتنی'!A:A,0)),0)</f>
        <v>-4260580000</v>
      </c>
      <c r="D152" s="11">
        <f>IFERROR(INDEX('درجریان وصول'!F:F,MATCH(Table214[[#This Row],[كد تفصيلي]],'درجریان وصول'!A:A,0)),0)</f>
        <v>0</v>
      </c>
      <c r="E152" s="11">
        <f>IFERROR(INDEX('چکهای دریافتنی'!F:F,MATCH(Table214[[#This Row],[كد تفصيلي]],'چکهای دریافتنی'!A:A,0)),0)</f>
        <v>1600000000</v>
      </c>
      <c r="F152" s="11">
        <f>Table214[[#This Row],[حسابهای دریافتنی]]+Table214[[#This Row],[چکهای در جریان وصول]]+Table214[[#This Row],[چکهای نزد صندوق]]</f>
        <v>-2660580000</v>
      </c>
      <c r="G152" s="12">
        <f>IFERROR(INDEX('مانده سوفاله'!F:F,MATCH(Table214[[#This Row],[كد تفصيلي]],'مانده سوفاله'!A:A,0)),0)</f>
        <v>9952</v>
      </c>
    </row>
    <row r="153" spans="1:7" customFormat="1" ht="24.75" customHeight="1" x14ac:dyDescent="0.35">
      <c r="A153" s="53">
        <v>10079</v>
      </c>
      <c r="B153" s="56" t="s">
        <v>174</v>
      </c>
      <c r="C153" s="10">
        <f>IFERROR(INDEX('حسابهای دریافتنی'!H:H,MATCH(Table214[[#This Row],[كد تفصيلي]],'حسابهای دریافتنی'!A:A,0)),0)</f>
        <v>-226593500</v>
      </c>
      <c r="D153" s="11">
        <f>IFERROR(INDEX('درجریان وصول'!F:F,MATCH(Table214[[#This Row],[كد تفصيلي]],'درجریان وصول'!A:A,0)),0)</f>
        <v>0</v>
      </c>
      <c r="E153" s="11">
        <f>IFERROR(INDEX('چکهای دریافتنی'!F:F,MATCH(Table214[[#This Row],[كد تفصيلي]],'چکهای دریافتنی'!A:A,0)),0)</f>
        <v>0</v>
      </c>
      <c r="F153" s="11">
        <f>Table214[[#This Row],[حسابهای دریافتنی]]+Table214[[#This Row],[چکهای در جریان وصول]]+Table214[[#This Row],[چکهای نزد صندوق]]</f>
        <v>-226593500</v>
      </c>
      <c r="G153" s="12">
        <f>IFERROR(INDEX('مانده سوفاله'!F:F,MATCH(Table214[[#This Row],[كد تفصيلي]],'مانده سوفاله'!A:A,0)),0)</f>
        <v>0</v>
      </c>
    </row>
    <row r="154" spans="1:7" ht="24.75" customHeight="1" x14ac:dyDescent="0.35">
      <c r="A154" s="26">
        <v>10019</v>
      </c>
      <c r="B154" s="56" t="s">
        <v>26</v>
      </c>
      <c r="C154" s="10">
        <f>IFERROR(INDEX('حسابهای دریافتنی'!H:H,MATCH(Table214[[#This Row],[كد تفصيلي]],'حسابهای دریافتنی'!A:A,0)),0)</f>
        <v>0</v>
      </c>
      <c r="D154" s="11">
        <f>IFERROR(INDEX('درجریان وصول'!F:F,MATCH(Table214[[#This Row],[كد تفصيلي]],'درجریان وصول'!A:A,0)),0)</f>
        <v>0</v>
      </c>
      <c r="E154" s="11">
        <f>IFERROR(INDEX('چکهای دریافتنی'!F:F,MATCH(Table214[[#This Row],[كد تفصيلي]],'چکهای دریافتنی'!A:A,0)),0)</f>
        <v>0</v>
      </c>
      <c r="F154" s="11">
        <f>Table214[[#This Row],[حسابهای دریافتنی]]+Table214[[#This Row],[چکهای در جریان وصول]]+Table214[[#This Row],[چکهای نزد صندوق]]</f>
        <v>0</v>
      </c>
      <c r="G154" s="12">
        <f>IFERROR(INDEX('مانده سوفاله'!F:F,MATCH(Table214[[#This Row],[كد تفصيلي]],'مانده سوفاله'!A:A,0)),0)</f>
        <v>285</v>
      </c>
    </row>
    <row r="155" spans="1:7" ht="24.75" customHeight="1" x14ac:dyDescent="0.35">
      <c r="A155" s="26">
        <v>30156</v>
      </c>
      <c r="B155" s="56" t="s">
        <v>290</v>
      </c>
      <c r="C155" s="10">
        <f>IFERROR(INDEX('حسابهای دریافتنی'!H:H,MATCH(Table214[[#This Row],[كد تفصيلي]],'حسابهای دریافتنی'!A:A,0)),0)</f>
        <v>-180917500</v>
      </c>
      <c r="D155" s="11">
        <f>IFERROR(INDEX('درجریان وصول'!F:F,MATCH(Table214[[#This Row],[كد تفصيلي]],'درجریان وصول'!A:A,0)),0)</f>
        <v>0</v>
      </c>
      <c r="E155" s="11">
        <f>IFERROR(INDEX('چکهای دریافتنی'!F:F,MATCH(Table214[[#This Row],[كد تفصيلي]],'چکهای دریافتنی'!A:A,0)),0)</f>
        <v>0</v>
      </c>
      <c r="F155" s="11">
        <f>Table214[[#This Row],[حسابهای دریافتنی]]+Table214[[#This Row],[چکهای در جریان وصول]]+Table214[[#This Row],[چکهای نزد صندوق]]</f>
        <v>-180917500</v>
      </c>
      <c r="G155" s="12">
        <f>IFERROR(INDEX('مانده سوفاله'!F:F,MATCH(Table214[[#This Row],[كد تفصيلي]],'مانده سوفاله'!A:A,0)),0)</f>
        <v>0</v>
      </c>
    </row>
    <row r="156" spans="1:7" ht="24.75" customHeight="1" x14ac:dyDescent="0.35">
      <c r="A156" s="27">
        <v>10056</v>
      </c>
      <c r="B156" s="55" t="s">
        <v>166</v>
      </c>
      <c r="C156" s="10">
        <f>IFERROR(INDEX('حسابهای دریافتنی'!H:H,MATCH(Table214[[#This Row],[كد تفصيلي]],'حسابهای دریافتنی'!A:A,0)),0)</f>
        <v>812653500</v>
      </c>
      <c r="D156" s="11">
        <f>IFERROR(INDEX('درجریان وصول'!F:F,MATCH(Table214[[#This Row],[كد تفصيلي]],'درجریان وصول'!A:A,0)),0)</f>
        <v>0</v>
      </c>
      <c r="E156" s="11">
        <f>IFERROR(INDEX('چکهای دریافتنی'!F:F,MATCH(Table214[[#This Row],[كد تفصيلي]],'چکهای دریافتنی'!A:A,0)),0)</f>
        <v>0</v>
      </c>
      <c r="F156" s="11">
        <f>Table214[[#This Row],[حسابهای دریافتنی]]+Table214[[#This Row],[چکهای در جریان وصول]]+Table214[[#This Row],[چکهای نزد صندوق]]</f>
        <v>812653500</v>
      </c>
      <c r="G156" s="12">
        <f>IFERROR(INDEX('مانده سوفاله'!F:F,MATCH(Table214[[#This Row],[كد تفصيلي]],'مانده سوفاله'!A:A,0)),0)</f>
        <v>0</v>
      </c>
    </row>
    <row r="157" spans="1:7" ht="24.75" customHeight="1" x14ac:dyDescent="0.35">
      <c r="A157" s="26">
        <v>10029</v>
      </c>
      <c r="B157" s="56" t="s">
        <v>35</v>
      </c>
      <c r="C157" s="10">
        <f>IFERROR(INDEX('حسابهای دریافتنی'!H:H,MATCH(Table214[[#This Row],[كد تفصيلي]],'حسابهای دریافتنی'!A:A,0)),0)</f>
        <v>-1038298620</v>
      </c>
      <c r="D157" s="11">
        <f>IFERROR(INDEX('درجریان وصول'!F:F,MATCH(Table214[[#This Row],[كد تفصيلي]],'درجریان وصول'!A:A,0)),0)</f>
        <v>0</v>
      </c>
      <c r="E157" s="11">
        <f>IFERROR(INDEX('چکهای دریافتنی'!F:F,MATCH(Table214[[#This Row],[كد تفصيلي]],'چکهای دریافتنی'!A:A,0)),0)</f>
        <v>2019000000</v>
      </c>
      <c r="F157" s="11">
        <f>Table214[[#This Row],[حسابهای دریافتنی]]+Table214[[#This Row],[چکهای در جریان وصول]]+Table214[[#This Row],[چکهای نزد صندوق]]</f>
        <v>980701380</v>
      </c>
      <c r="G157" s="12">
        <f>IFERROR(INDEX('مانده سوفاله'!F:F,MATCH(Table214[[#This Row],[كد تفصيلي]],'مانده سوفاله'!A:A,0)),0)</f>
        <v>6603</v>
      </c>
    </row>
    <row r="158" spans="1:7" ht="24.75" customHeight="1" x14ac:dyDescent="0.35">
      <c r="A158" s="26">
        <v>30182</v>
      </c>
      <c r="B158" s="56" t="s">
        <v>342</v>
      </c>
      <c r="C158" s="10">
        <f>IFERROR(INDEX('حسابهای دریافتنی'!H:H,MATCH(Table214[[#This Row],[كد تفصيلي]],'حسابهای دریافتنی'!A:A,0)),0)</f>
        <v>-528256400</v>
      </c>
      <c r="D158" s="11">
        <f>IFERROR(INDEX('درجریان وصول'!F:F,MATCH(Table214[[#This Row],[كد تفصيلي]],'درجریان وصول'!A:A,0)),0)</f>
        <v>0</v>
      </c>
      <c r="E158" s="11">
        <f>IFERROR(INDEX('چکهای دریافتنی'!F:F,MATCH(Table214[[#This Row],[كد تفصيلي]],'چکهای دریافتنی'!A:A,0)),0)</f>
        <v>0</v>
      </c>
      <c r="F158" s="11">
        <f>Table214[[#This Row],[حسابهای دریافتنی]]+Table214[[#This Row],[چکهای در جریان وصول]]+Table214[[#This Row],[چکهای نزد صندوق]]</f>
        <v>-528256400</v>
      </c>
      <c r="G158" s="12">
        <f>IFERROR(INDEX('مانده سوفاله'!F:F,MATCH(Table214[[#This Row],[كد تفصيلي]],'مانده سوفاله'!A:A,0)),0)</f>
        <v>0</v>
      </c>
    </row>
    <row r="159" spans="1:7" ht="24.75" customHeight="1" x14ac:dyDescent="0.35">
      <c r="A159" s="27">
        <v>50008</v>
      </c>
      <c r="B159" s="55" t="s">
        <v>146</v>
      </c>
      <c r="C159" s="10">
        <f>IFERROR(INDEX('حسابهای دریافتنی'!H:H,MATCH(Table214[[#This Row],[كد تفصيلي]],'حسابهای دریافتنی'!A:A,0)),0)</f>
        <v>-406230000</v>
      </c>
      <c r="D159" s="11">
        <f>IFERROR(INDEX('درجریان وصول'!F:F,MATCH(Table214[[#This Row],[كد تفصيلي]],'درجریان وصول'!A:A,0)),0)</f>
        <v>0</v>
      </c>
      <c r="E159" s="11">
        <f>IFERROR(INDEX('چکهای دریافتنی'!F:F,MATCH(Table214[[#This Row],[كد تفصيلي]],'چکهای دریافتنی'!A:A,0)),0)</f>
        <v>0</v>
      </c>
      <c r="F159" s="11">
        <f>Table214[[#This Row],[حسابهای دریافتنی]]+Table214[[#This Row],[چکهای در جریان وصول]]+Table214[[#This Row],[چکهای نزد صندوق]]</f>
        <v>-406230000</v>
      </c>
      <c r="G159" s="12">
        <f>IFERROR(INDEX('مانده سوفاله'!F:F,MATCH(Table214[[#This Row],[كد تفصيلي]],'مانده سوفاله'!A:A,0)),0)</f>
        <v>0</v>
      </c>
    </row>
    <row r="160" spans="1:7" ht="24.75" customHeight="1" x14ac:dyDescent="0.35">
      <c r="A160" s="27">
        <v>30040</v>
      </c>
      <c r="B160" s="55" t="s">
        <v>87</v>
      </c>
      <c r="C160" s="10">
        <f>IFERROR(INDEX('حسابهای دریافتنی'!H:H,MATCH(Table214[[#This Row],[كد تفصيلي]],'حسابهای دریافتنی'!A:A,0)),0)</f>
        <v>0</v>
      </c>
      <c r="D160" s="11">
        <f>IFERROR(INDEX('درجریان وصول'!F:F,MATCH(Table214[[#This Row],[كد تفصيلي]],'درجریان وصول'!A:A,0)),0)</f>
        <v>0</v>
      </c>
      <c r="E160" s="11">
        <f>IFERROR(INDEX('چکهای دریافتنی'!F:F,MATCH(Table214[[#This Row],[كد تفصيلي]],'چکهای دریافتنی'!A:A,0)),0)</f>
        <v>0</v>
      </c>
      <c r="F160" s="11">
        <f>Table214[[#This Row],[حسابهای دریافتنی]]+Table214[[#This Row],[چکهای در جریان وصول]]+Table214[[#This Row],[چکهای نزد صندوق]]</f>
        <v>0</v>
      </c>
      <c r="G160" s="12">
        <f>IFERROR(INDEX('مانده سوفاله'!F:F,MATCH(Table214[[#This Row],[كد تفصيلي]],'مانده سوفاله'!A:A,0)),0)</f>
        <v>0</v>
      </c>
    </row>
    <row r="161" spans="1:7" ht="24.75" customHeight="1" x14ac:dyDescent="0.35">
      <c r="A161" s="27">
        <v>50016</v>
      </c>
      <c r="B161" s="55" t="s">
        <v>160</v>
      </c>
      <c r="C161" s="10">
        <f>IFERROR(INDEX('حسابهای دریافتنی'!H:H,MATCH(Table214[[#This Row],[كد تفصيلي]],'حسابهای دریافتنی'!A:A,0)),0)</f>
        <v>6344545550</v>
      </c>
      <c r="D161" s="11">
        <f>IFERROR(INDEX('درجریان وصول'!F:F,MATCH(Table214[[#This Row],[كد تفصيلي]],'درجریان وصول'!A:A,0)),0)</f>
        <v>0</v>
      </c>
      <c r="E161" s="11">
        <f>IFERROR(INDEX('چکهای دریافتنی'!F:F,MATCH(Table214[[#This Row],[كد تفصيلي]],'چکهای دریافتنی'!A:A,0)),0)</f>
        <v>0</v>
      </c>
      <c r="F161" s="11">
        <f>Table214[[#This Row],[حسابهای دریافتنی]]+Table214[[#This Row],[چکهای در جریان وصول]]+Table214[[#This Row],[چکهای نزد صندوق]]</f>
        <v>6344545550</v>
      </c>
      <c r="G161" s="12">
        <f>IFERROR(INDEX('مانده سوفاله'!F:F,MATCH(Table214[[#This Row],[كد تفصيلي]],'مانده سوفاله'!A:A,0)),0)</f>
        <v>5508</v>
      </c>
    </row>
    <row r="162" spans="1:7" ht="24.75" customHeight="1" x14ac:dyDescent="0.35">
      <c r="A162" s="26">
        <v>79120</v>
      </c>
      <c r="B162" s="56" t="s">
        <v>195</v>
      </c>
      <c r="C162" s="10">
        <f>IFERROR(INDEX('حسابهای دریافتنی'!H:H,MATCH(Table214[[#This Row],[كد تفصيلي]],'حسابهای دریافتنی'!A:A,0)),0)</f>
        <v>-15776160000</v>
      </c>
      <c r="D162" s="11">
        <f>IFERROR(INDEX('درجریان وصول'!F:F,MATCH(Table214[[#This Row],[كد تفصيلي]],'درجریان وصول'!A:A,0)),0)</f>
        <v>0</v>
      </c>
      <c r="E162" s="11">
        <f>IFERROR(INDEX('چکهای دریافتنی'!F:F,MATCH(Table214[[#This Row],[كد تفصيلي]],'چکهای دریافتنی'!A:A,0)),0)</f>
        <v>0</v>
      </c>
      <c r="F162" s="11">
        <f>Table214[[#This Row],[حسابهای دریافتنی]]+Table214[[#This Row],[چکهای در جریان وصول]]+Table214[[#This Row],[چکهای نزد صندوق]]</f>
        <v>-15776160000</v>
      </c>
      <c r="G162" s="12">
        <f>IFERROR(INDEX('مانده سوفاله'!F:F,MATCH(Table214[[#This Row],[كد تفصيلي]],'مانده سوفاله'!A:A,0)),0)</f>
        <v>0</v>
      </c>
    </row>
    <row r="163" spans="1:7" ht="24.75" customHeight="1" x14ac:dyDescent="0.35">
      <c r="A163" s="27">
        <v>30169</v>
      </c>
      <c r="B163" s="55" t="s">
        <v>318</v>
      </c>
      <c r="C163" s="10">
        <f>IFERROR(INDEX('حسابهای دریافتنی'!H:H,MATCH(Table214[[#This Row],[كد تفصيلي]],'حسابهای دریافتنی'!A:A,0)),0)</f>
        <v>-658993316</v>
      </c>
      <c r="D163" s="11">
        <f>IFERROR(INDEX('درجریان وصول'!F:F,MATCH(Table214[[#This Row],[كد تفصيلي]],'درجریان وصول'!A:A,0)),0)</f>
        <v>0</v>
      </c>
      <c r="E163" s="11">
        <f>IFERROR(INDEX('چکهای دریافتنی'!F:F,MATCH(Table214[[#This Row],[كد تفصيلي]],'چکهای دریافتنی'!A:A,0)),0)</f>
        <v>2085000000</v>
      </c>
      <c r="F163" s="11">
        <f>Table214[[#This Row],[حسابهای دریافتنی]]+Table214[[#This Row],[چکهای در جریان وصول]]+Table214[[#This Row],[چکهای نزد صندوق]]</f>
        <v>1426006684</v>
      </c>
      <c r="G163" s="12">
        <f>IFERROR(INDEX('مانده سوفاله'!F:F,MATCH(Table214[[#This Row],[كد تفصيلي]],'مانده سوفاله'!A:A,0)),0)</f>
        <v>0</v>
      </c>
    </row>
    <row r="164" spans="1:7" ht="24.75" customHeight="1" x14ac:dyDescent="0.35">
      <c r="A164" s="27">
        <v>30187</v>
      </c>
      <c r="B164" s="55" t="s">
        <v>369</v>
      </c>
      <c r="C164" s="10">
        <f>IFERROR(INDEX('حسابهای دریافتنی'!H:H,MATCH(Table214[[#This Row],[كد تفصيلي]],'حسابهای دریافتنی'!A:A,0)),0)</f>
        <v>337825500</v>
      </c>
      <c r="D164" s="11">
        <f>IFERROR(INDEX('درجریان وصول'!F:F,MATCH(Table214[[#This Row],[كد تفصيلي]],'درجریان وصول'!A:A,0)),0)</f>
        <v>0</v>
      </c>
      <c r="E164" s="11">
        <f>IFERROR(INDEX('چکهای دریافتنی'!F:F,MATCH(Table214[[#This Row],[كد تفصيلي]],'چکهای دریافتنی'!A:A,0)),0)</f>
        <v>0</v>
      </c>
      <c r="F164" s="11">
        <f>Table214[[#This Row],[حسابهای دریافتنی]]+Table214[[#This Row],[چکهای در جریان وصول]]+Table214[[#This Row],[چکهای نزد صندوق]]</f>
        <v>337825500</v>
      </c>
      <c r="G164" s="12">
        <f>IFERROR(INDEX('مانده سوفاله'!F:F,MATCH(Table214[[#This Row],[كد تفصيلي]],'مانده سوفاله'!A:A,0)),0)</f>
        <v>-108</v>
      </c>
    </row>
    <row r="165" spans="1:7" ht="24.75" customHeight="1" x14ac:dyDescent="0.35">
      <c r="A165" s="26">
        <v>50005</v>
      </c>
      <c r="B165" s="56" t="s">
        <v>148</v>
      </c>
      <c r="C165" s="10">
        <f>IFERROR(INDEX('حسابهای دریافتنی'!H:H,MATCH(Table214[[#This Row],[كد تفصيلي]],'حسابهای دریافتنی'!A:A,0)),0)</f>
        <v>0</v>
      </c>
      <c r="D165" s="11">
        <f>IFERROR(INDEX('درجریان وصول'!F:F,MATCH(Table214[[#This Row],[كد تفصيلي]],'درجریان وصول'!A:A,0)),0)</f>
        <v>0</v>
      </c>
      <c r="E165" s="11">
        <f>IFERROR(INDEX('چکهای دریافتنی'!F:F,MATCH(Table214[[#This Row],[كد تفصيلي]],'چکهای دریافتنی'!A:A,0)),0)</f>
        <v>0</v>
      </c>
      <c r="F165" s="11">
        <f>Table214[[#This Row],[حسابهای دریافتنی]]+Table214[[#This Row],[چکهای در جریان وصول]]+Table214[[#This Row],[چکهای نزد صندوق]]</f>
        <v>0</v>
      </c>
      <c r="G165" s="12">
        <f>IFERROR(INDEX('مانده سوفاله'!F:F,MATCH(Table214[[#This Row],[كد تفصيلي]],'مانده سوفاله'!A:A,0)),0)</f>
        <v>0</v>
      </c>
    </row>
    <row r="166" spans="1:7" ht="24.75" customHeight="1" x14ac:dyDescent="0.35">
      <c r="A166" s="27">
        <v>30127</v>
      </c>
      <c r="B166" s="55" t="s">
        <v>163</v>
      </c>
      <c r="C166" s="10">
        <f>IFERROR(INDEX('حسابهای دریافتنی'!H:H,MATCH(Table214[[#This Row],[كد تفصيلي]],'حسابهای دریافتنی'!A:A,0)),0)</f>
        <v>31800110000</v>
      </c>
      <c r="D166" s="11">
        <f>IFERROR(INDEX('درجریان وصول'!F:F,MATCH(Table214[[#This Row],[كد تفصيلي]],'درجریان وصول'!A:A,0)),0)</f>
        <v>0</v>
      </c>
      <c r="E166" s="11">
        <f>IFERROR(INDEX('چکهای دریافتنی'!F:F,MATCH(Table214[[#This Row],[كد تفصيلي]],'چکهای دریافتنی'!A:A,0)),0)</f>
        <v>0</v>
      </c>
      <c r="F166" s="11">
        <f>Table214[[#This Row],[حسابهای دریافتنی]]+Table214[[#This Row],[چکهای در جریان وصول]]+Table214[[#This Row],[چکهای نزد صندوق]]</f>
        <v>31800110000</v>
      </c>
      <c r="G166" s="12">
        <f>IFERROR(INDEX('مانده سوفاله'!F:F,MATCH(Table214[[#This Row],[كد تفصيلي]],'مانده سوفاله'!A:A,0)),0)</f>
        <v>-18472</v>
      </c>
    </row>
    <row r="167" spans="1:7" ht="24.75" customHeight="1" x14ac:dyDescent="0.35">
      <c r="A167" s="63"/>
      <c r="B167" s="64"/>
      <c r="C167" s="38">
        <f>SUBTOTAL(109,Table214[حسابهای دریافتنی])</f>
        <v>73970749979</v>
      </c>
      <c r="D167" s="38">
        <f>SUBTOTAL(109,Table214[چکهای در جریان وصول])</f>
        <v>0</v>
      </c>
      <c r="E167" s="38">
        <f>SUBTOTAL(109,Table214[چکهای نزد صندوق])</f>
        <v>62507828942</v>
      </c>
      <c r="F167" s="38"/>
      <c r="G167" s="39">
        <f>SUBTOTAL(109,Table214[مانده سوفاله])</f>
        <v>-132142.5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67"/>
  <sheetViews>
    <sheetView rightToLeft="1" topLeftCell="A41" workbookViewId="0">
      <selection activeCell="G50" sqref="G50"/>
    </sheetView>
  </sheetViews>
  <sheetFormatPr defaultColWidth="9.08984375" defaultRowHeight="22.5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1.75" customHeight="1" thickBot="1" x14ac:dyDescent="0.4">
      <c r="A1" s="97" t="s">
        <v>487</v>
      </c>
      <c r="B1" s="98"/>
      <c r="C1" s="98"/>
      <c r="D1" s="98"/>
      <c r="E1" s="98"/>
      <c r="F1" s="98"/>
      <c r="G1" s="99"/>
    </row>
    <row r="2" spans="1:7" s="2" customFormat="1" ht="69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2.5" customHeight="1" x14ac:dyDescent="0.35">
      <c r="A3" s="27">
        <v>30004</v>
      </c>
      <c r="B3" s="55" t="s">
        <v>54</v>
      </c>
      <c r="C3" s="10">
        <f>IFERROR(INDEX('حسابهای دریافتنی'!H:H,MATCH(Table215[[#This Row],[كد تفصيلي]],'حسابهای دریافتنی'!A:A,0)),0)</f>
        <v>7598548260</v>
      </c>
      <c r="D3" s="11">
        <f>IFERROR(INDEX('درجریان وصول'!F:F,MATCH(Table215[[#This Row],[كد تفصيلي]],'درجریان وصول'!A:A,0)),0)</f>
        <v>0</v>
      </c>
      <c r="E3" s="11">
        <f>IFERROR(INDEX('چکهای دریافتنی'!F:F,MATCH(Table215[[#This Row],[كد تفصيلي]],'چکهای دریافتنی'!A:A,0)),0)</f>
        <v>11698760000</v>
      </c>
      <c r="F3" s="11">
        <f>Table215[[#This Row],[حسابهای دریافتنی]]+Table215[[#This Row],[چکهای در جریان وصول]]+Table215[[#This Row],[چکهای نزد صندوق]]</f>
        <v>19297308260</v>
      </c>
      <c r="G3" s="12">
        <f>IFERROR(INDEX('مانده سوفاله'!F:F,MATCH(Table215[[#This Row],[كد تفصيلي]],'مانده سوفاله'!A:A,0)),0)</f>
        <v>-4237</v>
      </c>
    </row>
    <row r="4" spans="1:7" ht="22.5" customHeight="1" x14ac:dyDescent="0.35">
      <c r="A4" s="26">
        <v>10003</v>
      </c>
      <c r="B4" s="56" t="s">
        <v>10</v>
      </c>
      <c r="C4" s="10">
        <f>IFERROR(INDEX('حسابهای دریافتنی'!H:H,MATCH(Table215[[#This Row],[كد تفصيلي]],'حسابهای دریافتنی'!A:A,0)),0)</f>
        <v>10804267992</v>
      </c>
      <c r="D4" s="11">
        <f>IFERROR(INDEX('درجریان وصول'!F:F,MATCH(Table215[[#This Row],[كد تفصيلي]],'درجریان وصول'!A:A,0)),0)</f>
        <v>0</v>
      </c>
      <c r="E4" s="11">
        <f>IFERROR(INDEX('چکهای دریافتنی'!F:F,MATCH(Table215[[#This Row],[كد تفصيلي]],'چکهای دریافتنی'!A:A,0)),0)</f>
        <v>13698001280</v>
      </c>
      <c r="F4" s="11">
        <f>Table215[[#This Row],[حسابهای دریافتنی]]+Table215[[#This Row],[چکهای در جریان وصول]]+Table215[[#This Row],[چکهای نزد صندوق]]</f>
        <v>24502269272</v>
      </c>
      <c r="G4" s="12">
        <f>IFERROR(INDEX('مانده سوفاله'!F:F,MATCH(Table215[[#This Row],[كد تفصيلي]],'مانده سوفاله'!A:A,0)),0)</f>
        <v>-39886</v>
      </c>
    </row>
    <row r="5" spans="1:7" ht="22.5" customHeight="1" x14ac:dyDescent="0.35">
      <c r="A5" s="26">
        <v>30066</v>
      </c>
      <c r="B5" s="56" t="s">
        <v>111</v>
      </c>
      <c r="C5" s="10">
        <f>IFERROR(INDEX('حسابهای دریافتنی'!H:H,MATCH(Table215[[#This Row],[كد تفصيلي]],'حسابهای دریافتنی'!A:A,0)),0)</f>
        <v>6484147500</v>
      </c>
      <c r="D5" s="11">
        <f>IFERROR(INDEX('درجریان وصول'!F:F,MATCH(Table215[[#This Row],[كد تفصيلي]],'درجریان وصول'!A:A,0)),0)</f>
        <v>0</v>
      </c>
      <c r="E5" s="11">
        <f>IFERROR(INDEX('چکهای دریافتنی'!F:F,MATCH(Table215[[#This Row],[كد تفصيلي]],'چکهای دریافتنی'!A:A,0)),0)</f>
        <v>0</v>
      </c>
      <c r="F5" s="11">
        <f>Table215[[#This Row],[حسابهای دریافتنی]]+Table215[[#This Row],[چکهای در جریان وصول]]+Table215[[#This Row],[چکهای نزد صندوق]]</f>
        <v>6484147500</v>
      </c>
      <c r="G5" s="12">
        <f>IFERROR(INDEX('مانده سوفاله'!F:F,MATCH(Table215[[#This Row],[كد تفصيلي]],'مانده سوفاله'!A:A,0)),0)</f>
        <v>-1320</v>
      </c>
    </row>
    <row r="6" spans="1:7" ht="22.5" customHeight="1" x14ac:dyDescent="0.35">
      <c r="A6" s="27">
        <v>10026</v>
      </c>
      <c r="B6" s="55" t="s">
        <v>32</v>
      </c>
      <c r="C6" s="10">
        <f>IFERROR(INDEX('حسابهای دریافتنی'!H:H,MATCH(Table215[[#This Row],[كد تفصيلي]],'حسابهای دریافتنی'!A:A,0)),0)</f>
        <v>3795031844</v>
      </c>
      <c r="D6" s="11">
        <f>IFERROR(INDEX('درجریان وصول'!F:F,MATCH(Table215[[#This Row],[كد تفصيلي]],'درجریان وصول'!A:A,0)),0)</f>
        <v>0</v>
      </c>
      <c r="E6" s="11">
        <f>IFERROR(INDEX('چکهای دریافتنی'!F:F,MATCH(Table215[[#This Row],[كد تفصيلي]],'چکهای دریافتنی'!A:A,0)),0)</f>
        <v>2690000000</v>
      </c>
      <c r="F6" s="11">
        <f>Table215[[#This Row],[حسابهای دریافتنی]]+Table215[[#This Row],[چکهای در جریان وصول]]+Table215[[#This Row],[چکهای نزد صندوق]]</f>
        <v>6485031844</v>
      </c>
      <c r="G6" s="12">
        <f>IFERROR(INDEX('مانده سوفاله'!F:F,MATCH(Table215[[#This Row],[كد تفصيلي]],'مانده سوفاله'!A:A,0)),0)</f>
        <v>-12543</v>
      </c>
    </row>
    <row r="7" spans="1:7" ht="22.5" customHeight="1" x14ac:dyDescent="0.35">
      <c r="A7" s="26">
        <v>10055</v>
      </c>
      <c r="B7" s="56" t="s">
        <v>162</v>
      </c>
      <c r="C7" s="10">
        <f>IFERROR(INDEX('حسابهای دریافتنی'!H:H,MATCH(Table215[[#This Row],[كد تفصيلي]],'حسابهای دریافتنی'!A:A,0)),0)</f>
        <v>10460111325</v>
      </c>
      <c r="D7" s="11">
        <f>IFERROR(INDEX('درجریان وصول'!F:F,MATCH(Table215[[#This Row],[كد تفصيلي]],'درجریان وصول'!A:A,0)),0)</f>
        <v>0</v>
      </c>
      <c r="E7" s="11">
        <f>IFERROR(INDEX('چکهای دریافتنی'!F:F,MATCH(Table215[[#This Row],[كد تفصيلي]],'چکهای دریافتنی'!A:A,0)),0)</f>
        <v>2783298655</v>
      </c>
      <c r="F7" s="11">
        <f>Table215[[#This Row],[حسابهای دریافتنی]]+Table215[[#This Row],[چکهای در جریان وصول]]+Table215[[#This Row],[چکهای نزد صندوق]]</f>
        <v>13243409980</v>
      </c>
      <c r="G7" s="12">
        <f>IFERROR(INDEX('مانده سوفاله'!F:F,MATCH(Table215[[#This Row],[كد تفصيلي]],'مانده سوفاله'!A:A,0)),0)</f>
        <v>-12714</v>
      </c>
    </row>
    <row r="8" spans="1:7" ht="22.5" customHeight="1" x14ac:dyDescent="0.35">
      <c r="A8" s="26">
        <v>30009</v>
      </c>
      <c r="B8" s="56" t="s">
        <v>164</v>
      </c>
      <c r="C8" s="10">
        <f>IFERROR(INDEX('حسابهای دریافتنی'!H:H,MATCH(Table215[[#This Row],[كد تفصيلي]],'حسابهای دریافتنی'!A:A,0)),0)</f>
        <v>7853844277</v>
      </c>
      <c r="D8" s="11">
        <f>IFERROR(INDEX('درجریان وصول'!F:F,MATCH(Table215[[#This Row],[كد تفصيلي]],'درجریان وصول'!A:A,0)),0)</f>
        <v>0</v>
      </c>
      <c r="E8" s="11">
        <f>IFERROR(INDEX('چکهای دریافتنی'!F:F,MATCH(Table215[[#This Row],[كد تفصيلي]],'چکهای دریافتنی'!A:A,0)),0)</f>
        <v>6474835380</v>
      </c>
      <c r="F8" s="11">
        <f>Table215[[#This Row],[حسابهای دریافتنی]]+Table215[[#This Row],[چکهای در جریان وصول]]+Table215[[#This Row],[چکهای نزد صندوق]]</f>
        <v>14328679657</v>
      </c>
      <c r="G8" s="12">
        <f>IFERROR(INDEX('مانده سوفاله'!F:F,MATCH(Table215[[#This Row],[كد تفصيلي]],'مانده سوفاله'!A:A,0)),0)</f>
        <v>-11452</v>
      </c>
    </row>
    <row r="9" spans="1:7" ht="22.5" customHeight="1" x14ac:dyDescent="0.35">
      <c r="A9" s="26">
        <v>30058</v>
      </c>
      <c r="B9" s="56" t="s">
        <v>103</v>
      </c>
      <c r="C9" s="10">
        <f>IFERROR(INDEX('حسابهای دریافتنی'!H:H,MATCH(Table215[[#This Row],[كد تفصيلي]],'حسابهای دریافتنی'!A:A,0)),0)</f>
        <v>1700045560</v>
      </c>
      <c r="D9" s="11">
        <f>IFERROR(INDEX('درجریان وصول'!F:F,MATCH(Table215[[#This Row],[كد تفصيلي]],'درجریان وصول'!A:A,0)),0)</f>
        <v>0</v>
      </c>
      <c r="E9" s="11">
        <f>IFERROR(INDEX('چکهای دریافتنی'!F:F,MATCH(Table215[[#This Row],[كد تفصيلي]],'چکهای دریافتنی'!A:A,0)),0)</f>
        <v>0</v>
      </c>
      <c r="F9" s="11">
        <f>Table215[[#This Row],[حسابهای دریافتنی]]+Table215[[#This Row],[چکهای در جریان وصول]]+Table215[[#This Row],[چکهای نزد صندوق]]</f>
        <v>1700045560</v>
      </c>
      <c r="G9" s="12">
        <f>IFERROR(INDEX('مانده سوفاله'!F:F,MATCH(Table215[[#This Row],[كد تفصيلي]],'مانده سوفاله'!A:A,0)),0)</f>
        <v>-225</v>
      </c>
    </row>
    <row r="10" spans="1:7" ht="22.5" customHeight="1" x14ac:dyDescent="0.35">
      <c r="A10" s="26">
        <v>30017</v>
      </c>
      <c r="B10" s="56" t="s">
        <v>65</v>
      </c>
      <c r="C10" s="10">
        <f>IFERROR(INDEX('حسابهای دریافتنی'!H:H,MATCH(Table215[[#This Row],[كد تفصيلي]],'حسابهای دریافتنی'!A:A,0)),0)</f>
        <v>905000830</v>
      </c>
      <c r="D10" s="11">
        <f>IFERROR(INDEX('درجریان وصول'!F:F,MATCH(Table215[[#This Row],[كد تفصيلي]],'درجریان وصول'!A:A,0)),0)</f>
        <v>0</v>
      </c>
      <c r="E10" s="11">
        <f>IFERROR(INDEX('چکهای دریافتنی'!F:F,MATCH(Table215[[#This Row],[كد تفصيلي]],'چکهای دریافتنی'!A:A,0)),0)</f>
        <v>0</v>
      </c>
      <c r="F10" s="11">
        <f>Table215[[#This Row],[حسابهای دریافتنی]]+Table215[[#This Row],[چکهای در جریان وصول]]+Table215[[#This Row],[چکهای نزد صندوق]]</f>
        <v>905000830</v>
      </c>
      <c r="G10" s="12">
        <f>IFERROR(INDEX('مانده سوفاله'!F:F,MATCH(Table215[[#This Row],[كد تفصيلي]],'مانده سوفاله'!A:A,0)),0)</f>
        <v>-2186</v>
      </c>
    </row>
    <row r="11" spans="1:7" ht="22.5" customHeight="1" x14ac:dyDescent="0.35">
      <c r="A11" s="27">
        <v>30006</v>
      </c>
      <c r="B11" s="55" t="s">
        <v>56</v>
      </c>
      <c r="C11" s="10">
        <f>IFERROR(INDEX('حسابهای دریافتنی'!H:H,MATCH(Table215[[#This Row],[كد تفصيلي]],'حسابهای دریافتنی'!A:A,0)),0)</f>
        <v>-162677545</v>
      </c>
      <c r="D11" s="11">
        <f>IFERROR(INDEX('درجریان وصول'!F:F,MATCH(Table215[[#This Row],[كد تفصيلي]],'درجریان وصول'!A:A,0)),0)</f>
        <v>0</v>
      </c>
      <c r="E11" s="11">
        <f>IFERROR(INDEX('چکهای دریافتنی'!F:F,MATCH(Table215[[#This Row],[كد تفصيلي]],'چکهای دریافتنی'!A:A,0)),0)</f>
        <v>0</v>
      </c>
      <c r="F11" s="11">
        <f>Table215[[#This Row],[حسابهای دریافتنی]]+Table215[[#This Row],[چکهای در جریان وصول]]+Table215[[#This Row],[چکهای نزد صندوق]]</f>
        <v>-162677545</v>
      </c>
      <c r="G11" s="12">
        <f>IFERROR(INDEX('مانده سوفاله'!F:F,MATCH(Table215[[#This Row],[كد تفصيلي]],'مانده سوفاله'!A:A,0)),0)</f>
        <v>-6</v>
      </c>
    </row>
    <row r="12" spans="1:7" ht="22.5" customHeight="1" x14ac:dyDescent="0.35">
      <c r="A12" s="27">
        <v>30022</v>
      </c>
      <c r="B12" s="55" t="s">
        <v>70</v>
      </c>
      <c r="C12" s="10">
        <f>IFERROR(INDEX('حسابهای دریافتنی'!H:H,MATCH(Table215[[#This Row],[كد تفصيلي]],'حسابهای دریافتنی'!A:A,0)),0)</f>
        <v>2933770530</v>
      </c>
      <c r="D12" s="11">
        <f>IFERROR(INDEX('درجریان وصول'!F:F,MATCH(Table215[[#This Row],[كد تفصيلي]],'درجریان وصول'!A:A,0)),0)</f>
        <v>0</v>
      </c>
      <c r="E12" s="11">
        <f>IFERROR(INDEX('چکهای دریافتنی'!F:F,MATCH(Table215[[#This Row],[كد تفصيلي]],'چکهای دریافتنی'!A:A,0)),0)</f>
        <v>0</v>
      </c>
      <c r="F12" s="11">
        <f>Table215[[#This Row],[حسابهای دریافتنی]]+Table215[[#This Row],[چکهای در جریان وصول]]+Table215[[#This Row],[چکهای نزد صندوق]]</f>
        <v>2933770530</v>
      </c>
      <c r="G12" s="12">
        <f>IFERROR(INDEX('مانده سوفاله'!F:F,MATCH(Table215[[#This Row],[كد تفصيلي]],'مانده سوفاله'!A:A,0)),0)</f>
        <v>-14747</v>
      </c>
    </row>
    <row r="13" spans="1:7" ht="22.5" customHeight="1" x14ac:dyDescent="0.35">
      <c r="A13" s="27">
        <v>10123</v>
      </c>
      <c r="B13" s="55" t="s">
        <v>340</v>
      </c>
      <c r="C13" s="10">
        <f>IFERROR(INDEX('حسابهای دریافتنی'!H:H,MATCH(Table215[[#This Row],[كد تفصيلي]],'حسابهای دریافتنی'!A:A,0)),0)</f>
        <v>-50813000</v>
      </c>
      <c r="D13" s="11">
        <f>IFERROR(INDEX('درجریان وصول'!F:F,MATCH(Table215[[#This Row],[كد تفصيلي]],'درجریان وصول'!A:A,0)),0)</f>
        <v>0</v>
      </c>
      <c r="E13" s="11">
        <f>IFERROR(INDEX('چکهای دریافتنی'!F:F,MATCH(Table215[[#This Row],[كد تفصيلي]],'چکهای دریافتنی'!A:A,0)),0)</f>
        <v>0</v>
      </c>
      <c r="F13" s="11">
        <f>Table215[[#This Row],[حسابهای دریافتنی]]+Table215[[#This Row],[چکهای در جریان وصول]]+Table215[[#This Row],[چکهای نزد صندوق]]</f>
        <v>-50813000</v>
      </c>
      <c r="G13" s="12">
        <f>IFERROR(INDEX('مانده سوفاله'!F:F,MATCH(Table215[[#This Row],[كد تفصيلي]],'مانده سوفاله'!A:A,0)),0)</f>
        <v>0</v>
      </c>
    </row>
    <row r="14" spans="1:7" ht="22.5" customHeight="1" x14ac:dyDescent="0.35">
      <c r="A14" s="26">
        <v>10057</v>
      </c>
      <c r="B14" s="56" t="s">
        <v>225</v>
      </c>
      <c r="C14" s="10">
        <f>IFERROR(INDEX('حسابهای دریافتنی'!H:H,MATCH(Table215[[#This Row],[كد تفصيلي]],'حسابهای دریافتنی'!A:A,0)),0)</f>
        <v>1390485500</v>
      </c>
      <c r="D14" s="11">
        <f>IFERROR(INDEX('درجریان وصول'!F:F,MATCH(Table215[[#This Row],[كد تفصيلي]],'درجریان وصول'!A:A,0)),0)</f>
        <v>0</v>
      </c>
      <c r="E14" s="11">
        <f>IFERROR(INDEX('چکهای دریافتنی'!F:F,MATCH(Table215[[#This Row],[كد تفصيلي]],'چکهای دریافتنی'!A:A,0)),0)</f>
        <v>0</v>
      </c>
      <c r="F14" s="11">
        <f>Table215[[#This Row],[حسابهای دریافتنی]]+Table215[[#This Row],[چکهای در جریان وصول]]+Table215[[#This Row],[چکهای نزد صندوق]]</f>
        <v>1390485500</v>
      </c>
      <c r="G14" s="12">
        <f>IFERROR(INDEX('مانده سوفاله'!F:F,MATCH(Table215[[#This Row],[كد تفصيلي]],'مانده سوفاله'!A:A,0)),0)</f>
        <v>-2044</v>
      </c>
    </row>
    <row r="15" spans="1:7" ht="22.5" customHeight="1" x14ac:dyDescent="0.35">
      <c r="A15" s="26">
        <v>30162</v>
      </c>
      <c r="B15" s="56" t="s">
        <v>301</v>
      </c>
      <c r="C15" s="10">
        <f>IFERROR(INDEX('حسابهای دریافتنی'!H:H,MATCH(Table215[[#This Row],[كد تفصيلي]],'حسابهای دریافتنی'!A:A,0)),0)</f>
        <v>204890235</v>
      </c>
      <c r="D15" s="11">
        <f>IFERROR(INDEX('درجریان وصول'!F:F,MATCH(Table215[[#This Row],[كد تفصيلي]],'درجریان وصول'!A:A,0)),0)</f>
        <v>0</v>
      </c>
      <c r="E15" s="11">
        <f>IFERROR(INDEX('چکهای دریافتنی'!F:F,MATCH(Table215[[#This Row],[كد تفصيلي]],'چکهای دریافتنی'!A:A,0)),0)</f>
        <v>0</v>
      </c>
      <c r="F15" s="11">
        <f>Table215[[#This Row],[حسابهای دریافتنی]]+Table215[[#This Row],[چکهای در جریان وصول]]+Table215[[#This Row],[چکهای نزد صندوق]]</f>
        <v>204890235</v>
      </c>
      <c r="G15" s="12">
        <f>IFERROR(INDEX('مانده سوفاله'!F:F,MATCH(Table215[[#This Row],[كد تفصيلي]],'مانده سوفاله'!A:A,0)),0)</f>
        <v>-251</v>
      </c>
    </row>
    <row r="16" spans="1:7" ht="22.5" customHeight="1" x14ac:dyDescent="0.35">
      <c r="A16" s="27">
        <v>10020</v>
      </c>
      <c r="B16" s="55" t="s">
        <v>27</v>
      </c>
      <c r="C16" s="10">
        <f>IFERROR(INDEX('حسابهای دریافتنی'!H:H,MATCH(Table215[[#This Row],[كد تفصيلي]],'حسابهای دریافتنی'!A:A,0)),0)</f>
        <v>57999963</v>
      </c>
      <c r="D16" s="11">
        <f>IFERROR(INDEX('درجریان وصول'!F:F,MATCH(Table215[[#This Row],[كد تفصيلي]],'درجریان وصول'!A:A,0)),0)</f>
        <v>0</v>
      </c>
      <c r="E16" s="11">
        <f>IFERROR(INDEX('چکهای دریافتنی'!F:F,MATCH(Table215[[#This Row],[كد تفصيلي]],'چکهای دریافتنی'!A:A,0)),0)</f>
        <v>728000000</v>
      </c>
      <c r="F16" s="11">
        <f>Table215[[#This Row],[حسابهای دریافتنی]]+Table215[[#This Row],[چکهای در جریان وصول]]+Table215[[#This Row],[چکهای نزد صندوق]]</f>
        <v>785999963</v>
      </c>
      <c r="G16" s="12">
        <f>IFERROR(INDEX('مانده سوفاله'!F:F,MATCH(Table215[[#This Row],[كد تفصيلي]],'مانده سوفاله'!A:A,0)),0)</f>
        <v>-1031</v>
      </c>
    </row>
    <row r="17" spans="1:7" ht="22.5" customHeight="1" x14ac:dyDescent="0.35">
      <c r="A17" s="26">
        <v>10027</v>
      </c>
      <c r="B17" s="56" t="s">
        <v>33</v>
      </c>
      <c r="C17" s="10">
        <f>IFERROR(INDEX('حسابهای دریافتنی'!H:H,MATCH(Table215[[#This Row],[كد تفصيلي]],'حسابهای دریافتنی'!A:A,0)),0)</f>
        <v>33078340</v>
      </c>
      <c r="D17" s="11">
        <f>IFERROR(INDEX('درجریان وصول'!F:F,MATCH(Table215[[#This Row],[كد تفصيلي]],'درجریان وصول'!A:A,0)),0)</f>
        <v>0</v>
      </c>
      <c r="E17" s="11">
        <f>IFERROR(INDEX('چکهای دریافتنی'!F:F,MATCH(Table215[[#This Row],[كد تفصيلي]],'چکهای دریافتنی'!A:A,0)),0)</f>
        <v>1588359160</v>
      </c>
      <c r="F17" s="11">
        <f>Table215[[#This Row],[حسابهای دریافتنی]]+Table215[[#This Row],[چکهای در جریان وصول]]+Table215[[#This Row],[چکهای نزد صندوق]]</f>
        <v>1621437500</v>
      </c>
      <c r="G17" s="12">
        <f>IFERROR(INDEX('مانده سوفاله'!F:F,MATCH(Table215[[#This Row],[كد تفصيلي]],'مانده سوفاله'!A:A,0)),0)</f>
        <v>-647</v>
      </c>
    </row>
    <row r="18" spans="1:7" ht="22.5" customHeight="1" x14ac:dyDescent="0.35">
      <c r="A18" s="27">
        <v>30020</v>
      </c>
      <c r="B18" s="55" t="s">
        <v>68</v>
      </c>
      <c r="C18" s="10">
        <f>IFERROR(INDEX('حسابهای دریافتنی'!H:H,MATCH(Table215[[#This Row],[كد تفصيلي]],'حسابهای دریافتنی'!A:A,0)),0)</f>
        <v>2253500</v>
      </c>
      <c r="D18" s="11">
        <f>IFERROR(INDEX('درجریان وصول'!F:F,MATCH(Table215[[#This Row],[كد تفصيلي]],'درجریان وصول'!A:A,0)),0)</f>
        <v>0</v>
      </c>
      <c r="E18" s="11">
        <f>IFERROR(INDEX('چکهای دریافتنی'!F:F,MATCH(Table215[[#This Row],[كد تفصيلي]],'چکهای دریافتنی'!A:A,0)),0)</f>
        <v>0</v>
      </c>
      <c r="F18" s="11">
        <f>Table215[[#This Row],[حسابهای دریافتنی]]+Table215[[#This Row],[چکهای در جریان وصول]]+Table215[[#This Row],[چکهای نزد صندوق]]</f>
        <v>2253500</v>
      </c>
      <c r="G18" s="12">
        <f>IFERROR(INDEX('مانده سوفاله'!F:F,MATCH(Table215[[#This Row],[كد تفصيلي]],'مانده سوفاله'!A:A,0)),0)</f>
        <v>4</v>
      </c>
    </row>
    <row r="19" spans="1:7" ht="22.5" customHeight="1" x14ac:dyDescent="0.35">
      <c r="A19" s="27">
        <v>30014</v>
      </c>
      <c r="B19" s="55" t="s">
        <v>63</v>
      </c>
      <c r="C19" s="10">
        <f>IFERROR(INDEX('حسابهای دریافتنی'!H:H,MATCH(Table215[[#This Row],[كد تفصيلي]],'حسابهای دریافتنی'!A:A,0)),0)</f>
        <v>1762223932</v>
      </c>
      <c r="D19" s="11">
        <f>IFERROR(INDEX('درجریان وصول'!F:F,MATCH(Table215[[#This Row],[كد تفصيلي]],'درجریان وصول'!A:A,0)),0)</f>
        <v>0</v>
      </c>
      <c r="E19" s="11">
        <f>IFERROR(INDEX('چکهای دریافتنی'!F:F,MATCH(Table215[[#This Row],[كد تفصيلي]],'چکهای دریافتنی'!A:A,0)),0)</f>
        <v>0</v>
      </c>
      <c r="F19" s="11">
        <f>Table215[[#This Row],[حسابهای دریافتنی]]+Table215[[#This Row],[چکهای در جریان وصول]]+Table215[[#This Row],[چکهای نزد صندوق]]</f>
        <v>1762223932</v>
      </c>
      <c r="G19" s="12">
        <f>IFERROR(INDEX('مانده سوفاله'!F:F,MATCH(Table215[[#This Row],[كد تفصيلي]],'مانده سوفاله'!A:A,0)),0)</f>
        <v>-1368</v>
      </c>
    </row>
    <row r="20" spans="1:7" ht="22.5" customHeight="1" x14ac:dyDescent="0.35">
      <c r="A20" s="27">
        <v>30191</v>
      </c>
      <c r="B20" s="55" t="s">
        <v>460</v>
      </c>
      <c r="C20" s="10">
        <f>IFERROR(INDEX('حسابهای دریافتنی'!H:H,MATCH(Table215[[#This Row],[كد تفصيلي]],'حسابهای دریافتنی'!A:A,0)),0)</f>
        <v>792933000</v>
      </c>
      <c r="D20" s="11">
        <f>IFERROR(INDEX('درجریان وصول'!F:F,MATCH(Table215[[#This Row],[كد تفصيلي]],'درجریان وصول'!A:A,0)),0)</f>
        <v>0</v>
      </c>
      <c r="E20" s="11">
        <f>IFERROR(INDEX('چکهای دریافتنی'!F:F,MATCH(Table215[[#This Row],[كد تفصيلي]],'چکهای دریافتنی'!A:A,0)),0)</f>
        <v>0</v>
      </c>
      <c r="F20" s="11">
        <f>Table215[[#This Row],[حسابهای دریافتنی]]+Table215[[#This Row],[چکهای در جریان وصول]]+Table215[[#This Row],[چکهای نزد صندوق]]</f>
        <v>792933000</v>
      </c>
      <c r="G20" s="12">
        <f>IFERROR(INDEX('مانده سوفاله'!F:F,MATCH(Table215[[#This Row],[كد تفصيلي]],'مانده سوفاله'!A:A,0)),0)</f>
        <v>134</v>
      </c>
    </row>
    <row r="21" spans="1:7" ht="22.5" customHeight="1" x14ac:dyDescent="0.35">
      <c r="A21" s="26">
        <v>50011</v>
      </c>
      <c r="B21" s="56" t="s">
        <v>147</v>
      </c>
      <c r="C21" s="10">
        <f>IFERROR(INDEX('حسابهای دریافتنی'!H:H,MATCH(Table215[[#This Row],[كد تفصيلي]],'حسابهای دریافتنی'!A:A,0)),0)</f>
        <v>832182413</v>
      </c>
      <c r="D21" s="11">
        <f>IFERROR(INDEX('درجریان وصول'!F:F,MATCH(Table215[[#This Row],[كد تفصيلي]],'درجریان وصول'!A:A,0)),0)</f>
        <v>0</v>
      </c>
      <c r="E21" s="11">
        <f>IFERROR(INDEX('چکهای دریافتنی'!F:F,MATCH(Table215[[#This Row],[كد تفصيلي]],'چکهای دریافتنی'!A:A,0)),0)</f>
        <v>0</v>
      </c>
      <c r="F21" s="11">
        <f>Table215[[#This Row],[حسابهای دریافتنی]]+Table215[[#This Row],[چکهای در جریان وصول]]+Table215[[#This Row],[چکهای نزد صندوق]]</f>
        <v>832182413</v>
      </c>
      <c r="G21" s="12">
        <f>IFERROR(INDEX('مانده سوفاله'!F:F,MATCH(Table215[[#This Row],[كد تفصيلي]],'مانده سوفاله'!A:A,0)),0)</f>
        <v>30</v>
      </c>
    </row>
    <row r="22" spans="1:7" ht="22.5" customHeight="1" x14ac:dyDescent="0.35">
      <c r="A22" s="27">
        <v>50016</v>
      </c>
      <c r="B22" s="55" t="s">
        <v>160</v>
      </c>
      <c r="C22" s="10">
        <f>IFERROR(INDEX('حسابهای دریافتنی'!H:H,MATCH(Table215[[#This Row],[كد تفصيلي]],'حسابهای دریافتنی'!A:A,0)),0)</f>
        <v>6344545550</v>
      </c>
      <c r="D22" s="11">
        <f>IFERROR(INDEX('درجریان وصول'!F:F,MATCH(Table215[[#This Row],[كد تفصيلي]],'درجریان وصول'!A:A,0)),0)</f>
        <v>0</v>
      </c>
      <c r="E22" s="11">
        <f>IFERROR(INDEX('چکهای دریافتنی'!F:F,MATCH(Table215[[#This Row],[كد تفصيلي]],'چکهای دریافتنی'!A:A,0)),0)</f>
        <v>0</v>
      </c>
      <c r="F22" s="11">
        <f>Table215[[#This Row],[حسابهای دریافتنی]]+Table215[[#This Row],[چکهای در جریان وصول]]+Table215[[#This Row],[چکهای نزد صندوق]]</f>
        <v>6344545550</v>
      </c>
      <c r="G22" s="12">
        <f>IFERROR(INDEX('مانده سوفاله'!F:F,MATCH(Table215[[#This Row],[كد تفصيلي]],'مانده سوفاله'!A:A,0)),0)</f>
        <v>5508</v>
      </c>
    </row>
    <row r="23" spans="1:7" ht="22.5" customHeight="1" x14ac:dyDescent="0.35">
      <c r="A23" s="26">
        <v>30140</v>
      </c>
      <c r="B23" s="56" t="s">
        <v>259</v>
      </c>
      <c r="C23" s="10">
        <f>IFERROR(INDEX('حسابهای دریافتنی'!H:H,MATCH(Table215[[#This Row],[كد تفصيلي]],'حسابهای دریافتنی'!A:A,0)),0)</f>
        <v>553728200</v>
      </c>
      <c r="D23" s="11">
        <f>IFERROR(INDEX('درجریان وصول'!F:F,MATCH(Table215[[#This Row],[كد تفصيلي]],'درجریان وصول'!A:A,0)),0)</f>
        <v>0</v>
      </c>
      <c r="E23" s="11">
        <f>IFERROR(INDEX('چکهای دریافتنی'!F:F,MATCH(Table215[[#This Row],[كد تفصيلي]],'چکهای دریافتنی'!A:A,0)),0)</f>
        <v>1030000000</v>
      </c>
      <c r="F23" s="11">
        <f>Table215[[#This Row],[حسابهای دریافتنی]]+Table215[[#This Row],[چکهای در جریان وصول]]+Table215[[#This Row],[چکهای نزد صندوق]]</f>
        <v>1583728200</v>
      </c>
      <c r="G23" s="12">
        <f>IFERROR(INDEX('مانده سوفاله'!F:F,MATCH(Table215[[#This Row],[كد تفصيلي]],'مانده سوفاله'!A:A,0)),0)</f>
        <v>-12630</v>
      </c>
    </row>
    <row r="24" spans="1:7" ht="22.5" customHeight="1" x14ac:dyDescent="0.35">
      <c r="A24" s="26">
        <v>30124</v>
      </c>
      <c r="B24" s="56" t="s">
        <v>246</v>
      </c>
      <c r="C24" s="10">
        <f>IFERROR(INDEX('حسابهای دریافتنی'!H:H,MATCH(Table215[[#This Row],[كد تفصيلي]],'حسابهای دریافتنی'!A:A,0)),0)</f>
        <v>0</v>
      </c>
      <c r="D24" s="11">
        <f>IFERROR(INDEX('درجریان وصول'!F:F,MATCH(Table215[[#This Row],[كد تفصيلي]],'درجریان وصول'!A:A,0)),0)</f>
        <v>0</v>
      </c>
      <c r="E24" s="11">
        <f>IFERROR(INDEX('چکهای دریافتنی'!F:F,MATCH(Table215[[#This Row],[كد تفصيلي]],'چکهای دریافتنی'!A:A,0)),0)</f>
        <v>505676000</v>
      </c>
      <c r="F24" s="11">
        <f>Table215[[#This Row],[حسابهای دریافتنی]]+Table215[[#This Row],[چکهای در جریان وصول]]+Table215[[#This Row],[چکهای نزد صندوق]]</f>
        <v>505676000</v>
      </c>
      <c r="G24" s="12">
        <f>IFERROR(INDEX('مانده سوفاله'!F:F,MATCH(Table215[[#This Row],[كد تفصيلي]],'مانده سوفاله'!A:A,0)),0)</f>
        <v>1498</v>
      </c>
    </row>
    <row r="25" spans="1:7" ht="22.5" customHeight="1" x14ac:dyDescent="0.35">
      <c r="A25" s="27">
        <v>10008</v>
      </c>
      <c r="B25" s="55" t="s">
        <v>15</v>
      </c>
      <c r="C25" s="10">
        <f>IFERROR(INDEX('حسابهای دریافتنی'!H:H,MATCH(Table215[[#This Row],[كد تفصيلي]],'حسابهای دریافتنی'!A:A,0)),0)</f>
        <v>597342000</v>
      </c>
      <c r="D25" s="11">
        <f>IFERROR(INDEX('درجریان وصول'!F:F,MATCH(Table215[[#This Row],[كد تفصيلي]],'درجریان وصول'!A:A,0)),0)</f>
        <v>0</v>
      </c>
      <c r="E25" s="11">
        <f>IFERROR(INDEX('چکهای دریافتنی'!F:F,MATCH(Table215[[#This Row],[كد تفصيلي]],'چکهای دریافتنی'!A:A,0)),0)</f>
        <v>0</v>
      </c>
      <c r="F25" s="11">
        <f>Table215[[#This Row],[حسابهای دریافتنی]]+Table215[[#This Row],[چکهای در جریان وصول]]+Table215[[#This Row],[چکهای نزد صندوق]]</f>
        <v>597342000</v>
      </c>
      <c r="G25" s="12">
        <f>IFERROR(INDEX('مانده سوفاله'!F:F,MATCH(Table215[[#This Row],[كد تفصيلي]],'مانده سوفاله'!A:A,0)),0)</f>
        <v>-578</v>
      </c>
    </row>
    <row r="26" spans="1:7" ht="22.5" customHeight="1" x14ac:dyDescent="0.35">
      <c r="A26" s="26">
        <v>30070</v>
      </c>
      <c r="B26" s="56" t="s">
        <v>115</v>
      </c>
      <c r="C26" s="10">
        <f>IFERROR(INDEX('حسابهای دریافتنی'!H:H,MATCH(Table215[[#This Row],[كد تفصيلي]],'حسابهای دریافتنی'!A:A,0)),0)</f>
        <v>2651728820</v>
      </c>
      <c r="D26" s="11">
        <f>IFERROR(INDEX('درجریان وصول'!F:F,MATCH(Table215[[#This Row],[كد تفصيلي]],'درجریان وصول'!A:A,0)),0)</f>
        <v>0</v>
      </c>
      <c r="E26" s="11">
        <f>IFERROR(INDEX('چکهای دریافتنی'!F:F,MATCH(Table215[[#This Row],[كد تفصيلي]],'چکهای دریافتنی'!A:A,0)),0)</f>
        <v>3660000000</v>
      </c>
      <c r="F26" s="11">
        <f>Table215[[#This Row],[حسابهای دریافتنی]]+Table215[[#This Row],[چکهای در جریان وصول]]+Table215[[#This Row],[چکهای نزد صندوق]]</f>
        <v>6311728820</v>
      </c>
      <c r="G26" s="12">
        <f>IFERROR(INDEX('مانده سوفاله'!F:F,MATCH(Table215[[#This Row],[كد تفصيلي]],'مانده سوفاله'!A:A,0)),0)</f>
        <v>4378</v>
      </c>
    </row>
    <row r="27" spans="1:7" ht="22.5" customHeight="1" x14ac:dyDescent="0.35">
      <c r="A27" s="26">
        <v>30146</v>
      </c>
      <c r="B27" s="56" t="s">
        <v>266</v>
      </c>
      <c r="C27" s="10">
        <f>IFERROR(INDEX('حسابهای دریافتنی'!H:H,MATCH(Table215[[#This Row],[كد تفصيلي]],'حسابهای دریافتنی'!A:A,0)),0)</f>
        <v>-4146512500</v>
      </c>
      <c r="D27" s="11">
        <f>IFERROR(INDEX('درجریان وصول'!F:F,MATCH(Table215[[#This Row],[كد تفصيلي]],'درجریان وصول'!A:A,0)),0)</f>
        <v>0</v>
      </c>
      <c r="E27" s="11">
        <f>IFERROR(INDEX('چکهای دریافتنی'!F:F,MATCH(Table215[[#This Row],[كد تفصيلي]],'چکهای دریافتنی'!A:A,0)),0)</f>
        <v>0</v>
      </c>
      <c r="F27" s="11">
        <f>Table215[[#This Row],[حسابهای دریافتنی]]+Table215[[#This Row],[چکهای در جریان وصول]]+Table215[[#This Row],[چکهای نزد صندوق]]</f>
        <v>-4146512500</v>
      </c>
      <c r="G27" s="12">
        <f>IFERROR(INDEX('مانده سوفاله'!F:F,MATCH(Table215[[#This Row],[كد تفصيلي]],'مانده سوفاله'!A:A,0)),0)</f>
        <v>2823</v>
      </c>
    </row>
    <row r="28" spans="1:7" ht="22.5" customHeight="1" x14ac:dyDescent="0.35">
      <c r="A28" s="27">
        <v>10072</v>
      </c>
      <c r="B28" s="55" t="s">
        <v>177</v>
      </c>
      <c r="C28" s="10">
        <f>IFERROR(INDEX('حسابهای دریافتنی'!H:H,MATCH(Table215[[#This Row],[كد تفصيلي]],'حسابهای دریافتنی'!A:A,0)),0)</f>
        <v>55880</v>
      </c>
      <c r="D28" s="11">
        <f>IFERROR(INDEX('درجریان وصول'!F:F,MATCH(Table215[[#This Row],[كد تفصيلي]],'درجریان وصول'!A:A,0)),0)</f>
        <v>0</v>
      </c>
      <c r="E28" s="11">
        <f>IFERROR(INDEX('چکهای دریافتنی'!F:F,MATCH(Table215[[#This Row],[كد تفصيلي]],'چکهای دریافتنی'!A:A,0)),0)</f>
        <v>427700000</v>
      </c>
      <c r="F28" s="11">
        <f>Table215[[#This Row],[حسابهای دریافتنی]]+Table215[[#This Row],[چکهای در جریان وصول]]+Table215[[#This Row],[چکهای نزد صندوق]]</f>
        <v>427755880</v>
      </c>
      <c r="G28" s="12">
        <f>IFERROR(INDEX('مانده سوفاله'!F:F,MATCH(Table215[[#This Row],[كد تفصيلي]],'مانده سوفاله'!A:A,0)),0)</f>
        <v>0</v>
      </c>
    </row>
    <row r="29" spans="1:7" ht="22.5" customHeight="1" x14ac:dyDescent="0.35">
      <c r="A29" s="26">
        <v>30003</v>
      </c>
      <c r="B29" s="56" t="s">
        <v>53</v>
      </c>
      <c r="C29" s="10">
        <f>IFERROR(INDEX('حسابهای دریافتنی'!H:H,MATCH(Table215[[#This Row],[كد تفصيلي]],'حسابهای دریافتنی'!A:A,0)),0)</f>
        <v>754765900</v>
      </c>
      <c r="D29" s="11">
        <f>IFERROR(INDEX('درجریان وصول'!F:F,MATCH(Table215[[#This Row],[كد تفصيلي]],'درجریان وصول'!A:A,0)),0)</f>
        <v>0</v>
      </c>
      <c r="E29" s="11">
        <f>IFERROR(INDEX('چکهای دریافتنی'!F:F,MATCH(Table215[[#This Row],[كد تفصيلي]],'چکهای دریافتنی'!A:A,0)),0)</f>
        <v>571000000</v>
      </c>
      <c r="F29" s="11">
        <f>Table215[[#This Row],[حسابهای دریافتنی]]+Table215[[#This Row],[چکهای در جریان وصول]]+Table215[[#This Row],[چکهای نزد صندوق]]</f>
        <v>1325765900</v>
      </c>
      <c r="G29" s="12">
        <f>IFERROR(INDEX('مانده سوفاله'!F:F,MATCH(Table215[[#This Row],[كد تفصيلي]],'مانده سوفاله'!A:A,0)),0)</f>
        <v>-3538</v>
      </c>
    </row>
    <row r="30" spans="1:7" ht="22.5" customHeight="1" x14ac:dyDescent="0.35">
      <c r="A30" s="27">
        <v>30069</v>
      </c>
      <c r="B30" s="55" t="s">
        <v>114</v>
      </c>
      <c r="C30" s="10">
        <f>IFERROR(INDEX('حسابهای دریافتنی'!H:H,MATCH(Table215[[#This Row],[كد تفصيلي]],'حسابهای دریافتنی'!A:A,0)),0)</f>
        <v>377909400</v>
      </c>
      <c r="D30" s="11">
        <f>IFERROR(INDEX('درجریان وصول'!F:F,MATCH(Table215[[#This Row],[كد تفصيلي]],'درجریان وصول'!A:A,0)),0)</f>
        <v>0</v>
      </c>
      <c r="E30" s="11">
        <f>IFERROR(INDEX('چکهای دریافتنی'!F:F,MATCH(Table215[[#This Row],[كد تفصيلي]],'چکهای دریافتنی'!A:A,0)),0)</f>
        <v>0</v>
      </c>
      <c r="F30" s="11">
        <f>Table215[[#This Row],[حسابهای دریافتنی]]+Table215[[#This Row],[چکهای در جریان وصول]]+Table215[[#This Row],[چکهای نزد صندوق]]</f>
        <v>377909400</v>
      </c>
      <c r="G30" s="12">
        <f>IFERROR(INDEX('مانده سوفاله'!F:F,MATCH(Table215[[#This Row],[كد تفصيلي]],'مانده سوفاله'!A:A,0)),0)</f>
        <v>66</v>
      </c>
    </row>
    <row r="31" spans="1:7" ht="22.5" customHeight="1" x14ac:dyDescent="0.35">
      <c r="A31" s="27">
        <v>10070</v>
      </c>
      <c r="B31" s="55" t="s">
        <v>230</v>
      </c>
      <c r="C31" s="10">
        <f>IFERROR(INDEX('حسابهای دریافتنی'!H:H,MATCH(Table215[[#This Row],[كد تفصيلي]],'حسابهای دریافتنی'!A:A,0)),0)</f>
        <v>508152500</v>
      </c>
      <c r="D31" s="11">
        <f>IFERROR(INDEX('درجریان وصول'!F:F,MATCH(Table215[[#This Row],[كد تفصيلي]],'درجریان وصول'!A:A,0)),0)</f>
        <v>0</v>
      </c>
      <c r="E31" s="11">
        <f>IFERROR(INDEX('چکهای دریافتنی'!F:F,MATCH(Table215[[#This Row],[كد تفصيلي]],'چکهای دریافتنی'!A:A,0)),0)</f>
        <v>570000000</v>
      </c>
      <c r="F31" s="11">
        <f>Table215[[#This Row],[حسابهای دریافتنی]]+Table215[[#This Row],[چکهای در جریان وصول]]+Table215[[#This Row],[چکهای نزد صندوق]]</f>
        <v>1078152500</v>
      </c>
      <c r="G31" s="12">
        <f>IFERROR(INDEX('مانده سوفاله'!F:F,MATCH(Table215[[#This Row],[كد تفصيلي]],'مانده سوفاله'!A:A,0)),0)</f>
        <v>-3170</v>
      </c>
    </row>
    <row r="32" spans="1:7" ht="22.5" customHeight="1" x14ac:dyDescent="0.35">
      <c r="A32" s="27">
        <v>30099</v>
      </c>
      <c r="B32" s="55" t="s">
        <v>167</v>
      </c>
      <c r="C32" s="10">
        <f>IFERROR(INDEX('حسابهای دریافتنی'!H:H,MATCH(Table215[[#This Row],[كد تفصيلي]],'حسابهای دریافتنی'!A:A,0)),0)</f>
        <v>1398393484</v>
      </c>
      <c r="D32" s="11">
        <f>IFERROR(INDEX('درجریان وصول'!F:F,MATCH(Table215[[#This Row],[كد تفصيلي]],'درجریان وصول'!A:A,0)),0)</f>
        <v>0</v>
      </c>
      <c r="E32" s="11">
        <f>IFERROR(INDEX('چکهای دریافتنی'!F:F,MATCH(Table215[[#This Row],[كد تفصيلي]],'چکهای دریافتنی'!A:A,0)),0)</f>
        <v>583000000</v>
      </c>
      <c r="F32" s="11">
        <f>Table215[[#This Row],[حسابهای دریافتنی]]+Table215[[#This Row],[چکهای در جریان وصول]]+Table215[[#This Row],[چکهای نزد صندوق]]</f>
        <v>1981393484</v>
      </c>
      <c r="G32" s="12">
        <f>IFERROR(INDEX('مانده سوفاله'!F:F,MATCH(Table215[[#This Row],[كد تفصيلي]],'مانده سوفاله'!A:A,0)),0)</f>
        <v>-332</v>
      </c>
    </row>
    <row r="33" spans="1:7" ht="22.5" customHeight="1" x14ac:dyDescent="0.35">
      <c r="A33" s="27">
        <v>10104</v>
      </c>
      <c r="B33" s="55" t="s">
        <v>293</v>
      </c>
      <c r="C33" s="10">
        <f>IFERROR(INDEX('حسابهای دریافتنی'!H:H,MATCH(Table215[[#This Row],[كد تفصيلي]],'حسابهای دریافتنی'!A:A,0)),0)</f>
        <v>0</v>
      </c>
      <c r="D33" s="11">
        <f>IFERROR(INDEX('درجریان وصول'!F:F,MATCH(Table215[[#This Row],[كد تفصيلي]],'درجریان وصول'!A:A,0)),0)</f>
        <v>0</v>
      </c>
      <c r="E33" s="11">
        <f>IFERROR(INDEX('چکهای دریافتنی'!F:F,MATCH(Table215[[#This Row],[كد تفصيلي]],'چکهای دریافتنی'!A:A,0)),0)</f>
        <v>0</v>
      </c>
      <c r="F33" s="11">
        <f>Table215[[#This Row],[حسابهای دریافتنی]]+Table215[[#This Row],[چکهای در جریان وصول]]+Table215[[#This Row],[چکهای نزد صندوق]]</f>
        <v>0</v>
      </c>
      <c r="G33" s="12">
        <f>IFERROR(INDEX('مانده سوفاله'!F:F,MATCH(Table215[[#This Row],[كد تفصيلي]],'مانده سوفاله'!A:A,0)),0)</f>
        <v>4065</v>
      </c>
    </row>
    <row r="34" spans="1:7" ht="22.5" customHeight="1" x14ac:dyDescent="0.35">
      <c r="A34" s="27">
        <v>30101</v>
      </c>
      <c r="B34" s="55" t="s">
        <v>196</v>
      </c>
      <c r="C34" s="10">
        <f>IFERROR(INDEX('حسابهای دریافتنی'!H:H,MATCH(Table215[[#This Row],[كد تفصيلي]],'حسابهای دریافتنی'!A:A,0)),0)</f>
        <v>203336095</v>
      </c>
      <c r="D34" s="11">
        <f>IFERROR(INDEX('درجریان وصول'!F:F,MATCH(Table215[[#This Row],[كد تفصيلي]],'درجریان وصول'!A:A,0)),0)</f>
        <v>0</v>
      </c>
      <c r="E34" s="11">
        <f>IFERROR(INDEX('چکهای دریافتنی'!F:F,MATCH(Table215[[#This Row],[كد تفصيلي]],'چکهای دریافتنی'!A:A,0)),0)</f>
        <v>0</v>
      </c>
      <c r="F34" s="11">
        <f>Table215[[#This Row],[حسابهای دریافتنی]]+Table215[[#This Row],[چکهای در جریان وصول]]+Table215[[#This Row],[چکهای نزد صندوق]]</f>
        <v>203336095</v>
      </c>
      <c r="G34" s="12">
        <f>IFERROR(INDEX('مانده سوفاله'!F:F,MATCH(Table215[[#This Row],[كد تفصيلي]],'مانده سوفاله'!A:A,0)),0)</f>
        <v>15</v>
      </c>
    </row>
    <row r="35" spans="1:7" ht="22.5" customHeight="1" x14ac:dyDescent="0.35">
      <c r="A35" s="26">
        <v>30086</v>
      </c>
      <c r="B35" s="56" t="s">
        <v>131</v>
      </c>
      <c r="C35" s="10">
        <f>IFERROR(INDEX('حسابهای دریافتنی'!H:H,MATCH(Table215[[#This Row],[كد تفصيلي]],'حسابهای دریافتنی'!A:A,0)),0)</f>
        <v>187376603</v>
      </c>
      <c r="D35" s="11">
        <f>IFERROR(INDEX('درجریان وصول'!F:F,MATCH(Table215[[#This Row],[كد تفصيلي]],'درجریان وصول'!A:A,0)),0)</f>
        <v>0</v>
      </c>
      <c r="E35" s="11">
        <f>IFERROR(INDEX('چکهای دریافتنی'!F:F,MATCH(Table215[[#This Row],[كد تفصيلي]],'چکهای دریافتنی'!A:A,0)),0)</f>
        <v>0</v>
      </c>
      <c r="F35" s="11">
        <f>Table215[[#This Row],[حسابهای دریافتنی]]+Table215[[#This Row],[چکهای در جریان وصول]]+Table215[[#This Row],[چکهای نزد صندوق]]</f>
        <v>187376603</v>
      </c>
      <c r="G35" s="12">
        <f>IFERROR(INDEX('مانده سوفاله'!F:F,MATCH(Table215[[#This Row],[كد تفصيلي]],'مانده سوفاله'!A:A,0)),0)</f>
        <v>1549</v>
      </c>
    </row>
    <row r="36" spans="1:7" ht="22.5" customHeight="1" x14ac:dyDescent="0.35">
      <c r="A36" s="27">
        <v>30055</v>
      </c>
      <c r="B36" s="55" t="s">
        <v>100</v>
      </c>
      <c r="C36" s="10">
        <f>IFERROR(INDEX('حسابهای دریافتنی'!H:H,MATCH(Table215[[#This Row],[كد تفصيلي]],'حسابهای دریافتنی'!A:A,0)),0)</f>
        <v>0</v>
      </c>
      <c r="D36" s="11">
        <f>IFERROR(INDEX('درجریان وصول'!F:F,MATCH(Table215[[#This Row],[كد تفصيلي]],'درجریان وصول'!A:A,0)),0)</f>
        <v>0</v>
      </c>
      <c r="E36" s="11">
        <f>IFERROR(INDEX('چکهای دریافتنی'!F:F,MATCH(Table215[[#This Row],[كد تفصيلي]],'چکهای دریافتنی'!A:A,0)),0)</f>
        <v>0</v>
      </c>
      <c r="F36" s="11">
        <f>Table215[[#This Row],[حسابهای دریافتنی]]+Table215[[#This Row],[چکهای در جریان وصول]]+Table215[[#This Row],[چکهای نزد صندوق]]</f>
        <v>0</v>
      </c>
      <c r="G36" s="12">
        <f>IFERROR(INDEX('مانده سوفاله'!F:F,MATCH(Table215[[#This Row],[كد تفصيلي]],'مانده سوفاله'!A:A,0)),0)</f>
        <v>48</v>
      </c>
    </row>
    <row r="37" spans="1:7" ht="22.5" customHeight="1" x14ac:dyDescent="0.35">
      <c r="A37" s="26">
        <v>30174</v>
      </c>
      <c r="B37" s="56" t="s">
        <v>327</v>
      </c>
      <c r="C37" s="10">
        <f>IFERROR(INDEX('حسابهای دریافتنی'!H:H,MATCH(Table215[[#This Row],[كد تفصيلي]],'حسابهای دریافتنی'!A:A,0)),0)</f>
        <v>-5000</v>
      </c>
      <c r="D37" s="11">
        <f>IFERROR(INDEX('درجریان وصول'!F:F,MATCH(Table215[[#This Row],[كد تفصيلي]],'درجریان وصول'!A:A,0)),0)</f>
        <v>0</v>
      </c>
      <c r="E37" s="11">
        <f>IFERROR(INDEX('چکهای دریافتنی'!F:F,MATCH(Table215[[#This Row],[كد تفصيلي]],'چکهای دریافتنی'!A:A,0)),0)</f>
        <v>0</v>
      </c>
      <c r="F37" s="11">
        <f>Table215[[#This Row],[حسابهای دریافتنی]]+Table215[[#This Row],[چکهای در جریان وصول]]+Table215[[#This Row],[چکهای نزد صندوق]]</f>
        <v>-5000</v>
      </c>
      <c r="G37" s="12">
        <f>IFERROR(INDEX('مانده سوفاله'!F:F,MATCH(Table215[[#This Row],[كد تفصيلي]],'مانده سوفاله'!A:A,0)),0)</f>
        <v>0</v>
      </c>
    </row>
    <row r="38" spans="1:7" ht="22.5" customHeight="1" x14ac:dyDescent="0.35">
      <c r="A38" s="27">
        <v>30077</v>
      </c>
      <c r="B38" s="55" t="s">
        <v>122</v>
      </c>
      <c r="C38" s="10">
        <f>IFERROR(INDEX('حسابهای دریافتنی'!H:H,MATCH(Table215[[#This Row],[كد تفصيلي]],'حسابهای دریافتنی'!A:A,0)),0)</f>
        <v>360000</v>
      </c>
      <c r="D38" s="11">
        <f>IFERROR(INDEX('درجریان وصول'!F:F,MATCH(Table215[[#This Row],[كد تفصيلي]],'درجریان وصول'!A:A,0)),0)</f>
        <v>0</v>
      </c>
      <c r="E38" s="11">
        <f>IFERROR(INDEX('چکهای دریافتنی'!F:F,MATCH(Table215[[#This Row],[كد تفصيلي]],'چکهای دریافتنی'!A:A,0)),0)</f>
        <v>0</v>
      </c>
      <c r="F38" s="11">
        <f>Table215[[#This Row],[حسابهای دریافتنی]]+Table215[[#This Row],[چکهای در جریان وصول]]+Table215[[#This Row],[چکهای نزد صندوق]]</f>
        <v>360000</v>
      </c>
      <c r="G38" s="12">
        <f>IFERROR(INDEX('مانده سوفاله'!F:F,MATCH(Table215[[#This Row],[كد تفصيلي]],'مانده سوفاله'!A:A,0)),0)</f>
        <v>-32</v>
      </c>
    </row>
    <row r="39" spans="1:7" ht="22.5" customHeight="1" x14ac:dyDescent="0.35">
      <c r="A39" s="26">
        <v>10069</v>
      </c>
      <c r="B39" s="56" t="s">
        <v>204</v>
      </c>
      <c r="C39" s="10">
        <f>IFERROR(INDEX('حسابهای دریافتنی'!H:H,MATCH(Table215[[#This Row],[كد تفصيلي]],'حسابهای دریافتنی'!A:A,0)),0)</f>
        <v>952500</v>
      </c>
      <c r="D39" s="11">
        <f>IFERROR(INDEX('درجریان وصول'!F:F,MATCH(Table215[[#This Row],[كد تفصيلي]],'درجریان وصول'!A:A,0)),0)</f>
        <v>0</v>
      </c>
      <c r="E39" s="11">
        <f>IFERROR(INDEX('چکهای دریافتنی'!F:F,MATCH(Table215[[#This Row],[كد تفصيلي]],'چکهای دریافتنی'!A:A,0)),0)</f>
        <v>73000000</v>
      </c>
      <c r="F39" s="11">
        <f>Table215[[#This Row],[حسابهای دریافتنی]]+Table215[[#This Row],[چکهای در جریان وصول]]+Table215[[#This Row],[چکهای نزد صندوق]]</f>
        <v>73952500</v>
      </c>
      <c r="G39" s="12">
        <f>IFERROR(INDEX('مانده سوفاله'!F:F,MATCH(Table215[[#This Row],[كد تفصيلي]],'مانده سوفاله'!A:A,0)),0)</f>
        <v>339</v>
      </c>
    </row>
    <row r="40" spans="1:7" ht="22.5" customHeight="1" x14ac:dyDescent="0.35">
      <c r="A40" s="27">
        <v>10092</v>
      </c>
      <c r="B40" s="55" t="s">
        <v>260</v>
      </c>
      <c r="C40" s="10">
        <f>IFERROR(INDEX('حسابهای دریافتنی'!H:H,MATCH(Table215[[#This Row],[كد تفصيلي]],'حسابهای دریافتنی'!A:A,0)),0)</f>
        <v>-1749946500</v>
      </c>
      <c r="D40" s="11">
        <f>IFERROR(INDEX('درجریان وصول'!F:F,MATCH(Table215[[#This Row],[كد تفصيلي]],'درجریان وصول'!A:A,0)),0)</f>
        <v>0</v>
      </c>
      <c r="E40" s="11">
        <f>IFERROR(INDEX('چکهای دریافتنی'!F:F,MATCH(Table215[[#This Row],[كد تفصيلي]],'چکهای دریافتنی'!A:A,0)),0)</f>
        <v>300000000</v>
      </c>
      <c r="F40" s="11">
        <f>Table215[[#This Row],[حسابهای دریافتنی]]+Table215[[#This Row],[چکهای در جریان وصول]]+Table215[[#This Row],[چکهای نزد صندوق]]</f>
        <v>-1449946500</v>
      </c>
      <c r="G40" s="12">
        <f>IFERROR(INDEX('مانده سوفاله'!F:F,MATCH(Table215[[#This Row],[كد تفصيلي]],'مانده سوفاله'!A:A,0)),0)</f>
        <v>0</v>
      </c>
    </row>
    <row r="41" spans="1:7" ht="22.5" customHeight="1" x14ac:dyDescent="0.35">
      <c r="A41" s="26">
        <v>30019</v>
      </c>
      <c r="B41" s="56" t="s">
        <v>67</v>
      </c>
      <c r="C41" s="10">
        <f>IFERROR(INDEX('حسابهای دریافتنی'!H:H,MATCH(Table215[[#This Row],[كد تفصيلي]],'حسابهای دریافتنی'!A:A,0)),0)</f>
        <v>823484840</v>
      </c>
      <c r="D41" s="11">
        <f>IFERROR(INDEX('درجریان وصول'!F:F,MATCH(Table215[[#This Row],[كد تفصيلي]],'درجریان وصول'!A:A,0)),0)</f>
        <v>0</v>
      </c>
      <c r="E41" s="11">
        <f>IFERROR(INDEX('چکهای دریافتنی'!F:F,MATCH(Table215[[#This Row],[كد تفصيلي]],'چکهای دریافتنی'!A:A,0)),0)</f>
        <v>0</v>
      </c>
      <c r="F41" s="11">
        <f>Table215[[#This Row],[حسابهای دریافتنی]]+Table215[[#This Row],[چکهای در جریان وصول]]+Table215[[#This Row],[چکهای نزد صندوق]]</f>
        <v>823484840</v>
      </c>
      <c r="G41" s="12">
        <f>IFERROR(INDEX('مانده سوفاله'!F:F,MATCH(Table215[[#This Row],[كد تفصيلي]],'مانده سوفاله'!A:A,0)),0)</f>
        <v>612</v>
      </c>
    </row>
    <row r="42" spans="1:7" ht="22.5" customHeight="1" x14ac:dyDescent="0.35">
      <c r="A42" s="27">
        <v>10127</v>
      </c>
      <c r="B42" s="55" t="s">
        <v>371</v>
      </c>
      <c r="C42" s="10">
        <f>IFERROR(INDEX('حسابهای دریافتنی'!H:H,MATCH(Table215[[#This Row],[كد تفصيلي]],'حسابهای دریافتنی'!A:A,0)),0)</f>
        <v>803728000</v>
      </c>
      <c r="D42" s="11">
        <f>IFERROR(INDEX('درجریان وصول'!F:F,MATCH(Table215[[#This Row],[كد تفصيلي]],'درجریان وصول'!A:A,0)),0)</f>
        <v>0</v>
      </c>
      <c r="E42" s="11">
        <f>IFERROR(INDEX('چکهای دریافتنی'!F:F,MATCH(Table215[[#This Row],[كد تفصيلي]],'چکهای دریافتنی'!A:A,0)),0)</f>
        <v>0</v>
      </c>
      <c r="F42" s="11">
        <f>Table215[[#This Row],[حسابهای دریافتنی]]+Table215[[#This Row],[چکهای در جریان وصول]]+Table215[[#This Row],[چکهای نزد صندوق]]</f>
        <v>803728000</v>
      </c>
      <c r="G42" s="12">
        <f>IFERROR(INDEX('مانده سوفاله'!F:F,MATCH(Table215[[#This Row],[كد تفصيلي]],'مانده سوفاله'!A:A,0)),0)</f>
        <v>-1469</v>
      </c>
    </row>
    <row r="43" spans="1:7" ht="22.5" customHeight="1" x14ac:dyDescent="0.35">
      <c r="A43" s="27">
        <v>30196</v>
      </c>
      <c r="B43" s="55" t="s">
        <v>486</v>
      </c>
      <c r="C43" s="10">
        <f>IFERROR(INDEX('حسابهای دریافتنی'!H:H,MATCH(Table215[[#This Row],[كد تفصيلي]],'حسابهای دریافتنی'!A:A,0)),0)</f>
        <v>3592950000</v>
      </c>
      <c r="D43" s="11">
        <f>IFERROR(INDEX('درجریان وصول'!F:F,MATCH(Table215[[#This Row],[كد تفصيلي]],'درجریان وصول'!A:A,0)),0)</f>
        <v>0</v>
      </c>
      <c r="E43" s="11">
        <f>IFERROR(INDEX('چکهای دریافتنی'!F:F,MATCH(Table215[[#This Row],[كد تفصيلي]],'چکهای دریافتنی'!A:A,0)),0)</f>
        <v>0</v>
      </c>
      <c r="F43" s="11">
        <f>Table215[[#This Row],[حسابهای دریافتنی]]+Table215[[#This Row],[چکهای در جریان وصول]]+Table215[[#This Row],[چکهای نزد صندوق]]</f>
        <v>3592950000</v>
      </c>
      <c r="G43" s="12">
        <f>IFERROR(INDEX('مانده سوفاله'!F:F,MATCH(Table215[[#This Row],[كد تفصيلي]],'مانده سوفاله'!A:A,0)),0)</f>
        <v>-8965</v>
      </c>
    </row>
    <row r="44" spans="1:7" ht="22.5" customHeight="1" x14ac:dyDescent="0.35">
      <c r="A44" s="27">
        <v>10096</v>
      </c>
      <c r="B44" s="55" t="s">
        <v>271</v>
      </c>
      <c r="C44" s="10">
        <f>IFERROR(INDEX('حسابهای دریافتنی'!H:H,MATCH(Table215[[#This Row],[كد تفصيلي]],'حسابهای دریافتنی'!A:A,0)),0)</f>
        <v>36455500</v>
      </c>
      <c r="D44" s="11">
        <f>IFERROR(INDEX('درجریان وصول'!F:F,MATCH(Table215[[#This Row],[كد تفصيلي]],'درجریان وصول'!A:A,0)),0)</f>
        <v>0</v>
      </c>
      <c r="E44" s="11">
        <f>IFERROR(INDEX('چکهای دریافتنی'!F:F,MATCH(Table215[[#This Row],[كد تفصيلي]],'چکهای دریافتنی'!A:A,0)),0)</f>
        <v>0</v>
      </c>
      <c r="F44" s="11">
        <f>Table215[[#This Row],[حسابهای دریافتنی]]+Table215[[#This Row],[چکهای در جریان وصول]]+Table215[[#This Row],[چکهای نزد صندوق]]</f>
        <v>36455500</v>
      </c>
      <c r="G44" s="12">
        <f>IFERROR(INDEX('مانده سوفاله'!F:F,MATCH(Table215[[#This Row],[كد تفصيلي]],'مانده سوفاله'!A:A,0)),0)</f>
        <v>0</v>
      </c>
    </row>
    <row r="45" spans="1:7" ht="22.5" customHeight="1" x14ac:dyDescent="0.35">
      <c r="A45" s="26">
        <v>30025</v>
      </c>
      <c r="B45" s="56" t="s">
        <v>73</v>
      </c>
      <c r="C45" s="10">
        <f>IFERROR(INDEX('حسابهای دریافتنی'!H:H,MATCH(Table215[[#This Row],[كد تفصيلي]],'حسابهای دریافتنی'!A:A,0)),0)</f>
        <v>35598920</v>
      </c>
      <c r="D45" s="11">
        <f>IFERROR(INDEX('درجریان وصول'!F:F,MATCH(Table215[[#This Row],[كد تفصيلي]],'درجریان وصول'!A:A,0)),0)</f>
        <v>0</v>
      </c>
      <c r="E45" s="11">
        <f>IFERROR(INDEX('چکهای دریافتنی'!F:F,MATCH(Table215[[#This Row],[كد تفصيلي]],'چکهای دریافتنی'!A:A,0)),0)</f>
        <v>0</v>
      </c>
      <c r="F45" s="11">
        <f>Table215[[#This Row],[حسابهای دریافتنی]]+Table215[[#This Row],[چکهای در جریان وصول]]+Table215[[#This Row],[چکهای نزد صندوق]]</f>
        <v>35598920</v>
      </c>
      <c r="G45" s="12">
        <f>IFERROR(INDEX('مانده سوفاله'!F:F,MATCH(Table215[[#This Row],[كد تفصيلي]],'مانده سوفاله'!A:A,0)),0)</f>
        <v>-165</v>
      </c>
    </row>
    <row r="46" spans="1:7" ht="22.5" customHeight="1" x14ac:dyDescent="0.35">
      <c r="A46" s="26">
        <v>30005</v>
      </c>
      <c r="B46" s="56" t="s">
        <v>55</v>
      </c>
      <c r="C46" s="10">
        <f>IFERROR(INDEX('حسابهای دریافتنی'!H:H,MATCH(Table215[[#This Row],[كد تفصيلي]],'حسابهای دریافتنی'!A:A,0)),0)</f>
        <v>35368209</v>
      </c>
      <c r="D46" s="11">
        <f>IFERROR(INDEX('درجریان وصول'!F:F,MATCH(Table215[[#This Row],[كد تفصيلي]],'درجریان وصول'!A:A,0)),0)</f>
        <v>0</v>
      </c>
      <c r="E46" s="11">
        <f>IFERROR(INDEX('چکهای دریافتنی'!F:F,MATCH(Table215[[#This Row],[كد تفصيلي]],'چکهای دریافتنی'!A:A,0)),0)</f>
        <v>0</v>
      </c>
      <c r="F46" s="11">
        <f>Table215[[#This Row],[حسابهای دریافتنی]]+Table215[[#This Row],[چکهای در جریان وصول]]+Table215[[#This Row],[چکهای نزد صندوق]]</f>
        <v>35368209</v>
      </c>
      <c r="G46" s="12">
        <f>IFERROR(INDEX('مانده سوفاله'!F:F,MATCH(Table215[[#This Row],[كد تفصيلي]],'مانده سوفاله'!A:A,0)),0)</f>
        <v>61</v>
      </c>
    </row>
    <row r="47" spans="1:7" ht="22.5" customHeight="1" x14ac:dyDescent="0.35">
      <c r="A47" s="27">
        <v>30093</v>
      </c>
      <c r="B47" s="55" t="s">
        <v>151</v>
      </c>
      <c r="C47" s="10">
        <f>IFERROR(INDEX('حسابهای دریافتنی'!H:H,MATCH(Table215[[#This Row],[كد تفصيلي]],'حسابهای دریافتنی'!A:A,0)),0)</f>
        <v>0</v>
      </c>
      <c r="D47" s="11">
        <f>IFERROR(INDEX('درجریان وصول'!F:F,MATCH(Table215[[#This Row],[كد تفصيلي]],'درجریان وصول'!A:A,0)),0)</f>
        <v>0</v>
      </c>
      <c r="E47" s="11">
        <f>IFERROR(INDEX('چکهای دریافتنی'!F:F,MATCH(Table215[[#This Row],[كد تفصيلي]],'چکهای دریافتنی'!A:A,0)),0)</f>
        <v>0</v>
      </c>
      <c r="F47" s="11">
        <f>Table215[[#This Row],[حسابهای دریافتنی]]+Table215[[#This Row],[چکهای در جریان وصول]]+Table215[[#This Row],[چکهای نزد صندوق]]</f>
        <v>0</v>
      </c>
      <c r="G47" s="12">
        <v>77</v>
      </c>
    </row>
    <row r="48" spans="1:7" ht="22.5" customHeight="1" x14ac:dyDescent="0.35">
      <c r="A48" s="27">
        <v>30018</v>
      </c>
      <c r="B48" s="55" t="s">
        <v>66</v>
      </c>
      <c r="C48" s="10">
        <f>IFERROR(INDEX('حسابهای دریافتنی'!H:H,MATCH(Table215[[#This Row],[كد تفصيلي]],'حسابهای دریافتنی'!A:A,0)),0)</f>
        <v>1901077182</v>
      </c>
      <c r="D48" s="11">
        <f>IFERROR(INDEX('درجریان وصول'!F:F,MATCH(Table215[[#This Row],[كد تفصيلي]],'درجریان وصول'!A:A,0)),0)</f>
        <v>0</v>
      </c>
      <c r="E48" s="11">
        <f>IFERROR(INDEX('چکهای دریافتنی'!F:F,MATCH(Table215[[#This Row],[كد تفصيلي]],'چکهای دریافتنی'!A:A,0)),0)</f>
        <v>0</v>
      </c>
      <c r="F48" s="11">
        <f>Table215[[#This Row],[حسابهای دریافتنی]]+Table215[[#This Row],[چکهای در جریان وصول]]+Table215[[#This Row],[چکهای نزد صندوق]]</f>
        <v>1901077182</v>
      </c>
      <c r="G48" s="12">
        <f>IFERROR(INDEX('مانده سوفاله'!F:F,MATCH(Table215[[#This Row],[كد تفصيلي]],'مانده سوفاله'!A:A,0)),0)</f>
        <v>-3024</v>
      </c>
    </row>
    <row r="49" spans="1:7" ht="22.5" customHeight="1" x14ac:dyDescent="0.35">
      <c r="A49" s="27">
        <v>30008</v>
      </c>
      <c r="B49" s="55" t="s">
        <v>58</v>
      </c>
      <c r="C49" s="10">
        <f>IFERROR(INDEX('حسابهای دریافتنی'!H:H,MATCH(Table215[[#This Row],[كد تفصيلي]],'حسابهای دریافتنی'!A:A,0)),0)</f>
        <v>15520000</v>
      </c>
      <c r="D49" s="11">
        <f>IFERROR(INDEX('درجریان وصول'!F:F,MATCH(Table215[[#This Row],[كد تفصيلي]],'درجریان وصول'!A:A,0)),0)</f>
        <v>0</v>
      </c>
      <c r="E49" s="11">
        <f>IFERROR(INDEX('چکهای دریافتنی'!F:F,MATCH(Table215[[#This Row],[كد تفصيلي]],'چکهای دریافتنی'!A:A,0)),0)</f>
        <v>0</v>
      </c>
      <c r="F49" s="11">
        <f>Table215[[#This Row],[حسابهای دریافتنی]]+Table215[[#This Row],[چکهای در جریان وصول]]+Table215[[#This Row],[چکهای نزد صندوق]]</f>
        <v>15520000</v>
      </c>
      <c r="G49" s="12">
        <f>IFERROR(INDEX('مانده سوفاله'!F:F,MATCH(Table215[[#This Row],[كد تفصيلي]],'مانده سوفاله'!A:A,0)),0)</f>
        <v>0</v>
      </c>
    </row>
    <row r="50" spans="1:7" ht="22.5" customHeight="1" x14ac:dyDescent="0.35">
      <c r="A50" s="26">
        <v>30184</v>
      </c>
      <c r="B50" s="56" t="s">
        <v>368</v>
      </c>
      <c r="C50" s="10">
        <f>IFERROR(INDEX('حسابهای دریافتنی'!H:H,MATCH(Table215[[#This Row],[كد تفصيلي]],'حسابهای دریافتنی'!A:A,0)),0)</f>
        <v>904890480</v>
      </c>
      <c r="D50" s="11">
        <f>IFERROR(INDEX('درجریان وصول'!F:F,MATCH(Table215[[#This Row],[كد تفصيلي]],'درجریان وصول'!A:A,0)),0)</f>
        <v>0</v>
      </c>
      <c r="E50" s="11">
        <f>IFERROR(INDEX('چکهای دریافتنی'!F:F,MATCH(Table215[[#This Row],[كد تفصيلي]],'چکهای دریافتنی'!A:A,0)),0)</f>
        <v>0</v>
      </c>
      <c r="F50" s="11">
        <f>Table215[[#This Row],[حسابهای دریافتنی]]+Table215[[#This Row],[چکهای در جریان وصول]]+Table215[[#This Row],[چکهای نزد صندوق]]</f>
        <v>904890480</v>
      </c>
      <c r="G50" s="12">
        <f>IFERROR(INDEX('مانده سوفاله'!F:F,MATCH(Table215[[#This Row],[كد تفصيلي]],'مانده سوفاله'!A:A,0)),0)</f>
        <v>-100</v>
      </c>
    </row>
    <row r="51" spans="1:7" ht="22.5" customHeight="1" x14ac:dyDescent="0.35">
      <c r="A51" s="26">
        <v>10007</v>
      </c>
      <c r="B51" s="56" t="s">
        <v>14</v>
      </c>
      <c r="C51" s="10">
        <f>IFERROR(INDEX('حسابهای دریافتنی'!H:H,MATCH(Table215[[#This Row],[كد تفصيلي]],'حسابهای دریافتنی'!A:A,0)),0)</f>
        <v>12770000</v>
      </c>
      <c r="D51" s="11">
        <f>IFERROR(INDEX('درجریان وصول'!F:F,MATCH(Table215[[#This Row],[كد تفصيلي]],'درجریان وصول'!A:A,0)),0)</f>
        <v>0</v>
      </c>
      <c r="E51" s="11">
        <f>IFERROR(INDEX('چکهای دریافتنی'!F:F,MATCH(Table215[[#This Row],[كد تفصيلي]],'چکهای دریافتنی'!A:A,0)),0)</f>
        <v>0</v>
      </c>
      <c r="F51" s="11">
        <f>Table215[[#This Row],[حسابهای دریافتنی]]+Table215[[#This Row],[چکهای در جریان وصول]]+Table215[[#This Row],[چکهای نزد صندوق]]</f>
        <v>12770000</v>
      </c>
      <c r="G51" s="12">
        <f>IFERROR(INDEX('مانده سوفاله'!F:F,MATCH(Table215[[#This Row],[كد تفصيلي]],'مانده سوفاله'!A:A,0)),0)</f>
        <v>-52.5</v>
      </c>
    </row>
    <row r="52" spans="1:7" ht="22.5" customHeight="1" x14ac:dyDescent="0.35">
      <c r="A52" s="27">
        <v>30131</v>
      </c>
      <c r="B52" s="55" t="s">
        <v>213</v>
      </c>
      <c r="C52" s="10">
        <f>IFERROR(INDEX('حسابهای دریافتنی'!H:H,MATCH(Table215[[#This Row],[كد تفصيلي]],'حسابهای دریافتنی'!A:A,0)),0)</f>
        <v>-6228486500</v>
      </c>
      <c r="D52" s="11">
        <f>IFERROR(INDEX('درجریان وصول'!F:F,MATCH(Table215[[#This Row],[كد تفصيلي]],'درجریان وصول'!A:A,0)),0)</f>
        <v>0</v>
      </c>
      <c r="E52" s="11">
        <f>IFERROR(INDEX('چکهای دریافتنی'!F:F,MATCH(Table215[[#This Row],[كد تفصيلي]],'چکهای دریافتنی'!A:A,0)),0)</f>
        <v>0</v>
      </c>
      <c r="F52" s="11">
        <f>Table215[[#This Row],[حسابهای دریافتنی]]+Table215[[#This Row],[چکهای در جریان وصول]]+Table215[[#This Row],[چکهای نزد صندوق]]</f>
        <v>-6228486500</v>
      </c>
      <c r="G52" s="12">
        <f>IFERROR(INDEX('مانده سوفاله'!F:F,MATCH(Table215[[#This Row],[كد تفصيلي]],'مانده سوفاله'!A:A,0)),0)</f>
        <v>222</v>
      </c>
    </row>
    <row r="53" spans="1:7" ht="22.5" customHeight="1" x14ac:dyDescent="0.35">
      <c r="A53" s="27">
        <v>30012</v>
      </c>
      <c r="B53" s="55" t="s">
        <v>61</v>
      </c>
      <c r="C53" s="10">
        <f>IFERROR(INDEX('حسابهای دریافتنی'!H:H,MATCH(Table215[[#This Row],[كد تفصيلي]],'حسابهای دریافتنی'!A:A,0)),0)</f>
        <v>-46099000</v>
      </c>
      <c r="D53" s="11">
        <f>IFERROR(INDEX('درجریان وصول'!F:F,MATCH(Table215[[#This Row],[كد تفصيلي]],'درجریان وصول'!A:A,0)),0)</f>
        <v>0</v>
      </c>
      <c r="E53" s="11">
        <f>IFERROR(INDEX('چکهای دریافتنی'!F:F,MATCH(Table215[[#This Row],[كد تفصيلي]],'چکهای دریافتنی'!A:A,0)),0)</f>
        <v>348650000</v>
      </c>
      <c r="F53" s="11">
        <f>Table215[[#This Row],[حسابهای دریافتنی]]+Table215[[#This Row],[چکهای در جریان وصول]]+Table215[[#This Row],[چکهای نزد صندوق]]</f>
        <v>302551000</v>
      </c>
      <c r="G53" s="12">
        <f>IFERROR(INDEX('مانده سوفاله'!F:F,MATCH(Table215[[#This Row],[كد تفصيلي]],'مانده سوفاله'!A:A,0)),0)</f>
        <v>141</v>
      </c>
    </row>
    <row r="54" spans="1:7" ht="22.5" customHeight="1" x14ac:dyDescent="0.35">
      <c r="A54" s="27">
        <v>30145</v>
      </c>
      <c r="B54" s="55" t="s">
        <v>265</v>
      </c>
      <c r="C54" s="10">
        <f>IFERROR(INDEX('حسابهای دریافتنی'!H:H,MATCH(Table215[[#This Row],[كد تفصيلي]],'حسابهای دریافتنی'!A:A,0)),0)</f>
        <v>6442500</v>
      </c>
      <c r="D54" s="11">
        <f>IFERROR(INDEX('درجریان وصول'!F:F,MATCH(Table215[[#This Row],[كد تفصيلي]],'درجریان وصول'!A:A,0)),0)</f>
        <v>0</v>
      </c>
      <c r="E54" s="11">
        <f>IFERROR(INDEX('چکهای دریافتنی'!F:F,MATCH(Table215[[#This Row],[كد تفصيلي]],'چکهای دریافتنی'!A:A,0)),0)</f>
        <v>0</v>
      </c>
      <c r="F54" s="11">
        <f>Table215[[#This Row],[حسابهای دریافتنی]]+Table215[[#This Row],[چکهای در جریان وصول]]+Table215[[#This Row],[چکهای نزد صندوق]]</f>
        <v>6442500</v>
      </c>
      <c r="G54" s="12">
        <f>IFERROR(INDEX('مانده سوفاله'!F:F,MATCH(Table215[[#This Row],[كد تفصيلي]],'مانده سوفاله'!A:A,0)),0)</f>
        <v>0</v>
      </c>
    </row>
    <row r="55" spans="1:7" ht="22.5" customHeight="1" x14ac:dyDescent="0.35">
      <c r="A55" s="26">
        <v>30047</v>
      </c>
      <c r="B55" s="56" t="s">
        <v>94</v>
      </c>
      <c r="C55" s="10">
        <f>IFERROR(INDEX('حسابهای دریافتنی'!H:H,MATCH(Table215[[#This Row],[كد تفصيلي]],'حسابهای دریافتنی'!A:A,0)),0)</f>
        <v>5794900</v>
      </c>
      <c r="D55" s="11">
        <f>IFERROR(INDEX('درجریان وصول'!F:F,MATCH(Table215[[#This Row],[كد تفصيلي]],'درجریان وصول'!A:A,0)),0)</f>
        <v>0</v>
      </c>
      <c r="E55" s="11">
        <f>IFERROR(INDEX('چکهای دریافتنی'!F:F,MATCH(Table215[[#This Row],[كد تفصيلي]],'چکهای دریافتنی'!A:A,0)),0)</f>
        <v>0</v>
      </c>
      <c r="F55" s="11">
        <f>Table215[[#This Row],[حسابهای دریافتنی]]+Table215[[#This Row],[چکهای در جریان وصول]]+Table215[[#This Row],[چکهای نزد صندوق]]</f>
        <v>5794900</v>
      </c>
      <c r="G55" s="12">
        <f>IFERROR(INDEX('مانده سوفاله'!F:F,MATCH(Table215[[#This Row],[كد تفصيلي]],'مانده سوفاله'!A:A,0)),0)</f>
        <v>-630</v>
      </c>
    </row>
    <row r="56" spans="1:7" ht="22.5" customHeight="1" x14ac:dyDescent="0.35">
      <c r="A56" s="26">
        <v>30011</v>
      </c>
      <c r="B56" s="56" t="s">
        <v>60</v>
      </c>
      <c r="C56" s="10">
        <f>IFERROR(INDEX('حسابهای دریافتنی'!H:H,MATCH(Table215[[#This Row],[كد تفصيلي]],'حسابهای دریافتنی'!A:A,0)),0)</f>
        <v>5595200</v>
      </c>
      <c r="D56" s="11">
        <f>IFERROR(INDEX('درجریان وصول'!F:F,MATCH(Table215[[#This Row],[كد تفصيلي]],'درجریان وصول'!A:A,0)),0)</f>
        <v>0</v>
      </c>
      <c r="E56" s="11">
        <f>IFERROR(INDEX('چکهای دریافتنی'!F:F,MATCH(Table215[[#This Row],[كد تفصيلي]],'چکهای دریافتنی'!A:A,0)),0)</f>
        <v>0</v>
      </c>
      <c r="F56" s="11">
        <f>Table215[[#This Row],[حسابهای دریافتنی]]+Table215[[#This Row],[چکهای در جریان وصول]]+Table215[[#This Row],[چکهای نزد صندوق]]</f>
        <v>5595200</v>
      </c>
      <c r="G56" s="12">
        <f>IFERROR(INDEX('مانده سوفاله'!F:F,MATCH(Table215[[#This Row],[كد تفصيلي]],'مانده سوفاله'!A:A,0)),0)</f>
        <v>-5</v>
      </c>
    </row>
    <row r="57" spans="1:7" ht="22.5" customHeight="1" x14ac:dyDescent="0.35">
      <c r="A57" s="27">
        <v>10080</v>
      </c>
      <c r="B57" s="55" t="s">
        <v>214</v>
      </c>
      <c r="C57" s="10">
        <f>IFERROR(INDEX('حسابهای دریافتنی'!H:H,MATCH(Table215[[#This Row],[كد تفصيلي]],'حسابهای دریافتنی'!A:A,0)),0)</f>
        <v>5395000</v>
      </c>
      <c r="D57" s="11">
        <f>IFERROR(INDEX('درجریان وصول'!F:F,MATCH(Table215[[#This Row],[كد تفصيلي]],'درجریان وصول'!A:A,0)),0)</f>
        <v>0</v>
      </c>
      <c r="E57" s="11">
        <f>IFERROR(INDEX('چکهای دریافتنی'!F:F,MATCH(Table215[[#This Row],[كد تفصيلي]],'چکهای دریافتنی'!A:A,0)),0)</f>
        <v>0</v>
      </c>
      <c r="F57" s="11">
        <f>Table215[[#This Row],[حسابهای دریافتنی]]+Table215[[#This Row],[چکهای در جریان وصول]]+Table215[[#This Row],[چکهای نزد صندوق]]</f>
        <v>5395000</v>
      </c>
      <c r="G57" s="12">
        <f>IFERROR(INDEX('مانده سوفاله'!F:F,MATCH(Table215[[#This Row],[كد تفصيلي]],'مانده سوفاله'!A:A,0)),0)</f>
        <v>0</v>
      </c>
    </row>
    <row r="58" spans="1:7" ht="22.5" customHeight="1" x14ac:dyDescent="0.35">
      <c r="A58" s="26">
        <v>30114</v>
      </c>
      <c r="B58" s="56" t="s">
        <v>175</v>
      </c>
      <c r="C58" s="10">
        <f>IFERROR(INDEX('حسابهای دریافتنی'!H:H,MATCH(Table215[[#This Row],[كد تفصيلي]],'حسابهای دریافتنی'!A:A,0)),0)</f>
        <v>5385600</v>
      </c>
      <c r="D58" s="11">
        <f>IFERROR(INDEX('درجریان وصول'!F:F,MATCH(Table215[[#This Row],[كد تفصيلي]],'درجریان وصول'!A:A,0)),0)</f>
        <v>0</v>
      </c>
      <c r="E58" s="11">
        <f>IFERROR(INDEX('چکهای دریافتنی'!F:F,MATCH(Table215[[#This Row],[كد تفصيلي]],'چکهای دریافتنی'!A:A,0)),0)</f>
        <v>0</v>
      </c>
      <c r="F58" s="11">
        <f>Table215[[#This Row],[حسابهای دریافتنی]]+Table215[[#This Row],[چکهای در جریان وصول]]+Table215[[#This Row],[چکهای نزد صندوق]]</f>
        <v>5385600</v>
      </c>
      <c r="G58" s="12">
        <f>IFERROR(INDEX('مانده سوفاله'!F:F,MATCH(Table215[[#This Row],[كد تفصيلي]],'مانده سوفاله'!A:A,0)),0)</f>
        <v>0</v>
      </c>
    </row>
    <row r="59" spans="1:7" ht="22.5" customHeight="1" x14ac:dyDescent="0.35">
      <c r="A59" s="27">
        <v>30123</v>
      </c>
      <c r="B59" s="55" t="s">
        <v>208</v>
      </c>
      <c r="C59" s="10">
        <f>IFERROR(INDEX('حسابهای دریافتنی'!H:H,MATCH(Table215[[#This Row],[كد تفصيلي]],'حسابهای دریافتنی'!A:A,0)),0)</f>
        <v>4138250</v>
      </c>
      <c r="D59" s="11">
        <f>IFERROR(INDEX('درجریان وصول'!F:F,MATCH(Table215[[#This Row],[كد تفصيلي]],'درجریان وصول'!A:A,0)),0)</f>
        <v>0</v>
      </c>
      <c r="E59" s="11">
        <f>IFERROR(INDEX('چکهای دریافتنی'!F:F,MATCH(Table215[[#This Row],[كد تفصيلي]],'چکهای دریافتنی'!A:A,0)),0)</f>
        <v>0</v>
      </c>
      <c r="F59" s="11">
        <f>Table215[[#This Row],[حسابهای دریافتنی]]+Table215[[#This Row],[چکهای در جریان وصول]]+Table215[[#This Row],[چکهای نزد صندوق]]</f>
        <v>4138250</v>
      </c>
      <c r="G59" s="12">
        <f>IFERROR(INDEX('مانده سوفاله'!F:F,MATCH(Table215[[#This Row],[كد تفصيلي]],'مانده سوفاله'!A:A,0)),0)</f>
        <v>-20</v>
      </c>
    </row>
    <row r="60" spans="1:7" ht="22.5" customHeight="1" x14ac:dyDescent="0.35">
      <c r="A60" s="26">
        <v>10116</v>
      </c>
      <c r="B60" s="56" t="s">
        <v>321</v>
      </c>
      <c r="C60" s="10">
        <f>IFERROR(INDEX('حسابهای دریافتنی'!H:H,MATCH(Table215[[#This Row],[كد تفصيلي]],'حسابهای دریافتنی'!A:A,0)),0)</f>
        <v>3892500</v>
      </c>
      <c r="D60" s="11">
        <f>IFERROR(INDEX('درجریان وصول'!F:F,MATCH(Table215[[#This Row],[كد تفصيلي]],'درجریان وصول'!A:A,0)),0)</f>
        <v>0</v>
      </c>
      <c r="E60" s="11">
        <f>IFERROR(INDEX('چکهای دریافتنی'!F:F,MATCH(Table215[[#This Row],[كد تفصيلي]],'چکهای دریافتنی'!A:A,0)),0)</f>
        <v>0</v>
      </c>
      <c r="F60" s="11">
        <f>Table215[[#This Row],[حسابهای دریافتنی]]+Table215[[#This Row],[چکهای در جریان وصول]]+Table215[[#This Row],[چکهای نزد صندوق]]</f>
        <v>3892500</v>
      </c>
      <c r="G60" s="12">
        <f>IFERROR(INDEX('مانده سوفاله'!F:F,MATCH(Table215[[#This Row],[كد تفصيلي]],'مانده سوفاله'!A:A,0)),0)</f>
        <v>0</v>
      </c>
    </row>
    <row r="61" spans="1:7" ht="22.5" customHeight="1" x14ac:dyDescent="0.35">
      <c r="A61" s="26">
        <v>10101</v>
      </c>
      <c r="B61" s="56" t="s">
        <v>281</v>
      </c>
      <c r="C61" s="10">
        <f>IFERROR(INDEX('حسابهای دریافتنی'!H:H,MATCH(Table215[[#This Row],[كد تفصيلي]],'حسابهای دریافتنی'!A:A,0)),0)</f>
        <v>0</v>
      </c>
      <c r="D61" s="11">
        <f>IFERROR(INDEX('درجریان وصول'!F:F,MATCH(Table215[[#This Row],[كد تفصيلي]],'درجریان وصول'!A:A,0)),0)</f>
        <v>0</v>
      </c>
      <c r="E61" s="11">
        <f>IFERROR(INDEX('چکهای دریافتنی'!F:F,MATCH(Table215[[#This Row],[كد تفصيلي]],'چکهای دریافتنی'!A:A,0)),0)</f>
        <v>0</v>
      </c>
      <c r="F61" s="11">
        <f>Table215[[#This Row],[حسابهای دریافتنی]]+Table215[[#This Row],[چکهای در جریان وصول]]+Table215[[#This Row],[چکهای نزد صندوق]]</f>
        <v>0</v>
      </c>
      <c r="G61" s="12">
        <f>IFERROR(INDEX('مانده سوفاله'!F:F,MATCH(Table215[[#This Row],[كد تفصيلي]],'مانده سوفاله'!A:A,0)),0)</f>
        <v>0</v>
      </c>
    </row>
    <row r="62" spans="1:7" ht="22.5" customHeight="1" x14ac:dyDescent="0.35">
      <c r="A62" s="27">
        <v>10030</v>
      </c>
      <c r="B62" s="55" t="s">
        <v>36</v>
      </c>
      <c r="C62" s="10">
        <f>IFERROR(INDEX('حسابهای دریافتنی'!H:H,MATCH(Table215[[#This Row],[كد تفصيلي]],'حسابهای دریافتنی'!A:A,0)),0)</f>
        <v>3272000</v>
      </c>
      <c r="D62" s="11">
        <f>IFERROR(INDEX('درجریان وصول'!F:F,MATCH(Table215[[#This Row],[كد تفصيلي]],'درجریان وصول'!A:A,0)),0)</f>
        <v>0</v>
      </c>
      <c r="E62" s="11">
        <f>IFERROR(INDEX('چکهای دریافتنی'!F:F,MATCH(Table215[[#This Row],[كد تفصيلي]],'چکهای دریافتنی'!A:A,0)),0)</f>
        <v>0</v>
      </c>
      <c r="F62" s="11">
        <f>Table215[[#This Row],[حسابهای دریافتنی]]+Table215[[#This Row],[چکهای در جریان وصول]]+Table215[[#This Row],[چکهای نزد صندوق]]</f>
        <v>3272000</v>
      </c>
      <c r="G62" s="12">
        <f>IFERROR(INDEX('مانده سوفاله'!F:F,MATCH(Table215[[#This Row],[كد تفصيلي]],'مانده سوفاله'!A:A,0)),0)</f>
        <v>-222</v>
      </c>
    </row>
    <row r="63" spans="1:7" ht="22.5" customHeight="1" x14ac:dyDescent="0.35">
      <c r="A63" s="26">
        <v>30178</v>
      </c>
      <c r="B63" s="56" t="s">
        <v>335</v>
      </c>
      <c r="C63" s="10">
        <f>IFERROR(INDEX('حسابهای دریافتنی'!H:H,MATCH(Table215[[#This Row],[كد تفصيلي]],'حسابهای دریافتنی'!A:A,0)),0)</f>
        <v>3040000</v>
      </c>
      <c r="D63" s="11">
        <f>IFERROR(INDEX('درجریان وصول'!F:F,MATCH(Table215[[#This Row],[كد تفصيلي]],'درجریان وصول'!A:A,0)),0)</f>
        <v>0</v>
      </c>
      <c r="E63" s="11">
        <f>IFERROR(INDEX('چکهای دریافتنی'!F:F,MATCH(Table215[[#This Row],[كد تفصيلي]],'چکهای دریافتنی'!A:A,0)),0)</f>
        <v>0</v>
      </c>
      <c r="F63" s="11">
        <f>Table215[[#This Row],[حسابهای دریافتنی]]+Table215[[#This Row],[چکهای در جریان وصول]]+Table215[[#This Row],[چکهای نزد صندوق]]</f>
        <v>3040000</v>
      </c>
      <c r="G63" s="12">
        <f>IFERROR(INDEX('مانده سوفاله'!F:F,MATCH(Table215[[#This Row],[كد تفصيلي]],'مانده سوفاله'!A:A,0)),0)</f>
        <v>0</v>
      </c>
    </row>
    <row r="64" spans="1:7" ht="22.5" customHeight="1" x14ac:dyDescent="0.35">
      <c r="A64" s="27">
        <v>10004</v>
      </c>
      <c r="B64" s="55" t="s">
        <v>11</v>
      </c>
      <c r="C64" s="10">
        <f>IFERROR(INDEX('حسابهای دریافتنی'!H:H,MATCH(Table215[[#This Row],[كد تفصيلي]],'حسابهای دریافتنی'!A:A,0)),0)</f>
        <v>853000</v>
      </c>
      <c r="D64" s="11">
        <f>IFERROR(INDEX('درجریان وصول'!F:F,MATCH(Table215[[#This Row],[كد تفصيلي]],'درجریان وصول'!A:A,0)),0)</f>
        <v>0</v>
      </c>
      <c r="E64" s="11">
        <f>IFERROR(INDEX('چکهای دریافتنی'!F:F,MATCH(Table215[[#This Row],[كد تفصيلي]],'چکهای دریافتنی'!A:A,0)),0)</f>
        <v>341000000</v>
      </c>
      <c r="F64" s="11">
        <f>Table215[[#This Row],[حسابهای دریافتنی]]+Table215[[#This Row],[چکهای در جریان وصول]]+Table215[[#This Row],[چکهای نزد صندوق]]</f>
        <v>341853000</v>
      </c>
      <c r="G64" s="12">
        <f>IFERROR(INDEX('مانده سوفاله'!F:F,MATCH(Table215[[#This Row],[كد تفصيلي]],'مانده سوفاله'!A:A,0)),0)</f>
        <v>-12</v>
      </c>
    </row>
    <row r="65" spans="1:7" ht="22.5" customHeight="1" x14ac:dyDescent="0.35">
      <c r="A65" s="26">
        <v>30084</v>
      </c>
      <c r="B65" s="56" t="s">
        <v>129</v>
      </c>
      <c r="C65" s="10">
        <f>IFERROR(INDEX('حسابهای دریافتنی'!H:H,MATCH(Table215[[#This Row],[كد تفصيلي]],'حسابهای دریافتنی'!A:A,0)),0)</f>
        <v>1220000</v>
      </c>
      <c r="D65" s="11">
        <f>IFERROR(INDEX('درجریان وصول'!F:F,MATCH(Table215[[#This Row],[كد تفصيلي]],'درجریان وصول'!A:A,0)),0)</f>
        <v>0</v>
      </c>
      <c r="E65" s="11">
        <f>IFERROR(INDEX('چکهای دریافتنی'!F:F,MATCH(Table215[[#This Row],[كد تفصيلي]],'چکهای دریافتنی'!A:A,0)),0)</f>
        <v>0</v>
      </c>
      <c r="F65" s="11">
        <f>Table215[[#This Row],[حسابهای دریافتنی]]+Table215[[#This Row],[چکهای در جریان وصول]]+Table215[[#This Row],[چکهای نزد صندوق]]</f>
        <v>1220000</v>
      </c>
      <c r="G65" s="12">
        <f>IFERROR(INDEX('مانده سوفاله'!F:F,MATCH(Table215[[#This Row],[كد تفصيلي]],'مانده سوفاله'!A:A,0)),0)</f>
        <v>0</v>
      </c>
    </row>
    <row r="66" spans="1:7" ht="22.5" customHeight="1" x14ac:dyDescent="0.35">
      <c r="A66" s="27">
        <v>79055</v>
      </c>
      <c r="B66" s="55" t="s">
        <v>297</v>
      </c>
      <c r="C66" s="10">
        <f>IFERROR(INDEX('حسابهای دریافتنی'!H:H,MATCH(Table215[[#This Row],[كد تفصيلي]],'حسابهای دریافتنی'!A:A,0)),0)</f>
        <v>896500</v>
      </c>
      <c r="D66" s="11">
        <f>IFERROR(INDEX('درجریان وصول'!F:F,MATCH(Table215[[#This Row],[كد تفصيلي]],'درجریان وصول'!A:A,0)),0)</f>
        <v>0</v>
      </c>
      <c r="E66" s="11">
        <f>IFERROR(INDEX('چکهای دریافتنی'!F:F,MATCH(Table215[[#This Row],[كد تفصيلي]],'چکهای دریافتنی'!A:A,0)),0)</f>
        <v>0</v>
      </c>
      <c r="F66" s="11">
        <f>Table215[[#This Row],[حسابهای دریافتنی]]+Table215[[#This Row],[چکهای در جریان وصول]]+Table215[[#This Row],[چکهای نزد صندوق]]</f>
        <v>896500</v>
      </c>
      <c r="G66" s="12">
        <f>IFERROR(INDEX('مانده سوفاله'!F:F,MATCH(Table215[[#This Row],[كد تفصيلي]],'مانده سوفاله'!A:A,0)),0)</f>
        <v>0</v>
      </c>
    </row>
    <row r="67" spans="1:7" ht="22.5" customHeight="1" x14ac:dyDescent="0.35">
      <c r="A67" s="27">
        <v>30030</v>
      </c>
      <c r="B67" s="55" t="s">
        <v>77</v>
      </c>
      <c r="C67" s="10">
        <f>IFERROR(INDEX('حسابهای دریافتنی'!H:H,MATCH(Table215[[#This Row],[كد تفصيلي]],'حسابهای دریافتنی'!A:A,0)),0)</f>
        <v>850500</v>
      </c>
      <c r="D67" s="11">
        <f>IFERROR(INDEX('درجریان وصول'!F:F,MATCH(Table215[[#This Row],[كد تفصيلي]],'درجریان وصول'!A:A,0)),0)</f>
        <v>0</v>
      </c>
      <c r="E67" s="11">
        <f>IFERROR(INDEX('چکهای دریافتنی'!F:F,MATCH(Table215[[#This Row],[كد تفصيلي]],'چکهای دریافتنی'!A:A,0)),0)</f>
        <v>0</v>
      </c>
      <c r="F67" s="11">
        <f>Table215[[#This Row],[حسابهای دریافتنی]]+Table215[[#This Row],[چکهای در جریان وصول]]+Table215[[#This Row],[چکهای نزد صندوق]]</f>
        <v>850500</v>
      </c>
      <c r="G67" s="12">
        <f>IFERROR(INDEX('مانده سوفاله'!F:F,MATCH(Table215[[#This Row],[كد تفصيلي]],'مانده سوفاله'!A:A,0)),0)</f>
        <v>-49</v>
      </c>
    </row>
    <row r="68" spans="1:7" ht="22.5" customHeight="1" x14ac:dyDescent="0.35">
      <c r="A68" s="27">
        <v>30129</v>
      </c>
      <c r="B68" s="55" t="s">
        <v>178</v>
      </c>
      <c r="C68" s="10">
        <f>IFERROR(INDEX('حسابهای دریافتنی'!H:H,MATCH(Table215[[#This Row],[كد تفصيلي]],'حسابهای دریافتنی'!A:A,0)),0)</f>
        <v>783000</v>
      </c>
      <c r="D68" s="11">
        <f>IFERROR(INDEX('درجریان وصول'!F:F,MATCH(Table215[[#This Row],[كد تفصيلي]],'درجریان وصول'!A:A,0)),0)</f>
        <v>0</v>
      </c>
      <c r="E68" s="11">
        <f>IFERROR(INDEX('چکهای دریافتنی'!F:F,MATCH(Table215[[#This Row],[كد تفصيلي]],'چکهای دریافتنی'!A:A,0)),0)</f>
        <v>0</v>
      </c>
      <c r="F68" s="11">
        <f>Table215[[#This Row],[حسابهای دریافتنی]]+Table215[[#This Row],[چکهای در جریان وصول]]+Table215[[#This Row],[چکهای نزد صندوق]]</f>
        <v>783000</v>
      </c>
      <c r="G68" s="12">
        <f>IFERROR(INDEX('مانده سوفاله'!F:F,MATCH(Table215[[#This Row],[كد تفصيلي]],'مانده سوفاله'!A:A,0)),0)</f>
        <v>0</v>
      </c>
    </row>
    <row r="69" spans="1:7" ht="22.5" customHeight="1" x14ac:dyDescent="0.35">
      <c r="A69" s="26">
        <v>30090</v>
      </c>
      <c r="B69" s="56" t="s">
        <v>144</v>
      </c>
      <c r="C69" s="10">
        <f>IFERROR(INDEX('حسابهای دریافتنی'!H:H,MATCH(Table215[[#This Row],[كد تفصيلي]],'حسابهای دریافتنی'!A:A,0)),0)</f>
        <v>640100</v>
      </c>
      <c r="D69" s="11">
        <f>IFERROR(INDEX('درجریان وصول'!F:F,MATCH(Table215[[#This Row],[كد تفصيلي]],'درجریان وصول'!A:A,0)),0)</f>
        <v>0</v>
      </c>
      <c r="E69" s="11">
        <f>IFERROR(INDEX('چکهای دریافتنی'!F:F,MATCH(Table215[[#This Row],[كد تفصيلي]],'چکهای دریافتنی'!A:A,0)),0)</f>
        <v>0</v>
      </c>
      <c r="F69" s="11">
        <f>Table215[[#This Row],[حسابهای دریافتنی]]+Table215[[#This Row],[چکهای در جریان وصول]]+Table215[[#This Row],[چکهای نزد صندوق]]</f>
        <v>640100</v>
      </c>
      <c r="G69" s="12">
        <f>IFERROR(INDEX('مانده سوفاله'!F:F,MATCH(Table215[[#This Row],[كد تفصيلي]],'مانده سوفاله'!A:A,0)),0)</f>
        <v>0</v>
      </c>
    </row>
    <row r="70" spans="1:7" ht="22.5" customHeight="1" x14ac:dyDescent="0.35">
      <c r="A70" s="27">
        <v>30109</v>
      </c>
      <c r="B70" s="55" t="s">
        <v>165</v>
      </c>
      <c r="C70" s="10">
        <f>IFERROR(INDEX('حسابهای دریافتنی'!H:H,MATCH(Table215[[#This Row],[كد تفصيلي]],'حسابهای دریافتنی'!A:A,0)),0)</f>
        <v>607300</v>
      </c>
      <c r="D70" s="11">
        <f>IFERROR(INDEX('درجریان وصول'!F:F,MATCH(Table215[[#This Row],[كد تفصيلي]],'درجریان وصول'!A:A,0)),0)</f>
        <v>0</v>
      </c>
      <c r="E70" s="11">
        <f>IFERROR(INDEX('چکهای دریافتنی'!F:F,MATCH(Table215[[#This Row],[كد تفصيلي]],'چکهای دریافتنی'!A:A,0)),0)</f>
        <v>0</v>
      </c>
      <c r="F70" s="11">
        <f>Table215[[#This Row],[حسابهای دریافتنی]]+Table215[[#This Row],[چکهای در جریان وصول]]+Table215[[#This Row],[چکهای نزد صندوق]]</f>
        <v>607300</v>
      </c>
      <c r="G70" s="12">
        <f>IFERROR(INDEX('مانده سوفاله'!F:F,MATCH(Table215[[#This Row],[كد تفصيلي]],'مانده سوفاله'!A:A,0)),0)</f>
        <v>0</v>
      </c>
    </row>
    <row r="71" spans="1:7" ht="22.5" customHeight="1" x14ac:dyDescent="0.35">
      <c r="A71" s="26">
        <v>10131</v>
      </c>
      <c r="B71" s="56" t="s">
        <v>457</v>
      </c>
      <c r="C71" s="10">
        <f>IFERROR(INDEX('حسابهای دریافتنی'!H:H,MATCH(Table215[[#This Row],[كد تفصيلي]],'حسابهای دریافتنی'!A:A,0)),0)</f>
        <v>-1194000</v>
      </c>
      <c r="D71" s="11">
        <f>IFERROR(INDEX('درجریان وصول'!F:F,MATCH(Table215[[#This Row],[كد تفصيلي]],'درجریان وصول'!A:A,0)),0)</f>
        <v>0</v>
      </c>
      <c r="E71" s="11">
        <f>IFERROR(INDEX('چکهای دریافتنی'!F:F,MATCH(Table215[[#This Row],[كد تفصيلي]],'چکهای دریافتنی'!A:A,0)),0)</f>
        <v>0</v>
      </c>
      <c r="F71" s="11">
        <f>Table215[[#This Row],[حسابهای دریافتنی]]+Table215[[#This Row],[چکهای در جریان وصول]]+Table215[[#This Row],[چکهای نزد صندوق]]</f>
        <v>-1194000</v>
      </c>
      <c r="G71" s="12">
        <f>IFERROR(INDEX('مانده سوفاله'!F:F,MATCH(Table215[[#This Row],[كد تفصيلي]],'مانده سوفاله'!A:A,0)),0)</f>
        <v>1</v>
      </c>
    </row>
    <row r="72" spans="1:7" ht="22.5" customHeight="1" x14ac:dyDescent="0.35">
      <c r="A72" s="26">
        <v>10097</v>
      </c>
      <c r="B72" s="56" t="s">
        <v>270</v>
      </c>
      <c r="C72" s="10">
        <f>IFERROR(INDEX('حسابهای دریافتنی'!H:H,MATCH(Table215[[#This Row],[كد تفصيلي]],'حسابهای دریافتنی'!A:A,0)),0)</f>
        <v>270642500</v>
      </c>
      <c r="D72" s="11">
        <f>IFERROR(INDEX('درجریان وصول'!F:F,MATCH(Table215[[#This Row],[كد تفصيلي]],'درجریان وصول'!A:A,0)),0)</f>
        <v>0</v>
      </c>
      <c r="E72" s="11">
        <f>IFERROR(INDEX('چکهای دریافتنی'!F:F,MATCH(Table215[[#This Row],[كد تفصيلي]],'چکهای دریافتنی'!A:A,0)),0)</f>
        <v>287000000</v>
      </c>
      <c r="F72" s="11">
        <f>Table215[[#This Row],[حسابهای دریافتنی]]+Table215[[#This Row],[چکهای در جریان وصول]]+Table215[[#This Row],[چکهای نزد صندوق]]</f>
        <v>557642500</v>
      </c>
      <c r="G72" s="12">
        <f>IFERROR(INDEX('مانده سوفاله'!F:F,MATCH(Table215[[#This Row],[كد تفصيلي]],'مانده سوفاله'!A:A,0)),0)</f>
        <v>0</v>
      </c>
    </row>
    <row r="73" spans="1:7" ht="22.5" customHeight="1" x14ac:dyDescent="0.35">
      <c r="A73" s="27">
        <v>30010</v>
      </c>
      <c r="B73" s="55" t="s">
        <v>59</v>
      </c>
      <c r="C73" s="10">
        <f>IFERROR(INDEX('حسابهای دریافتنی'!H:H,MATCH(Table215[[#This Row],[كد تفصيلي]],'حسابهای دریافتنی'!A:A,0)),0)</f>
        <v>366215</v>
      </c>
      <c r="D73" s="11">
        <f>IFERROR(INDEX('درجریان وصول'!F:F,MATCH(Table215[[#This Row],[كد تفصيلي]],'درجریان وصول'!A:A,0)),0)</f>
        <v>0</v>
      </c>
      <c r="E73" s="11">
        <f>IFERROR(INDEX('چکهای دریافتنی'!F:F,MATCH(Table215[[#This Row],[كد تفصيلي]],'چکهای دریافتنی'!A:A,0)),0)</f>
        <v>0</v>
      </c>
      <c r="F73" s="11">
        <f>Table215[[#This Row],[حسابهای دریافتنی]]+Table215[[#This Row],[چکهای در جریان وصول]]+Table215[[#This Row],[چکهای نزد صندوق]]</f>
        <v>366215</v>
      </c>
      <c r="G73" s="12">
        <f>IFERROR(INDEX('مانده سوفاله'!F:F,MATCH(Table215[[#This Row],[كد تفصيلي]],'مانده سوفاله'!A:A,0)),0)</f>
        <v>8</v>
      </c>
    </row>
    <row r="74" spans="1:7" ht="22.5" customHeight="1" x14ac:dyDescent="0.35">
      <c r="A74" s="26">
        <v>30027</v>
      </c>
      <c r="B74" s="56" t="s">
        <v>75</v>
      </c>
      <c r="C74" s="10">
        <f>IFERROR(INDEX('حسابهای دریافتنی'!H:H,MATCH(Table215[[#This Row],[كد تفصيلي]],'حسابهای دریافتنی'!A:A,0)),0)</f>
        <v>326950</v>
      </c>
      <c r="D74" s="11">
        <f>IFERROR(INDEX('درجریان وصول'!F:F,MATCH(Table215[[#This Row],[كد تفصيلي]],'درجریان وصول'!A:A,0)),0)</f>
        <v>0</v>
      </c>
      <c r="E74" s="11">
        <f>IFERROR(INDEX('چکهای دریافتنی'!F:F,MATCH(Table215[[#This Row],[كد تفصيلي]],'چکهای دریافتنی'!A:A,0)),0)</f>
        <v>0</v>
      </c>
      <c r="F74" s="11">
        <f>Table215[[#This Row],[حسابهای دریافتنی]]+Table215[[#This Row],[چکهای در جریان وصول]]+Table215[[#This Row],[چکهای نزد صندوق]]</f>
        <v>326950</v>
      </c>
      <c r="G74" s="12">
        <f>IFERROR(INDEX('مانده سوفاله'!F:F,MATCH(Table215[[#This Row],[كد تفصيلي]],'مانده سوفاله'!A:A,0)),0)</f>
        <v>0</v>
      </c>
    </row>
    <row r="75" spans="1:7" ht="22.5" customHeight="1" x14ac:dyDescent="0.35">
      <c r="A75" s="27">
        <v>30135</v>
      </c>
      <c r="B75" s="55" t="s">
        <v>179</v>
      </c>
      <c r="C75" s="10">
        <f>IFERROR(INDEX('حسابهای دریافتنی'!H:H,MATCH(Table215[[#This Row],[كد تفصيلي]],'حسابهای دریافتنی'!A:A,0)),0)</f>
        <v>195000</v>
      </c>
      <c r="D75" s="11">
        <f>IFERROR(INDEX('درجریان وصول'!F:F,MATCH(Table215[[#This Row],[كد تفصيلي]],'درجریان وصول'!A:A,0)),0)</f>
        <v>0</v>
      </c>
      <c r="E75" s="11">
        <f>IFERROR(INDEX('چکهای دریافتنی'!F:F,MATCH(Table215[[#This Row],[كد تفصيلي]],'چکهای دریافتنی'!A:A,0)),0)</f>
        <v>0</v>
      </c>
      <c r="F75" s="11">
        <f>Table215[[#This Row],[حسابهای دریافتنی]]+Table215[[#This Row],[چکهای در جریان وصول]]+Table215[[#This Row],[چکهای نزد صندوق]]</f>
        <v>195000</v>
      </c>
      <c r="G75" s="12">
        <f>IFERROR(INDEX('مانده سوفاله'!F:F,MATCH(Table215[[#This Row],[كد تفصيلي]],'مانده سوفاله'!A:A,0)),0)</f>
        <v>-5</v>
      </c>
    </row>
    <row r="76" spans="1:7" ht="22.5" customHeight="1" x14ac:dyDescent="0.35">
      <c r="A76" s="27">
        <v>10088</v>
      </c>
      <c r="B76" s="55" t="s">
        <v>254</v>
      </c>
      <c r="C76" s="10">
        <f>IFERROR(INDEX('حسابهای دریافتنی'!H:H,MATCH(Table215[[#This Row],[كد تفصيلي]],'حسابهای دریافتنی'!A:A,0)),0)</f>
        <v>113500</v>
      </c>
      <c r="D76" s="11">
        <f>IFERROR(INDEX('درجریان وصول'!F:F,MATCH(Table215[[#This Row],[كد تفصيلي]],'درجریان وصول'!A:A,0)),0)</f>
        <v>0</v>
      </c>
      <c r="E76" s="11">
        <f>IFERROR(INDEX('چکهای دریافتنی'!F:F,MATCH(Table215[[#This Row],[كد تفصيلي]],'چکهای دریافتنی'!A:A,0)),0)</f>
        <v>0</v>
      </c>
      <c r="F76" s="11">
        <f>Table215[[#This Row],[حسابهای دریافتنی]]+Table215[[#This Row],[چکهای در جریان وصول]]+Table215[[#This Row],[چکهای نزد صندوق]]</f>
        <v>113500</v>
      </c>
      <c r="G76" s="12">
        <f>IFERROR(INDEX('مانده سوفاله'!F:F,MATCH(Table215[[#This Row],[كد تفصيلي]],'مانده سوفاله'!A:A,0)),0)</f>
        <v>0</v>
      </c>
    </row>
    <row r="77" spans="1:7" ht="22.5" customHeight="1" x14ac:dyDescent="0.35">
      <c r="A77" s="27">
        <v>10002</v>
      </c>
      <c r="B77" s="55" t="s">
        <v>9</v>
      </c>
      <c r="C77" s="10">
        <f>IFERROR(INDEX('حسابهای دریافتنی'!H:H,MATCH(Table215[[#This Row],[كد تفصيلي]],'حسابهای دریافتنی'!A:A,0)),0)</f>
        <v>-3600000000</v>
      </c>
      <c r="D77" s="11">
        <f>IFERROR(INDEX('درجریان وصول'!F:F,MATCH(Table215[[#This Row],[كد تفصيلي]],'درجریان وصول'!A:A,0)),0)</f>
        <v>0</v>
      </c>
      <c r="E77" s="11">
        <f>IFERROR(INDEX('چکهای دریافتنی'!F:F,MATCH(Table215[[#This Row],[كد تفصيلي]],'چکهای دریافتنی'!A:A,0)),0)</f>
        <v>0</v>
      </c>
      <c r="F77" s="11">
        <f>Table215[[#This Row],[حسابهای دریافتنی]]+Table215[[#This Row],[چکهای در جریان وصول]]+Table215[[#This Row],[چکهای نزد صندوق]]</f>
        <v>-3600000000</v>
      </c>
      <c r="G77" s="12">
        <f>IFERROR(INDEX('مانده سوفاله'!F:F,MATCH(Table215[[#This Row],[كد تفصيلي]],'مانده سوفاله'!A:A,0)),0)</f>
        <v>0</v>
      </c>
    </row>
    <row r="78" spans="1:7" ht="22.5" customHeight="1" x14ac:dyDescent="0.35">
      <c r="A78" s="27">
        <v>10133</v>
      </c>
      <c r="B78" s="55" t="s">
        <v>474</v>
      </c>
      <c r="C78" s="10">
        <f>IFERROR(INDEX('حسابهای دریافتنی'!H:H,MATCH(Table215[[#This Row],[كد تفصيلي]],'حسابهای دریافتنی'!A:A,0)),0)</f>
        <v>-1249039000</v>
      </c>
      <c r="D78" s="11">
        <f>IFERROR(INDEX('درجریان وصول'!F:F,MATCH(Table215[[#This Row],[كد تفصيلي]],'درجریان وصول'!A:A,0)),0)</f>
        <v>0</v>
      </c>
      <c r="E78" s="11">
        <f>IFERROR(INDEX('چکهای دریافتنی'!F:F,MATCH(Table215[[#This Row],[كد تفصيلي]],'چکهای دریافتنی'!A:A,0)),0)</f>
        <v>0</v>
      </c>
      <c r="F78" s="11">
        <f>Table215[[#This Row],[حسابهای دریافتنی]]+Table215[[#This Row],[چکهای در جریان وصول]]+Table215[[#This Row],[چکهای نزد صندوق]]</f>
        <v>-1249039000</v>
      </c>
      <c r="G78" s="12">
        <f>IFERROR(INDEX('مانده سوفاله'!F:F,MATCH(Table215[[#This Row],[كد تفصيلي]],'مانده سوفاله'!A:A,0)),0)</f>
        <v>0</v>
      </c>
    </row>
    <row r="79" spans="1:7" ht="22.5" customHeight="1" x14ac:dyDescent="0.35">
      <c r="A79" s="27">
        <v>10010</v>
      </c>
      <c r="B79" s="55" t="s">
        <v>17</v>
      </c>
      <c r="C79" s="10">
        <f>IFERROR(INDEX('حسابهای دریافتنی'!H:H,MATCH(Table215[[#This Row],[كد تفصيلي]],'حسابهای دریافتنی'!A:A,0)),0)</f>
        <v>0</v>
      </c>
      <c r="D79" s="11">
        <f>IFERROR(INDEX('درجریان وصول'!F:F,MATCH(Table215[[#This Row],[كد تفصيلي]],'درجریان وصول'!A:A,0)),0)</f>
        <v>0</v>
      </c>
      <c r="E79" s="11">
        <f>IFERROR(INDEX('چکهای دریافتنی'!F:F,MATCH(Table215[[#This Row],[كد تفصيلي]],'چکهای دریافتنی'!A:A,0)),0)</f>
        <v>0</v>
      </c>
      <c r="F79" s="11">
        <f>Table215[[#This Row],[حسابهای دریافتنی]]+Table215[[#This Row],[چکهای در جریان وصول]]+Table215[[#This Row],[چکهای نزد صندوق]]</f>
        <v>0</v>
      </c>
      <c r="G79" s="12">
        <f>IFERROR(INDEX('مانده سوفاله'!F:F,MATCH(Table215[[#This Row],[كد تفصيلي]],'مانده سوفاله'!A:A,0)),0)</f>
        <v>8</v>
      </c>
    </row>
    <row r="80" spans="1:7" ht="22.5" customHeight="1" x14ac:dyDescent="0.35">
      <c r="A80" s="26">
        <v>10023</v>
      </c>
      <c r="B80" s="56" t="s">
        <v>155</v>
      </c>
      <c r="C80" s="10">
        <f>IFERROR(INDEX('حسابهای دریافتنی'!H:H,MATCH(Table215[[#This Row],[كد تفصيلي]],'حسابهای دریافتنی'!A:A,0)),0)</f>
        <v>0</v>
      </c>
      <c r="D80" s="11">
        <f>IFERROR(INDEX('درجریان وصول'!F:F,MATCH(Table215[[#This Row],[كد تفصيلي]],'درجریان وصول'!A:A,0)),0)</f>
        <v>0</v>
      </c>
      <c r="E80" s="11">
        <f>IFERROR(INDEX('چکهای دریافتنی'!F:F,MATCH(Table215[[#This Row],[كد تفصيلي]],'چکهای دریافتنی'!A:A,0)),0)</f>
        <v>0</v>
      </c>
      <c r="F80" s="11">
        <f>Table215[[#This Row],[حسابهای دریافتنی]]+Table215[[#This Row],[چکهای در جریان وصول]]+Table215[[#This Row],[چکهای نزد صندوق]]</f>
        <v>0</v>
      </c>
      <c r="G80" s="12">
        <f>IFERROR(INDEX('مانده سوفاله'!F:F,MATCH(Table215[[#This Row],[كد تفصيلي]],'مانده سوفاله'!A:A,0)),0)</f>
        <v>6</v>
      </c>
    </row>
    <row r="81" spans="1:7" ht="22.5" customHeight="1" x14ac:dyDescent="0.35">
      <c r="A81" s="26">
        <v>10039</v>
      </c>
      <c r="B81" s="56" t="s">
        <v>45</v>
      </c>
      <c r="C81" s="10">
        <f>IFERROR(INDEX('حسابهای دریافتنی'!H:H,MATCH(Table215[[#This Row],[كد تفصيلي]],'حسابهای دریافتنی'!A:A,0)),0)</f>
        <v>0</v>
      </c>
      <c r="D81" s="11">
        <f>IFERROR(INDEX('درجریان وصول'!F:F,MATCH(Table215[[#This Row],[كد تفصيلي]],'درجریان وصول'!A:A,0)),0)</f>
        <v>0</v>
      </c>
      <c r="E81" s="11">
        <f>IFERROR(INDEX('چکهای دریافتنی'!F:F,MATCH(Table215[[#This Row],[كد تفصيلي]],'چکهای دریافتنی'!A:A,0)),0)</f>
        <v>0</v>
      </c>
      <c r="F81" s="11">
        <f>Table215[[#This Row],[حسابهای دریافتنی]]+Table215[[#This Row],[چکهای در جریان وصول]]+Table215[[#This Row],[چکهای نزد صندوق]]</f>
        <v>0</v>
      </c>
      <c r="G81" s="12">
        <f>IFERROR(INDEX('مانده سوفاله'!F:F,MATCH(Table215[[#This Row],[كد تفصيلي]],'مانده سوفاله'!A:A,0)),0)</f>
        <v>4</v>
      </c>
    </row>
    <row r="82" spans="1:7" customFormat="1" ht="22.5" customHeight="1" x14ac:dyDescent="0.35">
      <c r="A82" s="54">
        <v>10046</v>
      </c>
      <c r="B82" s="55" t="s">
        <v>51</v>
      </c>
      <c r="C82" s="10">
        <f>IFERROR(INDEX('حسابهای دریافتنی'!H:H,MATCH(Table215[[#This Row],[كد تفصيلي]],'حسابهای دریافتنی'!A:A,0)),0)</f>
        <v>0</v>
      </c>
      <c r="D82" s="11">
        <f>IFERROR(INDEX('درجریان وصول'!F:F,MATCH(Table215[[#This Row],[كد تفصيلي]],'درجریان وصول'!A:A,0)),0)</f>
        <v>0</v>
      </c>
      <c r="E82" s="11">
        <f>IFERROR(INDEX('چکهای دریافتنی'!F:F,MATCH(Table215[[#This Row],[كد تفصيلي]],'چکهای دریافتنی'!A:A,0)),0)</f>
        <v>0</v>
      </c>
      <c r="F82" s="11">
        <f>Table215[[#This Row],[حسابهای دریافتنی]]+Table215[[#This Row],[چکهای در جریان وصول]]+Table215[[#This Row],[چکهای نزد صندوق]]</f>
        <v>0</v>
      </c>
      <c r="G82" s="12">
        <f>IFERROR(INDEX('مانده سوفاله'!F:F,MATCH(Table215[[#This Row],[كد تفصيلي]],'مانده سوفاله'!A:A,0)),0)</f>
        <v>118</v>
      </c>
    </row>
    <row r="83" spans="1:7" customFormat="1" ht="22.5" customHeight="1" x14ac:dyDescent="0.35">
      <c r="A83" s="54">
        <v>10048</v>
      </c>
      <c r="B83" s="55" t="s">
        <v>191</v>
      </c>
      <c r="C83" s="10">
        <f>IFERROR(INDEX('حسابهای دریافتنی'!H:H,MATCH(Table215[[#This Row],[كد تفصيلي]],'حسابهای دریافتنی'!A:A,0)),0)</f>
        <v>0</v>
      </c>
      <c r="D83" s="11">
        <f>IFERROR(INDEX('درجریان وصول'!F:F,MATCH(Table215[[#This Row],[كد تفصيلي]],'درجریان وصول'!A:A,0)),0)</f>
        <v>0</v>
      </c>
      <c r="E83" s="11">
        <f>IFERROR(INDEX('چکهای دریافتنی'!F:F,MATCH(Table215[[#This Row],[كد تفصيلي]],'چکهای دریافتنی'!A:A,0)),0)</f>
        <v>0</v>
      </c>
      <c r="F83" s="11">
        <f>Table215[[#This Row],[حسابهای دریافتنی]]+Table215[[#This Row],[چکهای در جریان وصول]]+Table215[[#This Row],[چکهای نزد صندوق]]</f>
        <v>0</v>
      </c>
      <c r="G83" s="12">
        <f>IFERROR(INDEX('مانده سوفاله'!F:F,MATCH(Table215[[#This Row],[كد تفصيلي]],'مانده سوفاله'!A:A,0)),0)</f>
        <v>-1097</v>
      </c>
    </row>
    <row r="84" spans="1:7" customFormat="1" ht="22.5" customHeight="1" x14ac:dyDescent="0.35">
      <c r="A84" s="53">
        <v>10065</v>
      </c>
      <c r="B84" s="56" t="s">
        <v>228</v>
      </c>
      <c r="C84" s="10">
        <f>IFERROR(INDEX('حسابهای دریافتنی'!H:H,MATCH(Table215[[#This Row],[كد تفصيلي]],'حسابهای دریافتنی'!A:A,0)),0)</f>
        <v>0</v>
      </c>
      <c r="D84" s="11">
        <f>IFERROR(INDEX('درجریان وصول'!F:F,MATCH(Table215[[#This Row],[كد تفصيلي]],'درجریان وصول'!A:A,0)),0)</f>
        <v>0</v>
      </c>
      <c r="E84" s="11">
        <f>IFERROR(INDEX('چکهای دریافتنی'!F:F,MATCH(Table215[[#This Row],[كد تفصيلي]],'چکهای دریافتنی'!A:A,0)),0)</f>
        <v>0</v>
      </c>
      <c r="F84" s="11">
        <f>Table215[[#This Row],[حسابهای دریافتنی]]+Table215[[#This Row],[چکهای در جریان وصول]]+Table215[[#This Row],[چکهای نزد صندوق]]</f>
        <v>0</v>
      </c>
      <c r="G84" s="12">
        <f>IFERROR(INDEX('مانده سوفاله'!F:F,MATCH(Table215[[#This Row],[كد تفصيلي]],'مانده سوفاله'!A:A,0)),0)</f>
        <v>127</v>
      </c>
    </row>
    <row r="85" spans="1:7" customFormat="1" ht="22.5" customHeight="1" x14ac:dyDescent="0.35">
      <c r="A85" s="54">
        <v>10076</v>
      </c>
      <c r="B85" s="55" t="s">
        <v>182</v>
      </c>
      <c r="C85" s="10">
        <f>IFERROR(INDEX('حسابهای دریافتنی'!H:H,MATCH(Table215[[#This Row],[كد تفصيلي]],'حسابهای دریافتنی'!A:A,0)),0)</f>
        <v>0</v>
      </c>
      <c r="D85" s="11">
        <f>IFERROR(INDEX('درجریان وصول'!F:F,MATCH(Table215[[#This Row],[كد تفصيلي]],'درجریان وصول'!A:A,0)),0)</f>
        <v>0</v>
      </c>
      <c r="E85" s="11">
        <f>IFERROR(INDEX('چکهای دریافتنی'!F:F,MATCH(Table215[[#This Row],[كد تفصيلي]],'چکهای دریافتنی'!A:A,0)),0)</f>
        <v>0</v>
      </c>
      <c r="F85" s="11">
        <f>Table215[[#This Row],[حسابهای دریافتنی]]+Table215[[#This Row],[چکهای در جریان وصول]]+Table215[[#This Row],[چکهای نزد صندوق]]</f>
        <v>0</v>
      </c>
      <c r="G85" s="12">
        <f>IFERROR(INDEX('مانده سوفاله'!F:F,MATCH(Table215[[#This Row],[كد تفصيلي]],'مانده سوفاله'!A:A,0)),0)</f>
        <v>-13</v>
      </c>
    </row>
    <row r="86" spans="1:7" ht="22.5" customHeight="1" x14ac:dyDescent="0.35">
      <c r="A86" s="27">
        <v>30065</v>
      </c>
      <c r="B86" s="55" t="s">
        <v>110</v>
      </c>
      <c r="C86" s="10">
        <f>IFERROR(INDEX('حسابهای دریافتنی'!H:H,MATCH(Table215[[#This Row],[كد تفصيلي]],'حسابهای دریافتنی'!A:A,0)),0)</f>
        <v>0</v>
      </c>
      <c r="D86" s="11">
        <f>IFERROR(INDEX('درجریان وصول'!F:F,MATCH(Table215[[#This Row],[كد تفصيلي]],'درجریان وصول'!A:A,0)),0)</f>
        <v>0</v>
      </c>
      <c r="E86" s="11">
        <f>IFERROR(INDEX('چکهای دریافتنی'!F:F,MATCH(Table215[[#This Row],[كد تفصيلي]],'چکهای دریافتنی'!A:A,0)),0)</f>
        <v>0</v>
      </c>
      <c r="F86" s="11">
        <f>Table215[[#This Row],[حسابهای دریافتنی]]+Table215[[#This Row],[چکهای در جریان وصول]]+Table215[[#This Row],[چکهای نزد صندوق]]</f>
        <v>0</v>
      </c>
      <c r="G86" s="12">
        <f>IFERROR(INDEX('مانده سوفاله'!F:F,MATCH(Table215[[#This Row],[كد تفصيلي]],'مانده سوفاله'!A:A,0)),0)</f>
        <v>33</v>
      </c>
    </row>
    <row r="87" spans="1:7" ht="22.5" customHeight="1" x14ac:dyDescent="0.35">
      <c r="A87" s="27">
        <v>30071</v>
      </c>
      <c r="B87" s="55" t="s">
        <v>116</v>
      </c>
      <c r="C87" s="10">
        <f>IFERROR(INDEX('حسابهای دریافتنی'!H:H,MATCH(Table215[[#This Row],[كد تفصيلي]],'حسابهای دریافتنی'!A:A,0)),0)</f>
        <v>0</v>
      </c>
      <c r="D87" s="11">
        <f>IFERROR(INDEX('درجریان وصول'!F:F,MATCH(Table215[[#This Row],[كد تفصيلي]],'درجریان وصول'!A:A,0)),0)</f>
        <v>0</v>
      </c>
      <c r="E87" s="11">
        <f>IFERROR(INDEX('چکهای دریافتنی'!F:F,MATCH(Table215[[#This Row],[كد تفصيلي]],'چکهای دریافتنی'!A:A,0)),0)</f>
        <v>0</v>
      </c>
      <c r="F87" s="11">
        <f>Table215[[#This Row],[حسابهای دریافتنی]]+Table215[[#This Row],[چکهای در جریان وصول]]+Table215[[#This Row],[چکهای نزد صندوق]]</f>
        <v>0</v>
      </c>
      <c r="G87" s="12">
        <f>IFERROR(INDEX('مانده سوفاله'!F:F,MATCH(Table215[[#This Row],[كد تفصيلي]],'مانده سوفاله'!A:A,0)),0)</f>
        <v>3</v>
      </c>
    </row>
    <row r="88" spans="1:7" ht="22.5" customHeight="1" x14ac:dyDescent="0.35">
      <c r="A88" s="27">
        <v>30079</v>
      </c>
      <c r="B88" s="55" t="s">
        <v>124</v>
      </c>
      <c r="C88" s="10">
        <f>IFERROR(INDEX('حسابهای دریافتنی'!H:H,MATCH(Table215[[#This Row],[كد تفصيلي]],'حسابهای دریافتنی'!A:A,0)),0)</f>
        <v>0</v>
      </c>
      <c r="D88" s="11">
        <f>IFERROR(INDEX('درجریان وصول'!F:F,MATCH(Table215[[#This Row],[كد تفصيلي]],'درجریان وصول'!A:A,0)),0)</f>
        <v>0</v>
      </c>
      <c r="E88" s="11">
        <f>IFERROR(INDEX('چکهای دریافتنی'!F:F,MATCH(Table215[[#This Row],[كد تفصيلي]],'چکهای دریافتنی'!A:A,0)),0)</f>
        <v>0</v>
      </c>
      <c r="F88" s="11">
        <f>Table215[[#This Row],[حسابهای دریافتنی]]+Table215[[#This Row],[چکهای در جریان وصول]]+Table215[[#This Row],[چکهای نزد صندوق]]</f>
        <v>0</v>
      </c>
      <c r="G88" s="12">
        <f>IFERROR(INDEX('مانده سوفاله'!F:F,MATCH(Table215[[#This Row],[كد تفصيلي]],'مانده سوفاله'!A:A,0)),0)</f>
        <v>-85</v>
      </c>
    </row>
    <row r="89" spans="1:7" ht="22.5" customHeight="1" x14ac:dyDescent="0.35">
      <c r="A89" s="27">
        <v>30097</v>
      </c>
      <c r="B89" s="55" t="s">
        <v>188</v>
      </c>
      <c r="C89" s="10">
        <f>IFERROR(INDEX('حسابهای دریافتنی'!H:H,MATCH(Table215[[#This Row],[كد تفصيلي]],'حسابهای دریافتنی'!A:A,0)),0)</f>
        <v>0</v>
      </c>
      <c r="D89" s="11">
        <f>IFERROR(INDEX('درجریان وصول'!F:F,MATCH(Table215[[#This Row],[كد تفصيلي]],'درجریان وصول'!A:A,0)),0)</f>
        <v>0</v>
      </c>
      <c r="E89" s="11">
        <f>IFERROR(INDEX('چکهای دریافتنی'!F:F,MATCH(Table215[[#This Row],[كد تفصيلي]],'چکهای دریافتنی'!A:A,0)),0)</f>
        <v>0</v>
      </c>
      <c r="F89" s="11">
        <f>Table215[[#This Row],[حسابهای دریافتنی]]+Table215[[#This Row],[چکهای در جریان وصول]]+Table215[[#This Row],[چکهای نزد صندوق]]</f>
        <v>0</v>
      </c>
      <c r="G89" s="12">
        <f>IFERROR(INDEX('مانده سوفاله'!F:F,MATCH(Table215[[#This Row],[كد تفصيلي]],'مانده سوفاله'!A:A,0)),0)</f>
        <v>-82</v>
      </c>
    </row>
    <row r="90" spans="1:7" ht="22.5" customHeight="1" x14ac:dyDescent="0.35">
      <c r="A90" s="26">
        <v>30118</v>
      </c>
      <c r="B90" s="56" t="s">
        <v>205</v>
      </c>
      <c r="C90" s="10">
        <f>IFERROR(INDEX('حسابهای دریافتنی'!H:H,MATCH(Table215[[#This Row],[كد تفصيلي]],'حسابهای دریافتنی'!A:A,0)),0)</f>
        <v>0</v>
      </c>
      <c r="D90" s="11">
        <f>IFERROR(INDEX('درجریان وصول'!F:F,MATCH(Table215[[#This Row],[كد تفصيلي]],'درجریان وصول'!A:A,0)),0)</f>
        <v>0</v>
      </c>
      <c r="E90" s="11">
        <f>IFERROR(INDEX('چکهای دریافتنی'!F:F,MATCH(Table215[[#This Row],[كد تفصيلي]],'چکهای دریافتنی'!A:A,0)),0)</f>
        <v>0</v>
      </c>
      <c r="F90" s="11">
        <f>Table215[[#This Row],[حسابهای دریافتنی]]+Table215[[#This Row],[چکهای در جریان وصول]]+Table215[[#This Row],[چکهای نزد صندوق]]</f>
        <v>0</v>
      </c>
      <c r="G90" s="12">
        <f>IFERROR(INDEX('مانده سوفاله'!F:F,MATCH(Table215[[#This Row],[كد تفصيلي]],'مانده سوفاله'!A:A,0)),0)</f>
        <v>-20</v>
      </c>
    </row>
    <row r="91" spans="1:7" ht="22.5" customHeight="1" x14ac:dyDescent="0.35">
      <c r="A91" s="27">
        <v>30137</v>
      </c>
      <c r="B91" s="55" t="s">
        <v>218</v>
      </c>
      <c r="C91" s="10">
        <f>IFERROR(INDEX('حسابهای دریافتنی'!H:H,MATCH(Table215[[#This Row],[كد تفصيلي]],'حسابهای دریافتنی'!A:A,0)),0)</f>
        <v>0</v>
      </c>
      <c r="D91" s="11">
        <f>IFERROR(INDEX('درجریان وصول'!F:F,MATCH(Table215[[#This Row],[كد تفصيلي]],'درجریان وصول'!A:A,0)),0)</f>
        <v>0</v>
      </c>
      <c r="E91" s="11">
        <f>IFERROR(INDEX('چکهای دریافتنی'!F:F,MATCH(Table215[[#This Row],[كد تفصيلي]],'چکهای دریافتنی'!A:A,0)),0)</f>
        <v>213182200</v>
      </c>
      <c r="F91" s="11">
        <f>Table215[[#This Row],[حسابهای دریافتنی]]+Table215[[#This Row],[چکهای در جریان وصول]]+Table215[[#This Row],[چکهای نزد صندوق]]</f>
        <v>213182200</v>
      </c>
      <c r="G91" s="12">
        <f>IFERROR(INDEX('مانده سوفاله'!F:F,MATCH(Table215[[#This Row],[كد تفصيلي]],'مانده سوفاله'!A:A,0)),0)</f>
        <v>0</v>
      </c>
    </row>
    <row r="92" spans="1:7" ht="22.5" customHeight="1" x14ac:dyDescent="0.35">
      <c r="A92" s="27">
        <v>30141</v>
      </c>
      <c r="B92" s="55" t="s">
        <v>261</v>
      </c>
      <c r="C92" s="10">
        <f>IFERROR(INDEX('حسابهای دریافتنی'!H:H,MATCH(Table215[[#This Row],[كد تفصيلي]],'حسابهای دریافتنی'!A:A,0)),0)</f>
        <v>0</v>
      </c>
      <c r="D92" s="11">
        <f>IFERROR(INDEX('درجریان وصول'!F:F,MATCH(Table215[[#This Row],[كد تفصيلي]],'درجریان وصول'!A:A,0)),0)</f>
        <v>0</v>
      </c>
      <c r="E92" s="11">
        <f>IFERROR(INDEX('چکهای دریافتنی'!F:F,MATCH(Table215[[#This Row],[كد تفصيلي]],'چکهای دریافتنی'!A:A,0)),0)</f>
        <v>0</v>
      </c>
      <c r="F92" s="11">
        <f>Table215[[#This Row],[حسابهای دریافتنی]]+Table215[[#This Row],[چکهای در جریان وصول]]+Table215[[#This Row],[چکهای نزد صندوق]]</f>
        <v>0</v>
      </c>
      <c r="G92" s="12">
        <f>IFERROR(INDEX('مانده سوفاله'!F:F,MATCH(Table215[[#This Row],[كد تفصيلي]],'مانده سوفاله'!A:A,0)),0)</f>
        <v>-42</v>
      </c>
    </row>
    <row r="93" spans="1:7" ht="22.5" customHeight="1" x14ac:dyDescent="0.35">
      <c r="A93" s="26">
        <v>30142</v>
      </c>
      <c r="B93" s="56" t="s">
        <v>263</v>
      </c>
      <c r="C93" s="10">
        <f>IFERROR(INDEX('حسابهای دریافتنی'!H:H,MATCH(Table215[[#This Row],[كد تفصيلي]],'حسابهای دریافتنی'!A:A,0)),0)</f>
        <v>0</v>
      </c>
      <c r="D93" s="11">
        <f>IFERROR(INDEX('درجریان وصول'!F:F,MATCH(Table215[[#This Row],[كد تفصيلي]],'درجریان وصول'!A:A,0)),0)</f>
        <v>0</v>
      </c>
      <c r="E93" s="11">
        <f>IFERROR(INDEX('چکهای دریافتنی'!F:F,MATCH(Table215[[#This Row],[كد تفصيلي]],'چکهای دریافتنی'!A:A,0)),0)</f>
        <v>0</v>
      </c>
      <c r="F93" s="11">
        <f>Table215[[#This Row],[حسابهای دریافتنی]]+Table215[[#This Row],[چکهای در جریان وصول]]+Table215[[#This Row],[چکهای نزد صندوق]]</f>
        <v>0</v>
      </c>
      <c r="G93" s="12">
        <f>IFERROR(INDEX('مانده سوفاله'!F:F,MATCH(Table215[[#This Row],[كد تفصيلي]],'مانده سوفاله'!A:A,0)),0)</f>
        <v>13</v>
      </c>
    </row>
    <row r="94" spans="1:7" ht="22.5" customHeight="1" x14ac:dyDescent="0.35">
      <c r="A94" s="27">
        <v>79010</v>
      </c>
      <c r="B94" s="55" t="s">
        <v>176</v>
      </c>
      <c r="C94" s="10">
        <f>IFERROR(INDEX('حسابهای دریافتنی'!H:H,MATCH(Table215[[#This Row],[كد تفصيلي]],'حسابهای دریافتنی'!A:A,0)),0)</f>
        <v>0</v>
      </c>
      <c r="D94" s="11">
        <f>IFERROR(INDEX('درجریان وصول'!F:F,MATCH(Table215[[#This Row],[كد تفصيلي]],'درجریان وصول'!A:A,0)),0)</f>
        <v>0</v>
      </c>
      <c r="E94" s="11">
        <f>IFERROR(INDEX('چکهای دریافتنی'!F:F,MATCH(Table215[[#This Row],[كد تفصيلي]],'چکهای دریافتنی'!A:A,0)),0)</f>
        <v>0</v>
      </c>
      <c r="F94" s="11">
        <f>Table215[[#This Row],[حسابهای دریافتنی]]+Table215[[#This Row],[چکهای در جریان وصول]]+Table215[[#This Row],[چکهای نزد صندوق]]</f>
        <v>0</v>
      </c>
      <c r="G94" s="12">
        <f>IFERROR(INDEX('مانده سوفاله'!F:F,MATCH(Table215[[#This Row],[كد تفصيلي]],'مانده سوفاله'!A:A,0)),0)</f>
        <v>-110</v>
      </c>
    </row>
    <row r="95" spans="1:7" ht="22.5" customHeight="1" x14ac:dyDescent="0.35">
      <c r="A95" s="27">
        <v>30026</v>
      </c>
      <c r="B95" s="55" t="s">
        <v>74</v>
      </c>
      <c r="C95" s="10">
        <f>IFERROR(INDEX('حسابهای دریافتنی'!H:H,MATCH(Table215[[#This Row],[كد تفصيلي]],'حسابهای دریافتنی'!A:A,0)),0)</f>
        <v>5689439</v>
      </c>
      <c r="D95" s="11">
        <f>IFERROR(INDEX('درجریان وصول'!F:F,MATCH(Table215[[#This Row],[كد تفصيلي]],'درجریان وصول'!A:A,0)),0)</f>
        <v>0</v>
      </c>
      <c r="E95" s="11">
        <f>IFERROR(INDEX('چکهای دریافتنی'!F:F,MATCH(Table215[[#This Row],[كد تفصيلي]],'چکهای دریافتنی'!A:A,0)),0)</f>
        <v>0</v>
      </c>
      <c r="F95" s="11">
        <f>Table215[[#This Row],[حسابهای دریافتنی]]+Table215[[#This Row],[چکهای در جریان وصول]]+Table215[[#This Row],[چکهای نزد صندوق]]</f>
        <v>5689439</v>
      </c>
      <c r="G95" s="12">
        <f>IFERROR(INDEX('مانده سوفاله'!F:F,MATCH(Table215[[#This Row],[كد تفصيلي]],'مانده سوفاله'!A:A,0)),0)</f>
        <v>764</v>
      </c>
    </row>
    <row r="96" spans="1:7" ht="22.5" customHeight="1" x14ac:dyDescent="0.35">
      <c r="A96" s="26">
        <v>30164</v>
      </c>
      <c r="B96" s="56" t="s">
        <v>304</v>
      </c>
      <c r="C96" s="10">
        <f>IFERROR(INDEX('حسابهای دریافتنی'!H:H,MATCH(Table215[[#This Row],[كد تفصيلي]],'حسابهای دریافتنی'!A:A,0)),0)</f>
        <v>184944000</v>
      </c>
      <c r="D96" s="11">
        <f>IFERROR(INDEX('درجریان وصول'!F:F,MATCH(Table215[[#This Row],[كد تفصيلي]],'درجریان وصول'!A:A,0)),0)</f>
        <v>0</v>
      </c>
      <c r="E96" s="11">
        <f>IFERROR(INDEX('چکهای دریافتنی'!F:F,MATCH(Table215[[#This Row],[كد تفصيلي]],'چکهای دریافتنی'!A:A,0)),0)</f>
        <v>0</v>
      </c>
      <c r="F96" s="11">
        <f>Table215[[#This Row],[حسابهای دریافتنی]]+Table215[[#This Row],[چکهای در جریان وصول]]+Table215[[#This Row],[چکهای نزد صندوق]]</f>
        <v>184944000</v>
      </c>
      <c r="G96" s="12">
        <f>IFERROR(INDEX('مانده سوفاله'!F:F,MATCH(Table215[[#This Row],[كد تفصيلي]],'مانده سوفاله'!A:A,0)),0)</f>
        <v>561</v>
      </c>
    </row>
    <row r="97" spans="1:7" ht="22.5" customHeight="1" x14ac:dyDescent="0.35">
      <c r="A97" s="27">
        <v>10109</v>
      </c>
      <c r="B97" s="55" t="s">
        <v>303</v>
      </c>
      <c r="C97" s="10">
        <f>IFERROR(INDEX('حسابهای دریافتنی'!H:H,MATCH(Table215[[#This Row],[كد تفصيلي]],'حسابهای دریافتنی'!A:A,0)),0)</f>
        <v>-1124737000</v>
      </c>
      <c r="D97" s="11">
        <f>IFERROR(INDEX('درجریان وصول'!F:F,MATCH(Table215[[#This Row],[كد تفصيلي]],'درجریان وصول'!A:A,0)),0)</f>
        <v>0</v>
      </c>
      <c r="E97" s="11">
        <f>IFERROR(INDEX('چکهای دریافتنی'!F:F,MATCH(Table215[[#This Row],[كد تفصيلي]],'چکهای دریافتنی'!A:A,0)),0)</f>
        <v>0</v>
      </c>
      <c r="F97" s="11">
        <f>Table215[[#This Row],[حسابهای دریافتنی]]+Table215[[#This Row],[چکهای در جریان وصول]]+Table215[[#This Row],[چکهای نزد صندوق]]</f>
        <v>-1124737000</v>
      </c>
      <c r="G97" s="12">
        <f>IFERROR(INDEX('مانده سوفاله'!F:F,MATCH(Table215[[#This Row],[كد تفصيلي]],'مانده سوفاله'!A:A,0)),0)</f>
        <v>-241</v>
      </c>
    </row>
    <row r="98" spans="1:7" ht="22.5" customHeight="1" x14ac:dyDescent="0.35">
      <c r="A98" s="26">
        <v>30021</v>
      </c>
      <c r="B98" s="56" t="s">
        <v>69</v>
      </c>
      <c r="C98" s="10">
        <f>IFERROR(INDEX('حسابهای دریافتنی'!H:H,MATCH(Table215[[#This Row],[كد تفصيلي]],'حسابهای دریافتنی'!A:A,0)),0)</f>
        <v>-122000</v>
      </c>
      <c r="D98" s="11">
        <f>IFERROR(INDEX('درجریان وصول'!F:F,MATCH(Table215[[#This Row],[كد تفصيلي]],'درجریان وصول'!A:A,0)),0)</f>
        <v>0</v>
      </c>
      <c r="E98" s="11">
        <f>IFERROR(INDEX('چکهای دریافتنی'!F:F,MATCH(Table215[[#This Row],[كد تفصيلي]],'چکهای دریافتنی'!A:A,0)),0)</f>
        <v>0</v>
      </c>
      <c r="F98" s="11">
        <f>Table215[[#This Row],[حسابهای دریافتنی]]+Table215[[#This Row],[چکهای در جریان وصول]]+Table215[[#This Row],[چکهای نزد صندوق]]</f>
        <v>-122000</v>
      </c>
      <c r="G98" s="12">
        <f>IFERROR(INDEX('مانده سوفاله'!F:F,MATCH(Table215[[#This Row],[كد تفصيلي]],'مانده سوفاله'!A:A,0)),0)</f>
        <v>0</v>
      </c>
    </row>
    <row r="99" spans="1:7" ht="22.5" customHeight="1" x14ac:dyDescent="0.35">
      <c r="A99" s="27">
        <v>10066</v>
      </c>
      <c r="B99" s="55" t="s">
        <v>262</v>
      </c>
      <c r="C99" s="10">
        <f>IFERROR(INDEX('حسابهای دریافتنی'!H:H,MATCH(Table215[[#This Row],[كد تفصيلي]],'حسابهای دریافتنی'!A:A,0)),0)</f>
        <v>-191500</v>
      </c>
      <c r="D99" s="11">
        <f>IFERROR(INDEX('درجریان وصول'!F:F,MATCH(Table215[[#This Row],[كد تفصيلي]],'درجریان وصول'!A:A,0)),0)</f>
        <v>0</v>
      </c>
      <c r="E99" s="11">
        <f>IFERROR(INDEX('چکهای دریافتنی'!F:F,MATCH(Table215[[#This Row],[كد تفصيلي]],'چکهای دریافتنی'!A:A,0)),0)</f>
        <v>0</v>
      </c>
      <c r="F99" s="11">
        <f>Table215[[#This Row],[حسابهای دریافتنی]]+Table215[[#This Row],[چکهای در جریان وصول]]+Table215[[#This Row],[چکهای نزد صندوق]]</f>
        <v>-191500</v>
      </c>
      <c r="G99" s="12">
        <f>IFERROR(INDEX('مانده سوفاله'!F:F,MATCH(Table215[[#This Row],[كد تفصيلي]],'مانده سوفاله'!A:A,0)),0)</f>
        <v>2</v>
      </c>
    </row>
    <row r="100" spans="1:7" ht="22.5" customHeight="1" x14ac:dyDescent="0.35">
      <c r="A100" s="27">
        <v>30167</v>
      </c>
      <c r="B100" s="55" t="s">
        <v>311</v>
      </c>
      <c r="C100" s="10">
        <f>IFERROR(INDEX('حسابهای دریافتنی'!H:H,MATCH(Table215[[#This Row],[كد تفصيلي]],'حسابهای دریافتنی'!A:A,0)),0)</f>
        <v>-221000</v>
      </c>
      <c r="D100" s="11">
        <f>IFERROR(INDEX('درجریان وصول'!F:F,MATCH(Table215[[#This Row],[كد تفصيلي]],'درجریان وصول'!A:A,0)),0)</f>
        <v>0</v>
      </c>
      <c r="E100" s="11">
        <f>IFERROR(INDEX('چکهای دریافتنی'!F:F,MATCH(Table215[[#This Row],[كد تفصيلي]],'چکهای دریافتنی'!A:A,0)),0)</f>
        <v>0</v>
      </c>
      <c r="F100" s="11">
        <f>Table215[[#This Row],[حسابهای دریافتنی]]+Table215[[#This Row],[چکهای در جریان وصول]]+Table215[[#This Row],[چکهای نزد صندوق]]</f>
        <v>-221000</v>
      </c>
      <c r="G100" s="12">
        <f>IFERROR(INDEX('مانده سوفاله'!F:F,MATCH(Table215[[#This Row],[كد تفصيلي]],'مانده سوفاله'!A:A,0)),0)</f>
        <v>6</v>
      </c>
    </row>
    <row r="101" spans="1:7" ht="22.5" customHeight="1" x14ac:dyDescent="0.35">
      <c r="A101" s="26">
        <v>10077</v>
      </c>
      <c r="B101" s="56" t="s">
        <v>210</v>
      </c>
      <c r="C101" s="10">
        <f>IFERROR(INDEX('حسابهای دریافتنی'!H:H,MATCH(Table215[[#This Row],[كد تفصيلي]],'حسابهای دریافتنی'!A:A,0)),0)</f>
        <v>-238500</v>
      </c>
      <c r="D101" s="11">
        <f>IFERROR(INDEX('درجریان وصول'!F:F,MATCH(Table215[[#This Row],[كد تفصيلي]],'درجریان وصول'!A:A,0)),0)</f>
        <v>0</v>
      </c>
      <c r="E101" s="11">
        <f>IFERROR(INDEX('چکهای دریافتنی'!F:F,MATCH(Table215[[#This Row],[كد تفصيلي]],'چکهای دریافتنی'!A:A,0)),0)</f>
        <v>0</v>
      </c>
      <c r="F101" s="11">
        <f>Table215[[#This Row],[حسابهای دریافتنی]]+Table215[[#This Row],[چکهای در جریان وصول]]+Table215[[#This Row],[چکهای نزد صندوق]]</f>
        <v>-238500</v>
      </c>
      <c r="G101" s="12">
        <f>IFERROR(INDEX('مانده سوفاله'!F:F,MATCH(Table215[[#This Row],[كد تفصيلي]],'مانده سوفاله'!A:A,0)),0)</f>
        <v>0</v>
      </c>
    </row>
    <row r="102" spans="1:7" ht="22.5" customHeight="1" x14ac:dyDescent="0.35">
      <c r="A102" s="27">
        <v>10012</v>
      </c>
      <c r="B102" s="55" t="s">
        <v>19</v>
      </c>
      <c r="C102" s="10">
        <f>IFERROR(INDEX('حسابهای دریافتنی'!H:H,MATCH(Table215[[#This Row],[كد تفصيلي]],'حسابهای دریافتنی'!A:A,0)),0)</f>
        <v>-244000</v>
      </c>
      <c r="D102" s="11">
        <f>IFERROR(INDEX('درجریان وصول'!F:F,MATCH(Table215[[#This Row],[كد تفصيلي]],'درجریان وصول'!A:A,0)),0)</f>
        <v>0</v>
      </c>
      <c r="E102" s="11">
        <f>IFERROR(INDEX('چکهای دریافتنی'!F:F,MATCH(Table215[[#This Row],[كد تفصيلي]],'چکهای دریافتنی'!A:A,0)),0)</f>
        <v>0</v>
      </c>
      <c r="F102" s="11">
        <f>Table215[[#This Row],[حسابهای دریافتنی]]+Table215[[#This Row],[چکهای در جریان وصول]]+Table215[[#This Row],[چکهای نزد صندوق]]</f>
        <v>-244000</v>
      </c>
      <c r="G102" s="12">
        <f>IFERROR(INDEX('مانده سوفاله'!F:F,MATCH(Table215[[#This Row],[كد تفصيلي]],'مانده سوفاله'!A:A,0)),0)</f>
        <v>0</v>
      </c>
    </row>
    <row r="103" spans="1:7" ht="22.5" customHeight="1" x14ac:dyDescent="0.35">
      <c r="A103" s="26">
        <v>30088</v>
      </c>
      <c r="B103" s="56" t="s">
        <v>142</v>
      </c>
      <c r="C103" s="10">
        <f>IFERROR(INDEX('حسابهای دریافتنی'!H:H,MATCH(Table215[[#This Row],[كد تفصيلي]],'حسابهای دریافتنی'!A:A,0)),0)</f>
        <v>-252000</v>
      </c>
      <c r="D103" s="11">
        <f>IFERROR(INDEX('درجریان وصول'!F:F,MATCH(Table215[[#This Row],[كد تفصيلي]],'درجریان وصول'!A:A,0)),0)</f>
        <v>0</v>
      </c>
      <c r="E103" s="11">
        <f>IFERROR(INDEX('چکهای دریافتنی'!F:F,MATCH(Table215[[#This Row],[كد تفصيلي]],'چکهای دریافتنی'!A:A,0)),0)</f>
        <v>0</v>
      </c>
      <c r="F103" s="11">
        <f>Table215[[#This Row],[حسابهای دریافتنی]]+Table215[[#This Row],[چکهای در جریان وصول]]+Table215[[#This Row],[چکهای نزد صندوق]]</f>
        <v>-252000</v>
      </c>
      <c r="G103" s="12">
        <f>IFERROR(INDEX('مانده سوفاله'!F:F,MATCH(Table215[[#This Row],[كد تفصيلي]],'مانده سوفاله'!A:A,0)),0)</f>
        <v>0</v>
      </c>
    </row>
    <row r="104" spans="1:7" ht="22.5" customHeight="1" x14ac:dyDescent="0.35">
      <c r="A104" s="26">
        <v>10128</v>
      </c>
      <c r="B104" s="56" t="s">
        <v>372</v>
      </c>
      <c r="C104" s="10">
        <f>IFERROR(INDEX('حسابهای دریافتنی'!H:H,MATCH(Table215[[#This Row],[كد تفصيلي]],'حسابهای دریافتنی'!A:A,0)),0)</f>
        <v>-45000</v>
      </c>
      <c r="D104" s="11">
        <f>IFERROR(INDEX('درجریان وصول'!F:F,MATCH(Table215[[#This Row],[كد تفصيلي]],'درجریان وصول'!A:A,0)),0)</f>
        <v>0</v>
      </c>
      <c r="E104" s="11">
        <f>IFERROR(INDEX('چکهای دریافتنی'!F:F,MATCH(Table215[[#This Row],[كد تفصيلي]],'چکهای دریافتنی'!A:A,0)),0)</f>
        <v>0</v>
      </c>
      <c r="F104" s="11">
        <f>Table215[[#This Row],[حسابهای دریافتنی]]+Table215[[#This Row],[چکهای در جریان وصول]]+Table215[[#This Row],[چکهای نزد صندوق]]</f>
        <v>-45000</v>
      </c>
      <c r="G104" s="12">
        <f>IFERROR(INDEX('مانده سوفاله'!F:F,MATCH(Table215[[#This Row],[كد تفصيلي]],'مانده سوفاله'!A:A,0)),0)</f>
        <v>6</v>
      </c>
    </row>
    <row r="105" spans="1:7" ht="22.5" customHeight="1" x14ac:dyDescent="0.35">
      <c r="A105" s="26">
        <v>10045</v>
      </c>
      <c r="B105" s="56" t="s">
        <v>50</v>
      </c>
      <c r="C105" s="10">
        <f>IFERROR(INDEX('حسابهای دریافتنی'!H:H,MATCH(Table215[[#This Row],[كد تفصيلي]],'حسابهای دریافتنی'!A:A,0)),0)</f>
        <v>-383000</v>
      </c>
      <c r="D105" s="11">
        <f>IFERROR(INDEX('درجریان وصول'!F:F,MATCH(Table215[[#This Row],[كد تفصيلي]],'درجریان وصول'!A:A,0)),0)</f>
        <v>0</v>
      </c>
      <c r="E105" s="11">
        <f>IFERROR(INDEX('چکهای دریافتنی'!F:F,MATCH(Table215[[#This Row],[كد تفصيلي]],'چکهای دریافتنی'!A:A,0)),0)</f>
        <v>0</v>
      </c>
      <c r="F105" s="11">
        <f>Table215[[#This Row],[حسابهای دریافتنی]]+Table215[[#This Row],[چکهای در جریان وصول]]+Table215[[#This Row],[چکهای نزد صندوق]]</f>
        <v>-383000</v>
      </c>
      <c r="G105" s="12">
        <f>IFERROR(INDEX('مانده سوفاله'!F:F,MATCH(Table215[[#This Row],[كد تفصيلي]],'مانده سوفاله'!A:A,0)),0)</f>
        <v>-30</v>
      </c>
    </row>
    <row r="106" spans="1:7" ht="22.5" customHeight="1" x14ac:dyDescent="0.35">
      <c r="A106" s="26">
        <v>30051</v>
      </c>
      <c r="B106" s="56" t="s">
        <v>98</v>
      </c>
      <c r="C106" s="10">
        <f>IFERROR(INDEX('حسابهای دریافتنی'!H:H,MATCH(Table215[[#This Row],[كد تفصيلي]],'حسابهای دریافتنی'!A:A,0)),0)</f>
        <v>-384000</v>
      </c>
      <c r="D106" s="11">
        <f>IFERROR(INDEX('درجریان وصول'!F:F,MATCH(Table215[[#This Row],[كد تفصيلي]],'درجریان وصول'!A:A,0)),0)</f>
        <v>0</v>
      </c>
      <c r="E106" s="11">
        <f>IFERROR(INDEX('چکهای دریافتنی'!F:F,MATCH(Table215[[#This Row],[كد تفصيلي]],'چکهای دریافتنی'!A:A,0)),0)</f>
        <v>0</v>
      </c>
      <c r="F106" s="11">
        <f>Table215[[#This Row],[حسابهای دریافتنی]]+Table215[[#This Row],[چکهای در جریان وصول]]+Table215[[#This Row],[چکهای نزد صندوق]]</f>
        <v>-384000</v>
      </c>
      <c r="G106" s="12">
        <f>IFERROR(INDEX('مانده سوفاله'!F:F,MATCH(Table215[[#This Row],[كد تفصيلي]],'مانده سوفاله'!A:A,0)),0)</f>
        <v>0</v>
      </c>
    </row>
    <row r="107" spans="1:7" ht="22.5" customHeight="1" x14ac:dyDescent="0.35">
      <c r="A107" s="27">
        <v>30044</v>
      </c>
      <c r="B107" s="55" t="s">
        <v>91</v>
      </c>
      <c r="C107" s="10">
        <f>IFERROR(INDEX('حسابهای دریافتنی'!H:H,MATCH(Table215[[#This Row],[كد تفصيلي]],'حسابهای دریافتنی'!A:A,0)),0)</f>
        <v>-492500</v>
      </c>
      <c r="D107" s="11">
        <f>IFERROR(INDEX('درجریان وصول'!F:F,MATCH(Table215[[#This Row],[كد تفصيلي]],'درجریان وصول'!A:A,0)),0)</f>
        <v>0</v>
      </c>
      <c r="E107" s="11">
        <f>IFERROR(INDEX('چکهای دریافتنی'!F:F,MATCH(Table215[[#This Row],[كد تفصيلي]],'چکهای دریافتنی'!A:A,0)),0)</f>
        <v>0</v>
      </c>
      <c r="F107" s="11">
        <f>Table215[[#This Row],[حسابهای دریافتنی]]+Table215[[#This Row],[چکهای در جریان وصول]]+Table215[[#This Row],[چکهای نزد صندوق]]</f>
        <v>-492500</v>
      </c>
      <c r="G107" s="12">
        <f>IFERROR(INDEX('مانده سوفاله'!F:F,MATCH(Table215[[#This Row],[كد تفصيلي]],'مانده سوفاله'!A:A,0)),0)</f>
        <v>2</v>
      </c>
    </row>
    <row r="108" spans="1:7" ht="22.5" customHeight="1" x14ac:dyDescent="0.35">
      <c r="A108" s="26">
        <v>10095</v>
      </c>
      <c r="B108" s="56" t="s">
        <v>268</v>
      </c>
      <c r="C108" s="10">
        <f>IFERROR(INDEX('حسابهای دریافتنی'!H:H,MATCH(Table215[[#This Row],[كد تفصيلي]],'حسابهای دریافتنی'!A:A,0)),0)</f>
        <v>-496500</v>
      </c>
      <c r="D108" s="11">
        <f>IFERROR(INDEX('درجریان وصول'!F:F,MATCH(Table215[[#This Row],[كد تفصيلي]],'درجریان وصول'!A:A,0)),0)</f>
        <v>0</v>
      </c>
      <c r="E108" s="11">
        <f>IFERROR(INDEX('چکهای دریافتنی'!F:F,MATCH(Table215[[#This Row],[كد تفصيلي]],'چکهای دریافتنی'!A:A,0)),0)</f>
        <v>0</v>
      </c>
      <c r="F108" s="11">
        <f>Table215[[#This Row],[حسابهای دریافتنی]]+Table215[[#This Row],[چکهای در جریان وصول]]+Table215[[#This Row],[چکهای نزد صندوق]]</f>
        <v>-496500</v>
      </c>
      <c r="G108" s="12">
        <f>IFERROR(INDEX('مانده سوفاله'!F:F,MATCH(Table215[[#This Row],[كد تفصيلي]],'مانده سوفاله'!A:A,0)),0)</f>
        <v>0</v>
      </c>
    </row>
    <row r="109" spans="1:7" ht="22.5" customHeight="1" x14ac:dyDescent="0.35">
      <c r="A109" s="26">
        <v>10126</v>
      </c>
      <c r="B109" s="56" t="s">
        <v>370</v>
      </c>
      <c r="C109" s="10">
        <f>IFERROR(INDEX('حسابهای دریافتنی'!H:H,MATCH(Table215[[#This Row],[كد تفصيلي]],'حسابهای دریافتنی'!A:A,0)),0)</f>
        <v>12165000</v>
      </c>
      <c r="D109" s="11">
        <f>IFERROR(INDEX('درجریان وصول'!F:F,MATCH(Table215[[#This Row],[كد تفصيلي]],'درجریان وصول'!A:A,0)),0)</f>
        <v>0</v>
      </c>
      <c r="E109" s="11">
        <f>IFERROR(INDEX('چکهای دریافتنی'!F:F,MATCH(Table215[[#This Row],[كد تفصيلي]],'چکهای دریافتنی'!A:A,0)),0)</f>
        <v>0</v>
      </c>
      <c r="F109" s="11">
        <f>Table215[[#This Row],[حسابهای دریافتنی]]+Table215[[#This Row],[چکهای در جریان وصول]]+Table215[[#This Row],[چکهای نزد صندوق]]</f>
        <v>12165000</v>
      </c>
      <c r="G109" s="12">
        <f>IFERROR(INDEX('مانده سوفاله'!F:F,MATCH(Table215[[#This Row],[كد تفصيلي]],'مانده سوفاله'!A:A,0)),0)</f>
        <v>0</v>
      </c>
    </row>
    <row r="110" spans="1:7" ht="22.5" customHeight="1" x14ac:dyDescent="0.35">
      <c r="A110" s="27">
        <v>30052</v>
      </c>
      <c r="B110" s="55" t="s">
        <v>149</v>
      </c>
      <c r="C110" s="10">
        <f>IFERROR(INDEX('حسابهای دریافتنی'!H:H,MATCH(Table215[[#This Row],[كد تفصيلي]],'حسابهای دریافتنی'!A:A,0)),0)</f>
        <v>-539000</v>
      </c>
      <c r="D110" s="11">
        <f>IFERROR(INDEX('درجریان وصول'!F:F,MATCH(Table215[[#This Row],[كد تفصيلي]],'درجریان وصول'!A:A,0)),0)</f>
        <v>0</v>
      </c>
      <c r="E110" s="11">
        <f>IFERROR(INDEX('چکهای دریافتنی'!F:F,MATCH(Table215[[#This Row],[كد تفصيلي]],'چکهای دریافتنی'!A:A,0)),0)</f>
        <v>0</v>
      </c>
      <c r="F110" s="11">
        <f>Table215[[#This Row],[حسابهای دریافتنی]]+Table215[[#This Row],[چکهای در جریان وصول]]+Table215[[#This Row],[چکهای نزد صندوق]]</f>
        <v>-539000</v>
      </c>
      <c r="G110" s="12">
        <f>IFERROR(INDEX('مانده سوفاله'!F:F,MATCH(Table215[[#This Row],[كد تفصيلي]],'مانده سوفاله'!A:A,0)),0)</f>
        <v>0</v>
      </c>
    </row>
    <row r="111" spans="1:7" ht="22.5" customHeight="1" x14ac:dyDescent="0.35">
      <c r="A111" s="26">
        <v>10061</v>
      </c>
      <c r="B111" s="56" t="s">
        <v>194</v>
      </c>
      <c r="C111" s="10">
        <f>IFERROR(INDEX('حسابهای دریافتنی'!H:H,MATCH(Table215[[#This Row],[كد تفصيلي]],'حسابهای دریافتنی'!A:A,0)),0)</f>
        <v>-565500</v>
      </c>
      <c r="D111" s="11">
        <f>IFERROR(INDEX('درجریان وصول'!F:F,MATCH(Table215[[#This Row],[كد تفصيلي]],'درجریان وصول'!A:A,0)),0)</f>
        <v>0</v>
      </c>
      <c r="E111" s="11">
        <f>IFERROR(INDEX('چکهای دریافتنی'!F:F,MATCH(Table215[[#This Row],[كد تفصيلي]],'چکهای دریافتنی'!A:A,0)),0)</f>
        <v>0</v>
      </c>
      <c r="F111" s="11">
        <f>Table215[[#This Row],[حسابهای دریافتنی]]+Table215[[#This Row],[چکهای در جریان وصول]]+Table215[[#This Row],[چکهای نزد صندوق]]</f>
        <v>-565500</v>
      </c>
      <c r="G111" s="12">
        <f>IFERROR(INDEX('مانده سوفاله'!F:F,MATCH(Table215[[#This Row],[كد تفصيلي]],'مانده سوفاله'!A:A,0)),0)</f>
        <v>0</v>
      </c>
    </row>
    <row r="112" spans="1:7" ht="22.5" customHeight="1" x14ac:dyDescent="0.35">
      <c r="A112" s="26">
        <v>10118</v>
      </c>
      <c r="B112" s="56" t="s">
        <v>334</v>
      </c>
      <c r="C112" s="10">
        <f>IFERROR(INDEX('حسابهای دریافتنی'!H:H,MATCH(Table215[[#This Row],[كد تفصيلي]],'حسابهای دریافتنی'!A:A,0)),0)</f>
        <v>-587500</v>
      </c>
      <c r="D112" s="11">
        <f>IFERROR(INDEX('درجریان وصول'!F:F,MATCH(Table215[[#This Row],[كد تفصيلي]],'درجریان وصول'!A:A,0)),0)</f>
        <v>0</v>
      </c>
      <c r="E112" s="11">
        <f>IFERROR(INDEX('چکهای دریافتنی'!F:F,MATCH(Table215[[#This Row],[كد تفصيلي]],'چکهای دریافتنی'!A:A,0)),0)</f>
        <v>0</v>
      </c>
      <c r="F112" s="11">
        <f>Table215[[#This Row],[حسابهای دریافتنی]]+Table215[[#This Row],[چکهای در جریان وصول]]+Table215[[#This Row],[چکهای نزد صندوق]]</f>
        <v>-587500</v>
      </c>
      <c r="G112" s="12">
        <f>IFERROR(INDEX('مانده سوفاله'!F:F,MATCH(Table215[[#This Row],[كد تفصيلي]],'مانده سوفاله'!A:A,0)),0)</f>
        <v>0</v>
      </c>
    </row>
    <row r="113" spans="1:7" ht="22.5" customHeight="1" x14ac:dyDescent="0.35">
      <c r="A113" s="27">
        <v>10018</v>
      </c>
      <c r="B113" s="55" t="s">
        <v>25</v>
      </c>
      <c r="C113" s="10">
        <f>IFERROR(INDEX('حسابهای دریافتنی'!H:H,MATCH(Table215[[#This Row],[كد تفصيلي]],'حسابهای دریافتنی'!A:A,0)),0)</f>
        <v>95282000</v>
      </c>
      <c r="D113" s="11">
        <f>IFERROR(INDEX('درجریان وصول'!F:F,MATCH(Table215[[#This Row],[كد تفصيلي]],'درجریان وصول'!A:A,0)),0)</f>
        <v>0</v>
      </c>
      <c r="E113" s="11">
        <f>IFERROR(INDEX('چکهای دریافتنی'!F:F,MATCH(Table215[[#This Row],[كد تفصيلي]],'چکهای دریافتنی'!A:A,0)),0)</f>
        <v>0</v>
      </c>
      <c r="F113" s="11">
        <f>Table215[[#This Row],[حسابهای دریافتنی]]+Table215[[#This Row],[چکهای در جریان وصول]]+Table215[[#This Row],[چکهای نزد صندوق]]</f>
        <v>95282000</v>
      </c>
      <c r="G113" s="12">
        <f>IFERROR(INDEX('مانده سوفاله'!F:F,MATCH(Table215[[#This Row],[كد تفصيلي]],'مانده سوفاله'!A:A,0)),0)</f>
        <v>-32</v>
      </c>
    </row>
    <row r="114" spans="1:7" ht="22.5" customHeight="1" x14ac:dyDescent="0.35">
      <c r="A114" s="26">
        <v>30112</v>
      </c>
      <c r="B114" s="56" t="s">
        <v>201</v>
      </c>
      <c r="C114" s="10">
        <f>IFERROR(INDEX('حسابهای دریافتنی'!H:H,MATCH(Table215[[#This Row],[كد تفصيلي]],'حسابهای دریافتنی'!A:A,0)),0)</f>
        <v>-720500</v>
      </c>
      <c r="D114" s="11">
        <f>IFERROR(INDEX('درجریان وصول'!F:F,MATCH(Table215[[#This Row],[كد تفصيلي]],'درجریان وصول'!A:A,0)),0)</f>
        <v>0</v>
      </c>
      <c r="E114" s="11">
        <f>IFERROR(INDEX('چکهای دریافتنی'!F:F,MATCH(Table215[[#This Row],[كد تفصيلي]],'چکهای دریافتنی'!A:A,0)),0)</f>
        <v>0</v>
      </c>
      <c r="F114" s="11">
        <f>Table215[[#This Row],[حسابهای دریافتنی]]+Table215[[#This Row],[چکهای در جریان وصول]]+Table215[[#This Row],[چکهای نزد صندوق]]</f>
        <v>-720500</v>
      </c>
      <c r="G114" s="12">
        <f>IFERROR(INDEX('مانده سوفاله'!F:F,MATCH(Table215[[#This Row],[كد تفصيلي]],'مانده سوفاله'!A:A,0)),0)</f>
        <v>36</v>
      </c>
    </row>
    <row r="115" spans="1:7" ht="22.5" customHeight="1" x14ac:dyDescent="0.35">
      <c r="A115" s="26">
        <v>10013</v>
      </c>
      <c r="B115" s="56" t="s">
        <v>20</v>
      </c>
      <c r="C115" s="10">
        <f>IFERROR(INDEX('حسابهای دریافتنی'!H:H,MATCH(Table215[[#This Row],[كد تفصيلي]],'حسابهای دریافتنی'!A:A,0)),0)</f>
        <v>-915000</v>
      </c>
      <c r="D115" s="11">
        <f>IFERROR(INDEX('درجریان وصول'!F:F,MATCH(Table215[[#This Row],[كد تفصيلي]],'درجریان وصول'!A:A,0)),0)</f>
        <v>0</v>
      </c>
      <c r="E115" s="11">
        <f>IFERROR(INDEX('چکهای دریافتنی'!F:F,MATCH(Table215[[#This Row],[كد تفصيلي]],'چکهای دریافتنی'!A:A,0)),0)</f>
        <v>0</v>
      </c>
      <c r="F115" s="11">
        <f>Table215[[#This Row],[حسابهای دریافتنی]]+Table215[[#This Row],[چکهای در جریان وصول]]+Table215[[#This Row],[چکهای نزد صندوق]]</f>
        <v>-915000</v>
      </c>
      <c r="G115" s="12">
        <f>IFERROR(INDEX('مانده سوفاله'!F:F,MATCH(Table215[[#This Row],[كد تفصيلي]],'مانده سوفاله'!A:A,0)),0)</f>
        <v>0</v>
      </c>
    </row>
    <row r="116" spans="1:7" ht="22.5" customHeight="1" x14ac:dyDescent="0.35">
      <c r="A116" s="27">
        <v>10042</v>
      </c>
      <c r="B116" s="55" t="s">
        <v>47</v>
      </c>
      <c r="C116" s="10">
        <f>IFERROR(INDEX('حسابهای دریافتنی'!H:H,MATCH(Table215[[#This Row],[كد تفصيلي]],'حسابهای دریافتنی'!A:A,0)),0)</f>
        <v>-1120000</v>
      </c>
      <c r="D116" s="11">
        <f>IFERROR(INDEX('درجریان وصول'!F:F,MATCH(Table215[[#This Row],[كد تفصيلي]],'درجریان وصول'!A:A,0)),0)</f>
        <v>0</v>
      </c>
      <c r="E116" s="11">
        <f>IFERROR(INDEX('چکهای دریافتنی'!F:F,MATCH(Table215[[#This Row],[كد تفصيلي]],'چکهای دریافتنی'!A:A,0)),0)</f>
        <v>0</v>
      </c>
      <c r="F116" s="11">
        <f>Table215[[#This Row],[حسابهای دریافتنی]]+Table215[[#This Row],[چکهای در جریان وصول]]+Table215[[#This Row],[چکهای نزد صندوق]]</f>
        <v>-1120000</v>
      </c>
      <c r="G116" s="12">
        <f>IFERROR(INDEX('مانده سوفاله'!F:F,MATCH(Table215[[#This Row],[كد تفصيلي]],'مانده سوفاله'!A:A,0)),0)</f>
        <v>2</v>
      </c>
    </row>
    <row r="117" spans="1:7" ht="22.5" customHeight="1" x14ac:dyDescent="0.35">
      <c r="A117" s="27">
        <v>30032</v>
      </c>
      <c r="B117" s="55" t="s">
        <v>79</v>
      </c>
      <c r="C117" s="10">
        <f>IFERROR(INDEX('حسابهای دریافتنی'!H:H,MATCH(Table215[[#This Row],[كد تفصيلي]],'حسابهای دریافتنی'!A:A,0)),0)</f>
        <v>-1347000</v>
      </c>
      <c r="D117" s="11">
        <f>IFERROR(INDEX('درجریان وصول'!F:F,MATCH(Table215[[#This Row],[كد تفصيلي]],'درجریان وصول'!A:A,0)),0)</f>
        <v>0</v>
      </c>
      <c r="E117" s="11">
        <f>IFERROR(INDEX('چکهای دریافتنی'!F:F,MATCH(Table215[[#This Row],[كد تفصيلي]],'چکهای دریافتنی'!A:A,0)),0)</f>
        <v>0</v>
      </c>
      <c r="F117" s="11">
        <f>Table215[[#This Row],[حسابهای دریافتنی]]+Table215[[#This Row],[چکهای در جریان وصول]]+Table215[[#This Row],[چکهای نزد صندوق]]</f>
        <v>-1347000</v>
      </c>
      <c r="G117" s="12">
        <f>IFERROR(INDEX('مانده سوفاله'!F:F,MATCH(Table215[[#This Row],[كد تفصيلي]],'مانده سوفاله'!A:A,0)),0)</f>
        <v>0</v>
      </c>
    </row>
    <row r="118" spans="1:7" ht="22.5" customHeight="1" x14ac:dyDescent="0.35">
      <c r="A118" s="27">
        <v>30171</v>
      </c>
      <c r="B118" s="55" t="s">
        <v>322</v>
      </c>
      <c r="C118" s="10">
        <f>IFERROR(INDEX('حسابهای دریافتنی'!H:H,MATCH(Table215[[#This Row],[كد تفصيلي]],'حسابهای دریافتنی'!A:A,0)),0)</f>
        <v>-1500000</v>
      </c>
      <c r="D118" s="11">
        <f>IFERROR(INDEX('درجریان وصول'!F:F,MATCH(Table215[[#This Row],[كد تفصيلي]],'درجریان وصول'!A:A,0)),0)</f>
        <v>0</v>
      </c>
      <c r="E118" s="11">
        <f>IFERROR(INDEX('چکهای دریافتنی'!F:F,MATCH(Table215[[#This Row],[كد تفصيلي]],'چکهای دریافتنی'!A:A,0)),0)</f>
        <v>0</v>
      </c>
      <c r="F118" s="11">
        <f>Table215[[#This Row],[حسابهای دریافتنی]]+Table215[[#This Row],[چکهای در جریان وصول]]+Table215[[#This Row],[چکهای نزد صندوق]]</f>
        <v>-1500000</v>
      </c>
      <c r="G118" s="12">
        <f>IFERROR(INDEX('مانده سوفاله'!F:F,MATCH(Table215[[#This Row],[كد تفصيلي]],'مانده سوفاله'!A:A,0)),0)</f>
        <v>0</v>
      </c>
    </row>
    <row r="119" spans="1:7" ht="22.5" customHeight="1" x14ac:dyDescent="0.35">
      <c r="A119" s="26">
        <v>10103</v>
      </c>
      <c r="B119" s="56" t="s">
        <v>283</v>
      </c>
      <c r="C119" s="10">
        <f>IFERROR(INDEX('حسابهای دریافتنی'!H:H,MATCH(Table215[[#This Row],[كد تفصيلي]],'حسابهای دریافتنی'!A:A,0)),0)</f>
        <v>-1580000</v>
      </c>
      <c r="D119" s="11">
        <f>IFERROR(INDEX('درجریان وصول'!F:F,MATCH(Table215[[#This Row],[كد تفصيلي]],'درجریان وصول'!A:A,0)),0)</f>
        <v>0</v>
      </c>
      <c r="E119" s="11">
        <f>IFERROR(INDEX('چکهای دریافتنی'!F:F,MATCH(Table215[[#This Row],[كد تفصيلي]],'چکهای دریافتنی'!A:A,0)),0)</f>
        <v>0</v>
      </c>
      <c r="F119" s="11">
        <f>Table215[[#This Row],[حسابهای دریافتنی]]+Table215[[#This Row],[چکهای در جریان وصول]]+Table215[[#This Row],[چکهای نزد صندوق]]</f>
        <v>-1580000</v>
      </c>
      <c r="G119" s="12">
        <f>IFERROR(INDEX('مانده سوفاله'!F:F,MATCH(Table215[[#This Row],[كد تفصيلي]],'مانده سوفاله'!A:A,0)),0)</f>
        <v>0</v>
      </c>
    </row>
    <row r="120" spans="1:7" ht="22.5" customHeight="1" x14ac:dyDescent="0.35">
      <c r="A120" s="27">
        <v>10125</v>
      </c>
      <c r="B120" s="55" t="s">
        <v>345</v>
      </c>
      <c r="C120" s="10">
        <f>IFERROR(INDEX('حسابهای دریافتنی'!H:H,MATCH(Table215[[#This Row],[كد تفصيلي]],'حسابهای دریافتنی'!A:A,0)),0)</f>
        <v>-1650000</v>
      </c>
      <c r="D120" s="11">
        <f>IFERROR(INDEX('درجریان وصول'!F:F,MATCH(Table215[[#This Row],[كد تفصيلي]],'درجریان وصول'!A:A,0)),0)</f>
        <v>0</v>
      </c>
      <c r="E120" s="11">
        <f>IFERROR(INDEX('چکهای دریافتنی'!F:F,MATCH(Table215[[#This Row],[كد تفصيلي]],'چکهای دریافتنی'!A:A,0)),0)</f>
        <v>0</v>
      </c>
      <c r="F120" s="11">
        <f>Table215[[#This Row],[حسابهای دریافتنی]]+Table215[[#This Row],[چکهای در جریان وصول]]+Table215[[#This Row],[چکهای نزد صندوق]]</f>
        <v>-1650000</v>
      </c>
      <c r="G120" s="12">
        <f>IFERROR(INDEX('مانده سوفاله'!F:F,MATCH(Table215[[#This Row],[كد تفصيلي]],'مانده سوفاله'!A:A,0)),0)</f>
        <v>0</v>
      </c>
    </row>
    <row r="121" spans="1:7" ht="22.5" customHeight="1" x14ac:dyDescent="0.35">
      <c r="A121" s="26">
        <v>10110</v>
      </c>
      <c r="B121" s="56" t="s">
        <v>306</v>
      </c>
      <c r="C121" s="10">
        <f>IFERROR(INDEX('حسابهای دریافتنی'!H:H,MATCH(Table215[[#This Row],[كد تفصيلي]],'حسابهای دریافتنی'!A:A,0)),0)</f>
        <v>-1817500</v>
      </c>
      <c r="D121" s="11">
        <f>IFERROR(INDEX('درجریان وصول'!F:F,MATCH(Table215[[#This Row],[كد تفصيلي]],'درجریان وصول'!A:A,0)),0)</f>
        <v>0</v>
      </c>
      <c r="E121" s="11">
        <f>IFERROR(INDEX('چکهای دریافتنی'!F:F,MATCH(Table215[[#This Row],[كد تفصيلي]],'چکهای دریافتنی'!A:A,0)),0)</f>
        <v>0</v>
      </c>
      <c r="F121" s="11">
        <f>Table215[[#This Row],[حسابهای دریافتنی]]+Table215[[#This Row],[چکهای در جریان وصول]]+Table215[[#This Row],[چکهای نزد صندوق]]</f>
        <v>-1817500</v>
      </c>
      <c r="G121" s="12">
        <f>IFERROR(INDEX('مانده سوفاله'!F:F,MATCH(Table215[[#This Row],[كد تفصيلي]],'مانده سوفاله'!A:A,0)),0)</f>
        <v>7</v>
      </c>
    </row>
    <row r="122" spans="1:7" ht="22.5" customHeight="1" x14ac:dyDescent="0.35">
      <c r="A122" s="27">
        <v>30103</v>
      </c>
      <c r="B122" s="55" t="s">
        <v>240</v>
      </c>
      <c r="C122" s="10">
        <f>IFERROR(INDEX('حسابهای دریافتنی'!H:H,MATCH(Table215[[#This Row],[كد تفصيلي]],'حسابهای دریافتنی'!A:A,0)),0)</f>
        <v>-1820000</v>
      </c>
      <c r="D122" s="11">
        <f>IFERROR(INDEX('درجریان وصول'!F:F,MATCH(Table215[[#This Row],[كد تفصيلي]],'درجریان وصول'!A:A,0)),0)</f>
        <v>0</v>
      </c>
      <c r="E122" s="11">
        <f>IFERROR(INDEX('چکهای دریافتنی'!F:F,MATCH(Table215[[#This Row],[كد تفصيلي]],'چکهای دریافتنی'!A:A,0)),0)</f>
        <v>0</v>
      </c>
      <c r="F122" s="11">
        <f>Table215[[#This Row],[حسابهای دریافتنی]]+Table215[[#This Row],[چکهای در جریان وصول]]+Table215[[#This Row],[چکهای نزد صندوق]]</f>
        <v>-1820000</v>
      </c>
      <c r="G122" s="12">
        <f>IFERROR(INDEX('مانده سوفاله'!F:F,MATCH(Table215[[#This Row],[كد تفصيلي]],'مانده سوفاله'!A:A,0)),0)</f>
        <v>0</v>
      </c>
    </row>
    <row r="123" spans="1:7" ht="22.5" customHeight="1" x14ac:dyDescent="0.35">
      <c r="A123" s="26">
        <v>30128</v>
      </c>
      <c r="B123" s="56" t="s">
        <v>212</v>
      </c>
      <c r="C123" s="10">
        <f>IFERROR(INDEX('حسابهای دریافتنی'!H:H,MATCH(Table215[[#This Row],[كد تفصيلي]],'حسابهای دریافتنی'!A:A,0)),0)</f>
        <v>-2451320</v>
      </c>
      <c r="D123" s="11">
        <f>IFERROR(INDEX('درجریان وصول'!F:F,MATCH(Table215[[#This Row],[كد تفصيلي]],'درجریان وصول'!A:A,0)),0)</f>
        <v>0</v>
      </c>
      <c r="E123" s="11">
        <f>IFERROR(INDEX('چکهای دریافتنی'!F:F,MATCH(Table215[[#This Row],[كد تفصيلي]],'چکهای دریافتنی'!A:A,0)),0)</f>
        <v>0</v>
      </c>
      <c r="F123" s="11">
        <f>Table215[[#This Row],[حسابهای دریافتنی]]+Table215[[#This Row],[چکهای در جریان وصول]]+Table215[[#This Row],[چکهای نزد صندوق]]</f>
        <v>-2451320</v>
      </c>
      <c r="G123" s="12">
        <f>IFERROR(INDEX('مانده سوفاله'!F:F,MATCH(Table215[[#This Row],[كد تفصيلي]],'مانده سوفاله'!A:A,0)),0)</f>
        <v>0</v>
      </c>
    </row>
    <row r="124" spans="1:7" ht="22.5" customHeight="1" x14ac:dyDescent="0.35">
      <c r="A124" s="26">
        <v>30015</v>
      </c>
      <c r="B124" s="56" t="s">
        <v>64</v>
      </c>
      <c r="C124" s="10">
        <f>IFERROR(INDEX('حسابهای دریافتنی'!H:H,MATCH(Table215[[#This Row],[كد تفصيلي]],'حسابهای دریافتنی'!A:A,0)),0)</f>
        <v>-3105895</v>
      </c>
      <c r="D124" s="11">
        <f>IFERROR(INDEX('درجریان وصول'!F:F,MATCH(Table215[[#This Row],[كد تفصيلي]],'درجریان وصول'!A:A,0)),0)</f>
        <v>0</v>
      </c>
      <c r="E124" s="11">
        <f>IFERROR(INDEX('چکهای دریافتنی'!F:F,MATCH(Table215[[#This Row],[كد تفصيلي]],'چکهای دریافتنی'!A:A,0)),0)</f>
        <v>0</v>
      </c>
      <c r="F124" s="11">
        <f>Table215[[#This Row],[حسابهای دریافتنی]]+Table215[[#This Row],[چکهای در جریان وصول]]+Table215[[#This Row],[چکهای نزد صندوق]]</f>
        <v>-3105895</v>
      </c>
      <c r="G124" s="12">
        <f>IFERROR(INDEX('مانده سوفاله'!F:F,MATCH(Table215[[#This Row],[كد تفصيلي]],'مانده سوفاله'!A:A,0)),0)</f>
        <v>0</v>
      </c>
    </row>
    <row r="125" spans="1:7" ht="22.5" customHeight="1" x14ac:dyDescent="0.35">
      <c r="A125" s="26">
        <v>30110</v>
      </c>
      <c r="B125" s="56" t="s">
        <v>200</v>
      </c>
      <c r="C125" s="10">
        <f>IFERROR(INDEX('حسابهای دریافتنی'!H:H,MATCH(Table215[[#This Row],[كد تفصيلي]],'حسابهای دریافتنی'!A:A,0)),0)</f>
        <v>-3492360</v>
      </c>
      <c r="D125" s="11">
        <f>IFERROR(INDEX('درجریان وصول'!F:F,MATCH(Table215[[#This Row],[كد تفصيلي]],'درجریان وصول'!A:A,0)),0)</f>
        <v>0</v>
      </c>
      <c r="E125" s="11">
        <f>IFERROR(INDEX('چکهای دریافتنی'!F:F,MATCH(Table215[[#This Row],[كد تفصيلي]],'چکهای دریافتنی'!A:A,0)),0)</f>
        <v>0</v>
      </c>
      <c r="F125" s="11">
        <f>Table215[[#This Row],[حسابهای دریافتنی]]+Table215[[#This Row],[چکهای در جریان وصول]]+Table215[[#This Row],[چکهای نزد صندوق]]</f>
        <v>-3492360</v>
      </c>
      <c r="G125" s="12">
        <f>IFERROR(INDEX('مانده سوفاله'!F:F,MATCH(Table215[[#This Row],[كد تفصيلي]],'مانده سوفاله'!A:A,0)),0)</f>
        <v>0</v>
      </c>
    </row>
    <row r="126" spans="1:7" ht="22.5" customHeight="1" x14ac:dyDescent="0.35">
      <c r="A126" s="26">
        <v>10049</v>
      </c>
      <c r="B126" s="56" t="s">
        <v>157</v>
      </c>
      <c r="C126" s="10">
        <f>IFERROR(INDEX('حسابهای دریافتنی'!H:H,MATCH(Table215[[#This Row],[كد تفصيلي]],'حسابهای دریافتنی'!A:A,0)),0)</f>
        <v>-32909500</v>
      </c>
      <c r="D126" s="11">
        <f>IFERROR(INDEX('درجریان وصول'!F:F,MATCH(Table215[[#This Row],[كد تفصيلي]],'درجریان وصول'!A:A,0)),0)</f>
        <v>0</v>
      </c>
      <c r="E126" s="11">
        <f>IFERROR(INDEX('چکهای دریافتنی'!F:F,MATCH(Table215[[#This Row],[كد تفصيلي]],'چکهای دریافتنی'!A:A,0)),0)</f>
        <v>0</v>
      </c>
      <c r="F126" s="11">
        <f>Table215[[#This Row],[حسابهای دریافتنی]]+Table215[[#This Row],[چکهای در جریان وصول]]+Table215[[#This Row],[چکهای نزد صندوق]]</f>
        <v>-32909500</v>
      </c>
      <c r="G126" s="12">
        <f>IFERROR(INDEX('مانده سوفاله'!F:F,MATCH(Table215[[#This Row],[كد تفصيلي]],'مانده سوفاله'!A:A,0)),0)</f>
        <v>0</v>
      </c>
    </row>
    <row r="127" spans="1:7" ht="22.5" customHeight="1" x14ac:dyDescent="0.35">
      <c r="A127" s="26">
        <v>10015</v>
      </c>
      <c r="B127" s="56" t="s">
        <v>22</v>
      </c>
      <c r="C127" s="10">
        <f>IFERROR(INDEX('حسابهای دریافتنی'!H:H,MATCH(Table215[[#This Row],[كد تفصيلي]],'حسابهای دریافتنی'!A:A,0)),0)</f>
        <v>-4735000</v>
      </c>
      <c r="D127" s="11">
        <f>IFERROR(INDEX('درجریان وصول'!F:F,MATCH(Table215[[#This Row],[كد تفصيلي]],'درجریان وصول'!A:A,0)),0)</f>
        <v>0</v>
      </c>
      <c r="E127" s="11">
        <f>IFERROR(INDEX('چکهای دریافتنی'!F:F,MATCH(Table215[[#This Row],[كد تفصيلي]],'چکهای دریافتنی'!A:A,0)),0)</f>
        <v>0</v>
      </c>
      <c r="F127" s="11">
        <f>Table215[[#This Row],[حسابهای دریافتنی]]+Table215[[#This Row],[چکهای در جریان وصول]]+Table215[[#This Row],[چکهای نزد صندوق]]</f>
        <v>-4735000</v>
      </c>
      <c r="G127" s="12">
        <f>IFERROR(INDEX('مانده سوفاله'!F:F,MATCH(Table215[[#This Row],[كد تفصيلي]],'مانده سوفاله'!A:A,0)),0)</f>
        <v>12</v>
      </c>
    </row>
    <row r="128" spans="1:7" customFormat="1" ht="22.5" customHeight="1" x14ac:dyDescent="0.35">
      <c r="A128" s="53">
        <v>30023</v>
      </c>
      <c r="B128" s="56" t="s">
        <v>71</v>
      </c>
      <c r="C128" s="10">
        <f>IFERROR(INDEX('حسابهای دریافتنی'!H:H,MATCH(Table215[[#This Row],[كد تفصيلي]],'حسابهای دریافتنی'!A:A,0)),0)</f>
        <v>-5793600</v>
      </c>
      <c r="D128" s="11">
        <f>IFERROR(INDEX('درجریان وصول'!F:F,MATCH(Table215[[#This Row],[كد تفصيلي]],'درجریان وصول'!A:A,0)),0)</f>
        <v>0</v>
      </c>
      <c r="E128" s="11">
        <f>IFERROR(INDEX('چکهای دریافتنی'!F:F,MATCH(Table215[[#This Row],[كد تفصيلي]],'چکهای دریافتنی'!A:A,0)),0)</f>
        <v>0</v>
      </c>
      <c r="F128" s="11">
        <f>Table215[[#This Row],[حسابهای دریافتنی]]+Table215[[#This Row],[چکهای در جریان وصول]]+Table215[[#This Row],[چکهای نزد صندوق]]</f>
        <v>-5793600</v>
      </c>
      <c r="G128" s="12">
        <f>IFERROR(INDEX('مانده سوفاله'!F:F,MATCH(Table215[[#This Row],[كد تفصيلي]],'مانده سوفاله'!A:A,0)),0)</f>
        <v>0</v>
      </c>
    </row>
    <row r="129" spans="1:7" customFormat="1" ht="22.5" customHeight="1" x14ac:dyDescent="0.35">
      <c r="A129" s="53">
        <v>10091</v>
      </c>
      <c r="B129" s="56" t="s">
        <v>258</v>
      </c>
      <c r="C129" s="10">
        <f>IFERROR(INDEX('حسابهای دریافتنی'!H:H,MATCH(Table215[[#This Row],[كد تفصيلي]],'حسابهای دریافتنی'!A:A,0)),0)</f>
        <v>59321500</v>
      </c>
      <c r="D129" s="11">
        <f>IFERROR(INDEX('درجریان وصول'!F:F,MATCH(Table215[[#This Row],[كد تفصيلي]],'درجریان وصول'!A:A,0)),0)</f>
        <v>0</v>
      </c>
      <c r="E129" s="11">
        <f>IFERROR(INDEX('چکهای دریافتنی'!F:F,MATCH(Table215[[#This Row],[كد تفصيلي]],'چکهای دریافتنی'!A:A,0)),0)</f>
        <v>0</v>
      </c>
      <c r="F129" s="11">
        <f>Table215[[#This Row],[حسابهای دریافتنی]]+Table215[[#This Row],[چکهای در جریان وصول]]+Table215[[#This Row],[چکهای نزد صندوق]]</f>
        <v>59321500</v>
      </c>
      <c r="G129" s="12">
        <f>IFERROR(INDEX('مانده سوفاله'!F:F,MATCH(Table215[[#This Row],[كد تفصيلي]],'مانده سوفاله'!A:A,0)),0)</f>
        <v>0</v>
      </c>
    </row>
    <row r="130" spans="1:7" customFormat="1" ht="22.5" customHeight="1" x14ac:dyDescent="0.35">
      <c r="A130" s="53">
        <v>30176</v>
      </c>
      <c r="B130" s="56" t="s">
        <v>332</v>
      </c>
      <c r="C130" s="10">
        <f>IFERROR(INDEX('حسابهای دریافتنی'!H:H,MATCH(Table215[[#This Row],[كد تفصيلي]],'حسابهای دریافتنی'!A:A,0)),0)</f>
        <v>-7540075</v>
      </c>
      <c r="D130" s="11">
        <f>IFERROR(INDEX('درجریان وصول'!F:F,MATCH(Table215[[#This Row],[كد تفصيلي]],'درجریان وصول'!A:A,0)),0)</f>
        <v>0</v>
      </c>
      <c r="E130" s="11">
        <f>IFERROR(INDEX('چکهای دریافتنی'!F:F,MATCH(Table215[[#This Row],[كد تفصيلي]],'چکهای دریافتنی'!A:A,0)),0)</f>
        <v>0</v>
      </c>
      <c r="F130" s="11">
        <f>Table215[[#This Row],[حسابهای دریافتنی]]+Table215[[#This Row],[چکهای در جریان وصول]]+Table215[[#This Row],[چکهای نزد صندوق]]</f>
        <v>-7540075</v>
      </c>
      <c r="G130" s="12">
        <f>IFERROR(INDEX('مانده سوفاله'!F:F,MATCH(Table215[[#This Row],[كد تفصيلي]],'مانده سوفاله'!A:A,0)),0)</f>
        <v>0</v>
      </c>
    </row>
    <row r="131" spans="1:7" customFormat="1" ht="22.5" customHeight="1" x14ac:dyDescent="0.35">
      <c r="A131" s="53">
        <v>10106</v>
      </c>
      <c r="B131" s="56" t="s">
        <v>298</v>
      </c>
      <c r="C131" s="10">
        <f>IFERROR(INDEX('حسابهای دریافتنی'!H:H,MATCH(Table215[[#This Row],[كد تفصيلي]],'حسابهای دریافتنی'!A:A,0)),0)</f>
        <v>-9134000</v>
      </c>
      <c r="D131" s="11">
        <f>IFERROR(INDEX('درجریان وصول'!F:F,MATCH(Table215[[#This Row],[كد تفصيلي]],'درجریان وصول'!A:A,0)),0)</f>
        <v>0</v>
      </c>
      <c r="E131" s="11">
        <f>IFERROR(INDEX('چکهای دریافتنی'!F:F,MATCH(Table215[[#This Row],[كد تفصيلي]],'چکهای دریافتنی'!A:A,0)),0)</f>
        <v>0</v>
      </c>
      <c r="F131" s="11">
        <f>Table215[[#This Row],[حسابهای دریافتنی]]+Table215[[#This Row],[چکهای در جریان وصول]]+Table215[[#This Row],[چکهای نزد صندوق]]</f>
        <v>-9134000</v>
      </c>
      <c r="G131" s="12">
        <f>IFERROR(INDEX('مانده سوفاله'!F:F,MATCH(Table215[[#This Row],[كد تفصيلي]],'مانده سوفاله'!A:A,0)),0)</f>
        <v>0</v>
      </c>
    </row>
    <row r="132" spans="1:7" customFormat="1" ht="22.5" customHeight="1" x14ac:dyDescent="0.35">
      <c r="A132" s="54">
        <v>10102</v>
      </c>
      <c r="B132" s="55" t="s">
        <v>282</v>
      </c>
      <c r="C132" s="10">
        <f>IFERROR(INDEX('حسابهای دریافتنی'!H:H,MATCH(Table215[[#This Row],[كد تفصيلي]],'حسابهای دریافتنی'!A:A,0)),0)</f>
        <v>-10374000</v>
      </c>
      <c r="D132" s="11">
        <f>IFERROR(INDEX('درجریان وصول'!F:F,MATCH(Table215[[#This Row],[كد تفصيلي]],'درجریان وصول'!A:A,0)),0)</f>
        <v>0</v>
      </c>
      <c r="E132" s="11">
        <f>IFERROR(INDEX('چکهای دریافتنی'!F:F,MATCH(Table215[[#This Row],[كد تفصيلي]],'چکهای دریافتنی'!A:A,0)),0)</f>
        <v>0</v>
      </c>
      <c r="F132" s="11">
        <f>Table215[[#This Row],[حسابهای دریافتنی]]+Table215[[#This Row],[چکهای در جریان وصول]]+Table215[[#This Row],[چکهای نزد صندوق]]</f>
        <v>-10374000</v>
      </c>
      <c r="G132" s="12">
        <f>IFERROR(INDEX('مانده سوفاله'!F:F,MATCH(Table215[[#This Row],[كد تفصيلي]],'مانده سوفاله'!A:A,0)),0)</f>
        <v>0</v>
      </c>
    </row>
    <row r="133" spans="1:7" customFormat="1" ht="22.5" customHeight="1" x14ac:dyDescent="0.35">
      <c r="A133" s="53">
        <v>30189</v>
      </c>
      <c r="B133" s="56" t="s">
        <v>458</v>
      </c>
      <c r="C133" s="10">
        <f>IFERROR(INDEX('حسابهای دریافتنی'!H:H,MATCH(Table215[[#This Row],[كد تفصيلي]],'حسابهای دریافتنی'!A:A,0)),0)</f>
        <v>20776490</v>
      </c>
      <c r="D133" s="11">
        <f>IFERROR(INDEX('درجریان وصول'!F:F,MATCH(Table215[[#This Row],[كد تفصيلي]],'درجریان وصول'!A:A,0)),0)</f>
        <v>0</v>
      </c>
      <c r="E133" s="11">
        <f>IFERROR(INDEX('چکهای دریافتنی'!F:F,MATCH(Table215[[#This Row],[كد تفصيلي]],'چکهای دریافتنی'!A:A,0)),0)</f>
        <v>0</v>
      </c>
      <c r="F133" s="11">
        <f>Table215[[#This Row],[حسابهای دریافتنی]]+Table215[[#This Row],[چکهای در جریان وصول]]+Table215[[#This Row],[چکهای نزد صندوق]]</f>
        <v>20776490</v>
      </c>
      <c r="G133" s="12">
        <f>IFERROR(INDEX('مانده سوفاله'!F:F,MATCH(Table215[[#This Row],[كد تفصيلي]],'مانده سوفاله'!A:A,0)),0)</f>
        <v>0</v>
      </c>
    </row>
    <row r="134" spans="1:7" customFormat="1" ht="22.5" customHeight="1" x14ac:dyDescent="0.35">
      <c r="A134" s="54">
        <v>10058</v>
      </c>
      <c r="B134" s="55" t="s">
        <v>173</v>
      </c>
      <c r="C134" s="10">
        <f>IFERROR(INDEX('حسابهای دریافتنی'!H:H,MATCH(Table215[[#This Row],[كد تفصيلي]],'حسابهای دریافتنی'!A:A,0)),0)</f>
        <v>-13650000</v>
      </c>
      <c r="D134" s="11">
        <f>IFERROR(INDEX('درجریان وصول'!F:F,MATCH(Table215[[#This Row],[كد تفصيلي]],'درجریان وصول'!A:A,0)),0)</f>
        <v>0</v>
      </c>
      <c r="E134" s="11">
        <f>IFERROR(INDEX('چکهای دریافتنی'!F:F,MATCH(Table215[[#This Row],[كد تفصيلي]],'چکهای دریافتنی'!A:A,0)),0)</f>
        <v>0</v>
      </c>
      <c r="F134" s="11">
        <f>Table215[[#This Row],[حسابهای دریافتنی]]+Table215[[#This Row],[چکهای در جریان وصول]]+Table215[[#This Row],[چکهای نزد صندوق]]</f>
        <v>-13650000</v>
      </c>
      <c r="G134" s="12">
        <f>IFERROR(INDEX('مانده سوفاله'!F:F,MATCH(Table215[[#This Row],[كد تفصيلي]],'مانده سوفاله'!A:A,0)),0)</f>
        <v>0</v>
      </c>
    </row>
    <row r="135" spans="1:7" customFormat="1" ht="22.5" customHeight="1" x14ac:dyDescent="0.35">
      <c r="A135" s="53">
        <v>30082</v>
      </c>
      <c r="B135" s="56" t="s">
        <v>127</v>
      </c>
      <c r="C135" s="10">
        <f>IFERROR(INDEX('حسابهای دریافتنی'!H:H,MATCH(Table215[[#This Row],[كد تفصيلي]],'حسابهای دریافتنی'!A:A,0)),0)</f>
        <v>-15037000</v>
      </c>
      <c r="D135" s="11">
        <f>IFERROR(INDEX('درجریان وصول'!F:F,MATCH(Table215[[#This Row],[كد تفصيلي]],'درجریان وصول'!A:A,0)),0)</f>
        <v>0</v>
      </c>
      <c r="E135" s="11">
        <f>IFERROR(INDEX('چکهای دریافتنی'!F:F,MATCH(Table215[[#This Row],[كد تفصيلي]],'چکهای دریافتنی'!A:A,0)),0)</f>
        <v>0</v>
      </c>
      <c r="F135" s="11">
        <f>Table215[[#This Row],[حسابهای دریافتنی]]+Table215[[#This Row],[چکهای در جریان وصول]]+Table215[[#This Row],[چکهای نزد صندوق]]</f>
        <v>-15037000</v>
      </c>
      <c r="G135" s="12">
        <f>IFERROR(INDEX('مانده سوفاله'!F:F,MATCH(Table215[[#This Row],[كد تفصيلي]],'مانده سوفاله'!A:A,0)),0)</f>
        <v>-16</v>
      </c>
    </row>
    <row r="136" spans="1:7" customFormat="1" ht="22.5" customHeight="1" x14ac:dyDescent="0.35">
      <c r="A136" s="54">
        <v>30034</v>
      </c>
      <c r="B136" s="55" t="s">
        <v>81</v>
      </c>
      <c r="C136" s="10">
        <f>IFERROR(INDEX('حسابهای دریافتنی'!H:H,MATCH(Table215[[#This Row],[كد تفصيلي]],'حسابهای دریافتنی'!A:A,0)),0)</f>
        <v>388329200</v>
      </c>
      <c r="D136" s="11">
        <f>IFERROR(INDEX('درجریان وصول'!F:F,MATCH(Table215[[#This Row],[كد تفصيلي]],'درجریان وصول'!A:A,0)),0)</f>
        <v>0</v>
      </c>
      <c r="E136" s="11">
        <f>IFERROR(INDEX('چکهای دریافتنی'!F:F,MATCH(Table215[[#This Row],[كد تفصيلي]],'چکهای دریافتنی'!A:A,0)),0)</f>
        <v>0</v>
      </c>
      <c r="F136" s="11">
        <f>Table215[[#This Row],[حسابهای دریافتنی]]+Table215[[#This Row],[چکهای در جریان وصول]]+Table215[[#This Row],[چکهای نزد صندوق]]</f>
        <v>388329200</v>
      </c>
      <c r="G136" s="12">
        <f>IFERROR(INDEX('مانده سوفاله'!F:F,MATCH(Table215[[#This Row],[كد تفصيلي]],'مانده سوفاله'!A:A,0)),0)</f>
        <v>2886</v>
      </c>
    </row>
    <row r="137" spans="1:7" customFormat="1" ht="22.5" customHeight="1" x14ac:dyDescent="0.35">
      <c r="A137" s="54">
        <v>30042</v>
      </c>
      <c r="B137" s="55" t="s">
        <v>89</v>
      </c>
      <c r="C137" s="10">
        <f>IFERROR(INDEX('حسابهای دریافتنی'!H:H,MATCH(Table215[[#This Row],[كد تفصيلي]],'حسابهای دریافتنی'!A:A,0)),0)</f>
        <v>-18303540</v>
      </c>
      <c r="D137" s="11">
        <f>IFERROR(INDEX('درجریان وصول'!F:F,MATCH(Table215[[#This Row],[كد تفصيلي]],'درجریان وصول'!A:A,0)),0)</f>
        <v>0</v>
      </c>
      <c r="E137" s="11">
        <f>IFERROR(INDEX('چکهای دریافتنی'!F:F,MATCH(Table215[[#This Row],[كد تفصيلي]],'چکهای دریافتنی'!A:A,0)),0)</f>
        <v>0</v>
      </c>
      <c r="F137" s="11">
        <f>Table215[[#This Row],[حسابهای دریافتنی]]+Table215[[#This Row],[چکهای در جریان وصول]]+Table215[[#This Row],[چکهای نزد صندوق]]</f>
        <v>-18303540</v>
      </c>
      <c r="G137" s="12">
        <f>IFERROR(INDEX('مانده سوفاله'!F:F,MATCH(Table215[[#This Row],[كد تفصيلي]],'مانده سوفاله'!A:A,0)),0)</f>
        <v>0</v>
      </c>
    </row>
    <row r="138" spans="1:7" customFormat="1" ht="22.5" customHeight="1" x14ac:dyDescent="0.35">
      <c r="A138" s="54">
        <v>30155</v>
      </c>
      <c r="B138" s="55" t="s">
        <v>289</v>
      </c>
      <c r="C138" s="10">
        <f>IFERROR(INDEX('حسابهای دریافتنی'!H:H,MATCH(Table215[[#This Row],[كد تفصيلي]],'حسابهای دریافتنی'!A:A,0)),0)</f>
        <v>-454985417</v>
      </c>
      <c r="D138" s="11">
        <f>IFERROR(INDEX('درجریان وصول'!F:F,MATCH(Table215[[#This Row],[كد تفصيلي]],'درجریان وصول'!A:A,0)),0)</f>
        <v>0</v>
      </c>
      <c r="E138" s="11">
        <f>IFERROR(INDEX('چکهای دریافتنی'!F:F,MATCH(Table215[[#This Row],[كد تفصيلي]],'چکهای دریافتنی'!A:A,0)),0)</f>
        <v>1379936267</v>
      </c>
      <c r="F138" s="11">
        <f>Table215[[#This Row],[حسابهای دریافتنی]]+Table215[[#This Row],[چکهای در جریان وصول]]+Table215[[#This Row],[چکهای نزد صندوق]]</f>
        <v>924950850</v>
      </c>
      <c r="G138" s="12">
        <f>IFERROR(INDEX('مانده سوفاله'!F:F,MATCH(Table215[[#This Row],[كد تفصيلي]],'مانده سوفاله'!A:A,0)),0)</f>
        <v>0</v>
      </c>
    </row>
    <row r="139" spans="1:7" customFormat="1" ht="22.5" customHeight="1" x14ac:dyDescent="0.35">
      <c r="A139" s="54">
        <v>30028</v>
      </c>
      <c r="B139" s="55" t="s">
        <v>76</v>
      </c>
      <c r="C139" s="10">
        <f>IFERROR(INDEX('حسابهای دریافتنی'!H:H,MATCH(Table215[[#This Row],[كد تفصيلي]],'حسابهای دریافتنی'!A:A,0)),0)</f>
        <v>-23665000</v>
      </c>
      <c r="D139" s="11">
        <f>IFERROR(INDEX('درجریان وصول'!F:F,MATCH(Table215[[#This Row],[كد تفصيلي]],'درجریان وصول'!A:A,0)),0)</f>
        <v>0</v>
      </c>
      <c r="E139" s="11">
        <f>IFERROR(INDEX('چکهای دریافتنی'!F:F,MATCH(Table215[[#This Row],[كد تفصيلي]],'چکهای دریافتنی'!A:A,0)),0)</f>
        <v>0</v>
      </c>
      <c r="F139" s="11">
        <f>Table215[[#This Row],[حسابهای دریافتنی]]+Table215[[#This Row],[چکهای در جریان وصول]]+Table215[[#This Row],[چکهای نزد صندوق]]</f>
        <v>-23665000</v>
      </c>
      <c r="G139" s="12">
        <f>IFERROR(INDEX('مانده سوفاله'!F:F,MATCH(Table215[[#This Row],[كد تفصيلي]],'مانده سوفاله'!A:A,0)),0)</f>
        <v>0</v>
      </c>
    </row>
    <row r="140" spans="1:7" customFormat="1" ht="22.5" customHeight="1" x14ac:dyDescent="0.35">
      <c r="A140" s="53">
        <v>30160</v>
      </c>
      <c r="B140" s="56" t="s">
        <v>296</v>
      </c>
      <c r="C140" s="10">
        <f>IFERROR(INDEX('حسابهای دریافتنی'!H:H,MATCH(Table215[[#This Row],[كد تفصيلي]],'حسابهای دریافتنی'!A:A,0)),0)</f>
        <v>0</v>
      </c>
      <c r="D140" s="11">
        <f>IFERROR(INDEX('درجریان وصول'!F:F,MATCH(Table215[[#This Row],[كد تفصيلي]],'درجریان وصول'!A:A,0)),0)</f>
        <v>0</v>
      </c>
      <c r="E140" s="11">
        <f>IFERROR(INDEX('چکهای دریافتنی'!F:F,MATCH(Table215[[#This Row],[كد تفصيلي]],'چکهای دریافتنی'!A:A,0)),0)</f>
        <v>0</v>
      </c>
      <c r="F140" s="11">
        <f>Table215[[#This Row],[حسابهای دریافتنی]]+Table215[[#This Row],[چکهای در جریان وصول]]+Table215[[#This Row],[چکهای نزد صندوق]]</f>
        <v>0</v>
      </c>
      <c r="G140" s="12">
        <f>IFERROR(INDEX('مانده سوفاله'!F:F,MATCH(Table215[[#This Row],[كد تفصيلي]],'مانده سوفاله'!A:A,0)),0)</f>
        <v>-425</v>
      </c>
    </row>
    <row r="141" spans="1:7" customFormat="1" ht="22.5" customHeight="1" x14ac:dyDescent="0.35">
      <c r="A141" s="53">
        <v>30072</v>
      </c>
      <c r="B141" s="56" t="s">
        <v>117</v>
      </c>
      <c r="C141" s="10">
        <f>IFERROR(INDEX('حسابهای دریافتنی'!H:H,MATCH(Table215[[#This Row],[كد تفصيلي]],'حسابهای دریافتنی'!A:A,0)),0)</f>
        <v>-30178900</v>
      </c>
      <c r="D141" s="11">
        <f>IFERROR(INDEX('درجریان وصول'!F:F,MATCH(Table215[[#This Row],[كد تفصيلي]],'درجریان وصول'!A:A,0)),0)</f>
        <v>0</v>
      </c>
      <c r="E141" s="11">
        <f>IFERROR(INDEX('چکهای دریافتنی'!F:F,MATCH(Table215[[#This Row],[كد تفصيلي]],'چکهای دریافتنی'!A:A,0)),0)</f>
        <v>0</v>
      </c>
      <c r="F141" s="11">
        <f>Table215[[#This Row],[حسابهای دریافتنی]]+Table215[[#This Row],[چکهای در جریان وصول]]+Table215[[#This Row],[چکهای نزد صندوق]]</f>
        <v>-30178900</v>
      </c>
      <c r="G141" s="12">
        <f>IFERROR(INDEX('مانده سوفاله'!F:F,MATCH(Table215[[#This Row],[كد تفصيلي]],'مانده سوفاله'!A:A,0)),0)</f>
        <v>-79</v>
      </c>
    </row>
    <row r="142" spans="1:7" customFormat="1" ht="22.5" customHeight="1" x14ac:dyDescent="0.35">
      <c r="A142" s="54">
        <v>30000</v>
      </c>
      <c r="B142" s="55" t="s">
        <v>189</v>
      </c>
      <c r="C142" s="10">
        <f>IFERROR(INDEX('حسابهای دریافتنی'!H:H,MATCH(Table215[[#This Row],[كد تفصيلي]],'حسابهای دریافتنی'!A:A,0)),0)</f>
        <v>-55440000</v>
      </c>
      <c r="D142" s="11">
        <f>IFERROR(INDEX('درجریان وصول'!F:F,MATCH(Table215[[#This Row],[كد تفصيلي]],'درجریان وصول'!A:A,0)),0)</f>
        <v>0</v>
      </c>
      <c r="E142" s="11">
        <f>IFERROR(INDEX('چکهای دریافتنی'!F:F,MATCH(Table215[[#This Row],[كد تفصيلي]],'چکهای دریافتنی'!A:A,0)),0)</f>
        <v>0</v>
      </c>
      <c r="F142" s="11">
        <f>Table215[[#This Row],[حسابهای دریافتنی]]+Table215[[#This Row],[چکهای در جریان وصول]]+Table215[[#This Row],[چکهای نزد صندوق]]</f>
        <v>-55440000</v>
      </c>
      <c r="G142" s="12">
        <f>IFERROR(INDEX('مانده سوفاله'!F:F,MATCH(Table215[[#This Row],[كد تفصيلي]],'مانده سوفاله'!A:A,0)),0)</f>
        <v>0</v>
      </c>
    </row>
    <row r="143" spans="1:7" customFormat="1" ht="22.5" customHeight="1" x14ac:dyDescent="0.35">
      <c r="A143" s="54">
        <v>30133</v>
      </c>
      <c r="B143" s="55" t="s">
        <v>251</v>
      </c>
      <c r="C143" s="10">
        <f>IFERROR(INDEX('حسابهای دریافتنی'!H:H,MATCH(Table215[[#This Row],[كد تفصيلي]],'حسابهای دریافتنی'!A:A,0)),0)</f>
        <v>-66889500</v>
      </c>
      <c r="D143" s="11">
        <f>IFERROR(INDEX('درجریان وصول'!F:F,MATCH(Table215[[#This Row],[كد تفصيلي]],'درجریان وصول'!A:A,0)),0)</f>
        <v>0</v>
      </c>
      <c r="E143" s="11">
        <f>IFERROR(INDEX('چکهای دریافتنی'!F:F,MATCH(Table215[[#This Row],[كد تفصيلي]],'چکهای دریافتنی'!A:A,0)),0)</f>
        <v>0</v>
      </c>
      <c r="F143" s="11">
        <f>Table215[[#This Row],[حسابهای دریافتنی]]+Table215[[#This Row],[چکهای در جریان وصول]]+Table215[[#This Row],[چکهای نزد صندوق]]</f>
        <v>-66889500</v>
      </c>
      <c r="G143" s="12">
        <f>IFERROR(INDEX('مانده سوفاله'!F:F,MATCH(Table215[[#This Row],[كد تفصيلي]],'مانده سوفاله'!A:A,0)),0)</f>
        <v>0</v>
      </c>
    </row>
    <row r="144" spans="1:7" customFormat="1" ht="22.5" customHeight="1" x14ac:dyDescent="0.35">
      <c r="A144" s="54">
        <v>10084</v>
      </c>
      <c r="B144" s="55" t="s">
        <v>217</v>
      </c>
      <c r="C144" s="10">
        <f>IFERROR(INDEX('حسابهای دریافتنی'!H:H,MATCH(Table215[[#This Row],[كد تفصيلي]],'حسابهای دریافتنی'!A:A,0)),0)</f>
        <v>358092810</v>
      </c>
      <c r="D144" s="11">
        <f>IFERROR(INDEX('درجریان وصول'!F:F,MATCH(Table215[[#This Row],[كد تفصيلي]],'درجریان وصول'!A:A,0)),0)</f>
        <v>0</v>
      </c>
      <c r="E144" s="11">
        <f>IFERROR(INDEX('چکهای دریافتنی'!F:F,MATCH(Table215[[#This Row],[كد تفصيلي]],'چکهای دریافتنی'!A:A,0)),0)</f>
        <v>870000000</v>
      </c>
      <c r="F144" s="11">
        <f>Table215[[#This Row],[حسابهای دریافتنی]]+Table215[[#This Row],[چکهای در جریان وصول]]+Table215[[#This Row],[چکهای نزد صندوق]]</f>
        <v>1228092810</v>
      </c>
      <c r="G144" s="12">
        <f>IFERROR(INDEX('مانده سوفاله'!F:F,MATCH(Table215[[#This Row],[كد تفصيلي]],'مانده سوفاله'!A:A,0)),0)</f>
        <v>-1656</v>
      </c>
    </row>
    <row r="145" spans="1:7" customFormat="1" ht="22.5" customHeight="1" x14ac:dyDescent="0.35">
      <c r="A145" s="53">
        <v>30013</v>
      </c>
      <c r="B145" s="56" t="s">
        <v>62</v>
      </c>
      <c r="C145" s="10">
        <f>IFERROR(INDEX('حسابهای دریافتنی'!H:H,MATCH(Table215[[#This Row],[كد تفصيلي]],'حسابهای دریافتنی'!A:A,0)),0)</f>
        <v>-2744620</v>
      </c>
      <c r="D145" s="11">
        <f>IFERROR(INDEX('درجریان وصول'!F:F,MATCH(Table215[[#This Row],[كد تفصيلي]],'درجریان وصول'!A:A,0)),0)</f>
        <v>0</v>
      </c>
      <c r="E145" s="11">
        <f>IFERROR(INDEX('چکهای دریافتنی'!F:F,MATCH(Table215[[#This Row],[كد تفصيلي]],'چکهای دریافتنی'!A:A,0)),0)</f>
        <v>0</v>
      </c>
      <c r="F145" s="11">
        <f>Table215[[#This Row],[حسابهای دریافتنی]]+Table215[[#This Row],[چکهای در جریان وصول]]+Table215[[#This Row],[چکهای نزد صندوق]]</f>
        <v>-2744620</v>
      </c>
      <c r="G145" s="12">
        <f>IFERROR(INDEX('مانده سوفاله'!F:F,MATCH(Table215[[#This Row],[كد تفصيلي]],'مانده سوفاله'!A:A,0)),0)</f>
        <v>0</v>
      </c>
    </row>
    <row r="146" spans="1:7" customFormat="1" ht="22.5" customHeight="1" x14ac:dyDescent="0.35">
      <c r="A146" s="53">
        <v>10089</v>
      </c>
      <c r="B146" s="56" t="s">
        <v>255</v>
      </c>
      <c r="C146" s="10">
        <f>IFERROR(INDEX('حسابهای دریافتنی'!H:H,MATCH(Table215[[#This Row],[كد تفصيلي]],'حسابهای دریافتنی'!A:A,0)),0)</f>
        <v>-143944000</v>
      </c>
      <c r="D146" s="11">
        <f>IFERROR(INDEX('درجریان وصول'!F:F,MATCH(Table215[[#This Row],[كد تفصيلي]],'درجریان وصول'!A:A,0)),0)</f>
        <v>0</v>
      </c>
      <c r="E146" s="11">
        <f>IFERROR(INDEX('چکهای دریافتنی'!F:F,MATCH(Table215[[#This Row],[كد تفصيلي]],'چکهای دریافتنی'!A:A,0)),0)</f>
        <v>0</v>
      </c>
      <c r="F146" s="11">
        <f>Table215[[#This Row],[حسابهای دریافتنی]]+Table215[[#This Row],[چکهای در جریان وصول]]+Table215[[#This Row],[چکهای نزد صندوق]]</f>
        <v>-143944000</v>
      </c>
      <c r="G146" s="12">
        <f>IFERROR(INDEX('مانده سوفاله'!F:F,MATCH(Table215[[#This Row],[كد تفصيلي]],'مانده سوفاله'!A:A,0)),0)</f>
        <v>-948</v>
      </c>
    </row>
    <row r="147" spans="1:7" customFormat="1" ht="22.5" customHeight="1" x14ac:dyDescent="0.35">
      <c r="A147" s="53">
        <v>30001</v>
      </c>
      <c r="B147" s="56" t="s">
        <v>190</v>
      </c>
      <c r="C147" s="10">
        <f>IFERROR(INDEX('حسابهای دریافتنی'!H:H,MATCH(Table215[[#This Row],[كد تفصيلي]],'حسابهای دریافتنی'!A:A,0)),0)</f>
        <v>119647176</v>
      </c>
      <c r="D147" s="11">
        <f>IFERROR(INDEX('درجریان وصول'!F:F,MATCH(Table215[[#This Row],[كد تفصيلي]],'درجریان وصول'!A:A,0)),0)</f>
        <v>0</v>
      </c>
      <c r="E147" s="11">
        <f>IFERROR(INDEX('چکهای دریافتنی'!F:F,MATCH(Table215[[#This Row],[كد تفصيلي]],'چکهای دریافتنی'!A:A,0)),0)</f>
        <v>0</v>
      </c>
      <c r="F147" s="11">
        <f>Table215[[#This Row],[حسابهای دریافتنی]]+Table215[[#This Row],[چکهای در جریان وصول]]+Table215[[#This Row],[چکهای نزد صندوق]]</f>
        <v>119647176</v>
      </c>
      <c r="G147" s="12">
        <f>IFERROR(INDEX('مانده سوفاله'!F:F,MATCH(Table215[[#This Row],[كد تفصيلي]],'مانده سوفاله'!A:A,0)),0)</f>
        <v>123</v>
      </c>
    </row>
    <row r="148" spans="1:7" customFormat="1" ht="22.5" customHeight="1" x14ac:dyDescent="0.35">
      <c r="A148" s="54">
        <v>30190</v>
      </c>
      <c r="B148" s="55" t="s">
        <v>459</v>
      </c>
      <c r="C148" s="10">
        <f>IFERROR(INDEX('حسابهای دریافتنی'!H:H,MATCH(Table215[[#This Row],[كد تفصيلي]],'حسابهای دریافتنی'!A:A,0)),0)</f>
        <v>328477520</v>
      </c>
      <c r="D148" s="11">
        <f>IFERROR(INDEX('درجریان وصول'!F:F,MATCH(Table215[[#This Row],[كد تفصيلي]],'درجریان وصول'!A:A,0)),0)</f>
        <v>0</v>
      </c>
      <c r="E148" s="11">
        <f>IFERROR(INDEX('چکهای دریافتنی'!F:F,MATCH(Table215[[#This Row],[كد تفصيلي]],'چکهای دریافتنی'!A:A,0)),0)</f>
        <v>0</v>
      </c>
      <c r="F148" s="11">
        <f>Table215[[#This Row],[حسابهای دریافتنی]]+Table215[[#This Row],[چکهای در جریان وصول]]+Table215[[#This Row],[چکهای نزد صندوق]]</f>
        <v>328477520</v>
      </c>
      <c r="G148" s="12">
        <f>IFERROR(INDEX('مانده سوفاله'!F:F,MATCH(Table215[[#This Row],[كد تفصيلي]],'مانده سوفاله'!A:A,0)),0)</f>
        <v>1790</v>
      </c>
    </row>
    <row r="149" spans="1:7" customFormat="1" ht="22.5" customHeight="1" x14ac:dyDescent="0.35">
      <c r="A149" s="54">
        <v>30081</v>
      </c>
      <c r="B149" s="55" t="s">
        <v>126</v>
      </c>
      <c r="C149" s="10">
        <f>IFERROR(INDEX('حسابهای دریافتنی'!H:H,MATCH(Table215[[#This Row],[كد تفصيلي]],'حسابهای دریافتنی'!A:A,0)),0)</f>
        <v>1148992373</v>
      </c>
      <c r="D149" s="11">
        <f>IFERROR(INDEX('درجریان وصول'!F:F,MATCH(Table215[[#This Row],[كد تفصيلي]],'درجریان وصول'!A:A,0)),0)</f>
        <v>0</v>
      </c>
      <c r="E149" s="11">
        <f>IFERROR(INDEX('چکهای دریافتنی'!F:F,MATCH(Table215[[#This Row],[كد تفصيلي]],'چکهای دریافتنی'!A:A,0)),0)</f>
        <v>0</v>
      </c>
      <c r="F149" s="11">
        <f>Table215[[#This Row],[حسابهای دریافتنی]]+Table215[[#This Row],[چکهای در جریان وصول]]+Table215[[#This Row],[چکهای نزد صندوق]]</f>
        <v>1148992373</v>
      </c>
      <c r="G149" s="12">
        <f>IFERROR(INDEX('مانده سوفاله'!F:F,MATCH(Table215[[#This Row],[كد تفصيلي]],'مانده سوفاله'!A:A,0)),0)</f>
        <v>-6924</v>
      </c>
    </row>
    <row r="150" spans="1:7" customFormat="1" ht="22.5" customHeight="1" x14ac:dyDescent="0.35">
      <c r="A150" s="54">
        <v>30016</v>
      </c>
      <c r="B150" s="55" t="s">
        <v>253</v>
      </c>
      <c r="C150" s="10">
        <f>IFERROR(INDEX('حسابهای دریافتنی'!H:H,MATCH(Table215[[#This Row],[كد تفصيلي]],'حسابهای دریافتنی'!A:A,0)),0)</f>
        <v>0</v>
      </c>
      <c r="D150" s="11">
        <f>IFERROR(INDEX('درجریان وصول'!F:F,MATCH(Table215[[#This Row],[كد تفصيلي]],'درجریان وصول'!A:A,0)),0)</f>
        <v>0</v>
      </c>
      <c r="E150" s="11">
        <f>IFERROR(INDEX('چکهای دریافتنی'!F:F,MATCH(Table215[[#This Row],[كد تفصيلي]],'چکهای دریافتنی'!A:A,0)),0)</f>
        <v>0</v>
      </c>
      <c r="F150" s="11">
        <f>Table215[[#This Row],[حسابهای دریافتنی]]+Table215[[#This Row],[چکهای در جریان وصول]]+Table215[[#This Row],[چکهای نزد صندوق]]</f>
        <v>0</v>
      </c>
      <c r="G150" s="12">
        <f>IFERROR(INDEX('مانده سوفاله'!F:F,MATCH(Table215[[#This Row],[كد تفصيلي]],'مانده سوفاله'!A:A,0)),0)</f>
        <v>0</v>
      </c>
    </row>
    <row r="151" spans="1:7" customFormat="1" ht="22.5" customHeight="1" x14ac:dyDescent="0.35">
      <c r="A151" s="53">
        <v>10009</v>
      </c>
      <c r="B151" s="56" t="s">
        <v>16</v>
      </c>
      <c r="C151" s="10">
        <f>IFERROR(INDEX('حسابهای دریافتنی'!H:H,MATCH(Table215[[#This Row],[كد تفصيلي]],'حسابهای دریافتنی'!A:A,0)),0)</f>
        <v>-4260580000</v>
      </c>
      <c r="D151" s="11">
        <f>IFERROR(INDEX('درجریان وصول'!F:F,MATCH(Table215[[#This Row],[كد تفصيلي]],'درجریان وصول'!A:A,0)),0)</f>
        <v>0</v>
      </c>
      <c r="E151" s="11">
        <f>IFERROR(INDEX('چکهای دریافتنی'!F:F,MATCH(Table215[[#This Row],[كد تفصيلي]],'چکهای دریافتنی'!A:A,0)),0)</f>
        <v>1600000000</v>
      </c>
      <c r="F151" s="11">
        <f>Table215[[#This Row],[حسابهای دریافتنی]]+Table215[[#This Row],[چکهای در جریان وصول]]+Table215[[#This Row],[چکهای نزد صندوق]]</f>
        <v>-2660580000</v>
      </c>
      <c r="G151" s="12">
        <f>IFERROR(INDEX('مانده سوفاله'!F:F,MATCH(Table215[[#This Row],[كد تفصيلي]],'مانده سوفاله'!A:A,0)),0)</f>
        <v>9952</v>
      </c>
    </row>
    <row r="152" spans="1:7" customFormat="1" ht="22.5" customHeight="1" x14ac:dyDescent="0.35">
      <c r="A152" s="53">
        <v>10079</v>
      </c>
      <c r="B152" s="56" t="s">
        <v>174</v>
      </c>
      <c r="C152" s="10">
        <f>IFERROR(INDEX('حسابهای دریافتنی'!H:H,MATCH(Table215[[#This Row],[كد تفصيلي]],'حسابهای دریافتنی'!A:A,0)),0)</f>
        <v>-226593500</v>
      </c>
      <c r="D152" s="11">
        <f>IFERROR(INDEX('درجریان وصول'!F:F,MATCH(Table215[[#This Row],[كد تفصيلي]],'درجریان وصول'!A:A,0)),0)</f>
        <v>0</v>
      </c>
      <c r="E152" s="11">
        <f>IFERROR(INDEX('چکهای دریافتنی'!F:F,MATCH(Table215[[#This Row],[كد تفصيلي]],'چکهای دریافتنی'!A:A,0)),0)</f>
        <v>0</v>
      </c>
      <c r="F152" s="11">
        <f>Table215[[#This Row],[حسابهای دریافتنی]]+Table215[[#This Row],[چکهای در جریان وصول]]+Table215[[#This Row],[چکهای نزد صندوق]]</f>
        <v>-226593500</v>
      </c>
      <c r="G152" s="12">
        <f>IFERROR(INDEX('مانده سوفاله'!F:F,MATCH(Table215[[#This Row],[كد تفصيلي]],'مانده سوفاله'!A:A,0)),0)</f>
        <v>0</v>
      </c>
    </row>
    <row r="153" spans="1:7" customFormat="1" ht="22.5" customHeight="1" x14ac:dyDescent="0.35">
      <c r="A153" s="53">
        <v>30156</v>
      </c>
      <c r="B153" s="56" t="s">
        <v>290</v>
      </c>
      <c r="C153" s="10">
        <f>IFERROR(INDEX('حسابهای دریافتنی'!H:H,MATCH(Table215[[#This Row],[كد تفصيلي]],'حسابهای دریافتنی'!A:A,0)),0)</f>
        <v>-180917500</v>
      </c>
      <c r="D153" s="11">
        <f>IFERROR(INDEX('درجریان وصول'!F:F,MATCH(Table215[[#This Row],[كد تفصيلي]],'درجریان وصول'!A:A,0)),0)</f>
        <v>0</v>
      </c>
      <c r="E153" s="11">
        <f>IFERROR(INDEX('چکهای دریافتنی'!F:F,MATCH(Table215[[#This Row],[كد تفصيلي]],'چکهای دریافتنی'!A:A,0)),0)</f>
        <v>0</v>
      </c>
      <c r="F153" s="11">
        <f>Table215[[#This Row],[حسابهای دریافتنی]]+Table215[[#This Row],[چکهای در جریان وصول]]+Table215[[#This Row],[چکهای نزد صندوق]]</f>
        <v>-180917500</v>
      </c>
      <c r="G153" s="12">
        <f>IFERROR(INDEX('مانده سوفاله'!F:F,MATCH(Table215[[#This Row],[كد تفصيلي]],'مانده سوفاله'!A:A,0)),0)</f>
        <v>0</v>
      </c>
    </row>
    <row r="154" spans="1:7" ht="22.5" customHeight="1" x14ac:dyDescent="0.35">
      <c r="A154" s="27">
        <v>10056</v>
      </c>
      <c r="B154" s="55" t="s">
        <v>166</v>
      </c>
      <c r="C154" s="10">
        <f>IFERROR(INDEX('حسابهای دریافتنی'!H:H,MATCH(Table215[[#This Row],[كد تفصيلي]],'حسابهای دریافتنی'!A:A,0)),0)</f>
        <v>812653500</v>
      </c>
      <c r="D154" s="11">
        <f>IFERROR(INDEX('درجریان وصول'!F:F,MATCH(Table215[[#This Row],[كد تفصيلي]],'درجریان وصول'!A:A,0)),0)</f>
        <v>0</v>
      </c>
      <c r="E154" s="11">
        <f>IFERROR(INDEX('چکهای دریافتنی'!F:F,MATCH(Table215[[#This Row],[كد تفصيلي]],'چکهای دریافتنی'!A:A,0)),0)</f>
        <v>0</v>
      </c>
      <c r="F154" s="11">
        <f>Table215[[#This Row],[حسابهای دریافتنی]]+Table215[[#This Row],[چکهای در جریان وصول]]+Table215[[#This Row],[چکهای نزد صندوق]]</f>
        <v>812653500</v>
      </c>
      <c r="G154" s="12">
        <f>IFERROR(INDEX('مانده سوفاله'!F:F,MATCH(Table215[[#This Row],[كد تفصيلي]],'مانده سوفاله'!A:A,0)),0)</f>
        <v>0</v>
      </c>
    </row>
    <row r="155" spans="1:7" ht="22.5" customHeight="1" x14ac:dyDescent="0.35">
      <c r="A155" s="27">
        <v>10119</v>
      </c>
      <c r="B155" s="55" t="s">
        <v>333</v>
      </c>
      <c r="C155" s="10">
        <f>IFERROR(INDEX('حسابهای دریافتنی'!H:H,MATCH(Table215[[#This Row],[كد تفصيلي]],'حسابهای دریافتنی'!A:A,0)),0)</f>
        <v>-2592000</v>
      </c>
      <c r="D155" s="11">
        <f>IFERROR(INDEX('درجریان وصول'!F:F,MATCH(Table215[[#This Row],[كد تفصيلي]],'درجریان وصول'!A:A,0)),0)</f>
        <v>0</v>
      </c>
      <c r="E155" s="11">
        <f>IFERROR(INDEX('چکهای دریافتنی'!F:F,MATCH(Table215[[#This Row],[كد تفصيلي]],'چکهای دریافتنی'!A:A,0)),0)</f>
        <v>0</v>
      </c>
      <c r="F155" s="11">
        <f>Table215[[#This Row],[حسابهای دریافتنی]]+Table215[[#This Row],[چکهای در جریان وصول]]+Table215[[#This Row],[چکهای نزد صندوق]]</f>
        <v>-2592000</v>
      </c>
      <c r="G155" s="12">
        <f>IFERROR(INDEX('مانده سوفاله'!F:F,MATCH(Table215[[#This Row],[كد تفصيلي]],'مانده سوفاله'!A:A,0)),0)</f>
        <v>353</v>
      </c>
    </row>
    <row r="156" spans="1:7" ht="22.5" customHeight="1" x14ac:dyDescent="0.35">
      <c r="A156" s="27">
        <v>30169</v>
      </c>
      <c r="B156" s="55" t="s">
        <v>318</v>
      </c>
      <c r="C156" s="10">
        <f>IFERROR(INDEX('حسابهای دریافتنی'!H:H,MATCH(Table215[[#This Row],[كد تفصيلي]],'حسابهای دریافتنی'!A:A,0)),0)</f>
        <v>-658993316</v>
      </c>
      <c r="D156" s="11">
        <f>IFERROR(INDEX('درجریان وصول'!F:F,MATCH(Table215[[#This Row],[كد تفصيلي]],'درجریان وصول'!A:A,0)),0)</f>
        <v>0</v>
      </c>
      <c r="E156" s="11">
        <f>IFERROR(INDEX('چکهای دریافتنی'!F:F,MATCH(Table215[[#This Row],[كد تفصيلي]],'چکهای دریافتنی'!A:A,0)),0)</f>
        <v>2085000000</v>
      </c>
      <c r="F156" s="11">
        <f>Table215[[#This Row],[حسابهای دریافتنی]]+Table215[[#This Row],[چکهای در جریان وصول]]+Table215[[#This Row],[چکهای نزد صندوق]]</f>
        <v>1426006684</v>
      </c>
      <c r="G156" s="12">
        <f>IFERROR(INDEX('مانده سوفاله'!F:F,MATCH(Table215[[#This Row],[كد تفصيلي]],'مانده سوفاله'!A:A,0)),0)</f>
        <v>0</v>
      </c>
    </row>
    <row r="157" spans="1:7" ht="22.5" customHeight="1" x14ac:dyDescent="0.35">
      <c r="A157" s="26">
        <v>10029</v>
      </c>
      <c r="B157" s="56" t="s">
        <v>35</v>
      </c>
      <c r="C157" s="10">
        <f>IFERROR(INDEX('حسابهای دریافتنی'!H:H,MATCH(Table215[[#This Row],[كد تفصيلي]],'حسابهای دریافتنی'!A:A,0)),0)</f>
        <v>-1038298620</v>
      </c>
      <c r="D157" s="11">
        <f>IFERROR(INDEX('درجریان وصول'!F:F,MATCH(Table215[[#This Row],[كد تفصيلي]],'درجریان وصول'!A:A,0)),0)</f>
        <v>0</v>
      </c>
      <c r="E157" s="11">
        <f>IFERROR(INDEX('چکهای دریافتنی'!F:F,MATCH(Table215[[#This Row],[كد تفصيلي]],'چکهای دریافتنی'!A:A,0)),0)</f>
        <v>2019000000</v>
      </c>
      <c r="F157" s="11">
        <f>Table215[[#This Row],[حسابهای دریافتنی]]+Table215[[#This Row],[چکهای در جریان وصول]]+Table215[[#This Row],[چکهای نزد صندوق]]</f>
        <v>980701380</v>
      </c>
      <c r="G157" s="12">
        <f>IFERROR(INDEX('مانده سوفاله'!F:F,MATCH(Table215[[#This Row],[كد تفصيلي]],'مانده سوفاله'!A:A,0)),0)</f>
        <v>6603</v>
      </c>
    </row>
    <row r="158" spans="1:7" ht="22.5" customHeight="1" x14ac:dyDescent="0.35">
      <c r="A158" s="26">
        <v>30182</v>
      </c>
      <c r="B158" s="56" t="s">
        <v>342</v>
      </c>
      <c r="C158" s="10">
        <f>IFERROR(INDEX('حسابهای دریافتنی'!H:H,MATCH(Table215[[#This Row],[كد تفصيلي]],'حسابهای دریافتنی'!A:A,0)),0)</f>
        <v>-528256400</v>
      </c>
      <c r="D158" s="11">
        <f>IFERROR(INDEX('درجریان وصول'!F:F,MATCH(Table215[[#This Row],[كد تفصيلي]],'درجریان وصول'!A:A,0)),0)</f>
        <v>0</v>
      </c>
      <c r="E158" s="11">
        <f>IFERROR(INDEX('چکهای دریافتنی'!F:F,MATCH(Table215[[#This Row],[كد تفصيلي]],'چکهای دریافتنی'!A:A,0)),0)</f>
        <v>0</v>
      </c>
      <c r="F158" s="11">
        <f>Table215[[#This Row],[حسابهای دریافتنی]]+Table215[[#This Row],[چکهای در جریان وصول]]+Table215[[#This Row],[چکهای نزد صندوق]]</f>
        <v>-528256400</v>
      </c>
      <c r="G158" s="12">
        <f>IFERROR(INDEX('مانده سوفاله'!F:F,MATCH(Table215[[#This Row],[كد تفصيلي]],'مانده سوفاله'!A:A,0)),0)</f>
        <v>0</v>
      </c>
    </row>
    <row r="159" spans="1:7" ht="22.5" customHeight="1" x14ac:dyDescent="0.35">
      <c r="A159" s="27">
        <v>50008</v>
      </c>
      <c r="B159" s="55" t="s">
        <v>146</v>
      </c>
      <c r="C159" s="10">
        <f>IFERROR(INDEX('حسابهای دریافتنی'!H:H,MATCH(Table215[[#This Row],[كد تفصيلي]],'حسابهای دریافتنی'!A:A,0)),0)</f>
        <v>-406230000</v>
      </c>
      <c r="D159" s="11">
        <f>IFERROR(INDEX('درجریان وصول'!F:F,MATCH(Table215[[#This Row],[كد تفصيلي]],'درجریان وصول'!A:A,0)),0)</f>
        <v>0</v>
      </c>
      <c r="E159" s="11">
        <f>IFERROR(INDEX('چکهای دریافتنی'!F:F,MATCH(Table215[[#This Row],[كد تفصيلي]],'چکهای دریافتنی'!A:A,0)),0)</f>
        <v>0</v>
      </c>
      <c r="F159" s="11">
        <f>Table215[[#This Row],[حسابهای دریافتنی]]+Table215[[#This Row],[چکهای در جریان وصول]]+Table215[[#This Row],[چکهای نزد صندوق]]</f>
        <v>-406230000</v>
      </c>
      <c r="G159" s="12">
        <f>IFERROR(INDEX('مانده سوفاله'!F:F,MATCH(Table215[[#This Row],[كد تفصيلي]],'مانده سوفاله'!A:A,0)),0)</f>
        <v>0</v>
      </c>
    </row>
    <row r="160" spans="1:7" ht="22.5" customHeight="1" x14ac:dyDescent="0.35">
      <c r="A160" s="27">
        <v>30040</v>
      </c>
      <c r="B160" s="55" t="s">
        <v>87</v>
      </c>
      <c r="C160" s="10">
        <f>IFERROR(INDEX('حسابهای دریافتنی'!H:H,MATCH(Table215[[#This Row],[كد تفصيلي]],'حسابهای دریافتنی'!A:A,0)),0)</f>
        <v>0</v>
      </c>
      <c r="D160" s="11">
        <f>IFERROR(INDEX('درجریان وصول'!F:F,MATCH(Table215[[#This Row],[كد تفصيلي]],'درجریان وصول'!A:A,0)),0)</f>
        <v>0</v>
      </c>
      <c r="E160" s="11">
        <f>IFERROR(INDEX('چکهای دریافتنی'!F:F,MATCH(Table215[[#This Row],[كد تفصيلي]],'چکهای دریافتنی'!A:A,0)),0)</f>
        <v>0</v>
      </c>
      <c r="F160" s="11">
        <f>Table215[[#This Row],[حسابهای دریافتنی]]+Table215[[#This Row],[چکهای در جریان وصول]]+Table215[[#This Row],[چکهای نزد صندوق]]</f>
        <v>0</v>
      </c>
      <c r="G160" s="12">
        <f>IFERROR(INDEX('مانده سوفاله'!F:F,MATCH(Table215[[#This Row],[كد تفصيلي]],'مانده سوفاله'!A:A,0)),0)</f>
        <v>0</v>
      </c>
    </row>
    <row r="161" spans="1:7" ht="22.5" customHeight="1" x14ac:dyDescent="0.35">
      <c r="A161" s="26">
        <v>10019</v>
      </c>
      <c r="B161" s="56" t="s">
        <v>26</v>
      </c>
      <c r="C161" s="10">
        <f>IFERROR(INDEX('حسابهای دریافتنی'!H:H,MATCH(Table215[[#This Row],[كد تفصيلي]],'حسابهای دریافتنی'!A:A,0)),0)</f>
        <v>0</v>
      </c>
      <c r="D161" s="11">
        <f>IFERROR(INDEX('درجریان وصول'!F:F,MATCH(Table215[[#This Row],[كد تفصيلي]],'درجریان وصول'!A:A,0)),0)</f>
        <v>0</v>
      </c>
      <c r="E161" s="11">
        <f>IFERROR(INDEX('چکهای دریافتنی'!F:F,MATCH(Table215[[#This Row],[كد تفصيلي]],'چکهای دریافتنی'!A:A,0)),0)</f>
        <v>0</v>
      </c>
      <c r="F161" s="11">
        <f>Table215[[#This Row],[حسابهای دریافتنی]]+Table215[[#This Row],[چکهای در جریان وصول]]+Table215[[#This Row],[چکهای نزد صندوق]]</f>
        <v>0</v>
      </c>
      <c r="G161" s="12">
        <f>IFERROR(INDEX('مانده سوفاله'!F:F,MATCH(Table215[[#This Row],[كد تفصيلي]],'مانده سوفاله'!A:A,0)),0)</f>
        <v>285</v>
      </c>
    </row>
    <row r="162" spans="1:7" ht="22.5" customHeight="1" x14ac:dyDescent="0.35">
      <c r="A162" s="27">
        <v>30187</v>
      </c>
      <c r="B162" s="55" t="s">
        <v>369</v>
      </c>
      <c r="C162" s="10">
        <f>IFERROR(INDEX('حسابهای دریافتنی'!H:H,MATCH(Table215[[#This Row],[كد تفصيلي]],'حسابهای دریافتنی'!A:A,0)),0)</f>
        <v>337825500</v>
      </c>
      <c r="D162" s="11">
        <f>IFERROR(INDEX('درجریان وصول'!F:F,MATCH(Table215[[#This Row],[كد تفصيلي]],'درجریان وصول'!A:A,0)),0)</f>
        <v>0</v>
      </c>
      <c r="E162" s="11">
        <f>IFERROR(INDEX('چکهای دریافتنی'!F:F,MATCH(Table215[[#This Row],[كد تفصيلي]],'چکهای دریافتنی'!A:A,0)),0)</f>
        <v>0</v>
      </c>
      <c r="F162" s="11">
        <f>Table215[[#This Row],[حسابهای دریافتنی]]+Table215[[#This Row],[چکهای در جریان وصول]]+Table215[[#This Row],[چکهای نزد صندوق]]</f>
        <v>337825500</v>
      </c>
      <c r="G162" s="12">
        <f>IFERROR(INDEX('مانده سوفاله'!F:F,MATCH(Table215[[#This Row],[كد تفصيلي]],'مانده سوفاله'!A:A,0)),0)</f>
        <v>-108</v>
      </c>
    </row>
    <row r="163" spans="1:7" ht="22.5" customHeight="1" x14ac:dyDescent="0.35">
      <c r="A163" s="26">
        <v>79120</v>
      </c>
      <c r="B163" s="56" t="s">
        <v>195</v>
      </c>
      <c r="C163" s="10">
        <f>IFERROR(INDEX('حسابهای دریافتنی'!H:H,MATCH(Table215[[#This Row],[كد تفصيلي]],'حسابهای دریافتنی'!A:A,0)),0)</f>
        <v>-15776160000</v>
      </c>
      <c r="D163" s="11">
        <f>IFERROR(INDEX('درجریان وصول'!F:F,MATCH(Table215[[#This Row],[كد تفصيلي]],'درجریان وصول'!A:A,0)),0)</f>
        <v>0</v>
      </c>
      <c r="E163" s="11">
        <f>IFERROR(INDEX('چکهای دریافتنی'!F:F,MATCH(Table215[[#This Row],[كد تفصيلي]],'چکهای دریافتنی'!A:A,0)),0)</f>
        <v>0</v>
      </c>
      <c r="F163" s="11">
        <f>Table215[[#This Row],[حسابهای دریافتنی]]+Table215[[#This Row],[چکهای در جریان وصول]]+Table215[[#This Row],[چکهای نزد صندوق]]</f>
        <v>-15776160000</v>
      </c>
      <c r="G163" s="12">
        <f>IFERROR(INDEX('مانده سوفاله'!F:F,MATCH(Table215[[#This Row],[كد تفصيلي]],'مانده سوفاله'!A:A,0)),0)</f>
        <v>0</v>
      </c>
    </row>
    <row r="164" spans="1:7" ht="22.5" customHeight="1" x14ac:dyDescent="0.35">
      <c r="A164" s="26">
        <v>30186</v>
      </c>
      <c r="B164" s="56" t="s">
        <v>367</v>
      </c>
      <c r="C164" s="10">
        <f>IFERROR(INDEX('حسابهای دریافتنی'!H:H,MATCH(Table215[[#This Row],[كد تفصيلي]],'حسابهای دریافتنی'!A:A,0)),0)</f>
        <v>986425000</v>
      </c>
      <c r="D164" s="11">
        <f>IFERROR(INDEX('درجریان وصول'!F:F,MATCH(Table215[[#This Row],[كد تفصيلي]],'درجریان وصول'!A:A,0)),0)</f>
        <v>0</v>
      </c>
      <c r="E164" s="11">
        <f>IFERROR(INDEX('چکهای دریافتنی'!F:F,MATCH(Table215[[#This Row],[كد تفصيلي]],'چکهای دریافتنی'!A:A,0)),0)</f>
        <v>5982430000</v>
      </c>
      <c r="F164" s="11">
        <f>Table215[[#This Row],[حسابهای دریافتنی]]+Table215[[#This Row],[چکهای در جریان وصول]]+Table215[[#This Row],[چکهای نزد صندوق]]</f>
        <v>6968855000</v>
      </c>
      <c r="G164" s="12">
        <f>IFERROR(INDEX('مانده سوفاله'!F:F,MATCH(Table215[[#This Row],[كد تفصيلي]],'مانده سوفاله'!A:A,0)),0)</f>
        <v>-7388</v>
      </c>
    </row>
    <row r="165" spans="1:7" ht="22.5" customHeight="1" x14ac:dyDescent="0.35">
      <c r="A165" s="26">
        <v>50005</v>
      </c>
      <c r="B165" s="56" t="s">
        <v>148</v>
      </c>
      <c r="C165" s="10">
        <f>IFERROR(INDEX('حسابهای دریافتنی'!H:H,MATCH(Table215[[#This Row],[كد تفصيلي]],'حسابهای دریافتنی'!A:A,0)),0)</f>
        <v>0</v>
      </c>
      <c r="D165" s="11">
        <f>IFERROR(INDEX('درجریان وصول'!F:F,MATCH(Table215[[#This Row],[كد تفصيلي]],'درجریان وصول'!A:A,0)),0)</f>
        <v>0</v>
      </c>
      <c r="E165" s="11">
        <f>IFERROR(INDEX('چکهای دریافتنی'!F:F,MATCH(Table215[[#This Row],[كد تفصيلي]],'چکهای دریافتنی'!A:A,0)),0)</f>
        <v>0</v>
      </c>
      <c r="F165" s="11">
        <f>Table215[[#This Row],[حسابهای دریافتنی]]+Table215[[#This Row],[چکهای در جریان وصول]]+Table215[[#This Row],[چکهای نزد صندوق]]</f>
        <v>0</v>
      </c>
      <c r="G165" s="12">
        <f>IFERROR(INDEX('مانده سوفاله'!F:F,MATCH(Table215[[#This Row],[كد تفصيلي]],'مانده سوفاله'!A:A,0)),0)</f>
        <v>0</v>
      </c>
    </row>
    <row r="166" spans="1:7" ht="22.5" customHeight="1" x14ac:dyDescent="0.35">
      <c r="A166" s="27">
        <v>30127</v>
      </c>
      <c r="B166" s="55" t="s">
        <v>163</v>
      </c>
      <c r="C166" s="10">
        <f>IFERROR(INDEX('حسابهای دریافتنی'!H:H,MATCH(Table215[[#This Row],[كد تفصيلي]],'حسابهای دریافتنی'!A:A,0)),0)</f>
        <v>31800110000</v>
      </c>
      <c r="D166" s="11">
        <f>IFERROR(INDEX('درجریان وصول'!F:F,MATCH(Table215[[#This Row],[كد تفصيلي]],'درجریان وصول'!A:A,0)),0)</f>
        <v>0</v>
      </c>
      <c r="E166" s="11">
        <f>IFERROR(INDEX('چکهای دریافتنی'!F:F,MATCH(Table215[[#This Row],[كد تفصيلي]],'چکهای دریافتنی'!A:A,0)),0)</f>
        <v>0</v>
      </c>
      <c r="F166" s="11">
        <f>Table215[[#This Row],[حسابهای دریافتنی]]+Table215[[#This Row],[چکهای در جریان وصول]]+Table215[[#This Row],[چکهای نزد صندوق]]</f>
        <v>31800110000</v>
      </c>
      <c r="G166" s="12">
        <f>IFERROR(INDEX('مانده سوفاله'!F:F,MATCH(Table215[[#This Row],[كد تفصيلي]],'مانده سوفاله'!A:A,0)),0)</f>
        <v>-18472</v>
      </c>
    </row>
    <row r="167" spans="1:7" ht="22.5" customHeight="1" x14ac:dyDescent="0.35">
      <c r="A167" s="36"/>
      <c r="B167" s="37"/>
      <c r="C167" s="38">
        <f>SUBTOTAL(109,Table215[حسابهای دریافتنی])</f>
        <v>73970749979</v>
      </c>
      <c r="D167" s="38">
        <f>SUBTOTAL(109,Table215[چکهای در جریان وصول])</f>
        <v>0</v>
      </c>
      <c r="E167" s="38">
        <f>SUBTOTAL(109,Table215[چکهای نزد صندوق])</f>
        <v>62507828942</v>
      </c>
      <c r="F167" s="38"/>
      <c r="G167" s="39">
        <f>SUBTOTAL(109,Table215[مانده سوفاله])</f>
        <v>-132142.5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5"/>
  <sheetViews>
    <sheetView rightToLeft="1" zoomScaleNormal="100" workbookViewId="0">
      <selection activeCell="E10" sqref="E10"/>
    </sheetView>
  </sheetViews>
  <sheetFormatPr defaultRowHeight="14.5" x14ac:dyDescent="0.35"/>
  <cols>
    <col min="1" max="1" width="9.6328125" bestFit="1" customWidth="1"/>
    <col min="2" max="2" width="7" style="1" bestFit="1" customWidth="1"/>
    <col min="3" max="3" width="14" style="1" bestFit="1" customWidth="1"/>
    <col min="4" max="4" width="11.36328125" style="1" bestFit="1" customWidth="1"/>
    <col min="5" max="5" width="13" style="1" bestFit="1" customWidth="1"/>
    <col min="6" max="6" width="10.36328125" style="1" bestFit="1" customWidth="1"/>
  </cols>
  <sheetData>
    <row r="1" spans="1:6" x14ac:dyDescent="0.35">
      <c r="A1" s="32" t="s">
        <v>159</v>
      </c>
      <c r="B1" s="80" t="s">
        <v>328</v>
      </c>
      <c r="C1" s="80" t="s">
        <v>329</v>
      </c>
      <c r="D1" s="80" t="s">
        <v>0</v>
      </c>
      <c r="E1" s="80" t="s">
        <v>1</v>
      </c>
      <c r="F1" s="80" t="s">
        <v>2</v>
      </c>
    </row>
    <row r="2" spans="1:6" x14ac:dyDescent="0.35">
      <c r="A2" s="83">
        <v>10003</v>
      </c>
      <c r="B2" s="84">
        <v>0</v>
      </c>
      <c r="C2" s="84">
        <v>0</v>
      </c>
      <c r="D2" s="84">
        <v>333748</v>
      </c>
      <c r="E2" s="84">
        <v>-373634</v>
      </c>
      <c r="F2" s="84">
        <v>-39886</v>
      </c>
    </row>
    <row r="3" spans="1:6" x14ac:dyDescent="0.35">
      <c r="A3" s="81">
        <v>30127</v>
      </c>
      <c r="B3" s="82">
        <v>0</v>
      </c>
      <c r="C3" s="82">
        <v>0</v>
      </c>
      <c r="D3" s="82">
        <v>496237</v>
      </c>
      <c r="E3" s="82">
        <v>-514709</v>
      </c>
      <c r="F3" s="82">
        <v>-18472</v>
      </c>
    </row>
    <row r="4" spans="1:6" x14ac:dyDescent="0.35">
      <c r="A4" s="83">
        <v>30022</v>
      </c>
      <c r="B4" s="84">
        <v>0</v>
      </c>
      <c r="C4" s="84">
        <v>0</v>
      </c>
      <c r="D4" s="84">
        <v>88711</v>
      </c>
      <c r="E4" s="84">
        <v>-103458</v>
      </c>
      <c r="F4" s="84">
        <v>-14747</v>
      </c>
    </row>
    <row r="5" spans="1:6" x14ac:dyDescent="0.35">
      <c r="A5" s="81">
        <v>10055</v>
      </c>
      <c r="B5" s="82">
        <v>0</v>
      </c>
      <c r="C5" s="82">
        <v>0</v>
      </c>
      <c r="D5" s="82">
        <v>276232</v>
      </c>
      <c r="E5" s="82">
        <v>-288946</v>
      </c>
      <c r="F5" s="82">
        <v>-12714</v>
      </c>
    </row>
    <row r="6" spans="1:6" x14ac:dyDescent="0.35">
      <c r="A6" s="83">
        <v>30140</v>
      </c>
      <c r="B6" s="84">
        <v>0</v>
      </c>
      <c r="C6" s="84">
        <v>0</v>
      </c>
      <c r="D6" s="84">
        <v>10972</v>
      </c>
      <c r="E6" s="84">
        <v>-23602</v>
      </c>
      <c r="F6" s="84">
        <v>-12630</v>
      </c>
    </row>
    <row r="7" spans="1:6" x14ac:dyDescent="0.35">
      <c r="A7" s="81">
        <v>10026</v>
      </c>
      <c r="B7" s="82">
        <v>0</v>
      </c>
      <c r="C7" s="82">
        <v>0</v>
      </c>
      <c r="D7" s="82">
        <v>189603</v>
      </c>
      <c r="E7" s="82">
        <v>-202146</v>
      </c>
      <c r="F7" s="82">
        <v>-12543</v>
      </c>
    </row>
    <row r="8" spans="1:6" x14ac:dyDescent="0.35">
      <c r="A8" s="83">
        <v>30009</v>
      </c>
      <c r="B8" s="84">
        <v>0</v>
      </c>
      <c r="C8" s="84">
        <v>0</v>
      </c>
      <c r="D8" s="84">
        <v>191034</v>
      </c>
      <c r="E8" s="84">
        <v>-202486</v>
      </c>
      <c r="F8" s="84">
        <v>-11452</v>
      </c>
    </row>
    <row r="9" spans="1:6" x14ac:dyDescent="0.35">
      <c r="A9" s="81">
        <v>30196</v>
      </c>
      <c r="B9" s="82">
        <v>0</v>
      </c>
      <c r="C9" s="82">
        <v>0</v>
      </c>
      <c r="D9" s="82">
        <v>9319</v>
      </c>
      <c r="E9" s="82">
        <v>-18284</v>
      </c>
      <c r="F9" s="82">
        <v>-8965</v>
      </c>
    </row>
    <row r="10" spans="1:6" x14ac:dyDescent="0.35">
      <c r="A10" s="83">
        <v>50006</v>
      </c>
      <c r="B10" s="84"/>
      <c r="C10" s="84"/>
      <c r="D10" s="84">
        <v>0</v>
      </c>
      <c r="E10" s="84">
        <v>-7581</v>
      </c>
      <c r="F10" s="84">
        <v>-7581</v>
      </c>
    </row>
    <row r="11" spans="1:6" x14ac:dyDescent="0.35">
      <c r="A11" s="81">
        <v>30186</v>
      </c>
      <c r="B11" s="82">
        <v>0</v>
      </c>
      <c r="C11" s="82">
        <v>0</v>
      </c>
      <c r="D11" s="82">
        <v>66992</v>
      </c>
      <c r="E11" s="82">
        <v>-74380</v>
      </c>
      <c r="F11" s="82">
        <v>-7388</v>
      </c>
    </row>
    <row r="12" spans="1:6" x14ac:dyDescent="0.35">
      <c r="A12" s="83">
        <v>30081</v>
      </c>
      <c r="B12" s="84">
        <v>0</v>
      </c>
      <c r="C12" s="84">
        <v>0</v>
      </c>
      <c r="D12" s="84">
        <v>77666</v>
      </c>
      <c r="E12" s="84">
        <v>-84590</v>
      </c>
      <c r="F12" s="84">
        <v>-6924</v>
      </c>
    </row>
    <row r="13" spans="1:6" x14ac:dyDescent="0.35">
      <c r="A13" s="81">
        <v>30004</v>
      </c>
      <c r="B13" s="82">
        <v>0</v>
      </c>
      <c r="C13" s="82">
        <v>0</v>
      </c>
      <c r="D13" s="82">
        <v>253406</v>
      </c>
      <c r="E13" s="82">
        <v>-257643</v>
      </c>
      <c r="F13" s="82">
        <v>-4237</v>
      </c>
    </row>
    <row r="14" spans="1:6" x14ac:dyDescent="0.35">
      <c r="A14" s="83">
        <v>30003</v>
      </c>
      <c r="B14" s="84">
        <v>0</v>
      </c>
      <c r="C14" s="84">
        <v>0</v>
      </c>
      <c r="D14" s="84">
        <v>24761</v>
      </c>
      <c r="E14" s="84">
        <v>-28299</v>
      </c>
      <c r="F14" s="84">
        <v>-3538</v>
      </c>
    </row>
    <row r="15" spans="1:6" x14ac:dyDescent="0.35">
      <c r="A15" s="81">
        <v>10070</v>
      </c>
      <c r="B15" s="82">
        <v>0</v>
      </c>
      <c r="C15" s="82">
        <v>0</v>
      </c>
      <c r="D15" s="82">
        <v>19379</v>
      </c>
      <c r="E15" s="82">
        <v>-22549</v>
      </c>
      <c r="F15" s="82">
        <v>-3170</v>
      </c>
    </row>
    <row r="16" spans="1:6" x14ac:dyDescent="0.35">
      <c r="A16" s="83">
        <v>30018</v>
      </c>
      <c r="B16" s="84">
        <v>0</v>
      </c>
      <c r="C16" s="84">
        <v>0</v>
      </c>
      <c r="D16" s="84">
        <v>15880</v>
      </c>
      <c r="E16" s="84">
        <v>-18904</v>
      </c>
      <c r="F16" s="84">
        <v>-3024</v>
      </c>
    </row>
    <row r="17" spans="1:6" x14ac:dyDescent="0.35">
      <c r="A17" s="81">
        <v>30017</v>
      </c>
      <c r="B17" s="82">
        <v>0</v>
      </c>
      <c r="C17" s="82">
        <v>0</v>
      </c>
      <c r="D17" s="82">
        <v>47137</v>
      </c>
      <c r="E17" s="82">
        <v>-49323</v>
      </c>
      <c r="F17" s="82">
        <v>-2186</v>
      </c>
    </row>
    <row r="18" spans="1:6" x14ac:dyDescent="0.35">
      <c r="A18" s="83">
        <v>10057</v>
      </c>
      <c r="B18" s="84">
        <v>0</v>
      </c>
      <c r="C18" s="84">
        <v>0</v>
      </c>
      <c r="D18" s="84">
        <v>18164</v>
      </c>
      <c r="E18" s="84">
        <v>-20208</v>
      </c>
      <c r="F18" s="84">
        <v>-2044</v>
      </c>
    </row>
    <row r="19" spans="1:6" x14ac:dyDescent="0.35">
      <c r="A19" s="81">
        <v>10084</v>
      </c>
      <c r="B19" s="82">
        <v>0</v>
      </c>
      <c r="C19" s="82">
        <v>0</v>
      </c>
      <c r="D19" s="82">
        <v>13484</v>
      </c>
      <c r="E19" s="82">
        <v>-15140</v>
      </c>
      <c r="F19" s="82">
        <v>-1656</v>
      </c>
    </row>
    <row r="20" spans="1:6" x14ac:dyDescent="0.35">
      <c r="A20" s="83">
        <v>10127</v>
      </c>
      <c r="B20" s="84">
        <v>0</v>
      </c>
      <c r="C20" s="84">
        <v>0</v>
      </c>
      <c r="D20" s="84">
        <v>17219</v>
      </c>
      <c r="E20" s="84">
        <v>-18688</v>
      </c>
      <c r="F20" s="84">
        <v>-1469</v>
      </c>
    </row>
    <row r="21" spans="1:6" x14ac:dyDescent="0.35">
      <c r="A21" s="81">
        <v>30014</v>
      </c>
      <c r="B21" s="82">
        <v>0</v>
      </c>
      <c r="C21" s="82">
        <v>0</v>
      </c>
      <c r="D21" s="82">
        <v>23306</v>
      </c>
      <c r="E21" s="82">
        <v>-24674</v>
      </c>
      <c r="F21" s="82">
        <v>-1368</v>
      </c>
    </row>
    <row r="22" spans="1:6" x14ac:dyDescent="0.35">
      <c r="A22" s="83">
        <v>30066</v>
      </c>
      <c r="B22" s="84">
        <v>0</v>
      </c>
      <c r="C22" s="84">
        <v>0</v>
      </c>
      <c r="D22" s="84">
        <v>280585.5</v>
      </c>
      <c r="E22" s="84">
        <v>-281905.5</v>
      </c>
      <c r="F22" s="84">
        <v>-1320</v>
      </c>
    </row>
    <row r="23" spans="1:6" x14ac:dyDescent="0.35">
      <c r="A23" s="81">
        <v>10048</v>
      </c>
      <c r="B23" s="82">
        <v>0</v>
      </c>
      <c r="C23" s="82">
        <v>0</v>
      </c>
      <c r="D23" s="82">
        <v>14755</v>
      </c>
      <c r="E23" s="82">
        <v>-15852</v>
      </c>
      <c r="F23" s="82">
        <v>-1097</v>
      </c>
    </row>
    <row r="24" spans="1:6" x14ac:dyDescent="0.35">
      <c r="A24" s="83">
        <v>10020</v>
      </c>
      <c r="B24" s="84">
        <v>0</v>
      </c>
      <c r="C24" s="84">
        <v>0</v>
      </c>
      <c r="D24" s="84">
        <v>20603</v>
      </c>
      <c r="E24" s="84">
        <v>-21634</v>
      </c>
      <c r="F24" s="84">
        <v>-1031</v>
      </c>
    </row>
    <row r="25" spans="1:6" x14ac:dyDescent="0.35">
      <c r="A25" s="81">
        <v>10089</v>
      </c>
      <c r="B25" s="82">
        <v>0</v>
      </c>
      <c r="C25" s="82">
        <v>0</v>
      </c>
      <c r="D25" s="82">
        <v>1194</v>
      </c>
      <c r="E25" s="82">
        <v>-2142</v>
      </c>
      <c r="F25" s="82">
        <v>-948</v>
      </c>
    </row>
    <row r="26" spans="1:6" x14ac:dyDescent="0.35">
      <c r="A26" s="83">
        <v>10027</v>
      </c>
      <c r="B26" s="84">
        <v>0</v>
      </c>
      <c r="C26" s="84">
        <v>0</v>
      </c>
      <c r="D26" s="84">
        <v>70905</v>
      </c>
      <c r="E26" s="84">
        <v>-71552</v>
      </c>
      <c r="F26" s="84">
        <v>-647</v>
      </c>
    </row>
    <row r="27" spans="1:6" x14ac:dyDescent="0.35">
      <c r="A27" s="81">
        <v>30047</v>
      </c>
      <c r="B27" s="82"/>
      <c r="C27" s="82"/>
      <c r="D27" s="82">
        <v>0</v>
      </c>
      <c r="E27" s="82">
        <v>-630</v>
      </c>
      <c r="F27" s="82">
        <v>-630</v>
      </c>
    </row>
    <row r="28" spans="1:6" x14ac:dyDescent="0.35">
      <c r="A28" s="83">
        <v>10008</v>
      </c>
      <c r="B28" s="84"/>
      <c r="C28" s="84"/>
      <c r="D28" s="84">
        <v>0</v>
      </c>
      <c r="E28" s="84">
        <v>-578</v>
      </c>
      <c r="F28" s="84">
        <v>-578</v>
      </c>
    </row>
    <row r="29" spans="1:6" x14ac:dyDescent="0.35">
      <c r="A29" s="81">
        <v>30160</v>
      </c>
      <c r="B29" s="82">
        <v>0</v>
      </c>
      <c r="C29" s="82">
        <v>0</v>
      </c>
      <c r="D29" s="82">
        <v>1113</v>
      </c>
      <c r="E29" s="82">
        <v>-1538</v>
      </c>
      <c r="F29" s="82">
        <v>-425</v>
      </c>
    </row>
    <row r="30" spans="1:6" x14ac:dyDescent="0.35">
      <c r="A30" s="83">
        <v>10028</v>
      </c>
      <c r="B30" s="84">
        <v>0</v>
      </c>
      <c r="C30" s="84">
        <v>0</v>
      </c>
      <c r="D30" s="84">
        <v>290</v>
      </c>
      <c r="E30" s="84">
        <v>-688</v>
      </c>
      <c r="F30" s="84">
        <v>-398</v>
      </c>
    </row>
    <row r="31" spans="1:6" x14ac:dyDescent="0.35">
      <c r="A31" s="81">
        <v>30099</v>
      </c>
      <c r="B31" s="82">
        <v>0</v>
      </c>
      <c r="C31" s="82">
        <v>0</v>
      </c>
      <c r="D31" s="82">
        <v>49194</v>
      </c>
      <c r="E31" s="82">
        <v>-49526</v>
      </c>
      <c r="F31" s="82">
        <v>-332</v>
      </c>
    </row>
    <row r="32" spans="1:6" x14ac:dyDescent="0.35">
      <c r="A32" s="83">
        <v>30162</v>
      </c>
      <c r="B32" s="84">
        <v>0</v>
      </c>
      <c r="C32" s="84">
        <v>0</v>
      </c>
      <c r="D32" s="84">
        <v>7984</v>
      </c>
      <c r="E32" s="84">
        <v>-8235</v>
      </c>
      <c r="F32" s="84">
        <v>-251</v>
      </c>
    </row>
    <row r="33" spans="1:6" x14ac:dyDescent="0.35">
      <c r="A33" s="81">
        <v>10109</v>
      </c>
      <c r="B33" s="82">
        <v>0</v>
      </c>
      <c r="C33" s="82">
        <v>0</v>
      </c>
      <c r="D33" s="82">
        <v>1769</v>
      </c>
      <c r="E33" s="82">
        <v>-2010</v>
      </c>
      <c r="F33" s="82">
        <v>-241</v>
      </c>
    </row>
    <row r="34" spans="1:6" x14ac:dyDescent="0.35">
      <c r="A34" s="83">
        <v>30058</v>
      </c>
      <c r="B34" s="84">
        <v>0</v>
      </c>
      <c r="C34" s="84">
        <v>0</v>
      </c>
      <c r="D34" s="84">
        <v>42880</v>
      </c>
      <c r="E34" s="84">
        <v>-43105</v>
      </c>
      <c r="F34" s="84">
        <v>-225</v>
      </c>
    </row>
    <row r="35" spans="1:6" x14ac:dyDescent="0.35">
      <c r="A35" s="81">
        <v>10030</v>
      </c>
      <c r="B35" s="82"/>
      <c r="C35" s="82"/>
      <c r="D35" s="82">
        <v>0</v>
      </c>
      <c r="E35" s="82">
        <v>-222</v>
      </c>
      <c r="F35" s="82">
        <v>-222</v>
      </c>
    </row>
    <row r="36" spans="1:6" x14ac:dyDescent="0.35">
      <c r="A36" s="83">
        <v>30056</v>
      </c>
      <c r="B36" s="84"/>
      <c r="C36" s="84"/>
      <c r="D36" s="84">
        <v>0</v>
      </c>
      <c r="E36" s="84">
        <v>-187</v>
      </c>
      <c r="F36" s="84">
        <v>-187</v>
      </c>
    </row>
    <row r="37" spans="1:6" x14ac:dyDescent="0.35">
      <c r="A37" s="81">
        <v>30025</v>
      </c>
      <c r="B37" s="82"/>
      <c r="C37" s="82"/>
      <c r="D37" s="82">
        <v>0</v>
      </c>
      <c r="E37" s="82">
        <v>-165</v>
      </c>
      <c r="F37" s="82">
        <v>-165</v>
      </c>
    </row>
    <row r="38" spans="1:6" x14ac:dyDescent="0.35">
      <c r="A38" s="83">
        <v>79010</v>
      </c>
      <c r="B38" s="84"/>
      <c r="C38" s="84"/>
      <c r="D38" s="84">
        <v>0</v>
      </c>
      <c r="E38" s="84">
        <v>-110</v>
      </c>
      <c r="F38" s="84">
        <v>-110</v>
      </c>
    </row>
    <row r="39" spans="1:6" x14ac:dyDescent="0.35">
      <c r="A39" s="81">
        <v>30187</v>
      </c>
      <c r="B39" s="82">
        <v>0</v>
      </c>
      <c r="C39" s="82">
        <v>0</v>
      </c>
      <c r="D39" s="82">
        <v>6854</v>
      </c>
      <c r="E39" s="82">
        <v>-6962</v>
      </c>
      <c r="F39" s="82">
        <v>-108</v>
      </c>
    </row>
    <row r="40" spans="1:6" x14ac:dyDescent="0.35">
      <c r="A40" s="83">
        <v>30184</v>
      </c>
      <c r="B40" s="84">
        <v>0</v>
      </c>
      <c r="C40" s="84">
        <v>0</v>
      </c>
      <c r="D40" s="84">
        <v>15943</v>
      </c>
      <c r="E40" s="84">
        <v>-16043</v>
      </c>
      <c r="F40" s="84">
        <v>-100</v>
      </c>
    </row>
    <row r="41" spans="1:6" x14ac:dyDescent="0.35">
      <c r="A41" s="81">
        <v>30079</v>
      </c>
      <c r="B41" s="82"/>
      <c r="C41" s="82"/>
      <c r="D41" s="82">
        <v>0</v>
      </c>
      <c r="E41" s="82">
        <v>-85</v>
      </c>
      <c r="F41" s="82">
        <v>-85</v>
      </c>
    </row>
    <row r="42" spans="1:6" x14ac:dyDescent="0.35">
      <c r="A42" s="83">
        <v>30097</v>
      </c>
      <c r="B42" s="84"/>
      <c r="C42" s="84"/>
      <c r="D42" s="84">
        <v>0</v>
      </c>
      <c r="E42" s="84">
        <v>-82</v>
      </c>
      <c r="F42" s="84">
        <v>-82</v>
      </c>
    </row>
    <row r="43" spans="1:6" x14ac:dyDescent="0.35">
      <c r="A43" s="81">
        <v>30072</v>
      </c>
      <c r="B43" s="82">
        <v>0</v>
      </c>
      <c r="C43" s="82">
        <v>0</v>
      </c>
      <c r="D43" s="82">
        <v>514</v>
      </c>
      <c r="E43" s="82">
        <v>-593</v>
      </c>
      <c r="F43" s="82">
        <v>-79</v>
      </c>
    </row>
    <row r="44" spans="1:6" x14ac:dyDescent="0.35">
      <c r="A44" s="83">
        <v>10007</v>
      </c>
      <c r="B44" s="84"/>
      <c r="C44" s="84"/>
      <c r="D44" s="84">
        <v>0</v>
      </c>
      <c r="E44" s="84">
        <v>-52.5</v>
      </c>
      <c r="F44" s="84">
        <v>-52.5</v>
      </c>
    </row>
    <row r="45" spans="1:6" x14ac:dyDescent="0.35">
      <c r="A45" s="81">
        <v>30030</v>
      </c>
      <c r="B45" s="82">
        <v>0</v>
      </c>
      <c r="C45" s="82">
        <v>0</v>
      </c>
      <c r="D45" s="82">
        <v>3135</v>
      </c>
      <c r="E45" s="82">
        <v>-3184</v>
      </c>
      <c r="F45" s="82">
        <v>-49</v>
      </c>
    </row>
    <row r="46" spans="1:6" x14ac:dyDescent="0.35">
      <c r="A46" s="83">
        <v>30141</v>
      </c>
      <c r="B46" s="84"/>
      <c r="C46" s="84"/>
      <c r="D46" s="84">
        <v>0</v>
      </c>
      <c r="E46" s="84">
        <v>-42</v>
      </c>
      <c r="F46" s="84">
        <v>-42</v>
      </c>
    </row>
    <row r="47" spans="1:6" x14ac:dyDescent="0.35">
      <c r="A47" s="81">
        <v>10018</v>
      </c>
      <c r="B47" s="82">
        <v>0</v>
      </c>
      <c r="C47" s="82">
        <v>0</v>
      </c>
      <c r="D47" s="82">
        <v>6341</v>
      </c>
      <c r="E47" s="82">
        <v>-6373</v>
      </c>
      <c r="F47" s="82">
        <v>-32</v>
      </c>
    </row>
    <row r="48" spans="1:6" x14ac:dyDescent="0.35">
      <c r="A48" s="83">
        <v>30077</v>
      </c>
      <c r="B48" s="84">
        <v>0</v>
      </c>
      <c r="C48" s="84">
        <v>0</v>
      </c>
      <c r="D48" s="84">
        <v>500</v>
      </c>
      <c r="E48" s="84">
        <v>-532</v>
      </c>
      <c r="F48" s="84">
        <v>-32</v>
      </c>
    </row>
    <row r="49" spans="1:6" x14ac:dyDescent="0.35">
      <c r="A49" s="81">
        <v>10045</v>
      </c>
      <c r="B49" s="82"/>
      <c r="C49" s="82"/>
      <c r="D49" s="82">
        <v>0</v>
      </c>
      <c r="E49" s="82">
        <v>-30</v>
      </c>
      <c r="F49" s="82">
        <v>-30</v>
      </c>
    </row>
    <row r="50" spans="1:6" x14ac:dyDescent="0.35">
      <c r="A50" s="83">
        <v>30118</v>
      </c>
      <c r="B50" s="84"/>
      <c r="C50" s="84"/>
      <c r="D50" s="84">
        <v>0</v>
      </c>
      <c r="E50" s="84">
        <v>-20</v>
      </c>
      <c r="F50" s="84">
        <v>-20</v>
      </c>
    </row>
    <row r="51" spans="1:6" x14ac:dyDescent="0.35">
      <c r="A51" s="81">
        <v>30123</v>
      </c>
      <c r="B51" s="82"/>
      <c r="C51" s="82"/>
      <c r="D51" s="82">
        <v>0</v>
      </c>
      <c r="E51" s="82">
        <v>-20</v>
      </c>
      <c r="F51" s="82">
        <v>-20</v>
      </c>
    </row>
    <row r="52" spans="1:6" x14ac:dyDescent="0.35">
      <c r="A52" s="83">
        <v>30082</v>
      </c>
      <c r="B52" s="84"/>
      <c r="C52" s="84"/>
      <c r="D52" s="84">
        <v>0</v>
      </c>
      <c r="E52" s="84">
        <v>-16</v>
      </c>
      <c r="F52" s="84">
        <v>-16</v>
      </c>
    </row>
    <row r="53" spans="1:6" x14ac:dyDescent="0.35">
      <c r="A53" s="81">
        <v>10076</v>
      </c>
      <c r="B53" s="82"/>
      <c r="C53" s="82"/>
      <c r="D53" s="82">
        <v>0</v>
      </c>
      <c r="E53" s="82">
        <v>-13</v>
      </c>
      <c r="F53" s="82">
        <v>-13</v>
      </c>
    </row>
    <row r="54" spans="1:6" x14ac:dyDescent="0.35">
      <c r="A54" s="83">
        <v>10004</v>
      </c>
      <c r="B54" s="84">
        <v>0</v>
      </c>
      <c r="C54" s="84">
        <v>0</v>
      </c>
      <c r="D54" s="84">
        <v>5512</v>
      </c>
      <c r="E54" s="84">
        <v>-5524</v>
      </c>
      <c r="F54" s="84">
        <v>-12</v>
      </c>
    </row>
    <row r="55" spans="1:6" x14ac:dyDescent="0.35">
      <c r="A55" s="81">
        <v>30006</v>
      </c>
      <c r="B55" s="82">
        <v>0</v>
      </c>
      <c r="C55" s="82">
        <v>0</v>
      </c>
      <c r="D55" s="82">
        <v>17643</v>
      </c>
      <c r="E55" s="82">
        <v>-17649</v>
      </c>
      <c r="F55" s="82">
        <v>-6</v>
      </c>
    </row>
    <row r="56" spans="1:6" x14ac:dyDescent="0.35">
      <c r="A56" s="83">
        <v>30011</v>
      </c>
      <c r="B56" s="84"/>
      <c r="C56" s="84"/>
      <c r="D56" s="84">
        <v>0</v>
      </c>
      <c r="E56" s="84">
        <v>-5</v>
      </c>
      <c r="F56" s="84">
        <v>-5</v>
      </c>
    </row>
    <row r="57" spans="1:6" x14ac:dyDescent="0.35">
      <c r="A57" s="81">
        <v>30135</v>
      </c>
      <c r="B57" s="82"/>
      <c r="C57" s="82"/>
      <c r="D57" s="82">
        <v>0</v>
      </c>
      <c r="E57" s="82">
        <v>-5</v>
      </c>
      <c r="F57" s="82">
        <v>-5</v>
      </c>
    </row>
    <row r="58" spans="1:6" x14ac:dyDescent="0.35">
      <c r="A58" s="83">
        <v>30031</v>
      </c>
      <c r="B58" s="84"/>
      <c r="C58" s="84"/>
      <c r="D58" s="84">
        <v>0</v>
      </c>
      <c r="E58" s="84">
        <v>-1</v>
      </c>
      <c r="F58" s="84">
        <v>-1</v>
      </c>
    </row>
    <row r="59" spans="1:6" x14ac:dyDescent="0.35">
      <c r="A59" s="81">
        <v>10002</v>
      </c>
      <c r="B59" s="82">
        <v>0</v>
      </c>
      <c r="C59" s="82">
        <v>0</v>
      </c>
      <c r="D59" s="82">
        <v>1502</v>
      </c>
      <c r="E59" s="82">
        <v>-1502</v>
      </c>
      <c r="F59" s="82">
        <v>0</v>
      </c>
    </row>
    <row r="60" spans="1:6" x14ac:dyDescent="0.35">
      <c r="A60" s="83">
        <v>10052</v>
      </c>
      <c r="B60" s="84">
        <v>0</v>
      </c>
      <c r="C60" s="84">
        <v>0</v>
      </c>
      <c r="D60" s="84">
        <v>2</v>
      </c>
      <c r="E60" s="84">
        <v>-2</v>
      </c>
      <c r="F60" s="84">
        <v>0</v>
      </c>
    </row>
    <row r="61" spans="1:6" x14ac:dyDescent="0.35">
      <c r="A61" s="81">
        <v>10079</v>
      </c>
      <c r="B61" s="82">
        <v>0</v>
      </c>
      <c r="C61" s="82">
        <v>0</v>
      </c>
      <c r="D61" s="82">
        <v>3696</v>
      </c>
      <c r="E61" s="82">
        <v>-3696</v>
      </c>
      <c r="F61" s="82">
        <v>0</v>
      </c>
    </row>
    <row r="62" spans="1:6" x14ac:dyDescent="0.35">
      <c r="A62" s="83">
        <v>10088</v>
      </c>
      <c r="B62" s="84">
        <v>0</v>
      </c>
      <c r="C62" s="84">
        <v>0</v>
      </c>
      <c r="D62" s="84">
        <v>236</v>
      </c>
      <c r="E62" s="84">
        <v>-236</v>
      </c>
      <c r="F62" s="84">
        <v>0</v>
      </c>
    </row>
    <row r="63" spans="1:6" x14ac:dyDescent="0.35">
      <c r="A63" s="81">
        <v>10092</v>
      </c>
      <c r="B63" s="82">
        <v>0</v>
      </c>
      <c r="C63" s="82">
        <v>0</v>
      </c>
      <c r="D63" s="82">
        <v>90</v>
      </c>
      <c r="E63" s="82">
        <v>-90</v>
      </c>
      <c r="F63" s="82">
        <v>0</v>
      </c>
    </row>
    <row r="64" spans="1:6" x14ac:dyDescent="0.35">
      <c r="A64" s="83">
        <v>10093</v>
      </c>
      <c r="B64" s="84">
        <v>0</v>
      </c>
      <c r="C64" s="84">
        <v>0</v>
      </c>
      <c r="D64" s="84">
        <v>2291</v>
      </c>
      <c r="E64" s="84">
        <v>-2291</v>
      </c>
      <c r="F64" s="84">
        <v>0</v>
      </c>
    </row>
    <row r="65" spans="1:6" x14ac:dyDescent="0.35">
      <c r="A65" s="81">
        <v>10097</v>
      </c>
      <c r="B65" s="82">
        <v>0</v>
      </c>
      <c r="C65" s="82">
        <v>0</v>
      </c>
      <c r="D65" s="82">
        <v>2128</v>
      </c>
      <c r="E65" s="82">
        <v>-2128</v>
      </c>
      <c r="F65" s="82">
        <v>0</v>
      </c>
    </row>
    <row r="66" spans="1:6" x14ac:dyDescent="0.35">
      <c r="A66" s="83">
        <v>10101</v>
      </c>
      <c r="B66" s="84">
        <v>0</v>
      </c>
      <c r="C66" s="84">
        <v>0</v>
      </c>
      <c r="D66" s="84">
        <v>658</v>
      </c>
      <c r="E66" s="84">
        <v>-658</v>
      </c>
      <c r="F66" s="84">
        <v>0</v>
      </c>
    </row>
    <row r="67" spans="1:6" x14ac:dyDescent="0.35">
      <c r="A67" s="81">
        <v>10126</v>
      </c>
      <c r="B67" s="82">
        <v>0</v>
      </c>
      <c r="C67" s="82">
        <v>0</v>
      </c>
      <c r="D67" s="82">
        <v>6833</v>
      </c>
      <c r="E67" s="82">
        <v>-6833</v>
      </c>
      <c r="F67" s="82">
        <v>0</v>
      </c>
    </row>
    <row r="68" spans="1:6" x14ac:dyDescent="0.35">
      <c r="A68" s="83">
        <v>10138</v>
      </c>
      <c r="B68" s="84">
        <v>0</v>
      </c>
      <c r="C68" s="84">
        <v>0</v>
      </c>
      <c r="D68" s="84">
        <v>642</v>
      </c>
      <c r="E68" s="84">
        <v>-642</v>
      </c>
      <c r="F68" s="84">
        <v>0</v>
      </c>
    </row>
    <row r="69" spans="1:6" x14ac:dyDescent="0.35">
      <c r="A69" s="81">
        <v>10141</v>
      </c>
      <c r="B69" s="82">
        <v>0</v>
      </c>
      <c r="C69" s="82">
        <v>0</v>
      </c>
      <c r="D69" s="82">
        <v>1050</v>
      </c>
      <c r="E69" s="82">
        <v>-1050</v>
      </c>
      <c r="F69" s="82">
        <v>0</v>
      </c>
    </row>
    <row r="70" spans="1:6" x14ac:dyDescent="0.35">
      <c r="A70" s="83">
        <v>30013</v>
      </c>
      <c r="B70" s="84">
        <v>0</v>
      </c>
      <c r="C70" s="84">
        <v>0</v>
      </c>
      <c r="D70" s="84">
        <v>906</v>
      </c>
      <c r="E70" s="84">
        <v>-906</v>
      </c>
      <c r="F70" s="84">
        <v>0</v>
      </c>
    </row>
    <row r="71" spans="1:6" x14ac:dyDescent="0.35">
      <c r="A71" s="81">
        <v>30015</v>
      </c>
      <c r="B71" s="82">
        <v>0</v>
      </c>
      <c r="C71" s="82">
        <v>0</v>
      </c>
      <c r="D71" s="82">
        <v>730</v>
      </c>
      <c r="E71" s="82">
        <v>-730</v>
      </c>
      <c r="F71" s="82">
        <v>0</v>
      </c>
    </row>
    <row r="72" spans="1:6" x14ac:dyDescent="0.35">
      <c r="A72" s="83">
        <v>30024</v>
      </c>
      <c r="B72" s="84">
        <v>0</v>
      </c>
      <c r="C72" s="84">
        <v>0</v>
      </c>
      <c r="D72" s="84">
        <v>402</v>
      </c>
      <c r="E72" s="84">
        <v>-402</v>
      </c>
      <c r="F72" s="84">
        <v>0</v>
      </c>
    </row>
    <row r="73" spans="1:6" x14ac:dyDescent="0.35">
      <c r="A73" s="81">
        <v>30032</v>
      </c>
      <c r="B73" s="82">
        <v>0</v>
      </c>
      <c r="C73" s="82">
        <v>0</v>
      </c>
      <c r="D73" s="82">
        <v>178</v>
      </c>
      <c r="E73" s="82">
        <v>-178</v>
      </c>
      <c r="F73" s="82">
        <v>0</v>
      </c>
    </row>
    <row r="74" spans="1:6" x14ac:dyDescent="0.35">
      <c r="A74" s="83">
        <v>30040</v>
      </c>
      <c r="B74" s="84">
        <v>0</v>
      </c>
      <c r="C74" s="84">
        <v>0</v>
      </c>
      <c r="D74" s="84">
        <v>24</v>
      </c>
      <c r="E74" s="84">
        <v>-24</v>
      </c>
      <c r="F74" s="84">
        <v>0</v>
      </c>
    </row>
    <row r="75" spans="1:6" x14ac:dyDescent="0.35">
      <c r="A75" s="81">
        <v>30064</v>
      </c>
      <c r="B75" s="82">
        <v>0</v>
      </c>
      <c r="C75" s="82">
        <v>0</v>
      </c>
      <c r="D75" s="82">
        <v>2224</v>
      </c>
      <c r="E75" s="82">
        <v>-2224</v>
      </c>
      <c r="F75" s="82">
        <v>0</v>
      </c>
    </row>
    <row r="76" spans="1:6" x14ac:dyDescent="0.35">
      <c r="A76" s="83">
        <v>30104</v>
      </c>
      <c r="B76" s="84">
        <v>0</v>
      </c>
      <c r="C76" s="84">
        <v>0</v>
      </c>
      <c r="D76" s="84">
        <v>2185</v>
      </c>
      <c r="E76" s="84">
        <v>-2185</v>
      </c>
      <c r="F76" s="84">
        <v>0</v>
      </c>
    </row>
    <row r="77" spans="1:6" x14ac:dyDescent="0.35">
      <c r="A77" s="81">
        <v>30113</v>
      </c>
      <c r="B77" s="82">
        <v>0</v>
      </c>
      <c r="C77" s="82">
        <v>0</v>
      </c>
      <c r="D77" s="82">
        <v>206</v>
      </c>
      <c r="E77" s="82">
        <v>-206</v>
      </c>
      <c r="F77" s="82">
        <v>0</v>
      </c>
    </row>
    <row r="78" spans="1:6" x14ac:dyDescent="0.35">
      <c r="A78" s="83">
        <v>30116</v>
      </c>
      <c r="B78" s="84">
        <v>0</v>
      </c>
      <c r="C78" s="84">
        <v>0</v>
      </c>
      <c r="D78" s="84">
        <v>1640</v>
      </c>
      <c r="E78" s="84">
        <v>-1640</v>
      </c>
      <c r="F78" s="84">
        <v>0</v>
      </c>
    </row>
    <row r="79" spans="1:6" x14ac:dyDescent="0.35">
      <c r="A79" s="81">
        <v>30133</v>
      </c>
      <c r="B79" s="82">
        <v>0</v>
      </c>
      <c r="C79" s="82">
        <v>0</v>
      </c>
      <c r="D79" s="82">
        <v>5564</v>
      </c>
      <c r="E79" s="82">
        <v>-5564</v>
      </c>
      <c r="F79" s="82">
        <v>0</v>
      </c>
    </row>
    <row r="80" spans="1:6" x14ac:dyDescent="0.35">
      <c r="A80" s="83">
        <v>30137</v>
      </c>
      <c r="B80" s="84">
        <v>0</v>
      </c>
      <c r="C80" s="84">
        <v>0</v>
      </c>
      <c r="D80" s="84">
        <v>3100</v>
      </c>
      <c r="E80" s="84">
        <v>-3100</v>
      </c>
      <c r="F80" s="84">
        <v>0</v>
      </c>
    </row>
    <row r="81" spans="1:6" x14ac:dyDescent="0.35">
      <c r="A81" s="81">
        <v>30138</v>
      </c>
      <c r="B81" s="82">
        <v>0</v>
      </c>
      <c r="C81" s="82">
        <v>0</v>
      </c>
      <c r="D81" s="82">
        <v>2</v>
      </c>
      <c r="E81" s="82">
        <v>-2</v>
      </c>
      <c r="F81" s="82">
        <v>0</v>
      </c>
    </row>
    <row r="82" spans="1:6" x14ac:dyDescent="0.35">
      <c r="A82" s="83">
        <v>30155</v>
      </c>
      <c r="B82" s="84">
        <v>0</v>
      </c>
      <c r="C82" s="84">
        <v>0</v>
      </c>
      <c r="D82" s="84">
        <v>20281</v>
      </c>
      <c r="E82" s="84">
        <v>-20281</v>
      </c>
      <c r="F82" s="84">
        <v>0</v>
      </c>
    </row>
    <row r="83" spans="1:6" x14ac:dyDescent="0.35">
      <c r="A83" s="81">
        <v>30174</v>
      </c>
      <c r="B83" s="82">
        <v>0</v>
      </c>
      <c r="C83" s="82">
        <v>0</v>
      </c>
      <c r="D83" s="82">
        <v>1745</v>
      </c>
      <c r="E83" s="82">
        <v>-1745</v>
      </c>
      <c r="F83" s="82">
        <v>0</v>
      </c>
    </row>
    <row r="84" spans="1:6" x14ac:dyDescent="0.35">
      <c r="A84" s="83">
        <v>30195</v>
      </c>
      <c r="B84" s="84">
        <v>0</v>
      </c>
      <c r="C84" s="84">
        <v>0</v>
      </c>
      <c r="D84" s="84">
        <v>300</v>
      </c>
      <c r="E84" s="84">
        <v>-300</v>
      </c>
      <c r="F84" s="84">
        <v>0</v>
      </c>
    </row>
    <row r="85" spans="1:6" x14ac:dyDescent="0.35">
      <c r="A85" s="81">
        <v>30198</v>
      </c>
      <c r="B85" s="82">
        <v>0</v>
      </c>
      <c r="C85" s="82">
        <v>0</v>
      </c>
      <c r="D85" s="82">
        <v>745</v>
      </c>
      <c r="E85" s="82">
        <v>-745</v>
      </c>
      <c r="F85" s="82">
        <v>0</v>
      </c>
    </row>
    <row r="86" spans="1:6" x14ac:dyDescent="0.35">
      <c r="A86" s="83">
        <v>30200</v>
      </c>
      <c r="B86" s="84">
        <v>0</v>
      </c>
      <c r="C86" s="84">
        <v>0</v>
      </c>
      <c r="D86" s="84">
        <v>1510</v>
      </c>
      <c r="E86" s="84">
        <v>-1510</v>
      </c>
      <c r="F86" s="84">
        <v>0</v>
      </c>
    </row>
    <row r="87" spans="1:6" x14ac:dyDescent="0.35">
      <c r="A87" s="81">
        <v>30205</v>
      </c>
      <c r="B87" s="82">
        <v>0</v>
      </c>
      <c r="C87" s="82">
        <v>0</v>
      </c>
      <c r="D87" s="82">
        <v>4794</v>
      </c>
      <c r="E87" s="82">
        <v>-4794</v>
      </c>
      <c r="F87" s="82">
        <v>0</v>
      </c>
    </row>
    <row r="88" spans="1:6" x14ac:dyDescent="0.35">
      <c r="A88" s="83">
        <v>10131</v>
      </c>
      <c r="B88" s="84">
        <v>0</v>
      </c>
      <c r="C88" s="84">
        <v>0</v>
      </c>
      <c r="D88" s="84">
        <v>2587</v>
      </c>
      <c r="E88" s="84">
        <v>-2586</v>
      </c>
      <c r="F88" s="84">
        <v>1</v>
      </c>
    </row>
    <row r="89" spans="1:6" x14ac:dyDescent="0.35">
      <c r="A89" s="81">
        <v>30062</v>
      </c>
      <c r="B89" s="82">
        <v>0</v>
      </c>
      <c r="C89" s="82">
        <v>0</v>
      </c>
      <c r="D89" s="82">
        <v>1</v>
      </c>
      <c r="E89" s="82">
        <v>0</v>
      </c>
      <c r="F89" s="82">
        <v>1</v>
      </c>
    </row>
    <row r="90" spans="1:6" x14ac:dyDescent="0.35">
      <c r="A90" s="83">
        <v>30202</v>
      </c>
      <c r="B90" s="84">
        <v>0</v>
      </c>
      <c r="C90" s="84">
        <v>0</v>
      </c>
      <c r="D90" s="84">
        <v>429</v>
      </c>
      <c r="E90" s="84">
        <v>-428</v>
      </c>
      <c r="F90" s="84">
        <v>1</v>
      </c>
    </row>
    <row r="91" spans="1:6" x14ac:dyDescent="0.35">
      <c r="A91" s="81">
        <v>10042</v>
      </c>
      <c r="B91" s="82">
        <v>0</v>
      </c>
      <c r="C91" s="82">
        <v>0</v>
      </c>
      <c r="D91" s="82">
        <v>2</v>
      </c>
      <c r="E91" s="82">
        <v>0</v>
      </c>
      <c r="F91" s="82">
        <v>2</v>
      </c>
    </row>
    <row r="92" spans="1:6" x14ac:dyDescent="0.35">
      <c r="A92" s="83">
        <v>10066</v>
      </c>
      <c r="B92" s="84">
        <v>0</v>
      </c>
      <c r="C92" s="84">
        <v>0</v>
      </c>
      <c r="D92" s="84">
        <v>2</v>
      </c>
      <c r="E92" s="84">
        <v>0</v>
      </c>
      <c r="F92" s="84">
        <v>2</v>
      </c>
    </row>
    <row r="93" spans="1:6" x14ac:dyDescent="0.35">
      <c r="A93" s="81">
        <v>30044</v>
      </c>
      <c r="B93" s="82">
        <v>0</v>
      </c>
      <c r="C93" s="82">
        <v>0</v>
      </c>
      <c r="D93" s="82">
        <v>2</v>
      </c>
      <c r="E93" s="82">
        <v>0</v>
      </c>
      <c r="F93" s="82">
        <v>2</v>
      </c>
    </row>
    <row r="94" spans="1:6" x14ac:dyDescent="0.35">
      <c r="A94" s="83">
        <v>30071</v>
      </c>
      <c r="B94" s="84">
        <v>0</v>
      </c>
      <c r="C94" s="84">
        <v>0</v>
      </c>
      <c r="D94" s="84">
        <v>3</v>
      </c>
      <c r="E94" s="84">
        <v>0</v>
      </c>
      <c r="F94" s="84">
        <v>3</v>
      </c>
    </row>
    <row r="95" spans="1:6" x14ac:dyDescent="0.35">
      <c r="A95" s="81">
        <v>10039</v>
      </c>
      <c r="B95" s="82">
        <v>0</v>
      </c>
      <c r="C95" s="82">
        <v>0</v>
      </c>
      <c r="D95" s="82">
        <v>4</v>
      </c>
      <c r="E95" s="82">
        <v>0</v>
      </c>
      <c r="F95" s="82">
        <v>4</v>
      </c>
    </row>
    <row r="96" spans="1:6" x14ac:dyDescent="0.35">
      <c r="A96" s="83">
        <v>30020</v>
      </c>
      <c r="B96" s="84">
        <v>0</v>
      </c>
      <c r="C96" s="84">
        <v>0</v>
      </c>
      <c r="D96" s="84">
        <v>4</v>
      </c>
      <c r="E96" s="84">
        <v>0</v>
      </c>
      <c r="F96" s="84">
        <v>4</v>
      </c>
    </row>
    <row r="97" spans="1:6" x14ac:dyDescent="0.35">
      <c r="A97" s="81">
        <v>10023</v>
      </c>
      <c r="B97" s="82">
        <v>0</v>
      </c>
      <c r="C97" s="82">
        <v>0</v>
      </c>
      <c r="D97" s="82">
        <v>6</v>
      </c>
      <c r="E97" s="82">
        <v>0</v>
      </c>
      <c r="F97" s="82">
        <v>6</v>
      </c>
    </row>
    <row r="98" spans="1:6" x14ac:dyDescent="0.35">
      <c r="A98" s="83">
        <v>10128</v>
      </c>
      <c r="B98" s="84">
        <v>0</v>
      </c>
      <c r="C98" s="84">
        <v>0</v>
      </c>
      <c r="D98" s="84">
        <v>1413</v>
      </c>
      <c r="E98" s="84">
        <v>-1407</v>
      </c>
      <c r="F98" s="84">
        <v>6</v>
      </c>
    </row>
    <row r="99" spans="1:6" x14ac:dyDescent="0.35">
      <c r="A99" s="81">
        <v>30167</v>
      </c>
      <c r="B99" s="82">
        <v>0</v>
      </c>
      <c r="C99" s="82">
        <v>0</v>
      </c>
      <c r="D99" s="82">
        <v>6</v>
      </c>
      <c r="E99" s="82">
        <v>0</v>
      </c>
      <c r="F99" s="82">
        <v>6</v>
      </c>
    </row>
    <row r="100" spans="1:6" x14ac:dyDescent="0.35">
      <c r="A100" s="83">
        <v>10110</v>
      </c>
      <c r="B100" s="84">
        <v>0</v>
      </c>
      <c r="C100" s="84">
        <v>0</v>
      </c>
      <c r="D100" s="84">
        <v>2203</v>
      </c>
      <c r="E100" s="84">
        <v>-2196</v>
      </c>
      <c r="F100" s="84">
        <v>7</v>
      </c>
    </row>
    <row r="101" spans="1:6" x14ac:dyDescent="0.35">
      <c r="A101" s="81">
        <v>10010</v>
      </c>
      <c r="B101" s="82">
        <v>0</v>
      </c>
      <c r="C101" s="82">
        <v>0</v>
      </c>
      <c r="D101" s="82">
        <v>8</v>
      </c>
      <c r="E101" s="82">
        <v>0</v>
      </c>
      <c r="F101" s="82">
        <v>8</v>
      </c>
    </row>
    <row r="102" spans="1:6" x14ac:dyDescent="0.35">
      <c r="A102" s="83">
        <v>30010</v>
      </c>
      <c r="B102" s="84">
        <v>0</v>
      </c>
      <c r="C102" s="84">
        <v>0</v>
      </c>
      <c r="D102" s="84">
        <v>8</v>
      </c>
      <c r="E102" s="84">
        <v>0</v>
      </c>
      <c r="F102" s="84">
        <v>8</v>
      </c>
    </row>
    <row r="103" spans="1:6" x14ac:dyDescent="0.35">
      <c r="A103" s="81">
        <v>10015</v>
      </c>
      <c r="B103" s="82">
        <v>0</v>
      </c>
      <c r="C103" s="82">
        <v>0</v>
      </c>
      <c r="D103" s="82">
        <v>1010</v>
      </c>
      <c r="E103" s="82">
        <v>-998</v>
      </c>
      <c r="F103" s="82">
        <v>12</v>
      </c>
    </row>
    <row r="104" spans="1:6" x14ac:dyDescent="0.35">
      <c r="A104" s="83">
        <v>30142</v>
      </c>
      <c r="B104" s="84">
        <v>0</v>
      </c>
      <c r="C104" s="84">
        <v>0</v>
      </c>
      <c r="D104" s="84">
        <v>13</v>
      </c>
      <c r="E104" s="84">
        <v>0</v>
      </c>
      <c r="F104" s="84">
        <v>13</v>
      </c>
    </row>
    <row r="105" spans="1:6" x14ac:dyDescent="0.35">
      <c r="A105" s="81">
        <v>30101</v>
      </c>
      <c r="B105" s="82">
        <v>0</v>
      </c>
      <c r="C105" s="82">
        <v>0</v>
      </c>
      <c r="D105" s="82">
        <v>2200</v>
      </c>
      <c r="E105" s="82">
        <v>-2185</v>
      </c>
      <c r="F105" s="82">
        <v>15</v>
      </c>
    </row>
    <row r="106" spans="1:6" x14ac:dyDescent="0.35">
      <c r="A106" s="83">
        <v>10014</v>
      </c>
      <c r="B106" s="84">
        <v>0</v>
      </c>
      <c r="C106" s="84">
        <v>0</v>
      </c>
      <c r="D106" s="84">
        <v>1036</v>
      </c>
      <c r="E106" s="84">
        <v>-1015</v>
      </c>
      <c r="F106" s="84">
        <v>21</v>
      </c>
    </row>
    <row r="107" spans="1:6" x14ac:dyDescent="0.35">
      <c r="A107" s="81">
        <v>50011</v>
      </c>
      <c r="B107" s="82">
        <v>0</v>
      </c>
      <c r="C107" s="82">
        <v>0</v>
      </c>
      <c r="D107" s="82">
        <v>14005</v>
      </c>
      <c r="E107" s="82">
        <v>-13975</v>
      </c>
      <c r="F107" s="82">
        <v>30</v>
      </c>
    </row>
    <row r="108" spans="1:6" x14ac:dyDescent="0.35">
      <c r="A108" s="83">
        <v>30065</v>
      </c>
      <c r="B108" s="84">
        <v>0</v>
      </c>
      <c r="C108" s="84">
        <v>0</v>
      </c>
      <c r="D108" s="84">
        <v>33</v>
      </c>
      <c r="E108" s="84">
        <v>0</v>
      </c>
      <c r="F108" s="84">
        <v>33</v>
      </c>
    </row>
    <row r="109" spans="1:6" x14ac:dyDescent="0.35">
      <c r="A109" s="81">
        <v>30112</v>
      </c>
      <c r="B109" s="82">
        <v>0</v>
      </c>
      <c r="C109" s="82">
        <v>0</v>
      </c>
      <c r="D109" s="82">
        <v>36</v>
      </c>
      <c r="E109" s="82">
        <v>0</v>
      </c>
      <c r="F109" s="82">
        <v>36</v>
      </c>
    </row>
    <row r="110" spans="1:6" x14ac:dyDescent="0.35">
      <c r="A110" s="83">
        <v>30055</v>
      </c>
      <c r="B110" s="84">
        <v>0</v>
      </c>
      <c r="C110" s="84">
        <v>0</v>
      </c>
      <c r="D110" s="84">
        <v>2524</v>
      </c>
      <c r="E110" s="84">
        <v>-2476</v>
      </c>
      <c r="F110" s="84">
        <v>48</v>
      </c>
    </row>
    <row r="111" spans="1:6" x14ac:dyDescent="0.35">
      <c r="A111" s="81">
        <v>30005</v>
      </c>
      <c r="B111" s="82">
        <v>0</v>
      </c>
      <c r="C111" s="82">
        <v>0</v>
      </c>
      <c r="D111" s="82">
        <v>61</v>
      </c>
      <c r="E111" s="82">
        <v>0</v>
      </c>
      <c r="F111" s="82">
        <v>61</v>
      </c>
    </row>
    <row r="112" spans="1:6" x14ac:dyDescent="0.35">
      <c r="A112" s="83">
        <v>30069</v>
      </c>
      <c r="B112" s="84">
        <v>0</v>
      </c>
      <c r="C112" s="84">
        <v>0</v>
      </c>
      <c r="D112" s="84">
        <v>66</v>
      </c>
      <c r="E112" s="84">
        <v>0</v>
      </c>
      <c r="F112" s="84">
        <v>66</v>
      </c>
    </row>
    <row r="113" spans="1:6" x14ac:dyDescent="0.35">
      <c r="A113" s="81">
        <v>10046</v>
      </c>
      <c r="B113" s="82">
        <v>0</v>
      </c>
      <c r="C113" s="82">
        <v>0</v>
      </c>
      <c r="D113" s="82">
        <v>118</v>
      </c>
      <c r="E113" s="82">
        <v>0</v>
      </c>
      <c r="F113" s="82">
        <v>118</v>
      </c>
    </row>
    <row r="114" spans="1:6" x14ac:dyDescent="0.35">
      <c r="A114" s="83">
        <v>30001</v>
      </c>
      <c r="B114" s="84">
        <v>0</v>
      </c>
      <c r="C114" s="84">
        <v>0</v>
      </c>
      <c r="D114" s="84">
        <v>340</v>
      </c>
      <c r="E114" s="84">
        <v>-217</v>
      </c>
      <c r="F114" s="84">
        <v>123</v>
      </c>
    </row>
    <row r="115" spans="1:6" x14ac:dyDescent="0.35">
      <c r="A115" s="81">
        <v>10065</v>
      </c>
      <c r="B115" s="82">
        <v>0</v>
      </c>
      <c r="C115" s="82">
        <v>0</v>
      </c>
      <c r="D115" s="82">
        <v>127</v>
      </c>
      <c r="E115" s="82">
        <v>0</v>
      </c>
      <c r="F115" s="82">
        <v>127</v>
      </c>
    </row>
    <row r="116" spans="1:6" x14ac:dyDescent="0.35">
      <c r="A116" s="83">
        <v>30191</v>
      </c>
      <c r="B116" s="84">
        <v>0</v>
      </c>
      <c r="C116" s="84">
        <v>0</v>
      </c>
      <c r="D116" s="84">
        <v>21134</v>
      </c>
      <c r="E116" s="84">
        <v>-21000</v>
      </c>
      <c r="F116" s="84">
        <v>134</v>
      </c>
    </row>
    <row r="117" spans="1:6" x14ac:dyDescent="0.35">
      <c r="A117" s="81">
        <v>30012</v>
      </c>
      <c r="B117" s="82">
        <v>0</v>
      </c>
      <c r="C117" s="82">
        <v>0</v>
      </c>
      <c r="D117" s="82">
        <v>11532</v>
      </c>
      <c r="E117" s="82">
        <v>-11391</v>
      </c>
      <c r="F117" s="82">
        <v>141</v>
      </c>
    </row>
    <row r="118" spans="1:6" x14ac:dyDescent="0.35">
      <c r="A118" s="83">
        <v>30131</v>
      </c>
      <c r="B118" s="84">
        <v>0</v>
      </c>
      <c r="C118" s="84">
        <v>0</v>
      </c>
      <c r="D118" s="84">
        <v>21537</v>
      </c>
      <c r="E118" s="84">
        <v>-21315</v>
      </c>
      <c r="F118" s="84">
        <v>222</v>
      </c>
    </row>
    <row r="119" spans="1:6" x14ac:dyDescent="0.35">
      <c r="A119" s="81">
        <v>10019</v>
      </c>
      <c r="B119" s="82">
        <v>0</v>
      </c>
      <c r="C119" s="82">
        <v>0</v>
      </c>
      <c r="D119" s="82">
        <v>2012</v>
      </c>
      <c r="E119" s="82">
        <v>-1727</v>
      </c>
      <c r="F119" s="82">
        <v>285</v>
      </c>
    </row>
    <row r="120" spans="1:6" x14ac:dyDescent="0.35">
      <c r="A120" s="83">
        <v>10069</v>
      </c>
      <c r="B120" s="84">
        <v>0</v>
      </c>
      <c r="C120" s="84">
        <v>0</v>
      </c>
      <c r="D120" s="84">
        <v>19970</v>
      </c>
      <c r="E120" s="84">
        <v>-19631</v>
      </c>
      <c r="F120" s="84">
        <v>339</v>
      </c>
    </row>
    <row r="121" spans="1:6" x14ac:dyDescent="0.35">
      <c r="A121" s="81">
        <v>10119</v>
      </c>
      <c r="B121" s="82">
        <v>0</v>
      </c>
      <c r="C121" s="82">
        <v>0</v>
      </c>
      <c r="D121" s="82">
        <v>3227</v>
      </c>
      <c r="E121" s="82">
        <v>-2874</v>
      </c>
      <c r="F121" s="82">
        <v>353</v>
      </c>
    </row>
    <row r="122" spans="1:6" x14ac:dyDescent="0.35">
      <c r="A122" s="83">
        <v>30164</v>
      </c>
      <c r="B122" s="84">
        <v>0</v>
      </c>
      <c r="C122" s="84">
        <v>0</v>
      </c>
      <c r="D122" s="84">
        <v>4779</v>
      </c>
      <c r="E122" s="84">
        <v>-4218</v>
      </c>
      <c r="F122" s="84">
        <v>561</v>
      </c>
    </row>
    <row r="123" spans="1:6" x14ac:dyDescent="0.35">
      <c r="A123" s="81">
        <v>30019</v>
      </c>
      <c r="B123" s="82">
        <v>0</v>
      </c>
      <c r="C123" s="82">
        <v>0</v>
      </c>
      <c r="D123" s="82">
        <v>2804</v>
      </c>
      <c r="E123" s="82">
        <v>-2192</v>
      </c>
      <c r="F123" s="82">
        <v>612</v>
      </c>
    </row>
    <row r="124" spans="1:6" x14ac:dyDescent="0.35">
      <c r="A124" s="83">
        <v>30026</v>
      </c>
      <c r="B124" s="84">
        <v>0</v>
      </c>
      <c r="C124" s="84">
        <v>0</v>
      </c>
      <c r="D124" s="84">
        <v>2309</v>
      </c>
      <c r="E124" s="84">
        <v>-1545</v>
      </c>
      <c r="F124" s="84">
        <v>764</v>
      </c>
    </row>
    <row r="125" spans="1:6" x14ac:dyDescent="0.35">
      <c r="A125" s="81">
        <v>30124</v>
      </c>
      <c r="B125" s="82">
        <v>0</v>
      </c>
      <c r="C125" s="82">
        <v>0</v>
      </c>
      <c r="D125" s="82">
        <v>22756</v>
      </c>
      <c r="E125" s="82">
        <v>-21258</v>
      </c>
      <c r="F125" s="82">
        <v>1498</v>
      </c>
    </row>
    <row r="126" spans="1:6" x14ac:dyDescent="0.35">
      <c r="A126" s="83">
        <v>30086</v>
      </c>
      <c r="B126" s="84">
        <v>0</v>
      </c>
      <c r="C126" s="84">
        <v>0</v>
      </c>
      <c r="D126" s="84">
        <v>1549</v>
      </c>
      <c r="E126" s="84">
        <v>0</v>
      </c>
      <c r="F126" s="84">
        <v>1549</v>
      </c>
    </row>
    <row r="127" spans="1:6" x14ac:dyDescent="0.35">
      <c r="A127" s="81">
        <v>30190</v>
      </c>
      <c r="B127" s="82">
        <v>0</v>
      </c>
      <c r="C127" s="82">
        <v>0</v>
      </c>
      <c r="D127" s="82">
        <v>11786</v>
      </c>
      <c r="E127" s="82">
        <v>-9996</v>
      </c>
      <c r="F127" s="82">
        <v>1790</v>
      </c>
    </row>
    <row r="128" spans="1:6" x14ac:dyDescent="0.35">
      <c r="A128" s="83">
        <v>30146</v>
      </c>
      <c r="B128" s="84">
        <v>0</v>
      </c>
      <c r="C128" s="84">
        <v>0</v>
      </c>
      <c r="D128" s="84">
        <v>54621</v>
      </c>
      <c r="E128" s="84">
        <v>-51798</v>
      </c>
      <c r="F128" s="84">
        <v>2823</v>
      </c>
    </row>
    <row r="129" spans="1:6" x14ac:dyDescent="0.35">
      <c r="A129" s="81">
        <v>30034</v>
      </c>
      <c r="B129" s="82">
        <v>0</v>
      </c>
      <c r="C129" s="82">
        <v>0</v>
      </c>
      <c r="D129" s="82">
        <v>4892</v>
      </c>
      <c r="E129" s="82">
        <v>-2006</v>
      </c>
      <c r="F129" s="82">
        <v>2886</v>
      </c>
    </row>
    <row r="130" spans="1:6" x14ac:dyDescent="0.35">
      <c r="A130" s="83">
        <v>10104</v>
      </c>
      <c r="B130" s="84">
        <v>0</v>
      </c>
      <c r="C130" s="84">
        <v>0</v>
      </c>
      <c r="D130" s="84">
        <v>16947</v>
      </c>
      <c r="E130" s="84">
        <v>-12882</v>
      </c>
      <c r="F130" s="84">
        <v>4065</v>
      </c>
    </row>
    <row r="131" spans="1:6" x14ac:dyDescent="0.35">
      <c r="A131" s="81">
        <v>30070</v>
      </c>
      <c r="B131" s="82">
        <v>0</v>
      </c>
      <c r="C131" s="82">
        <v>0</v>
      </c>
      <c r="D131" s="82">
        <v>16431</v>
      </c>
      <c r="E131" s="82">
        <v>-12053</v>
      </c>
      <c r="F131" s="82">
        <v>4378</v>
      </c>
    </row>
    <row r="132" spans="1:6" x14ac:dyDescent="0.35">
      <c r="A132" s="83">
        <v>50016</v>
      </c>
      <c r="B132" s="84">
        <v>0</v>
      </c>
      <c r="C132" s="84">
        <v>0</v>
      </c>
      <c r="D132" s="84">
        <v>45042</v>
      </c>
      <c r="E132" s="84">
        <v>-39534</v>
      </c>
      <c r="F132" s="84">
        <v>5508</v>
      </c>
    </row>
    <row r="133" spans="1:6" x14ac:dyDescent="0.35">
      <c r="A133" s="81">
        <v>10029</v>
      </c>
      <c r="B133" s="82">
        <v>0</v>
      </c>
      <c r="C133" s="82">
        <v>0</v>
      </c>
      <c r="D133" s="82">
        <v>34626</v>
      </c>
      <c r="E133" s="82">
        <v>-28023</v>
      </c>
      <c r="F133" s="82">
        <v>6603</v>
      </c>
    </row>
    <row r="134" spans="1:6" x14ac:dyDescent="0.35">
      <c r="A134" s="83">
        <v>10009</v>
      </c>
      <c r="B134" s="84">
        <v>0</v>
      </c>
      <c r="C134" s="84">
        <v>0</v>
      </c>
      <c r="D134" s="84">
        <v>28583</v>
      </c>
      <c r="E134" s="84">
        <v>-18631</v>
      </c>
      <c r="F134" s="84">
        <v>9952</v>
      </c>
    </row>
    <row r="135" spans="1:6" x14ac:dyDescent="0.35">
      <c r="A135" s="81" t="s">
        <v>3</v>
      </c>
      <c r="B135" s="82">
        <v>0</v>
      </c>
      <c r="C135" s="82">
        <v>0</v>
      </c>
      <c r="D135" s="82">
        <v>3141412.5</v>
      </c>
      <c r="E135" s="82">
        <v>-3281776</v>
      </c>
      <c r="F135" s="82">
        <v>-140363.5</v>
      </c>
    </row>
  </sheetData>
  <pageMargins left="0.25" right="0.25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71"/>
  <sheetViews>
    <sheetView rightToLeft="1" workbookViewId="0">
      <selection activeCell="A164" sqref="A164:XFD164"/>
    </sheetView>
  </sheetViews>
  <sheetFormatPr defaultColWidth="9.08984375" defaultRowHeight="24" customHeight="1" x14ac:dyDescent="0.35"/>
  <cols>
    <col min="1" max="1" width="14.36328125" style="5" customWidth="1"/>
    <col min="2" max="2" width="28.90625" style="5" customWidth="1"/>
    <col min="3" max="3" width="20.26953125" style="3" customWidth="1"/>
    <col min="4" max="4" width="18.2695312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7.25" customHeight="1" thickBot="1" x14ac:dyDescent="0.4">
      <c r="A1" s="97" t="s">
        <v>489</v>
      </c>
      <c r="B1" s="98"/>
      <c r="C1" s="98"/>
      <c r="D1" s="98"/>
      <c r="E1" s="98"/>
      <c r="F1" s="98"/>
      <c r="G1" s="99"/>
    </row>
    <row r="2" spans="1:7" s="2" customFormat="1" ht="46.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" customHeight="1" x14ac:dyDescent="0.35">
      <c r="A3" s="27">
        <v>30004</v>
      </c>
      <c r="B3" s="55" t="s">
        <v>54</v>
      </c>
      <c r="C3" s="10">
        <f>IFERROR(INDEX('حسابهای دریافتنی'!H:H,MATCH(Table216[[#This Row],[كد تفصيلي]],'حسابهای دریافتنی'!A:A,0)),0)</f>
        <v>7598548260</v>
      </c>
      <c r="D3" s="11">
        <f>IFERROR(INDEX('درجریان وصول'!F:F,MATCH(Table216[[#This Row],[كد تفصيلي]],'درجریان وصول'!A:A,0)),0)</f>
        <v>0</v>
      </c>
      <c r="E3" s="11">
        <f>IFERROR(INDEX('چکهای دریافتنی'!F:F,MATCH(Table216[[#This Row],[كد تفصيلي]],'چکهای دریافتنی'!A:A,0)),0)</f>
        <v>11698760000</v>
      </c>
      <c r="F3" s="11">
        <f>Table216[[#This Row],[حسابهای دریافتنی]]+Table216[[#This Row],[چکهای در جریان وصول]]+Table216[[#This Row],[چکهای نزد صندوق]]</f>
        <v>19297308260</v>
      </c>
      <c r="G3" s="12">
        <f>IFERROR(INDEX('مانده سوفاله'!F:F,MATCH(Table216[[#This Row],[كد تفصيلي]],'مانده سوفاله'!A:A,0)),0)</f>
        <v>-4237</v>
      </c>
    </row>
    <row r="4" spans="1:7" ht="24" customHeight="1" x14ac:dyDescent="0.35">
      <c r="A4" s="26">
        <v>10003</v>
      </c>
      <c r="B4" s="56" t="s">
        <v>10</v>
      </c>
      <c r="C4" s="10">
        <f>IFERROR(INDEX('حسابهای دریافتنی'!H:H,MATCH(Table216[[#This Row],[كد تفصيلي]],'حسابهای دریافتنی'!A:A,0)),0)</f>
        <v>10804267992</v>
      </c>
      <c r="D4" s="11">
        <f>IFERROR(INDEX('درجریان وصول'!F:F,MATCH(Table216[[#This Row],[كد تفصيلي]],'درجریان وصول'!A:A,0)),0)</f>
        <v>0</v>
      </c>
      <c r="E4" s="11">
        <f>IFERROR(INDEX('چکهای دریافتنی'!F:F,MATCH(Table216[[#This Row],[كد تفصيلي]],'چکهای دریافتنی'!A:A,0)),0)</f>
        <v>13698001280</v>
      </c>
      <c r="F4" s="11">
        <f>Table216[[#This Row],[حسابهای دریافتنی]]+Table216[[#This Row],[چکهای در جریان وصول]]+Table216[[#This Row],[چکهای نزد صندوق]]</f>
        <v>24502269272</v>
      </c>
      <c r="G4" s="12">
        <f>IFERROR(INDEX('مانده سوفاله'!F:F,MATCH(Table216[[#This Row],[كد تفصيلي]],'مانده سوفاله'!A:A,0)),0)</f>
        <v>-39886</v>
      </c>
    </row>
    <row r="5" spans="1:7" ht="24" customHeight="1" x14ac:dyDescent="0.35">
      <c r="A5" s="26">
        <v>30066</v>
      </c>
      <c r="B5" s="56" t="s">
        <v>111</v>
      </c>
      <c r="C5" s="10">
        <f>IFERROR(INDEX('حسابهای دریافتنی'!H:H,MATCH(Table216[[#This Row],[كد تفصيلي]],'حسابهای دریافتنی'!A:A,0)),0)</f>
        <v>6484147500</v>
      </c>
      <c r="D5" s="11">
        <f>IFERROR(INDEX('درجریان وصول'!F:F,MATCH(Table216[[#This Row],[كد تفصيلي]],'درجریان وصول'!A:A,0)),0)</f>
        <v>0</v>
      </c>
      <c r="E5" s="11">
        <f>IFERROR(INDEX('چکهای دریافتنی'!F:F,MATCH(Table216[[#This Row],[كد تفصيلي]],'چکهای دریافتنی'!A:A,0)),0)</f>
        <v>0</v>
      </c>
      <c r="F5" s="11">
        <f>Table216[[#This Row],[حسابهای دریافتنی]]+Table216[[#This Row],[چکهای در جریان وصول]]+Table216[[#This Row],[چکهای نزد صندوق]]</f>
        <v>6484147500</v>
      </c>
      <c r="G5" s="12">
        <f>IFERROR(INDEX('مانده سوفاله'!F:F,MATCH(Table216[[#This Row],[كد تفصيلي]],'مانده سوفاله'!A:A,0)),0)</f>
        <v>-1320</v>
      </c>
    </row>
    <row r="6" spans="1:7" ht="24" customHeight="1" x14ac:dyDescent="0.35">
      <c r="A6" s="26">
        <v>10055</v>
      </c>
      <c r="B6" s="56" t="s">
        <v>162</v>
      </c>
      <c r="C6" s="10">
        <f>IFERROR(INDEX('حسابهای دریافتنی'!H:H,MATCH(Table216[[#This Row],[كد تفصيلي]],'حسابهای دریافتنی'!A:A,0)),0)</f>
        <v>10460111325</v>
      </c>
      <c r="D6" s="11">
        <f>IFERROR(INDEX('درجریان وصول'!F:F,MATCH(Table216[[#This Row],[كد تفصيلي]],'درجریان وصول'!A:A,0)),0)</f>
        <v>0</v>
      </c>
      <c r="E6" s="11">
        <f>IFERROR(INDEX('چکهای دریافتنی'!F:F,MATCH(Table216[[#This Row],[كد تفصيلي]],'چکهای دریافتنی'!A:A,0)),0)</f>
        <v>2783298655</v>
      </c>
      <c r="F6" s="11">
        <f>Table216[[#This Row],[حسابهای دریافتنی]]+Table216[[#This Row],[چکهای در جریان وصول]]+Table216[[#This Row],[چکهای نزد صندوق]]</f>
        <v>13243409980</v>
      </c>
      <c r="G6" s="12">
        <f>IFERROR(INDEX('مانده سوفاله'!F:F,MATCH(Table216[[#This Row],[كد تفصيلي]],'مانده سوفاله'!A:A,0)),0)</f>
        <v>-12714</v>
      </c>
    </row>
    <row r="7" spans="1:7" ht="24" customHeight="1" x14ac:dyDescent="0.35">
      <c r="A7" s="27">
        <v>10026</v>
      </c>
      <c r="B7" s="55" t="s">
        <v>32</v>
      </c>
      <c r="C7" s="10">
        <f>IFERROR(INDEX('حسابهای دریافتنی'!H:H,MATCH(Table216[[#This Row],[كد تفصيلي]],'حسابهای دریافتنی'!A:A,0)),0)</f>
        <v>3795031844</v>
      </c>
      <c r="D7" s="11">
        <f>IFERROR(INDEX('درجریان وصول'!F:F,MATCH(Table216[[#This Row],[كد تفصيلي]],'درجریان وصول'!A:A,0)),0)</f>
        <v>0</v>
      </c>
      <c r="E7" s="11">
        <f>IFERROR(INDEX('چکهای دریافتنی'!F:F,MATCH(Table216[[#This Row],[كد تفصيلي]],'چکهای دریافتنی'!A:A,0)),0)</f>
        <v>2690000000</v>
      </c>
      <c r="F7" s="11">
        <f>Table216[[#This Row],[حسابهای دریافتنی]]+Table216[[#This Row],[چکهای در جریان وصول]]+Table216[[#This Row],[چکهای نزد صندوق]]</f>
        <v>6485031844</v>
      </c>
      <c r="G7" s="12">
        <f>IFERROR(INDEX('مانده سوفاله'!F:F,MATCH(Table216[[#This Row],[كد تفصيلي]],'مانده سوفاله'!A:A,0)),0)</f>
        <v>-12543</v>
      </c>
    </row>
    <row r="8" spans="1:7" ht="24" customHeight="1" x14ac:dyDescent="0.35">
      <c r="A8" s="26">
        <v>30009</v>
      </c>
      <c r="B8" s="56" t="s">
        <v>164</v>
      </c>
      <c r="C8" s="10">
        <f>IFERROR(INDEX('حسابهای دریافتنی'!H:H,MATCH(Table216[[#This Row],[كد تفصيلي]],'حسابهای دریافتنی'!A:A,0)),0)</f>
        <v>7853844277</v>
      </c>
      <c r="D8" s="11">
        <f>IFERROR(INDEX('درجریان وصول'!F:F,MATCH(Table216[[#This Row],[كد تفصيلي]],'درجریان وصول'!A:A,0)),0)</f>
        <v>0</v>
      </c>
      <c r="E8" s="11">
        <f>IFERROR(INDEX('چکهای دریافتنی'!F:F,MATCH(Table216[[#This Row],[كد تفصيلي]],'چکهای دریافتنی'!A:A,0)),0)</f>
        <v>6474835380</v>
      </c>
      <c r="F8" s="11">
        <f>Table216[[#This Row],[حسابهای دریافتنی]]+Table216[[#This Row],[چکهای در جریان وصول]]+Table216[[#This Row],[چکهای نزد صندوق]]</f>
        <v>14328679657</v>
      </c>
      <c r="G8" s="12">
        <f>IFERROR(INDEX('مانده سوفاله'!F:F,MATCH(Table216[[#This Row],[كد تفصيلي]],'مانده سوفاله'!A:A,0)),0)</f>
        <v>-11452</v>
      </c>
    </row>
    <row r="9" spans="1:7" ht="24" customHeight="1" x14ac:dyDescent="0.35">
      <c r="A9" s="26">
        <v>30017</v>
      </c>
      <c r="B9" s="56" t="s">
        <v>65</v>
      </c>
      <c r="C9" s="10">
        <f>IFERROR(INDEX('حسابهای دریافتنی'!H:H,MATCH(Table216[[#This Row],[كد تفصيلي]],'حسابهای دریافتنی'!A:A,0)),0)</f>
        <v>905000830</v>
      </c>
      <c r="D9" s="11">
        <f>IFERROR(INDEX('درجریان وصول'!F:F,MATCH(Table216[[#This Row],[كد تفصيلي]],'درجریان وصول'!A:A,0)),0)</f>
        <v>0</v>
      </c>
      <c r="E9" s="11">
        <f>IFERROR(INDEX('چکهای دریافتنی'!F:F,MATCH(Table216[[#This Row],[كد تفصيلي]],'چکهای دریافتنی'!A:A,0)),0)</f>
        <v>0</v>
      </c>
      <c r="F9" s="11">
        <f>Table216[[#This Row],[حسابهای دریافتنی]]+Table216[[#This Row],[چکهای در جریان وصول]]+Table216[[#This Row],[چکهای نزد صندوق]]</f>
        <v>905000830</v>
      </c>
      <c r="G9" s="12">
        <f>IFERROR(INDEX('مانده سوفاله'!F:F,MATCH(Table216[[#This Row],[كد تفصيلي]],'مانده سوفاله'!A:A,0)),0)</f>
        <v>-2186</v>
      </c>
    </row>
    <row r="10" spans="1:7" ht="24" customHeight="1" x14ac:dyDescent="0.35">
      <c r="A10" s="27">
        <v>30022</v>
      </c>
      <c r="B10" s="55" t="s">
        <v>70</v>
      </c>
      <c r="C10" s="10">
        <f>IFERROR(INDEX('حسابهای دریافتنی'!H:H,MATCH(Table216[[#This Row],[كد تفصيلي]],'حسابهای دریافتنی'!A:A,0)),0)</f>
        <v>2933770530</v>
      </c>
      <c r="D10" s="11">
        <f>IFERROR(INDEX('درجریان وصول'!F:F,MATCH(Table216[[#This Row],[كد تفصيلي]],'درجریان وصول'!A:A,0)),0)</f>
        <v>0</v>
      </c>
      <c r="E10" s="11">
        <f>IFERROR(INDEX('چکهای دریافتنی'!F:F,MATCH(Table216[[#This Row],[كد تفصيلي]],'چکهای دریافتنی'!A:A,0)),0)</f>
        <v>0</v>
      </c>
      <c r="F10" s="11">
        <f>Table216[[#This Row],[حسابهای دریافتنی]]+Table216[[#This Row],[چکهای در جریان وصول]]+Table216[[#This Row],[چکهای نزد صندوق]]</f>
        <v>2933770530</v>
      </c>
      <c r="G10" s="12">
        <f>IFERROR(INDEX('مانده سوفاله'!F:F,MATCH(Table216[[#This Row],[كد تفصيلي]],'مانده سوفاله'!A:A,0)),0)</f>
        <v>-14747</v>
      </c>
    </row>
    <row r="11" spans="1:7" ht="24" customHeight="1" x14ac:dyDescent="0.35">
      <c r="A11" s="27">
        <v>30006</v>
      </c>
      <c r="B11" s="55" t="s">
        <v>56</v>
      </c>
      <c r="C11" s="10">
        <f>IFERROR(INDEX('حسابهای دریافتنی'!H:H,MATCH(Table216[[#This Row],[كد تفصيلي]],'حسابهای دریافتنی'!A:A,0)),0)</f>
        <v>-162677545</v>
      </c>
      <c r="D11" s="11">
        <f>IFERROR(INDEX('درجریان وصول'!F:F,MATCH(Table216[[#This Row],[كد تفصيلي]],'درجریان وصول'!A:A,0)),0)</f>
        <v>0</v>
      </c>
      <c r="E11" s="11">
        <f>IFERROR(INDEX('چکهای دریافتنی'!F:F,MATCH(Table216[[#This Row],[كد تفصيلي]],'چکهای دریافتنی'!A:A,0)),0)</f>
        <v>0</v>
      </c>
      <c r="F11" s="11">
        <f>Table216[[#This Row],[حسابهای دریافتنی]]+Table216[[#This Row],[چکهای در جریان وصول]]+Table216[[#This Row],[چکهای نزد صندوق]]</f>
        <v>-162677545</v>
      </c>
      <c r="G11" s="12">
        <f>IFERROR(INDEX('مانده سوفاله'!F:F,MATCH(Table216[[#This Row],[كد تفصيلي]],'مانده سوفاله'!A:A,0)),0)</f>
        <v>-6</v>
      </c>
    </row>
    <row r="12" spans="1:7" ht="24" customHeight="1" x14ac:dyDescent="0.35">
      <c r="A12" s="26">
        <v>30058</v>
      </c>
      <c r="B12" s="56" t="s">
        <v>103</v>
      </c>
      <c r="C12" s="10">
        <f>IFERROR(INDEX('حسابهای دریافتنی'!H:H,MATCH(Table216[[#This Row],[كد تفصيلي]],'حسابهای دریافتنی'!A:A,0)),0)</f>
        <v>1700045560</v>
      </c>
      <c r="D12" s="11">
        <f>IFERROR(INDEX('درجریان وصول'!F:F,MATCH(Table216[[#This Row],[كد تفصيلي]],'درجریان وصول'!A:A,0)),0)</f>
        <v>0</v>
      </c>
      <c r="E12" s="11">
        <f>IFERROR(INDEX('چکهای دریافتنی'!F:F,MATCH(Table216[[#This Row],[كد تفصيلي]],'چکهای دریافتنی'!A:A,0)),0)</f>
        <v>0</v>
      </c>
      <c r="F12" s="11">
        <f>Table216[[#This Row],[حسابهای دریافتنی]]+Table216[[#This Row],[چکهای در جریان وصول]]+Table216[[#This Row],[چکهای نزد صندوق]]</f>
        <v>1700045560</v>
      </c>
      <c r="G12" s="12">
        <f>IFERROR(INDEX('مانده سوفاله'!F:F,MATCH(Table216[[#This Row],[كد تفصيلي]],'مانده سوفاله'!A:A,0)),0)</f>
        <v>-225</v>
      </c>
    </row>
    <row r="13" spans="1:7" ht="24" customHeight="1" x14ac:dyDescent="0.35">
      <c r="A13" s="26">
        <v>30124</v>
      </c>
      <c r="B13" s="56" t="s">
        <v>246</v>
      </c>
      <c r="C13" s="10">
        <f>IFERROR(INDEX('حسابهای دریافتنی'!H:H,MATCH(Table216[[#This Row],[كد تفصيلي]],'حسابهای دریافتنی'!A:A,0)),0)</f>
        <v>0</v>
      </c>
      <c r="D13" s="11">
        <f>IFERROR(INDEX('درجریان وصول'!F:F,MATCH(Table216[[#This Row],[كد تفصيلي]],'درجریان وصول'!A:A,0)),0)</f>
        <v>0</v>
      </c>
      <c r="E13" s="11">
        <f>IFERROR(INDEX('چکهای دریافتنی'!F:F,MATCH(Table216[[#This Row],[كد تفصيلي]],'چکهای دریافتنی'!A:A,0)),0)</f>
        <v>505676000</v>
      </c>
      <c r="F13" s="11">
        <f>Table216[[#This Row],[حسابهای دریافتنی]]+Table216[[#This Row],[چکهای در جریان وصول]]+Table216[[#This Row],[چکهای نزد صندوق]]</f>
        <v>505676000</v>
      </c>
      <c r="G13" s="12">
        <f>IFERROR(INDEX('مانده سوفاله'!F:F,MATCH(Table216[[#This Row],[كد تفصيلي]],'مانده سوفاله'!A:A,0)),0)</f>
        <v>1498</v>
      </c>
    </row>
    <row r="14" spans="1:7" ht="24" customHeight="1" x14ac:dyDescent="0.35">
      <c r="A14" s="27">
        <v>30099</v>
      </c>
      <c r="B14" s="55" t="s">
        <v>167</v>
      </c>
      <c r="C14" s="10">
        <f>IFERROR(INDEX('حسابهای دریافتنی'!H:H,MATCH(Table216[[#This Row],[كد تفصيلي]],'حسابهای دریافتنی'!A:A,0)),0)</f>
        <v>1398393484</v>
      </c>
      <c r="D14" s="11">
        <f>IFERROR(INDEX('درجریان وصول'!F:F,MATCH(Table216[[#This Row],[كد تفصيلي]],'درجریان وصول'!A:A,0)),0)</f>
        <v>0</v>
      </c>
      <c r="E14" s="11">
        <f>IFERROR(INDEX('چکهای دریافتنی'!F:F,MATCH(Table216[[#This Row],[كد تفصيلي]],'چکهای دریافتنی'!A:A,0)),0)</f>
        <v>583000000</v>
      </c>
      <c r="F14" s="11">
        <f>Table216[[#This Row],[حسابهای دریافتنی]]+Table216[[#This Row],[چکهای در جریان وصول]]+Table216[[#This Row],[چکهای نزد صندوق]]</f>
        <v>1981393484</v>
      </c>
      <c r="G14" s="12">
        <f>IFERROR(INDEX('مانده سوفاله'!F:F,MATCH(Table216[[#This Row],[كد تفصيلي]],'مانده سوفاله'!A:A,0)),0)</f>
        <v>-332</v>
      </c>
    </row>
    <row r="15" spans="1:7" ht="24" customHeight="1" x14ac:dyDescent="0.35">
      <c r="A15" s="27">
        <v>10123</v>
      </c>
      <c r="B15" s="55" t="s">
        <v>340</v>
      </c>
      <c r="C15" s="10">
        <f>IFERROR(INDEX('حسابهای دریافتنی'!H:H,MATCH(Table216[[#This Row],[كد تفصيلي]],'حسابهای دریافتنی'!A:A,0)),0)</f>
        <v>-50813000</v>
      </c>
      <c r="D15" s="11">
        <f>IFERROR(INDEX('درجریان وصول'!F:F,MATCH(Table216[[#This Row],[كد تفصيلي]],'درجریان وصول'!A:A,0)),0)</f>
        <v>0</v>
      </c>
      <c r="E15" s="11">
        <f>IFERROR(INDEX('چکهای دریافتنی'!F:F,MATCH(Table216[[#This Row],[كد تفصيلي]],'چکهای دریافتنی'!A:A,0)),0)</f>
        <v>0</v>
      </c>
      <c r="F15" s="11">
        <f>Table216[[#This Row],[حسابهای دریافتنی]]+Table216[[#This Row],[چکهای در جریان وصول]]+Table216[[#This Row],[چکهای نزد صندوق]]</f>
        <v>-50813000</v>
      </c>
      <c r="G15" s="12">
        <f>IFERROR(INDEX('مانده سوفاله'!F:F,MATCH(Table216[[#This Row],[كد تفصيلي]],'مانده سوفاله'!A:A,0)),0)</f>
        <v>0</v>
      </c>
    </row>
    <row r="16" spans="1:7" ht="24" customHeight="1" x14ac:dyDescent="0.35">
      <c r="A16" s="26">
        <v>30162</v>
      </c>
      <c r="B16" s="56" t="s">
        <v>301</v>
      </c>
      <c r="C16" s="10">
        <f>IFERROR(INDEX('حسابهای دریافتنی'!H:H,MATCH(Table216[[#This Row],[كد تفصيلي]],'حسابهای دریافتنی'!A:A,0)),0)</f>
        <v>204890235</v>
      </c>
      <c r="D16" s="11">
        <f>IFERROR(INDEX('درجریان وصول'!F:F,MATCH(Table216[[#This Row],[كد تفصيلي]],'درجریان وصول'!A:A,0)),0)</f>
        <v>0</v>
      </c>
      <c r="E16" s="11">
        <f>IFERROR(INDEX('چکهای دریافتنی'!F:F,MATCH(Table216[[#This Row],[كد تفصيلي]],'چکهای دریافتنی'!A:A,0)),0)</f>
        <v>0</v>
      </c>
      <c r="F16" s="11">
        <f>Table216[[#This Row],[حسابهای دریافتنی]]+Table216[[#This Row],[چکهای در جریان وصول]]+Table216[[#This Row],[چکهای نزد صندوق]]</f>
        <v>204890235</v>
      </c>
      <c r="G16" s="12">
        <f>IFERROR(INDEX('مانده سوفاله'!F:F,MATCH(Table216[[#This Row],[كد تفصيلي]],'مانده سوفاله'!A:A,0)),0)</f>
        <v>-251</v>
      </c>
    </row>
    <row r="17" spans="1:7" ht="24" customHeight="1" x14ac:dyDescent="0.35">
      <c r="A17" s="26">
        <v>50011</v>
      </c>
      <c r="B17" s="56" t="s">
        <v>147</v>
      </c>
      <c r="C17" s="10">
        <f>IFERROR(INDEX('حسابهای دریافتنی'!H:H,MATCH(Table216[[#This Row],[كد تفصيلي]],'حسابهای دریافتنی'!A:A,0)),0)</f>
        <v>832182413</v>
      </c>
      <c r="D17" s="11">
        <f>IFERROR(INDEX('درجریان وصول'!F:F,MATCH(Table216[[#This Row],[كد تفصيلي]],'درجریان وصول'!A:A,0)),0)</f>
        <v>0</v>
      </c>
      <c r="E17" s="11">
        <f>IFERROR(INDEX('چکهای دریافتنی'!F:F,MATCH(Table216[[#This Row],[كد تفصيلي]],'چکهای دریافتنی'!A:A,0)),0)</f>
        <v>0</v>
      </c>
      <c r="F17" s="11">
        <f>Table216[[#This Row],[حسابهای دریافتنی]]+Table216[[#This Row],[چکهای در جریان وصول]]+Table216[[#This Row],[چکهای نزد صندوق]]</f>
        <v>832182413</v>
      </c>
      <c r="G17" s="12">
        <f>IFERROR(INDEX('مانده سوفاله'!F:F,MATCH(Table216[[#This Row],[كد تفصيلي]],'مانده سوفاله'!A:A,0)),0)</f>
        <v>30</v>
      </c>
    </row>
    <row r="18" spans="1:7" ht="24" customHeight="1" x14ac:dyDescent="0.35">
      <c r="A18" s="27">
        <v>10020</v>
      </c>
      <c r="B18" s="55" t="s">
        <v>27</v>
      </c>
      <c r="C18" s="10">
        <f>IFERROR(INDEX('حسابهای دریافتنی'!H:H,MATCH(Table216[[#This Row],[كد تفصيلي]],'حسابهای دریافتنی'!A:A,0)),0)</f>
        <v>57999963</v>
      </c>
      <c r="D18" s="11">
        <f>IFERROR(INDEX('درجریان وصول'!F:F,MATCH(Table216[[#This Row],[كد تفصيلي]],'درجریان وصول'!A:A,0)),0)</f>
        <v>0</v>
      </c>
      <c r="E18" s="11">
        <f>IFERROR(INDEX('چکهای دریافتنی'!F:F,MATCH(Table216[[#This Row],[كد تفصيلي]],'چکهای دریافتنی'!A:A,0)),0)</f>
        <v>728000000</v>
      </c>
      <c r="F18" s="11">
        <f>Table216[[#This Row],[حسابهای دریافتنی]]+Table216[[#This Row],[چکهای در جریان وصول]]+Table216[[#This Row],[چکهای نزد صندوق]]</f>
        <v>785999963</v>
      </c>
      <c r="G18" s="12">
        <f>IFERROR(INDEX('مانده سوفاله'!F:F,MATCH(Table216[[#This Row],[كد تفصيلي]],'مانده سوفاله'!A:A,0)),0)</f>
        <v>-1031</v>
      </c>
    </row>
    <row r="19" spans="1:7" ht="24" customHeight="1" x14ac:dyDescent="0.35">
      <c r="A19" s="26">
        <v>30191</v>
      </c>
      <c r="B19" s="56" t="s">
        <v>460</v>
      </c>
      <c r="C19" s="10">
        <f>IFERROR(INDEX('حسابهای دریافتنی'!H:H,MATCH(Table216[[#This Row],[كد تفصيلي]],'حسابهای دریافتنی'!A:A,0)),0)</f>
        <v>792933000</v>
      </c>
      <c r="D19" s="11">
        <f>IFERROR(INDEX('درجریان وصول'!F:F,MATCH(Table216[[#This Row],[كد تفصيلي]],'درجریان وصول'!A:A,0)),0)</f>
        <v>0</v>
      </c>
      <c r="E19" s="11">
        <f>IFERROR(INDEX('چکهای دریافتنی'!F:F,MATCH(Table216[[#This Row],[كد تفصيلي]],'چکهای دریافتنی'!A:A,0)),0)</f>
        <v>0</v>
      </c>
      <c r="F19" s="11">
        <f>Table216[[#This Row],[حسابهای دریافتنی]]+Table216[[#This Row],[چکهای در جریان وصول]]+Table216[[#This Row],[چکهای نزد صندوق]]</f>
        <v>792933000</v>
      </c>
      <c r="G19" s="12">
        <f>IFERROR(INDEX('مانده سوفاله'!F:F,MATCH(Table216[[#This Row],[كد تفصيلي]],'مانده سوفاله'!A:A,0)),0)</f>
        <v>134</v>
      </c>
    </row>
    <row r="20" spans="1:7" ht="24" customHeight="1" x14ac:dyDescent="0.35">
      <c r="A20" s="26">
        <v>10027</v>
      </c>
      <c r="B20" s="56" t="s">
        <v>33</v>
      </c>
      <c r="C20" s="10">
        <f>IFERROR(INDEX('حسابهای دریافتنی'!H:H,MATCH(Table216[[#This Row],[كد تفصيلي]],'حسابهای دریافتنی'!A:A,0)),0)</f>
        <v>33078340</v>
      </c>
      <c r="D20" s="11">
        <f>IFERROR(INDEX('درجریان وصول'!F:F,MATCH(Table216[[#This Row],[كد تفصيلي]],'درجریان وصول'!A:A,0)),0)</f>
        <v>0</v>
      </c>
      <c r="E20" s="11">
        <f>IFERROR(INDEX('چکهای دریافتنی'!F:F,MATCH(Table216[[#This Row],[كد تفصيلي]],'چکهای دریافتنی'!A:A,0)),0)</f>
        <v>1588359160</v>
      </c>
      <c r="F20" s="11">
        <f>Table216[[#This Row],[حسابهای دریافتنی]]+Table216[[#This Row],[چکهای در جریان وصول]]+Table216[[#This Row],[چکهای نزد صندوق]]</f>
        <v>1621437500</v>
      </c>
      <c r="G20" s="12">
        <f>IFERROR(INDEX('مانده سوفاله'!F:F,MATCH(Table216[[#This Row],[كد تفصيلي]],'مانده سوفاله'!A:A,0)),0)</f>
        <v>-647</v>
      </c>
    </row>
    <row r="21" spans="1:7" ht="24" customHeight="1" x14ac:dyDescent="0.35">
      <c r="A21" s="27">
        <v>30014</v>
      </c>
      <c r="B21" s="55" t="s">
        <v>63</v>
      </c>
      <c r="C21" s="10">
        <f>IFERROR(INDEX('حسابهای دریافتنی'!H:H,MATCH(Table216[[#This Row],[كد تفصيلي]],'حسابهای دریافتنی'!A:A,0)),0)</f>
        <v>1762223932</v>
      </c>
      <c r="D21" s="11">
        <f>IFERROR(INDEX('درجریان وصول'!F:F,MATCH(Table216[[#This Row],[كد تفصيلي]],'درجریان وصول'!A:A,0)),0)</f>
        <v>0</v>
      </c>
      <c r="E21" s="11">
        <f>IFERROR(INDEX('چکهای دریافتنی'!F:F,MATCH(Table216[[#This Row],[كد تفصيلي]],'چکهای دریافتنی'!A:A,0)),0)</f>
        <v>0</v>
      </c>
      <c r="F21" s="11">
        <f>Table216[[#This Row],[حسابهای دریافتنی]]+Table216[[#This Row],[چکهای در جریان وصول]]+Table216[[#This Row],[چکهای نزد صندوق]]</f>
        <v>1762223932</v>
      </c>
      <c r="G21" s="12">
        <f>IFERROR(INDEX('مانده سوفاله'!F:F,MATCH(Table216[[#This Row],[كد تفصيلي]],'مانده سوفاله'!A:A,0)),0)</f>
        <v>-1368</v>
      </c>
    </row>
    <row r="22" spans="1:7" ht="24" customHeight="1" x14ac:dyDescent="0.35">
      <c r="A22" s="26">
        <v>10057</v>
      </c>
      <c r="B22" s="56" t="s">
        <v>225</v>
      </c>
      <c r="C22" s="10">
        <f>IFERROR(INDEX('حسابهای دریافتنی'!H:H,MATCH(Table216[[#This Row],[كد تفصيلي]],'حسابهای دریافتنی'!A:A,0)),0)</f>
        <v>1390485500</v>
      </c>
      <c r="D22" s="11">
        <f>IFERROR(INDEX('درجریان وصول'!F:F,MATCH(Table216[[#This Row],[كد تفصيلي]],'درجریان وصول'!A:A,0)),0)</f>
        <v>0</v>
      </c>
      <c r="E22" s="11">
        <f>IFERROR(INDEX('چکهای دریافتنی'!F:F,MATCH(Table216[[#This Row],[كد تفصيلي]],'چکهای دریافتنی'!A:A,0)),0)</f>
        <v>0</v>
      </c>
      <c r="F22" s="11">
        <f>Table216[[#This Row],[حسابهای دریافتنی]]+Table216[[#This Row],[چکهای در جریان وصول]]+Table216[[#This Row],[چکهای نزد صندوق]]</f>
        <v>1390485500</v>
      </c>
      <c r="G22" s="12">
        <f>IFERROR(INDEX('مانده سوفاله'!F:F,MATCH(Table216[[#This Row],[كد تفصيلي]],'مانده سوفاله'!A:A,0)),0)</f>
        <v>-2044</v>
      </c>
    </row>
    <row r="23" spans="1:7" ht="24" customHeight="1" x14ac:dyDescent="0.35">
      <c r="A23" s="26">
        <v>30184</v>
      </c>
      <c r="B23" s="56" t="s">
        <v>368</v>
      </c>
      <c r="C23" s="10">
        <f>IFERROR(INDEX('حسابهای دریافتنی'!H:H,MATCH(Table216[[#This Row],[كد تفصيلي]],'حسابهای دریافتنی'!A:A,0)),0)</f>
        <v>904890480</v>
      </c>
      <c r="D23" s="11">
        <f>IFERROR(INDEX('درجریان وصول'!F:F,MATCH(Table216[[#This Row],[كد تفصيلي]],'درجریان وصول'!A:A,0)),0)</f>
        <v>0</v>
      </c>
      <c r="E23" s="11">
        <f>IFERROR(INDEX('چکهای دریافتنی'!F:F,MATCH(Table216[[#This Row],[كد تفصيلي]],'چکهای دریافتنی'!A:A,0)),0)</f>
        <v>0</v>
      </c>
      <c r="F23" s="11">
        <f>Table216[[#This Row],[حسابهای دریافتنی]]+Table216[[#This Row],[چکهای در جریان وصول]]+Table216[[#This Row],[چکهای نزد صندوق]]</f>
        <v>904890480</v>
      </c>
      <c r="G23" s="12">
        <f>IFERROR(INDEX('مانده سوفاله'!F:F,MATCH(Table216[[#This Row],[كد تفصيلي]],'مانده سوفاله'!A:A,0)),0)</f>
        <v>-100</v>
      </c>
    </row>
    <row r="24" spans="1:7" ht="24" customHeight="1" x14ac:dyDescent="0.35">
      <c r="A24" s="27">
        <v>50016</v>
      </c>
      <c r="B24" s="55" t="s">
        <v>160</v>
      </c>
      <c r="C24" s="10">
        <f>IFERROR(INDEX('حسابهای دریافتنی'!H:H,MATCH(Table216[[#This Row],[كد تفصيلي]],'حسابهای دریافتنی'!A:A,0)),0)</f>
        <v>6344545550</v>
      </c>
      <c r="D24" s="11">
        <f>IFERROR(INDEX('درجریان وصول'!F:F,MATCH(Table216[[#This Row],[كد تفصيلي]],'درجریان وصول'!A:A,0)),0)</f>
        <v>0</v>
      </c>
      <c r="E24" s="11">
        <f>IFERROR(INDEX('چکهای دریافتنی'!F:F,MATCH(Table216[[#This Row],[كد تفصيلي]],'چکهای دریافتنی'!A:A,0)),0)</f>
        <v>0</v>
      </c>
      <c r="F24" s="11">
        <f>Table216[[#This Row],[حسابهای دریافتنی]]+Table216[[#This Row],[چکهای در جریان وصول]]+Table216[[#This Row],[چکهای نزد صندوق]]</f>
        <v>6344545550</v>
      </c>
      <c r="G24" s="12">
        <f>IFERROR(INDEX('مانده سوفاله'!F:F,MATCH(Table216[[#This Row],[كد تفصيلي]],'مانده سوفاله'!A:A,0)),0)</f>
        <v>5508</v>
      </c>
    </row>
    <row r="25" spans="1:7" ht="24" customHeight="1" x14ac:dyDescent="0.35">
      <c r="A25" s="27">
        <v>10104</v>
      </c>
      <c r="B25" s="55" t="s">
        <v>293</v>
      </c>
      <c r="C25" s="10">
        <f>IFERROR(INDEX('حسابهای دریافتنی'!H:H,MATCH(Table216[[#This Row],[كد تفصيلي]],'حسابهای دریافتنی'!A:A,0)),0)</f>
        <v>0</v>
      </c>
      <c r="D25" s="11">
        <f>IFERROR(INDEX('درجریان وصول'!F:F,MATCH(Table216[[#This Row],[كد تفصيلي]],'درجریان وصول'!A:A,0)),0)</f>
        <v>0</v>
      </c>
      <c r="E25" s="11">
        <f>IFERROR(INDEX('چکهای دریافتنی'!F:F,MATCH(Table216[[#This Row],[كد تفصيلي]],'چکهای دریافتنی'!A:A,0)),0)</f>
        <v>0</v>
      </c>
      <c r="F25" s="11">
        <f>Table216[[#This Row],[حسابهای دریافتنی]]+Table216[[#This Row],[چکهای در جریان وصول]]+Table216[[#This Row],[چکهای نزد صندوق]]</f>
        <v>0</v>
      </c>
      <c r="G25" s="12">
        <f>IFERROR(INDEX('مانده سوفاله'!F:F,MATCH(Table216[[#This Row],[كد تفصيلي]],'مانده سوفاله'!A:A,0)),0)</f>
        <v>4065</v>
      </c>
    </row>
    <row r="26" spans="1:7" ht="24" customHeight="1" x14ac:dyDescent="0.35">
      <c r="A26" s="26">
        <v>30140</v>
      </c>
      <c r="B26" s="56" t="s">
        <v>259</v>
      </c>
      <c r="C26" s="10">
        <f>IFERROR(INDEX('حسابهای دریافتنی'!H:H,MATCH(Table216[[#This Row],[كد تفصيلي]],'حسابهای دریافتنی'!A:A,0)),0)</f>
        <v>553728200</v>
      </c>
      <c r="D26" s="11">
        <f>IFERROR(INDEX('درجریان وصول'!F:F,MATCH(Table216[[#This Row],[كد تفصيلي]],'درجریان وصول'!A:A,0)),0)</f>
        <v>0</v>
      </c>
      <c r="E26" s="11">
        <f>IFERROR(INDEX('چکهای دریافتنی'!F:F,MATCH(Table216[[#This Row],[كد تفصيلي]],'چکهای دریافتنی'!A:A,0)),0)</f>
        <v>1030000000</v>
      </c>
      <c r="F26" s="11">
        <f>Table216[[#This Row],[حسابهای دریافتنی]]+Table216[[#This Row],[چکهای در جریان وصول]]+Table216[[#This Row],[چکهای نزد صندوق]]</f>
        <v>1583728200</v>
      </c>
      <c r="G26" s="12">
        <f>IFERROR(INDEX('مانده سوفاله'!F:F,MATCH(Table216[[#This Row],[كد تفصيلي]],'مانده سوفاله'!A:A,0)),0)</f>
        <v>-12630</v>
      </c>
    </row>
    <row r="27" spans="1:7" ht="24" customHeight="1" x14ac:dyDescent="0.35">
      <c r="A27" s="27">
        <v>30081</v>
      </c>
      <c r="B27" s="55" t="s">
        <v>126</v>
      </c>
      <c r="C27" s="10">
        <f>IFERROR(INDEX('حسابهای دریافتنی'!H:H,MATCH(Table216[[#This Row],[كد تفصيلي]],'حسابهای دریافتنی'!A:A,0)),0)</f>
        <v>1148992373</v>
      </c>
      <c r="D27" s="11">
        <f>IFERROR(INDEX('درجریان وصول'!F:F,MATCH(Table216[[#This Row],[كد تفصيلي]],'درجریان وصول'!A:A,0)),0)</f>
        <v>0</v>
      </c>
      <c r="E27" s="11">
        <f>IFERROR(INDEX('چکهای دریافتنی'!F:F,MATCH(Table216[[#This Row],[كد تفصيلي]],'چکهای دریافتنی'!A:A,0)),0)</f>
        <v>0</v>
      </c>
      <c r="F27" s="11">
        <f>Table216[[#This Row],[حسابهای دریافتنی]]+Table216[[#This Row],[چکهای در جریان وصول]]+Table216[[#This Row],[چکهای نزد صندوق]]</f>
        <v>1148992373</v>
      </c>
      <c r="G27" s="12">
        <f>IFERROR(INDEX('مانده سوفاله'!F:F,MATCH(Table216[[#This Row],[كد تفصيلي]],'مانده سوفاله'!A:A,0)),0)</f>
        <v>-6924</v>
      </c>
    </row>
    <row r="28" spans="1:7" ht="24" customHeight="1" x14ac:dyDescent="0.35">
      <c r="A28" s="27">
        <v>10008</v>
      </c>
      <c r="B28" s="55" t="s">
        <v>15</v>
      </c>
      <c r="C28" s="10">
        <f>IFERROR(INDEX('حسابهای دریافتنی'!H:H,MATCH(Table216[[#This Row],[كد تفصيلي]],'حسابهای دریافتنی'!A:A,0)),0)</f>
        <v>597342000</v>
      </c>
      <c r="D28" s="11">
        <f>IFERROR(INDEX('درجریان وصول'!F:F,MATCH(Table216[[#This Row],[كد تفصيلي]],'درجریان وصول'!A:A,0)),0)</f>
        <v>0</v>
      </c>
      <c r="E28" s="11">
        <f>IFERROR(INDEX('چکهای دریافتنی'!F:F,MATCH(Table216[[#This Row],[كد تفصيلي]],'چکهای دریافتنی'!A:A,0)),0)</f>
        <v>0</v>
      </c>
      <c r="F28" s="11">
        <f>Table216[[#This Row],[حسابهای دریافتنی]]+Table216[[#This Row],[چکهای در جریان وصول]]+Table216[[#This Row],[چکهای نزد صندوق]]</f>
        <v>597342000</v>
      </c>
      <c r="G28" s="12">
        <f>IFERROR(INDEX('مانده سوفاله'!F:F,MATCH(Table216[[#This Row],[كد تفصيلي]],'مانده سوفاله'!A:A,0)),0)</f>
        <v>-578</v>
      </c>
    </row>
    <row r="29" spans="1:7" ht="24" customHeight="1" x14ac:dyDescent="0.35">
      <c r="A29" s="26">
        <v>30070</v>
      </c>
      <c r="B29" s="56" t="s">
        <v>115</v>
      </c>
      <c r="C29" s="10">
        <f>IFERROR(INDEX('حسابهای دریافتنی'!H:H,MATCH(Table216[[#This Row],[كد تفصيلي]],'حسابهای دریافتنی'!A:A,0)),0)</f>
        <v>2651728820</v>
      </c>
      <c r="D29" s="11">
        <f>IFERROR(INDEX('درجریان وصول'!F:F,MATCH(Table216[[#This Row],[كد تفصيلي]],'درجریان وصول'!A:A,0)),0)</f>
        <v>0</v>
      </c>
      <c r="E29" s="11">
        <f>IFERROR(INDEX('چکهای دریافتنی'!F:F,MATCH(Table216[[#This Row],[كد تفصيلي]],'چکهای دریافتنی'!A:A,0)),0)</f>
        <v>3660000000</v>
      </c>
      <c r="F29" s="11">
        <f>Table216[[#This Row],[حسابهای دریافتنی]]+Table216[[#This Row],[چکهای در جریان وصول]]+Table216[[#This Row],[چکهای نزد صندوق]]</f>
        <v>6311728820</v>
      </c>
      <c r="G29" s="12">
        <f>IFERROR(INDEX('مانده سوفاله'!F:F,MATCH(Table216[[#This Row],[كد تفصيلي]],'مانده سوفاله'!A:A,0)),0)</f>
        <v>4378</v>
      </c>
    </row>
    <row r="30" spans="1:7" ht="24" customHeight="1" x14ac:dyDescent="0.35">
      <c r="A30" s="26">
        <v>30146</v>
      </c>
      <c r="B30" s="56" t="s">
        <v>266</v>
      </c>
      <c r="C30" s="10">
        <f>IFERROR(INDEX('حسابهای دریافتنی'!H:H,MATCH(Table216[[#This Row],[كد تفصيلي]],'حسابهای دریافتنی'!A:A,0)),0)</f>
        <v>-4146512500</v>
      </c>
      <c r="D30" s="11">
        <f>IFERROR(INDEX('درجریان وصول'!F:F,MATCH(Table216[[#This Row],[كد تفصيلي]],'درجریان وصول'!A:A,0)),0)</f>
        <v>0</v>
      </c>
      <c r="E30" s="11">
        <f>IFERROR(INDEX('چکهای دریافتنی'!F:F,MATCH(Table216[[#This Row],[كد تفصيلي]],'چکهای دریافتنی'!A:A,0)),0)</f>
        <v>0</v>
      </c>
      <c r="F30" s="11">
        <f>Table216[[#This Row],[حسابهای دریافتنی]]+Table216[[#This Row],[چکهای در جریان وصول]]+Table216[[#This Row],[چکهای نزد صندوق]]</f>
        <v>-4146512500</v>
      </c>
      <c r="G30" s="12">
        <f>IFERROR(INDEX('مانده سوفاله'!F:F,MATCH(Table216[[#This Row],[كد تفصيلي]],'مانده سوفاله'!A:A,0)),0)</f>
        <v>2823</v>
      </c>
    </row>
    <row r="31" spans="1:7" ht="24" customHeight="1" x14ac:dyDescent="0.35">
      <c r="A31" s="27">
        <v>30020</v>
      </c>
      <c r="B31" s="55" t="s">
        <v>68</v>
      </c>
      <c r="C31" s="10">
        <f>IFERROR(INDEX('حسابهای دریافتنی'!H:H,MATCH(Table216[[#This Row],[كد تفصيلي]],'حسابهای دریافتنی'!A:A,0)),0)</f>
        <v>2253500</v>
      </c>
      <c r="D31" s="11">
        <f>IFERROR(INDEX('درجریان وصول'!F:F,MATCH(Table216[[#This Row],[كد تفصيلي]],'درجریان وصول'!A:A,0)),0)</f>
        <v>0</v>
      </c>
      <c r="E31" s="11">
        <f>IFERROR(INDEX('چکهای دریافتنی'!F:F,MATCH(Table216[[#This Row],[كد تفصيلي]],'چکهای دریافتنی'!A:A,0)),0)</f>
        <v>0</v>
      </c>
      <c r="F31" s="11">
        <f>Table216[[#This Row],[حسابهای دریافتنی]]+Table216[[#This Row],[چکهای در جریان وصول]]+Table216[[#This Row],[چکهای نزد صندوق]]</f>
        <v>2253500</v>
      </c>
      <c r="G31" s="12">
        <f>IFERROR(INDEX('مانده سوفاله'!F:F,MATCH(Table216[[#This Row],[كد تفصيلي]],'مانده سوفاله'!A:A,0)),0)</f>
        <v>4</v>
      </c>
    </row>
    <row r="32" spans="1:7" ht="24" customHeight="1" x14ac:dyDescent="0.35">
      <c r="A32" s="27">
        <v>10127</v>
      </c>
      <c r="B32" s="55" t="s">
        <v>371</v>
      </c>
      <c r="C32" s="10">
        <f>IFERROR(INDEX('حسابهای دریافتنی'!H:H,MATCH(Table216[[#This Row],[كد تفصيلي]],'حسابهای دریافتنی'!A:A,0)),0)</f>
        <v>803728000</v>
      </c>
      <c r="D32" s="11">
        <f>IFERROR(INDEX('درجریان وصول'!F:F,MATCH(Table216[[#This Row],[كد تفصيلي]],'درجریان وصول'!A:A,0)),0)</f>
        <v>0</v>
      </c>
      <c r="E32" s="11">
        <f>IFERROR(INDEX('چکهای دریافتنی'!F:F,MATCH(Table216[[#This Row],[كد تفصيلي]],'چکهای دریافتنی'!A:A,0)),0)</f>
        <v>0</v>
      </c>
      <c r="F32" s="11">
        <f>Table216[[#This Row],[حسابهای دریافتنی]]+Table216[[#This Row],[چکهای در جریان وصول]]+Table216[[#This Row],[چکهای نزد صندوق]]</f>
        <v>803728000</v>
      </c>
      <c r="G32" s="12">
        <f>IFERROR(INDEX('مانده سوفاله'!F:F,MATCH(Table216[[#This Row],[كد تفصيلي]],'مانده سوفاله'!A:A,0)),0)</f>
        <v>-1469</v>
      </c>
    </row>
    <row r="33" spans="1:7" ht="24" customHeight="1" x14ac:dyDescent="0.35">
      <c r="A33" s="26">
        <v>30003</v>
      </c>
      <c r="B33" s="56" t="s">
        <v>53</v>
      </c>
      <c r="C33" s="10">
        <f>IFERROR(INDEX('حسابهای دریافتنی'!H:H,MATCH(Table216[[#This Row],[كد تفصيلي]],'حسابهای دریافتنی'!A:A,0)),0)</f>
        <v>754765900</v>
      </c>
      <c r="D33" s="11">
        <f>IFERROR(INDEX('درجریان وصول'!F:F,MATCH(Table216[[#This Row],[كد تفصيلي]],'درجریان وصول'!A:A,0)),0)</f>
        <v>0</v>
      </c>
      <c r="E33" s="11">
        <f>IFERROR(INDEX('چکهای دریافتنی'!F:F,MATCH(Table216[[#This Row],[كد تفصيلي]],'چکهای دریافتنی'!A:A,0)),0)</f>
        <v>571000000</v>
      </c>
      <c r="F33" s="11">
        <f>Table216[[#This Row],[حسابهای دریافتنی]]+Table216[[#This Row],[چکهای در جریان وصول]]+Table216[[#This Row],[چکهای نزد صندوق]]</f>
        <v>1325765900</v>
      </c>
      <c r="G33" s="12">
        <f>IFERROR(INDEX('مانده سوفاله'!F:F,MATCH(Table216[[#This Row],[كد تفصيلي]],'مانده سوفاله'!A:A,0)),0)</f>
        <v>-3538</v>
      </c>
    </row>
    <row r="34" spans="1:7" ht="24" customHeight="1" x14ac:dyDescent="0.35">
      <c r="A34" s="27">
        <v>30069</v>
      </c>
      <c r="B34" s="55" t="s">
        <v>114</v>
      </c>
      <c r="C34" s="10">
        <f>IFERROR(INDEX('حسابهای دریافتنی'!H:H,MATCH(Table216[[#This Row],[كد تفصيلي]],'حسابهای دریافتنی'!A:A,0)),0)</f>
        <v>377909400</v>
      </c>
      <c r="D34" s="11">
        <f>IFERROR(INDEX('درجریان وصول'!F:F,MATCH(Table216[[#This Row],[كد تفصيلي]],'درجریان وصول'!A:A,0)),0)</f>
        <v>0</v>
      </c>
      <c r="E34" s="11">
        <f>IFERROR(INDEX('چکهای دریافتنی'!F:F,MATCH(Table216[[#This Row],[كد تفصيلي]],'چکهای دریافتنی'!A:A,0)),0)</f>
        <v>0</v>
      </c>
      <c r="F34" s="11">
        <f>Table216[[#This Row],[حسابهای دریافتنی]]+Table216[[#This Row],[چکهای در جریان وصول]]+Table216[[#This Row],[چکهای نزد صندوق]]</f>
        <v>377909400</v>
      </c>
      <c r="G34" s="12">
        <f>IFERROR(INDEX('مانده سوفاله'!F:F,MATCH(Table216[[#This Row],[كد تفصيلي]],'مانده سوفاله'!A:A,0)),0)</f>
        <v>66</v>
      </c>
    </row>
    <row r="35" spans="1:7" ht="24" customHeight="1" x14ac:dyDescent="0.35">
      <c r="A35" s="27">
        <v>30055</v>
      </c>
      <c r="B35" s="55" t="s">
        <v>100</v>
      </c>
      <c r="C35" s="10">
        <f>IFERROR(INDEX('حسابهای دریافتنی'!H:H,MATCH(Table216[[#This Row],[كد تفصيلي]],'حسابهای دریافتنی'!A:A,0)),0)</f>
        <v>0</v>
      </c>
      <c r="D35" s="11">
        <f>IFERROR(INDEX('درجریان وصول'!F:F,MATCH(Table216[[#This Row],[كد تفصيلي]],'درجریان وصول'!A:A,0)),0)</f>
        <v>0</v>
      </c>
      <c r="E35" s="11">
        <f>IFERROR(INDEX('چکهای دریافتنی'!F:F,MATCH(Table216[[#This Row],[كد تفصيلي]],'چکهای دریافتنی'!A:A,0)),0)</f>
        <v>0</v>
      </c>
      <c r="F35" s="11">
        <f>Table216[[#This Row],[حسابهای دریافتنی]]+Table216[[#This Row],[چکهای در جریان وصول]]+Table216[[#This Row],[چکهای نزد صندوق]]</f>
        <v>0</v>
      </c>
      <c r="G35" s="12">
        <f>IFERROR(INDEX('مانده سوفاله'!F:F,MATCH(Table216[[#This Row],[كد تفصيلي]],'مانده سوفاله'!A:A,0)),0)</f>
        <v>48</v>
      </c>
    </row>
    <row r="36" spans="1:7" ht="24" customHeight="1" x14ac:dyDescent="0.35">
      <c r="A36" s="27">
        <v>30101</v>
      </c>
      <c r="B36" s="55" t="s">
        <v>196</v>
      </c>
      <c r="C36" s="10">
        <f>IFERROR(INDEX('حسابهای دریافتنی'!H:H,MATCH(Table216[[#This Row],[كد تفصيلي]],'حسابهای دریافتنی'!A:A,0)),0)</f>
        <v>203336095</v>
      </c>
      <c r="D36" s="11">
        <f>IFERROR(INDEX('درجریان وصول'!F:F,MATCH(Table216[[#This Row],[كد تفصيلي]],'درجریان وصول'!A:A,0)),0)</f>
        <v>0</v>
      </c>
      <c r="E36" s="11">
        <f>IFERROR(INDEX('چکهای دریافتنی'!F:F,MATCH(Table216[[#This Row],[كد تفصيلي]],'چکهای دریافتنی'!A:A,0)),0)</f>
        <v>0</v>
      </c>
      <c r="F36" s="11">
        <f>Table216[[#This Row],[حسابهای دریافتنی]]+Table216[[#This Row],[چکهای در جریان وصول]]+Table216[[#This Row],[چکهای نزد صندوق]]</f>
        <v>203336095</v>
      </c>
      <c r="G36" s="12">
        <f>IFERROR(INDEX('مانده سوفاله'!F:F,MATCH(Table216[[#This Row],[كد تفصيلي]],'مانده سوفاله'!A:A,0)),0)</f>
        <v>15</v>
      </c>
    </row>
    <row r="37" spans="1:7" ht="24" customHeight="1" x14ac:dyDescent="0.35">
      <c r="A37" s="26">
        <v>30086</v>
      </c>
      <c r="B37" s="56" t="s">
        <v>131</v>
      </c>
      <c r="C37" s="10">
        <f>IFERROR(INDEX('حسابهای دریافتنی'!H:H,MATCH(Table216[[#This Row],[كد تفصيلي]],'حسابهای دریافتنی'!A:A,0)),0)</f>
        <v>187376603</v>
      </c>
      <c r="D37" s="11">
        <f>IFERROR(INDEX('درجریان وصول'!F:F,MATCH(Table216[[#This Row],[كد تفصيلي]],'درجریان وصول'!A:A,0)),0)</f>
        <v>0</v>
      </c>
      <c r="E37" s="11">
        <f>IFERROR(INDEX('چکهای دریافتنی'!F:F,MATCH(Table216[[#This Row],[كد تفصيلي]],'چکهای دریافتنی'!A:A,0)),0)</f>
        <v>0</v>
      </c>
      <c r="F37" s="11">
        <f>Table216[[#This Row],[حسابهای دریافتنی]]+Table216[[#This Row],[چکهای در جریان وصول]]+Table216[[#This Row],[چکهای نزد صندوق]]</f>
        <v>187376603</v>
      </c>
      <c r="G37" s="12">
        <f>IFERROR(INDEX('مانده سوفاله'!F:F,MATCH(Table216[[#This Row],[كد تفصيلي]],'مانده سوفاله'!A:A,0)),0)</f>
        <v>1549</v>
      </c>
    </row>
    <row r="38" spans="1:7" ht="24" customHeight="1" x14ac:dyDescent="0.35">
      <c r="A38" s="27">
        <v>10072</v>
      </c>
      <c r="B38" s="55" t="s">
        <v>177</v>
      </c>
      <c r="C38" s="10">
        <f>IFERROR(INDEX('حسابهای دریافتنی'!H:H,MATCH(Table216[[#This Row],[كد تفصيلي]],'حسابهای دریافتنی'!A:A,0)),0)</f>
        <v>55880</v>
      </c>
      <c r="D38" s="11">
        <f>IFERROR(INDEX('درجریان وصول'!F:F,MATCH(Table216[[#This Row],[كد تفصيلي]],'درجریان وصول'!A:A,0)),0)</f>
        <v>0</v>
      </c>
      <c r="E38" s="11">
        <f>IFERROR(INDEX('چکهای دریافتنی'!F:F,MATCH(Table216[[#This Row],[كد تفصيلي]],'چکهای دریافتنی'!A:A,0)),0)</f>
        <v>427700000</v>
      </c>
      <c r="F38" s="11">
        <f>Table216[[#This Row],[حسابهای دریافتنی]]+Table216[[#This Row],[چکهای در جریان وصول]]+Table216[[#This Row],[چکهای نزد صندوق]]</f>
        <v>427755880</v>
      </c>
      <c r="G38" s="12">
        <f>IFERROR(INDEX('مانده سوفاله'!F:F,MATCH(Table216[[#This Row],[كد تفصيلي]],'مانده سوفاله'!A:A,0)),0)</f>
        <v>0</v>
      </c>
    </row>
    <row r="39" spans="1:7" ht="24" customHeight="1" x14ac:dyDescent="0.35">
      <c r="A39" s="27">
        <v>30077</v>
      </c>
      <c r="B39" s="55" t="s">
        <v>122</v>
      </c>
      <c r="C39" s="10">
        <f>IFERROR(INDEX('حسابهای دریافتنی'!H:H,MATCH(Table216[[#This Row],[كد تفصيلي]],'حسابهای دریافتنی'!A:A,0)),0)</f>
        <v>360000</v>
      </c>
      <c r="D39" s="11">
        <f>IFERROR(INDEX('درجریان وصول'!F:F,MATCH(Table216[[#This Row],[كد تفصيلي]],'درجریان وصول'!A:A,0)),0)</f>
        <v>0</v>
      </c>
      <c r="E39" s="11">
        <f>IFERROR(INDEX('چکهای دریافتنی'!F:F,MATCH(Table216[[#This Row],[كد تفصيلي]],'چکهای دریافتنی'!A:A,0)),0)</f>
        <v>0</v>
      </c>
      <c r="F39" s="11">
        <f>Table216[[#This Row],[حسابهای دریافتنی]]+Table216[[#This Row],[چکهای در جریان وصول]]+Table216[[#This Row],[چکهای نزد صندوق]]</f>
        <v>360000</v>
      </c>
      <c r="G39" s="12">
        <f>IFERROR(INDEX('مانده سوفاله'!F:F,MATCH(Table216[[#This Row],[كد تفصيلي]],'مانده سوفاله'!A:A,0)),0)</f>
        <v>-32</v>
      </c>
    </row>
    <row r="40" spans="1:7" ht="24" customHeight="1" x14ac:dyDescent="0.35">
      <c r="A40" s="26">
        <v>30196</v>
      </c>
      <c r="B40" s="56" t="s">
        <v>481</v>
      </c>
      <c r="C40" s="10">
        <f>IFERROR(INDEX('حسابهای دریافتنی'!H:H,MATCH(Table216[[#This Row],[كد تفصيلي]],'حسابهای دریافتنی'!A:A,0)),0)</f>
        <v>3592950000</v>
      </c>
      <c r="D40" s="11">
        <f>IFERROR(INDEX('درجریان وصول'!F:F,MATCH(Table216[[#This Row],[كد تفصيلي]],'درجریان وصول'!A:A,0)),0)</f>
        <v>0</v>
      </c>
      <c r="E40" s="11">
        <f>IFERROR(INDEX('چکهای دریافتنی'!F:F,MATCH(Table216[[#This Row],[كد تفصيلي]],'چکهای دریافتنی'!A:A,0)),0)</f>
        <v>0</v>
      </c>
      <c r="F40" s="11">
        <f>Table216[[#This Row],[حسابهای دریافتنی]]+Table216[[#This Row],[چکهای در جریان وصول]]+Table216[[#This Row],[چکهای نزد صندوق]]</f>
        <v>3592950000</v>
      </c>
      <c r="G40" s="12">
        <f>IFERROR(INDEX('مانده سوفاله'!F:F,MATCH(Table216[[#This Row],[كد تفصيلي]],'مانده سوفاله'!A:A,0)),0)</f>
        <v>-8965</v>
      </c>
    </row>
    <row r="41" spans="1:7" ht="24" customHeight="1" x14ac:dyDescent="0.35">
      <c r="A41" s="27">
        <v>10092</v>
      </c>
      <c r="B41" s="55" t="s">
        <v>260</v>
      </c>
      <c r="C41" s="10">
        <f>IFERROR(INDEX('حسابهای دریافتنی'!H:H,MATCH(Table216[[#This Row],[كد تفصيلي]],'حسابهای دریافتنی'!A:A,0)),0)</f>
        <v>-1749946500</v>
      </c>
      <c r="D41" s="11">
        <f>IFERROR(INDEX('درجریان وصول'!F:F,MATCH(Table216[[#This Row],[كد تفصيلي]],'درجریان وصول'!A:A,0)),0)</f>
        <v>0</v>
      </c>
      <c r="E41" s="11">
        <f>IFERROR(INDEX('چکهای دریافتنی'!F:F,MATCH(Table216[[#This Row],[كد تفصيلي]],'چکهای دریافتنی'!A:A,0)),0)</f>
        <v>300000000</v>
      </c>
      <c r="F41" s="11">
        <f>Table216[[#This Row],[حسابهای دریافتنی]]+Table216[[#This Row],[چکهای در جریان وصول]]+Table216[[#This Row],[چکهای نزد صندوق]]</f>
        <v>-1449946500</v>
      </c>
      <c r="G41" s="12">
        <f>IFERROR(INDEX('مانده سوفاله'!F:F,MATCH(Table216[[#This Row],[كد تفصيلي]],'مانده سوفاله'!A:A,0)),0)</f>
        <v>0</v>
      </c>
    </row>
    <row r="42" spans="1:7" ht="24" customHeight="1" x14ac:dyDescent="0.35">
      <c r="A42" s="26">
        <v>30019</v>
      </c>
      <c r="B42" s="56" t="s">
        <v>67</v>
      </c>
      <c r="C42" s="10">
        <f>IFERROR(INDEX('حسابهای دریافتنی'!H:H,MATCH(Table216[[#This Row],[كد تفصيلي]],'حسابهای دریافتنی'!A:A,0)),0)</f>
        <v>823484840</v>
      </c>
      <c r="D42" s="11">
        <f>IFERROR(INDEX('درجریان وصول'!F:F,MATCH(Table216[[#This Row],[كد تفصيلي]],'درجریان وصول'!A:A,0)),0)</f>
        <v>0</v>
      </c>
      <c r="E42" s="11">
        <f>IFERROR(INDEX('چکهای دریافتنی'!F:F,MATCH(Table216[[#This Row],[كد تفصيلي]],'چکهای دریافتنی'!A:A,0)),0)</f>
        <v>0</v>
      </c>
      <c r="F42" s="11">
        <f>Table216[[#This Row],[حسابهای دریافتنی]]+Table216[[#This Row],[چکهای در جریان وصول]]+Table216[[#This Row],[چکهای نزد صندوق]]</f>
        <v>823484840</v>
      </c>
      <c r="G42" s="12">
        <f>IFERROR(INDEX('مانده سوفاله'!F:F,MATCH(Table216[[#This Row],[كد تفصيلي]],'مانده سوفاله'!A:A,0)),0)</f>
        <v>612</v>
      </c>
    </row>
    <row r="43" spans="1:7" ht="24" customHeight="1" x14ac:dyDescent="0.35">
      <c r="A43" s="27">
        <v>10096</v>
      </c>
      <c r="B43" s="55" t="s">
        <v>271</v>
      </c>
      <c r="C43" s="10">
        <f>IFERROR(INDEX('حسابهای دریافتنی'!H:H,MATCH(Table216[[#This Row],[كد تفصيلي]],'حسابهای دریافتنی'!A:A,0)),0)</f>
        <v>36455500</v>
      </c>
      <c r="D43" s="11">
        <f>IFERROR(INDEX('درجریان وصول'!F:F,MATCH(Table216[[#This Row],[كد تفصيلي]],'درجریان وصول'!A:A,0)),0)</f>
        <v>0</v>
      </c>
      <c r="E43" s="11">
        <f>IFERROR(INDEX('چکهای دریافتنی'!F:F,MATCH(Table216[[#This Row],[كد تفصيلي]],'چکهای دریافتنی'!A:A,0)),0)</f>
        <v>0</v>
      </c>
      <c r="F43" s="11">
        <f>Table216[[#This Row],[حسابهای دریافتنی]]+Table216[[#This Row],[چکهای در جریان وصول]]+Table216[[#This Row],[چکهای نزد صندوق]]</f>
        <v>36455500</v>
      </c>
      <c r="G43" s="12">
        <f>IFERROR(INDEX('مانده سوفاله'!F:F,MATCH(Table216[[#This Row],[كد تفصيلي]],'مانده سوفاله'!A:A,0)),0)</f>
        <v>0</v>
      </c>
    </row>
    <row r="44" spans="1:7" ht="24" customHeight="1" x14ac:dyDescent="0.35">
      <c r="A44" s="26">
        <v>30025</v>
      </c>
      <c r="B44" s="56" t="s">
        <v>73</v>
      </c>
      <c r="C44" s="10">
        <f>IFERROR(INDEX('حسابهای دریافتنی'!H:H,MATCH(Table216[[#This Row],[كد تفصيلي]],'حسابهای دریافتنی'!A:A,0)),0)</f>
        <v>35598920</v>
      </c>
      <c r="D44" s="11">
        <f>IFERROR(INDEX('درجریان وصول'!F:F,MATCH(Table216[[#This Row],[كد تفصيلي]],'درجریان وصول'!A:A,0)),0)</f>
        <v>0</v>
      </c>
      <c r="E44" s="11">
        <f>IFERROR(INDEX('چکهای دریافتنی'!F:F,MATCH(Table216[[#This Row],[كد تفصيلي]],'چکهای دریافتنی'!A:A,0)),0)</f>
        <v>0</v>
      </c>
      <c r="F44" s="11">
        <f>Table216[[#This Row],[حسابهای دریافتنی]]+Table216[[#This Row],[چکهای در جریان وصول]]+Table216[[#This Row],[چکهای نزد صندوق]]</f>
        <v>35598920</v>
      </c>
      <c r="G44" s="12">
        <f>IFERROR(INDEX('مانده سوفاله'!F:F,MATCH(Table216[[#This Row],[كد تفصيلي]],'مانده سوفاله'!A:A,0)),0)</f>
        <v>-165</v>
      </c>
    </row>
    <row r="45" spans="1:7" ht="24" customHeight="1" x14ac:dyDescent="0.35">
      <c r="A45" s="26">
        <v>30005</v>
      </c>
      <c r="B45" s="56" t="s">
        <v>55</v>
      </c>
      <c r="C45" s="10">
        <f>IFERROR(INDEX('حسابهای دریافتنی'!H:H,MATCH(Table216[[#This Row],[كد تفصيلي]],'حسابهای دریافتنی'!A:A,0)),0)</f>
        <v>35368209</v>
      </c>
      <c r="D45" s="11">
        <f>IFERROR(INDEX('درجریان وصول'!F:F,MATCH(Table216[[#This Row],[كد تفصيلي]],'درجریان وصول'!A:A,0)),0)</f>
        <v>0</v>
      </c>
      <c r="E45" s="11">
        <f>IFERROR(INDEX('چکهای دریافتنی'!F:F,MATCH(Table216[[#This Row],[كد تفصيلي]],'چکهای دریافتنی'!A:A,0)),0)</f>
        <v>0</v>
      </c>
      <c r="F45" s="11">
        <f>Table216[[#This Row],[حسابهای دریافتنی]]+Table216[[#This Row],[چکهای در جریان وصول]]+Table216[[#This Row],[چکهای نزد صندوق]]</f>
        <v>35368209</v>
      </c>
      <c r="G45" s="12">
        <f>IFERROR(INDEX('مانده سوفاله'!F:F,MATCH(Table216[[#This Row],[كد تفصيلي]],'مانده سوفاله'!A:A,0)),0)</f>
        <v>61</v>
      </c>
    </row>
    <row r="46" spans="1:7" ht="24" customHeight="1" x14ac:dyDescent="0.35">
      <c r="A46" s="27">
        <v>30093</v>
      </c>
      <c r="B46" s="55" t="s">
        <v>151</v>
      </c>
      <c r="C46" s="10">
        <f>IFERROR(INDEX('حسابهای دریافتنی'!H:H,MATCH(Table216[[#This Row],[كد تفصيلي]],'حسابهای دریافتنی'!A:A,0)),0)</f>
        <v>0</v>
      </c>
      <c r="D46" s="11">
        <f>IFERROR(INDEX('درجریان وصول'!F:F,MATCH(Table216[[#This Row],[كد تفصيلي]],'درجریان وصول'!A:A,0)),0)</f>
        <v>0</v>
      </c>
      <c r="E46" s="11">
        <f>IFERROR(INDEX('چکهای دریافتنی'!F:F,MATCH(Table216[[#This Row],[كد تفصيلي]],'چکهای دریافتنی'!A:A,0)),0)</f>
        <v>0</v>
      </c>
      <c r="F46" s="11">
        <f>Table216[[#This Row],[حسابهای دریافتنی]]+Table216[[#This Row],[چکهای در جریان وصول]]+Table216[[#This Row],[چکهای نزد صندوق]]</f>
        <v>0</v>
      </c>
      <c r="G46" s="12">
        <v>77</v>
      </c>
    </row>
    <row r="47" spans="1:7" ht="24" customHeight="1" x14ac:dyDescent="0.35">
      <c r="A47" s="26">
        <v>30013</v>
      </c>
      <c r="B47" s="56" t="s">
        <v>62</v>
      </c>
      <c r="C47" s="10">
        <f>IFERROR(INDEX('حسابهای دریافتنی'!H:H,MATCH(Table216[[#This Row],[كد تفصيلي]],'حسابهای دریافتنی'!A:A,0)),0)</f>
        <v>-2744620</v>
      </c>
      <c r="D47" s="11">
        <f>IFERROR(INDEX('درجریان وصول'!F:F,MATCH(Table216[[#This Row],[كد تفصيلي]],'درجریان وصول'!A:A,0)),0)</f>
        <v>0</v>
      </c>
      <c r="E47" s="11">
        <f>IFERROR(INDEX('چکهای دریافتنی'!F:F,MATCH(Table216[[#This Row],[كد تفصيلي]],'چکهای دریافتنی'!A:A,0)),0)</f>
        <v>0</v>
      </c>
      <c r="F47" s="11">
        <f>Table216[[#This Row],[حسابهای دریافتنی]]+Table216[[#This Row],[چکهای در جریان وصول]]+Table216[[#This Row],[چکهای نزد صندوق]]</f>
        <v>-2744620</v>
      </c>
      <c r="G47" s="12">
        <f>IFERROR(INDEX('مانده سوفاله'!F:F,MATCH(Table216[[#This Row],[كد تفصيلي]],'مانده سوفاله'!A:A,0)),0)</f>
        <v>0</v>
      </c>
    </row>
    <row r="48" spans="1:7" ht="24" customHeight="1" x14ac:dyDescent="0.35">
      <c r="A48" s="27">
        <v>30018</v>
      </c>
      <c r="B48" s="55" t="s">
        <v>66</v>
      </c>
      <c r="C48" s="10">
        <f>IFERROR(INDEX('حسابهای دریافتنی'!H:H,MATCH(Table216[[#This Row],[كد تفصيلي]],'حسابهای دریافتنی'!A:A,0)),0)</f>
        <v>1901077182</v>
      </c>
      <c r="D48" s="11">
        <f>IFERROR(INDEX('درجریان وصول'!F:F,MATCH(Table216[[#This Row],[كد تفصيلي]],'درجریان وصول'!A:A,0)),0)</f>
        <v>0</v>
      </c>
      <c r="E48" s="11">
        <f>IFERROR(INDEX('چکهای دریافتنی'!F:F,MATCH(Table216[[#This Row],[كد تفصيلي]],'چکهای دریافتنی'!A:A,0)),0)</f>
        <v>0</v>
      </c>
      <c r="F48" s="11">
        <f>Table216[[#This Row],[حسابهای دریافتنی]]+Table216[[#This Row],[چکهای در جریان وصول]]+Table216[[#This Row],[چکهای نزد صندوق]]</f>
        <v>1901077182</v>
      </c>
      <c r="G48" s="12">
        <f>IFERROR(INDEX('مانده سوفاله'!F:F,MATCH(Table216[[#This Row],[كد تفصيلي]],'مانده سوفاله'!A:A,0)),0)</f>
        <v>-3024</v>
      </c>
    </row>
    <row r="49" spans="1:7" ht="24" customHeight="1" x14ac:dyDescent="0.35">
      <c r="A49" s="27">
        <v>30008</v>
      </c>
      <c r="B49" s="55" t="s">
        <v>58</v>
      </c>
      <c r="C49" s="10">
        <f>IFERROR(INDEX('حسابهای دریافتنی'!H:H,MATCH(Table216[[#This Row],[كد تفصيلي]],'حسابهای دریافتنی'!A:A,0)),0)</f>
        <v>15520000</v>
      </c>
      <c r="D49" s="11">
        <f>IFERROR(INDEX('درجریان وصول'!F:F,MATCH(Table216[[#This Row],[كد تفصيلي]],'درجریان وصول'!A:A,0)),0)</f>
        <v>0</v>
      </c>
      <c r="E49" s="11">
        <f>IFERROR(INDEX('چکهای دریافتنی'!F:F,MATCH(Table216[[#This Row],[كد تفصيلي]],'چکهای دریافتنی'!A:A,0)),0)</f>
        <v>0</v>
      </c>
      <c r="F49" s="11">
        <f>Table216[[#This Row],[حسابهای دریافتنی]]+Table216[[#This Row],[چکهای در جریان وصول]]+Table216[[#This Row],[چکهای نزد صندوق]]</f>
        <v>15520000</v>
      </c>
      <c r="G49" s="12">
        <f>IFERROR(INDEX('مانده سوفاله'!F:F,MATCH(Table216[[#This Row],[كد تفصيلي]],'مانده سوفاله'!A:A,0)),0)</f>
        <v>0</v>
      </c>
    </row>
    <row r="50" spans="1:7" ht="24" customHeight="1" x14ac:dyDescent="0.35">
      <c r="A50" s="26">
        <v>10007</v>
      </c>
      <c r="B50" s="56" t="s">
        <v>14</v>
      </c>
      <c r="C50" s="10">
        <f>IFERROR(INDEX('حسابهای دریافتنی'!H:H,MATCH(Table216[[#This Row],[كد تفصيلي]],'حسابهای دریافتنی'!A:A,0)),0)</f>
        <v>12770000</v>
      </c>
      <c r="D50" s="11">
        <f>IFERROR(INDEX('درجریان وصول'!F:F,MATCH(Table216[[#This Row],[كد تفصيلي]],'درجریان وصول'!A:A,0)),0)</f>
        <v>0</v>
      </c>
      <c r="E50" s="11">
        <f>IFERROR(INDEX('چکهای دریافتنی'!F:F,MATCH(Table216[[#This Row],[كد تفصيلي]],'چکهای دریافتنی'!A:A,0)),0)</f>
        <v>0</v>
      </c>
      <c r="F50" s="11">
        <f>Table216[[#This Row],[حسابهای دریافتنی]]+Table216[[#This Row],[چکهای در جریان وصول]]+Table216[[#This Row],[چکهای نزد صندوق]]</f>
        <v>12770000</v>
      </c>
      <c r="G50" s="12">
        <f>IFERROR(INDEX('مانده سوفاله'!F:F,MATCH(Table216[[#This Row],[كد تفصيلي]],'مانده سوفاله'!A:A,0)),0)</f>
        <v>-52.5</v>
      </c>
    </row>
    <row r="51" spans="1:7" ht="24" customHeight="1" x14ac:dyDescent="0.35">
      <c r="A51" s="27">
        <v>30012</v>
      </c>
      <c r="B51" s="55" t="s">
        <v>61</v>
      </c>
      <c r="C51" s="10">
        <f>IFERROR(INDEX('حسابهای دریافتنی'!H:H,MATCH(Table216[[#This Row],[كد تفصيلي]],'حسابهای دریافتنی'!A:A,0)),0)</f>
        <v>-46099000</v>
      </c>
      <c r="D51" s="11">
        <f>IFERROR(INDEX('درجریان وصول'!F:F,MATCH(Table216[[#This Row],[كد تفصيلي]],'درجریان وصول'!A:A,0)),0)</f>
        <v>0</v>
      </c>
      <c r="E51" s="11">
        <f>IFERROR(INDEX('چکهای دریافتنی'!F:F,MATCH(Table216[[#This Row],[كد تفصيلي]],'چکهای دریافتنی'!A:A,0)),0)</f>
        <v>348650000</v>
      </c>
      <c r="F51" s="11">
        <f>Table216[[#This Row],[حسابهای دریافتنی]]+Table216[[#This Row],[چکهای در جریان وصول]]+Table216[[#This Row],[چکهای نزد صندوق]]</f>
        <v>302551000</v>
      </c>
      <c r="G51" s="12">
        <f>IFERROR(INDEX('مانده سوفاله'!F:F,MATCH(Table216[[#This Row],[كد تفصيلي]],'مانده سوفاله'!A:A,0)),0)</f>
        <v>141</v>
      </c>
    </row>
    <row r="52" spans="1:7" ht="24" customHeight="1" x14ac:dyDescent="0.35">
      <c r="A52" s="27">
        <v>30145</v>
      </c>
      <c r="B52" s="55" t="s">
        <v>265</v>
      </c>
      <c r="C52" s="10">
        <f>IFERROR(INDEX('حسابهای دریافتنی'!H:H,MATCH(Table216[[#This Row],[كد تفصيلي]],'حسابهای دریافتنی'!A:A,0)),0)</f>
        <v>6442500</v>
      </c>
      <c r="D52" s="11">
        <f>IFERROR(INDEX('درجریان وصول'!F:F,MATCH(Table216[[#This Row],[كد تفصيلي]],'درجریان وصول'!A:A,0)),0)</f>
        <v>0</v>
      </c>
      <c r="E52" s="11">
        <f>IFERROR(INDEX('چکهای دریافتنی'!F:F,MATCH(Table216[[#This Row],[كد تفصيلي]],'چکهای دریافتنی'!A:A,0)),0)</f>
        <v>0</v>
      </c>
      <c r="F52" s="11">
        <f>Table216[[#This Row],[حسابهای دریافتنی]]+Table216[[#This Row],[چکهای در جریان وصول]]+Table216[[#This Row],[چکهای نزد صندوق]]</f>
        <v>6442500</v>
      </c>
      <c r="G52" s="12">
        <f>IFERROR(INDEX('مانده سوفاله'!F:F,MATCH(Table216[[#This Row],[كد تفصيلي]],'مانده سوفاله'!A:A,0)),0)</f>
        <v>0</v>
      </c>
    </row>
    <row r="53" spans="1:7" ht="24" customHeight="1" x14ac:dyDescent="0.35">
      <c r="A53" s="26">
        <v>30047</v>
      </c>
      <c r="B53" s="56" t="s">
        <v>94</v>
      </c>
      <c r="C53" s="10">
        <f>IFERROR(INDEX('حسابهای دریافتنی'!H:H,MATCH(Table216[[#This Row],[كد تفصيلي]],'حسابهای دریافتنی'!A:A,0)),0)</f>
        <v>5794900</v>
      </c>
      <c r="D53" s="11">
        <f>IFERROR(INDEX('درجریان وصول'!F:F,MATCH(Table216[[#This Row],[كد تفصيلي]],'درجریان وصول'!A:A,0)),0)</f>
        <v>0</v>
      </c>
      <c r="E53" s="11">
        <f>IFERROR(INDEX('چکهای دریافتنی'!F:F,MATCH(Table216[[#This Row],[كد تفصيلي]],'چکهای دریافتنی'!A:A,0)),0)</f>
        <v>0</v>
      </c>
      <c r="F53" s="11">
        <f>Table216[[#This Row],[حسابهای دریافتنی]]+Table216[[#This Row],[چکهای در جریان وصول]]+Table216[[#This Row],[چکهای نزد صندوق]]</f>
        <v>5794900</v>
      </c>
      <c r="G53" s="12">
        <f>IFERROR(INDEX('مانده سوفاله'!F:F,MATCH(Table216[[#This Row],[كد تفصيلي]],'مانده سوفاله'!A:A,0)),0)</f>
        <v>-630</v>
      </c>
    </row>
    <row r="54" spans="1:7" ht="24" customHeight="1" x14ac:dyDescent="0.35">
      <c r="A54" s="26">
        <v>30011</v>
      </c>
      <c r="B54" s="56" t="s">
        <v>60</v>
      </c>
      <c r="C54" s="10">
        <f>IFERROR(INDEX('حسابهای دریافتنی'!H:H,MATCH(Table216[[#This Row],[كد تفصيلي]],'حسابهای دریافتنی'!A:A,0)),0)</f>
        <v>5595200</v>
      </c>
      <c r="D54" s="11">
        <f>IFERROR(INDEX('درجریان وصول'!F:F,MATCH(Table216[[#This Row],[كد تفصيلي]],'درجریان وصول'!A:A,0)),0)</f>
        <v>0</v>
      </c>
      <c r="E54" s="11">
        <f>IFERROR(INDEX('چکهای دریافتنی'!F:F,MATCH(Table216[[#This Row],[كد تفصيلي]],'چکهای دریافتنی'!A:A,0)),0)</f>
        <v>0</v>
      </c>
      <c r="F54" s="11">
        <f>Table216[[#This Row],[حسابهای دریافتنی]]+Table216[[#This Row],[چکهای در جریان وصول]]+Table216[[#This Row],[چکهای نزد صندوق]]</f>
        <v>5595200</v>
      </c>
      <c r="G54" s="12">
        <f>IFERROR(INDEX('مانده سوفاله'!F:F,MATCH(Table216[[#This Row],[كد تفصيلي]],'مانده سوفاله'!A:A,0)),0)</f>
        <v>-5</v>
      </c>
    </row>
    <row r="55" spans="1:7" ht="24" customHeight="1" x14ac:dyDescent="0.35">
      <c r="A55" s="27">
        <v>10080</v>
      </c>
      <c r="B55" s="55" t="s">
        <v>214</v>
      </c>
      <c r="C55" s="10">
        <f>IFERROR(INDEX('حسابهای دریافتنی'!H:H,MATCH(Table216[[#This Row],[كد تفصيلي]],'حسابهای دریافتنی'!A:A,0)),0)</f>
        <v>5395000</v>
      </c>
      <c r="D55" s="11">
        <f>IFERROR(INDEX('درجریان وصول'!F:F,MATCH(Table216[[#This Row],[كد تفصيلي]],'درجریان وصول'!A:A,0)),0)</f>
        <v>0</v>
      </c>
      <c r="E55" s="11">
        <f>IFERROR(INDEX('چکهای دریافتنی'!F:F,MATCH(Table216[[#This Row],[كد تفصيلي]],'چکهای دریافتنی'!A:A,0)),0)</f>
        <v>0</v>
      </c>
      <c r="F55" s="11">
        <f>Table216[[#This Row],[حسابهای دریافتنی]]+Table216[[#This Row],[چکهای در جریان وصول]]+Table216[[#This Row],[چکهای نزد صندوق]]</f>
        <v>5395000</v>
      </c>
      <c r="G55" s="12">
        <f>IFERROR(INDEX('مانده سوفاله'!F:F,MATCH(Table216[[#This Row],[كد تفصيلي]],'مانده سوفاله'!A:A,0)),0)</f>
        <v>0</v>
      </c>
    </row>
    <row r="56" spans="1:7" ht="24" customHeight="1" x14ac:dyDescent="0.35">
      <c r="A56" s="26">
        <v>30114</v>
      </c>
      <c r="B56" s="56" t="s">
        <v>175</v>
      </c>
      <c r="C56" s="10">
        <f>IFERROR(INDEX('حسابهای دریافتنی'!H:H,MATCH(Table216[[#This Row],[كد تفصيلي]],'حسابهای دریافتنی'!A:A,0)),0)</f>
        <v>5385600</v>
      </c>
      <c r="D56" s="11">
        <f>IFERROR(INDEX('درجریان وصول'!F:F,MATCH(Table216[[#This Row],[كد تفصيلي]],'درجریان وصول'!A:A,0)),0)</f>
        <v>0</v>
      </c>
      <c r="E56" s="11">
        <f>IFERROR(INDEX('چکهای دریافتنی'!F:F,MATCH(Table216[[#This Row],[كد تفصيلي]],'چکهای دریافتنی'!A:A,0)),0)</f>
        <v>0</v>
      </c>
      <c r="F56" s="11">
        <f>Table216[[#This Row],[حسابهای دریافتنی]]+Table216[[#This Row],[چکهای در جریان وصول]]+Table216[[#This Row],[چکهای نزد صندوق]]</f>
        <v>5385600</v>
      </c>
      <c r="G56" s="12">
        <f>IFERROR(INDEX('مانده سوفاله'!F:F,MATCH(Table216[[#This Row],[كد تفصيلي]],'مانده سوفاله'!A:A,0)),0)</f>
        <v>0</v>
      </c>
    </row>
    <row r="57" spans="1:7" ht="24" customHeight="1" x14ac:dyDescent="0.35">
      <c r="A57" s="27">
        <v>30123</v>
      </c>
      <c r="B57" s="55" t="s">
        <v>208</v>
      </c>
      <c r="C57" s="10">
        <f>IFERROR(INDEX('حسابهای دریافتنی'!H:H,MATCH(Table216[[#This Row],[كد تفصيلي]],'حسابهای دریافتنی'!A:A,0)),0)</f>
        <v>4138250</v>
      </c>
      <c r="D57" s="11">
        <f>IFERROR(INDEX('درجریان وصول'!F:F,MATCH(Table216[[#This Row],[كد تفصيلي]],'درجریان وصول'!A:A,0)),0)</f>
        <v>0</v>
      </c>
      <c r="E57" s="11">
        <f>IFERROR(INDEX('چکهای دریافتنی'!F:F,MATCH(Table216[[#This Row],[كد تفصيلي]],'چکهای دریافتنی'!A:A,0)),0)</f>
        <v>0</v>
      </c>
      <c r="F57" s="11">
        <f>Table216[[#This Row],[حسابهای دریافتنی]]+Table216[[#This Row],[چکهای در جریان وصول]]+Table216[[#This Row],[چکهای نزد صندوق]]</f>
        <v>4138250</v>
      </c>
      <c r="G57" s="12">
        <f>IFERROR(INDEX('مانده سوفاله'!F:F,MATCH(Table216[[#This Row],[كد تفصيلي]],'مانده سوفاله'!A:A,0)),0)</f>
        <v>-20</v>
      </c>
    </row>
    <row r="58" spans="1:7" ht="24" customHeight="1" x14ac:dyDescent="0.35">
      <c r="A58" s="26">
        <v>10116</v>
      </c>
      <c r="B58" s="56" t="s">
        <v>321</v>
      </c>
      <c r="C58" s="10">
        <f>IFERROR(INDEX('حسابهای دریافتنی'!H:H,MATCH(Table216[[#This Row],[كد تفصيلي]],'حسابهای دریافتنی'!A:A,0)),0)</f>
        <v>3892500</v>
      </c>
      <c r="D58" s="11">
        <f>IFERROR(INDEX('درجریان وصول'!F:F,MATCH(Table216[[#This Row],[كد تفصيلي]],'درجریان وصول'!A:A,0)),0)</f>
        <v>0</v>
      </c>
      <c r="E58" s="11">
        <f>IFERROR(INDEX('چکهای دریافتنی'!F:F,MATCH(Table216[[#This Row],[كد تفصيلي]],'چکهای دریافتنی'!A:A,0)),0)</f>
        <v>0</v>
      </c>
      <c r="F58" s="11">
        <f>Table216[[#This Row],[حسابهای دریافتنی]]+Table216[[#This Row],[چکهای در جریان وصول]]+Table216[[#This Row],[چکهای نزد صندوق]]</f>
        <v>3892500</v>
      </c>
      <c r="G58" s="12">
        <f>IFERROR(INDEX('مانده سوفاله'!F:F,MATCH(Table216[[#This Row],[كد تفصيلي]],'مانده سوفاله'!A:A,0)),0)</f>
        <v>0</v>
      </c>
    </row>
    <row r="59" spans="1:7" ht="24" customHeight="1" x14ac:dyDescent="0.35">
      <c r="A59" s="27">
        <v>10030</v>
      </c>
      <c r="B59" s="55" t="s">
        <v>36</v>
      </c>
      <c r="C59" s="10">
        <f>IFERROR(INDEX('حسابهای دریافتنی'!H:H,MATCH(Table216[[#This Row],[كد تفصيلي]],'حسابهای دریافتنی'!A:A,0)),0)</f>
        <v>3272000</v>
      </c>
      <c r="D59" s="11">
        <f>IFERROR(INDEX('درجریان وصول'!F:F,MATCH(Table216[[#This Row],[كد تفصيلي]],'درجریان وصول'!A:A,0)),0)</f>
        <v>0</v>
      </c>
      <c r="E59" s="11">
        <f>IFERROR(INDEX('چکهای دریافتنی'!F:F,MATCH(Table216[[#This Row],[كد تفصيلي]],'چکهای دریافتنی'!A:A,0)),0)</f>
        <v>0</v>
      </c>
      <c r="F59" s="11">
        <f>Table216[[#This Row],[حسابهای دریافتنی]]+Table216[[#This Row],[چکهای در جریان وصول]]+Table216[[#This Row],[چکهای نزد صندوق]]</f>
        <v>3272000</v>
      </c>
      <c r="G59" s="12">
        <f>IFERROR(INDEX('مانده سوفاله'!F:F,MATCH(Table216[[#This Row],[كد تفصيلي]],'مانده سوفاله'!A:A,0)),0)</f>
        <v>-222</v>
      </c>
    </row>
    <row r="60" spans="1:7" ht="24" customHeight="1" x14ac:dyDescent="0.35">
      <c r="A60" s="26">
        <v>30178</v>
      </c>
      <c r="B60" s="56" t="s">
        <v>335</v>
      </c>
      <c r="C60" s="10">
        <f>IFERROR(INDEX('حسابهای دریافتنی'!H:H,MATCH(Table216[[#This Row],[كد تفصيلي]],'حسابهای دریافتنی'!A:A,0)),0)</f>
        <v>3040000</v>
      </c>
      <c r="D60" s="11">
        <f>IFERROR(INDEX('درجریان وصول'!F:F,MATCH(Table216[[#This Row],[كد تفصيلي]],'درجریان وصول'!A:A,0)),0)</f>
        <v>0</v>
      </c>
      <c r="E60" s="11">
        <f>IFERROR(INDEX('چکهای دریافتنی'!F:F,MATCH(Table216[[#This Row],[كد تفصيلي]],'چکهای دریافتنی'!A:A,0)),0)</f>
        <v>0</v>
      </c>
      <c r="F60" s="11">
        <f>Table216[[#This Row],[حسابهای دریافتنی]]+Table216[[#This Row],[چکهای در جریان وصول]]+Table216[[#This Row],[چکهای نزد صندوق]]</f>
        <v>3040000</v>
      </c>
      <c r="G60" s="12">
        <f>IFERROR(INDEX('مانده سوفاله'!F:F,MATCH(Table216[[#This Row],[كد تفصيلي]],'مانده سوفاله'!A:A,0)),0)</f>
        <v>0</v>
      </c>
    </row>
    <row r="61" spans="1:7" ht="24" customHeight="1" x14ac:dyDescent="0.35">
      <c r="A61" s="27">
        <v>10004</v>
      </c>
      <c r="B61" s="55" t="s">
        <v>11</v>
      </c>
      <c r="C61" s="10">
        <f>IFERROR(INDEX('حسابهای دریافتنی'!H:H,MATCH(Table216[[#This Row],[كد تفصيلي]],'حسابهای دریافتنی'!A:A,0)),0)</f>
        <v>853000</v>
      </c>
      <c r="D61" s="11">
        <f>IFERROR(INDEX('درجریان وصول'!F:F,MATCH(Table216[[#This Row],[كد تفصيلي]],'درجریان وصول'!A:A,0)),0)</f>
        <v>0</v>
      </c>
      <c r="E61" s="11">
        <f>IFERROR(INDEX('چکهای دریافتنی'!F:F,MATCH(Table216[[#This Row],[كد تفصيلي]],'چکهای دریافتنی'!A:A,0)),0)</f>
        <v>341000000</v>
      </c>
      <c r="F61" s="11">
        <f>Table216[[#This Row],[حسابهای دریافتنی]]+Table216[[#This Row],[چکهای در جریان وصول]]+Table216[[#This Row],[چکهای نزد صندوق]]</f>
        <v>341853000</v>
      </c>
      <c r="G61" s="12">
        <f>IFERROR(INDEX('مانده سوفاله'!F:F,MATCH(Table216[[#This Row],[كد تفصيلي]],'مانده سوفاله'!A:A,0)),0)</f>
        <v>-12</v>
      </c>
    </row>
    <row r="62" spans="1:7" ht="24" customHeight="1" x14ac:dyDescent="0.35">
      <c r="A62" s="26">
        <v>30084</v>
      </c>
      <c r="B62" s="56" t="s">
        <v>129</v>
      </c>
      <c r="C62" s="10">
        <f>IFERROR(INDEX('حسابهای دریافتنی'!H:H,MATCH(Table216[[#This Row],[كد تفصيلي]],'حسابهای دریافتنی'!A:A,0)),0)</f>
        <v>1220000</v>
      </c>
      <c r="D62" s="11">
        <f>IFERROR(INDEX('درجریان وصول'!F:F,MATCH(Table216[[#This Row],[كد تفصيلي]],'درجریان وصول'!A:A,0)),0)</f>
        <v>0</v>
      </c>
      <c r="E62" s="11">
        <f>IFERROR(INDEX('چکهای دریافتنی'!F:F,MATCH(Table216[[#This Row],[كد تفصيلي]],'چکهای دریافتنی'!A:A,0)),0)</f>
        <v>0</v>
      </c>
      <c r="F62" s="11">
        <f>Table216[[#This Row],[حسابهای دریافتنی]]+Table216[[#This Row],[چکهای در جریان وصول]]+Table216[[#This Row],[چکهای نزد صندوق]]</f>
        <v>1220000</v>
      </c>
      <c r="G62" s="12">
        <f>IFERROR(INDEX('مانده سوفاله'!F:F,MATCH(Table216[[#This Row],[كد تفصيلي]],'مانده سوفاله'!A:A,0)),0)</f>
        <v>0</v>
      </c>
    </row>
    <row r="63" spans="1:7" ht="24" customHeight="1" x14ac:dyDescent="0.35">
      <c r="A63" s="27">
        <v>10070</v>
      </c>
      <c r="B63" s="55" t="s">
        <v>230</v>
      </c>
      <c r="C63" s="10">
        <f>IFERROR(INDEX('حسابهای دریافتنی'!H:H,MATCH(Table216[[#This Row],[كد تفصيلي]],'حسابهای دریافتنی'!A:A,0)),0)</f>
        <v>508152500</v>
      </c>
      <c r="D63" s="11">
        <f>IFERROR(INDEX('درجریان وصول'!F:F,MATCH(Table216[[#This Row],[كد تفصيلي]],'درجریان وصول'!A:A,0)),0)</f>
        <v>0</v>
      </c>
      <c r="E63" s="11">
        <f>IFERROR(INDEX('چکهای دریافتنی'!F:F,MATCH(Table216[[#This Row],[كد تفصيلي]],'چکهای دریافتنی'!A:A,0)),0)</f>
        <v>570000000</v>
      </c>
      <c r="F63" s="11">
        <f>Table216[[#This Row],[حسابهای دریافتنی]]+Table216[[#This Row],[چکهای در جریان وصول]]+Table216[[#This Row],[چکهای نزد صندوق]]</f>
        <v>1078152500</v>
      </c>
      <c r="G63" s="12">
        <f>IFERROR(INDEX('مانده سوفاله'!F:F,MATCH(Table216[[#This Row],[كد تفصيلي]],'مانده سوفاله'!A:A,0)),0)</f>
        <v>-3170</v>
      </c>
    </row>
    <row r="64" spans="1:7" ht="24" customHeight="1" x14ac:dyDescent="0.35">
      <c r="A64" s="27">
        <v>79055</v>
      </c>
      <c r="B64" s="55" t="s">
        <v>297</v>
      </c>
      <c r="C64" s="10">
        <f>IFERROR(INDEX('حسابهای دریافتنی'!H:H,MATCH(Table216[[#This Row],[كد تفصيلي]],'حسابهای دریافتنی'!A:A,0)),0)</f>
        <v>896500</v>
      </c>
      <c r="D64" s="11">
        <f>IFERROR(INDEX('درجریان وصول'!F:F,MATCH(Table216[[#This Row],[كد تفصيلي]],'درجریان وصول'!A:A,0)),0)</f>
        <v>0</v>
      </c>
      <c r="E64" s="11">
        <f>IFERROR(INDEX('چکهای دریافتنی'!F:F,MATCH(Table216[[#This Row],[كد تفصيلي]],'چکهای دریافتنی'!A:A,0)),0)</f>
        <v>0</v>
      </c>
      <c r="F64" s="11">
        <f>Table216[[#This Row],[حسابهای دریافتنی]]+Table216[[#This Row],[چکهای در جریان وصول]]+Table216[[#This Row],[چکهای نزد صندوق]]</f>
        <v>896500</v>
      </c>
      <c r="G64" s="12">
        <f>IFERROR(INDEX('مانده سوفاله'!F:F,MATCH(Table216[[#This Row],[كد تفصيلي]],'مانده سوفاله'!A:A,0)),0)</f>
        <v>0</v>
      </c>
    </row>
    <row r="65" spans="1:7" ht="24" customHeight="1" x14ac:dyDescent="0.35">
      <c r="A65" s="27">
        <v>30030</v>
      </c>
      <c r="B65" s="55" t="s">
        <v>77</v>
      </c>
      <c r="C65" s="10">
        <f>IFERROR(INDEX('حسابهای دریافتنی'!H:H,MATCH(Table216[[#This Row],[كد تفصيلي]],'حسابهای دریافتنی'!A:A,0)),0)</f>
        <v>850500</v>
      </c>
      <c r="D65" s="11">
        <f>IFERROR(INDEX('درجریان وصول'!F:F,MATCH(Table216[[#This Row],[كد تفصيلي]],'درجریان وصول'!A:A,0)),0)</f>
        <v>0</v>
      </c>
      <c r="E65" s="11">
        <f>IFERROR(INDEX('چکهای دریافتنی'!F:F,MATCH(Table216[[#This Row],[كد تفصيلي]],'چکهای دریافتنی'!A:A,0)),0)</f>
        <v>0</v>
      </c>
      <c r="F65" s="11">
        <f>Table216[[#This Row],[حسابهای دریافتنی]]+Table216[[#This Row],[چکهای در جریان وصول]]+Table216[[#This Row],[چکهای نزد صندوق]]</f>
        <v>850500</v>
      </c>
      <c r="G65" s="12">
        <f>IFERROR(INDEX('مانده سوفاله'!F:F,MATCH(Table216[[#This Row],[كد تفصيلي]],'مانده سوفاله'!A:A,0)),0)</f>
        <v>-49</v>
      </c>
    </row>
    <row r="66" spans="1:7" ht="24" customHeight="1" x14ac:dyDescent="0.35">
      <c r="A66" s="27">
        <v>30129</v>
      </c>
      <c r="B66" s="55" t="s">
        <v>178</v>
      </c>
      <c r="C66" s="10">
        <f>IFERROR(INDEX('حسابهای دریافتنی'!H:H,MATCH(Table216[[#This Row],[كد تفصيلي]],'حسابهای دریافتنی'!A:A,0)),0)</f>
        <v>783000</v>
      </c>
      <c r="D66" s="11">
        <f>IFERROR(INDEX('درجریان وصول'!F:F,MATCH(Table216[[#This Row],[كد تفصيلي]],'درجریان وصول'!A:A,0)),0)</f>
        <v>0</v>
      </c>
      <c r="E66" s="11">
        <f>IFERROR(INDEX('چکهای دریافتنی'!F:F,MATCH(Table216[[#This Row],[كد تفصيلي]],'چکهای دریافتنی'!A:A,0)),0)</f>
        <v>0</v>
      </c>
      <c r="F66" s="11">
        <f>Table216[[#This Row],[حسابهای دریافتنی]]+Table216[[#This Row],[چکهای در جریان وصول]]+Table216[[#This Row],[چکهای نزد صندوق]]</f>
        <v>783000</v>
      </c>
      <c r="G66" s="12">
        <f>IFERROR(INDEX('مانده سوفاله'!F:F,MATCH(Table216[[#This Row],[كد تفصيلي]],'مانده سوفاله'!A:A,0)),0)</f>
        <v>0</v>
      </c>
    </row>
    <row r="67" spans="1:7" ht="24" customHeight="1" x14ac:dyDescent="0.35">
      <c r="A67" s="26">
        <v>30090</v>
      </c>
      <c r="B67" s="56" t="s">
        <v>144</v>
      </c>
      <c r="C67" s="10">
        <f>IFERROR(INDEX('حسابهای دریافتنی'!H:H,MATCH(Table216[[#This Row],[كد تفصيلي]],'حسابهای دریافتنی'!A:A,0)),0)</f>
        <v>640100</v>
      </c>
      <c r="D67" s="11">
        <f>IFERROR(INDEX('درجریان وصول'!F:F,MATCH(Table216[[#This Row],[كد تفصيلي]],'درجریان وصول'!A:A,0)),0)</f>
        <v>0</v>
      </c>
      <c r="E67" s="11">
        <f>IFERROR(INDEX('چکهای دریافتنی'!F:F,MATCH(Table216[[#This Row],[كد تفصيلي]],'چکهای دریافتنی'!A:A,0)),0)</f>
        <v>0</v>
      </c>
      <c r="F67" s="11">
        <f>Table216[[#This Row],[حسابهای دریافتنی]]+Table216[[#This Row],[چکهای در جریان وصول]]+Table216[[#This Row],[چکهای نزد صندوق]]</f>
        <v>640100</v>
      </c>
      <c r="G67" s="12">
        <f>IFERROR(INDEX('مانده سوفاله'!F:F,MATCH(Table216[[#This Row],[كد تفصيلي]],'مانده سوفاله'!A:A,0)),0)</f>
        <v>0</v>
      </c>
    </row>
    <row r="68" spans="1:7" ht="24" customHeight="1" x14ac:dyDescent="0.35">
      <c r="A68" s="27">
        <v>30109</v>
      </c>
      <c r="B68" s="55" t="s">
        <v>165</v>
      </c>
      <c r="C68" s="10">
        <f>IFERROR(INDEX('حسابهای دریافتنی'!H:H,MATCH(Table216[[#This Row],[كد تفصيلي]],'حسابهای دریافتنی'!A:A,0)),0)</f>
        <v>607300</v>
      </c>
      <c r="D68" s="11">
        <f>IFERROR(INDEX('درجریان وصول'!F:F,MATCH(Table216[[#This Row],[كد تفصيلي]],'درجریان وصول'!A:A,0)),0)</f>
        <v>0</v>
      </c>
      <c r="E68" s="11">
        <f>IFERROR(INDEX('چکهای دریافتنی'!F:F,MATCH(Table216[[#This Row],[كد تفصيلي]],'چکهای دریافتنی'!A:A,0)),0)</f>
        <v>0</v>
      </c>
      <c r="F68" s="11">
        <f>Table216[[#This Row],[حسابهای دریافتنی]]+Table216[[#This Row],[چکهای در جریان وصول]]+Table216[[#This Row],[چکهای نزد صندوق]]</f>
        <v>607300</v>
      </c>
      <c r="G68" s="12">
        <f>IFERROR(INDEX('مانده سوفاله'!F:F,MATCH(Table216[[#This Row],[كد تفصيلي]],'مانده سوفاله'!A:A,0)),0)</f>
        <v>0</v>
      </c>
    </row>
    <row r="69" spans="1:7" ht="24" customHeight="1" x14ac:dyDescent="0.35">
      <c r="A69" s="27">
        <v>10131</v>
      </c>
      <c r="B69" s="55" t="s">
        <v>457</v>
      </c>
      <c r="C69" s="10">
        <f>IFERROR(INDEX('حسابهای دریافتنی'!H:H,MATCH(Table216[[#This Row],[كد تفصيلي]],'حسابهای دریافتنی'!A:A,0)),0)</f>
        <v>-1194000</v>
      </c>
      <c r="D69" s="11">
        <f>IFERROR(INDEX('درجریان وصول'!F:F,MATCH(Table216[[#This Row],[كد تفصيلي]],'درجریان وصول'!A:A,0)),0)</f>
        <v>0</v>
      </c>
      <c r="E69" s="11">
        <f>IFERROR(INDEX('چکهای دریافتنی'!F:F,MATCH(Table216[[#This Row],[كد تفصيلي]],'چکهای دریافتنی'!A:A,0)),0)</f>
        <v>0</v>
      </c>
      <c r="F69" s="11">
        <f>Table216[[#This Row],[حسابهای دریافتنی]]+Table216[[#This Row],[چکهای در جریان وصول]]+Table216[[#This Row],[چکهای نزد صندوق]]</f>
        <v>-1194000</v>
      </c>
      <c r="G69" s="12">
        <f>IFERROR(INDEX('مانده سوفاله'!F:F,MATCH(Table216[[#This Row],[كد تفصيلي]],'مانده سوفاله'!A:A,0)),0)</f>
        <v>1</v>
      </c>
    </row>
    <row r="70" spans="1:7" ht="24" customHeight="1" x14ac:dyDescent="0.35">
      <c r="A70" s="27">
        <v>30010</v>
      </c>
      <c r="B70" s="55" t="s">
        <v>59</v>
      </c>
      <c r="C70" s="10">
        <f>IFERROR(INDEX('حسابهای دریافتنی'!H:H,MATCH(Table216[[#This Row],[كد تفصيلي]],'حسابهای دریافتنی'!A:A,0)),0)</f>
        <v>366215</v>
      </c>
      <c r="D70" s="11">
        <f>IFERROR(INDEX('درجریان وصول'!F:F,MATCH(Table216[[#This Row],[كد تفصيلي]],'درجریان وصول'!A:A,0)),0)</f>
        <v>0</v>
      </c>
      <c r="E70" s="11">
        <f>IFERROR(INDEX('چکهای دریافتنی'!F:F,MATCH(Table216[[#This Row],[كد تفصيلي]],'چکهای دریافتنی'!A:A,0)),0)</f>
        <v>0</v>
      </c>
      <c r="F70" s="11">
        <f>Table216[[#This Row],[حسابهای دریافتنی]]+Table216[[#This Row],[چکهای در جریان وصول]]+Table216[[#This Row],[چکهای نزد صندوق]]</f>
        <v>366215</v>
      </c>
      <c r="G70" s="12">
        <f>IFERROR(INDEX('مانده سوفاله'!F:F,MATCH(Table216[[#This Row],[كد تفصيلي]],'مانده سوفاله'!A:A,0)),0)</f>
        <v>8</v>
      </c>
    </row>
    <row r="71" spans="1:7" ht="24" customHeight="1" x14ac:dyDescent="0.35">
      <c r="A71" s="26">
        <v>30027</v>
      </c>
      <c r="B71" s="56" t="s">
        <v>75</v>
      </c>
      <c r="C71" s="10">
        <f>IFERROR(INDEX('حسابهای دریافتنی'!H:H,MATCH(Table216[[#This Row],[كد تفصيلي]],'حسابهای دریافتنی'!A:A,0)),0)</f>
        <v>326950</v>
      </c>
      <c r="D71" s="11">
        <f>IFERROR(INDEX('درجریان وصول'!F:F,MATCH(Table216[[#This Row],[كد تفصيلي]],'درجریان وصول'!A:A,0)),0)</f>
        <v>0</v>
      </c>
      <c r="E71" s="11">
        <f>IFERROR(INDEX('چکهای دریافتنی'!F:F,MATCH(Table216[[#This Row],[كد تفصيلي]],'چکهای دریافتنی'!A:A,0)),0)</f>
        <v>0</v>
      </c>
      <c r="F71" s="11">
        <f>Table216[[#This Row],[حسابهای دریافتنی]]+Table216[[#This Row],[چکهای در جریان وصول]]+Table216[[#This Row],[چکهای نزد صندوق]]</f>
        <v>326950</v>
      </c>
      <c r="G71" s="12">
        <f>IFERROR(INDEX('مانده سوفاله'!F:F,MATCH(Table216[[#This Row],[كد تفصيلي]],'مانده سوفاله'!A:A,0)),0)</f>
        <v>0</v>
      </c>
    </row>
    <row r="72" spans="1:7" ht="24" customHeight="1" x14ac:dyDescent="0.35">
      <c r="A72" s="27">
        <v>30135</v>
      </c>
      <c r="B72" s="55" t="s">
        <v>179</v>
      </c>
      <c r="C72" s="10">
        <f>IFERROR(INDEX('حسابهای دریافتنی'!H:H,MATCH(Table216[[#This Row],[كد تفصيلي]],'حسابهای دریافتنی'!A:A,0)),0)</f>
        <v>195000</v>
      </c>
      <c r="D72" s="11">
        <f>IFERROR(INDEX('درجریان وصول'!F:F,MATCH(Table216[[#This Row],[كد تفصيلي]],'درجریان وصول'!A:A,0)),0)</f>
        <v>0</v>
      </c>
      <c r="E72" s="11">
        <f>IFERROR(INDEX('چکهای دریافتنی'!F:F,MATCH(Table216[[#This Row],[كد تفصيلي]],'چکهای دریافتنی'!A:A,0)),0)</f>
        <v>0</v>
      </c>
      <c r="F72" s="11">
        <f>Table216[[#This Row],[حسابهای دریافتنی]]+Table216[[#This Row],[چکهای در جریان وصول]]+Table216[[#This Row],[چکهای نزد صندوق]]</f>
        <v>195000</v>
      </c>
      <c r="G72" s="12">
        <f>IFERROR(INDEX('مانده سوفاله'!F:F,MATCH(Table216[[#This Row],[كد تفصيلي]],'مانده سوفاله'!A:A,0)),0)</f>
        <v>-5</v>
      </c>
    </row>
    <row r="73" spans="1:7" ht="24" customHeight="1" x14ac:dyDescent="0.35">
      <c r="A73" s="27">
        <v>10088</v>
      </c>
      <c r="B73" s="55" t="s">
        <v>254</v>
      </c>
      <c r="C73" s="10">
        <f>IFERROR(INDEX('حسابهای دریافتنی'!H:H,MATCH(Table216[[#This Row],[كد تفصيلي]],'حسابهای دریافتنی'!A:A,0)),0)</f>
        <v>113500</v>
      </c>
      <c r="D73" s="11">
        <f>IFERROR(INDEX('درجریان وصول'!F:F,MATCH(Table216[[#This Row],[كد تفصيلي]],'درجریان وصول'!A:A,0)),0)</f>
        <v>0</v>
      </c>
      <c r="E73" s="11">
        <f>IFERROR(INDEX('چکهای دریافتنی'!F:F,MATCH(Table216[[#This Row],[كد تفصيلي]],'چکهای دریافتنی'!A:A,0)),0)</f>
        <v>0</v>
      </c>
      <c r="F73" s="11">
        <f>Table216[[#This Row],[حسابهای دریافتنی]]+Table216[[#This Row],[چکهای در جریان وصول]]+Table216[[#This Row],[چکهای نزد صندوق]]</f>
        <v>113500</v>
      </c>
      <c r="G73" s="12">
        <f>IFERROR(INDEX('مانده سوفاله'!F:F,MATCH(Table216[[#This Row],[كد تفصيلي]],'مانده سوفاله'!A:A,0)),0)</f>
        <v>0</v>
      </c>
    </row>
    <row r="74" spans="1:7" ht="24" customHeight="1" x14ac:dyDescent="0.35">
      <c r="A74" s="27">
        <v>10002</v>
      </c>
      <c r="B74" s="55" t="s">
        <v>9</v>
      </c>
      <c r="C74" s="10">
        <f>IFERROR(INDEX('حسابهای دریافتنی'!H:H,MATCH(Table216[[#This Row],[كد تفصيلي]],'حسابهای دریافتنی'!A:A,0)),0)</f>
        <v>-3600000000</v>
      </c>
      <c r="D74" s="11">
        <f>IFERROR(INDEX('درجریان وصول'!F:F,MATCH(Table216[[#This Row],[كد تفصيلي]],'درجریان وصول'!A:A,0)),0)</f>
        <v>0</v>
      </c>
      <c r="E74" s="11">
        <f>IFERROR(INDEX('چکهای دریافتنی'!F:F,MATCH(Table216[[#This Row],[كد تفصيلي]],'چکهای دریافتنی'!A:A,0)),0)</f>
        <v>0</v>
      </c>
      <c r="F74" s="11">
        <f>Table216[[#This Row],[حسابهای دریافتنی]]+Table216[[#This Row],[چکهای در جریان وصول]]+Table216[[#This Row],[چکهای نزد صندوق]]</f>
        <v>-3600000000</v>
      </c>
      <c r="G74" s="12">
        <f>IFERROR(INDEX('مانده سوفاله'!F:F,MATCH(Table216[[#This Row],[كد تفصيلي]],'مانده سوفاله'!A:A,0)),0)</f>
        <v>0</v>
      </c>
    </row>
    <row r="75" spans="1:7" ht="24" customHeight="1" x14ac:dyDescent="0.35">
      <c r="A75" s="26">
        <v>10133</v>
      </c>
      <c r="B75" s="56" t="s">
        <v>465</v>
      </c>
      <c r="C75" s="10">
        <f>IFERROR(INDEX('حسابهای دریافتنی'!H:H,MATCH(Table216[[#This Row],[كد تفصيلي]],'حسابهای دریافتنی'!A:A,0)),0)</f>
        <v>-1249039000</v>
      </c>
      <c r="D75" s="11">
        <f>IFERROR(INDEX('درجریان وصول'!F:F,MATCH(Table216[[#This Row],[كد تفصيلي]],'درجریان وصول'!A:A,0)),0)</f>
        <v>0</v>
      </c>
      <c r="E75" s="11">
        <f>IFERROR(INDEX('چکهای دریافتنی'!F:F,MATCH(Table216[[#This Row],[كد تفصيلي]],'چکهای دریافتنی'!A:A,0)),0)</f>
        <v>0</v>
      </c>
      <c r="F75" s="11">
        <f>Table216[[#This Row],[حسابهای دریافتنی]]+Table216[[#This Row],[چکهای در جریان وصول]]+Table216[[#This Row],[چکهای نزد صندوق]]</f>
        <v>-1249039000</v>
      </c>
      <c r="G75" s="12">
        <f>IFERROR(INDEX('مانده سوفاله'!F:F,MATCH(Table216[[#This Row],[كد تفصيلي]],'مانده سوفاله'!A:A,0)),0)</f>
        <v>0</v>
      </c>
    </row>
    <row r="76" spans="1:7" ht="24" customHeight="1" x14ac:dyDescent="0.35">
      <c r="A76" s="27">
        <v>10010</v>
      </c>
      <c r="B76" s="55" t="s">
        <v>17</v>
      </c>
      <c r="C76" s="10">
        <f>IFERROR(INDEX('حسابهای دریافتنی'!H:H,MATCH(Table216[[#This Row],[كد تفصيلي]],'حسابهای دریافتنی'!A:A,0)),0)</f>
        <v>0</v>
      </c>
      <c r="D76" s="11">
        <f>IFERROR(INDEX('درجریان وصول'!F:F,MATCH(Table216[[#This Row],[كد تفصيلي]],'درجریان وصول'!A:A,0)),0)</f>
        <v>0</v>
      </c>
      <c r="E76" s="11">
        <f>IFERROR(INDEX('چکهای دریافتنی'!F:F,MATCH(Table216[[#This Row],[كد تفصيلي]],'چکهای دریافتنی'!A:A,0)),0)</f>
        <v>0</v>
      </c>
      <c r="F76" s="11">
        <f>Table216[[#This Row],[حسابهای دریافتنی]]+Table216[[#This Row],[چکهای در جریان وصول]]+Table216[[#This Row],[چکهای نزد صندوق]]</f>
        <v>0</v>
      </c>
      <c r="G76" s="12">
        <f>IFERROR(INDEX('مانده سوفاله'!F:F,MATCH(Table216[[#This Row],[كد تفصيلي]],'مانده سوفاله'!A:A,0)),0)</f>
        <v>8</v>
      </c>
    </row>
    <row r="77" spans="1:7" ht="24" customHeight="1" x14ac:dyDescent="0.35">
      <c r="A77" s="26">
        <v>10023</v>
      </c>
      <c r="B77" s="56" t="s">
        <v>155</v>
      </c>
      <c r="C77" s="10">
        <f>IFERROR(INDEX('حسابهای دریافتنی'!H:H,MATCH(Table216[[#This Row],[كد تفصيلي]],'حسابهای دریافتنی'!A:A,0)),0)</f>
        <v>0</v>
      </c>
      <c r="D77" s="11">
        <f>IFERROR(INDEX('درجریان وصول'!F:F,MATCH(Table216[[#This Row],[كد تفصيلي]],'درجریان وصول'!A:A,0)),0)</f>
        <v>0</v>
      </c>
      <c r="E77" s="11">
        <f>IFERROR(INDEX('چکهای دریافتنی'!F:F,MATCH(Table216[[#This Row],[كد تفصيلي]],'چکهای دریافتنی'!A:A,0)),0)</f>
        <v>0</v>
      </c>
      <c r="F77" s="11">
        <f>Table216[[#This Row],[حسابهای دریافتنی]]+Table216[[#This Row],[چکهای در جریان وصول]]+Table216[[#This Row],[چکهای نزد صندوق]]</f>
        <v>0</v>
      </c>
      <c r="G77" s="12">
        <f>IFERROR(INDEX('مانده سوفاله'!F:F,MATCH(Table216[[#This Row],[كد تفصيلي]],'مانده سوفاله'!A:A,0)),0)</f>
        <v>6</v>
      </c>
    </row>
    <row r="78" spans="1:7" ht="24" customHeight="1" x14ac:dyDescent="0.35">
      <c r="A78" s="26">
        <v>10039</v>
      </c>
      <c r="B78" s="56" t="s">
        <v>45</v>
      </c>
      <c r="C78" s="10">
        <f>IFERROR(INDEX('حسابهای دریافتنی'!H:H,MATCH(Table216[[#This Row],[كد تفصيلي]],'حسابهای دریافتنی'!A:A,0)),0)</f>
        <v>0</v>
      </c>
      <c r="D78" s="11">
        <f>IFERROR(INDEX('درجریان وصول'!F:F,MATCH(Table216[[#This Row],[كد تفصيلي]],'درجریان وصول'!A:A,0)),0)</f>
        <v>0</v>
      </c>
      <c r="E78" s="11">
        <f>IFERROR(INDEX('چکهای دریافتنی'!F:F,MATCH(Table216[[#This Row],[كد تفصيلي]],'چکهای دریافتنی'!A:A,0)),0)</f>
        <v>0</v>
      </c>
      <c r="F78" s="11">
        <f>Table216[[#This Row],[حسابهای دریافتنی]]+Table216[[#This Row],[چکهای در جریان وصول]]+Table216[[#This Row],[چکهای نزد صندوق]]</f>
        <v>0</v>
      </c>
      <c r="G78" s="12">
        <f>IFERROR(INDEX('مانده سوفاله'!F:F,MATCH(Table216[[#This Row],[كد تفصيلي]],'مانده سوفاله'!A:A,0)),0)</f>
        <v>4</v>
      </c>
    </row>
    <row r="79" spans="1:7" ht="24" customHeight="1" x14ac:dyDescent="0.35">
      <c r="A79" s="27">
        <v>10046</v>
      </c>
      <c r="B79" s="55" t="s">
        <v>51</v>
      </c>
      <c r="C79" s="10">
        <f>IFERROR(INDEX('حسابهای دریافتنی'!H:H,MATCH(Table216[[#This Row],[كد تفصيلي]],'حسابهای دریافتنی'!A:A,0)),0)</f>
        <v>0</v>
      </c>
      <c r="D79" s="11">
        <f>IFERROR(INDEX('درجریان وصول'!F:F,MATCH(Table216[[#This Row],[كد تفصيلي]],'درجریان وصول'!A:A,0)),0)</f>
        <v>0</v>
      </c>
      <c r="E79" s="11">
        <f>IFERROR(INDEX('چکهای دریافتنی'!F:F,MATCH(Table216[[#This Row],[كد تفصيلي]],'چکهای دریافتنی'!A:A,0)),0)</f>
        <v>0</v>
      </c>
      <c r="F79" s="11">
        <f>Table216[[#This Row],[حسابهای دریافتنی]]+Table216[[#This Row],[چکهای در جریان وصول]]+Table216[[#This Row],[چکهای نزد صندوق]]</f>
        <v>0</v>
      </c>
      <c r="G79" s="12">
        <f>IFERROR(INDEX('مانده سوفاله'!F:F,MATCH(Table216[[#This Row],[كد تفصيلي]],'مانده سوفاله'!A:A,0)),0)</f>
        <v>118</v>
      </c>
    </row>
    <row r="80" spans="1:7" ht="24" customHeight="1" x14ac:dyDescent="0.35">
      <c r="A80" s="54">
        <v>10048</v>
      </c>
      <c r="B80" s="55" t="s">
        <v>191</v>
      </c>
      <c r="C80" s="10">
        <f>IFERROR(INDEX('حسابهای دریافتنی'!H:H,MATCH(Table216[[#This Row],[كد تفصيلي]],'حسابهای دریافتنی'!A:A,0)),0)</f>
        <v>0</v>
      </c>
      <c r="D80" s="11">
        <f>IFERROR(INDEX('درجریان وصول'!F:F,MATCH(Table216[[#This Row],[كد تفصيلي]],'درجریان وصول'!A:A,0)),0)</f>
        <v>0</v>
      </c>
      <c r="E80" s="11">
        <f>IFERROR(INDEX('چکهای دریافتنی'!F:F,MATCH(Table216[[#This Row],[كد تفصيلي]],'چکهای دریافتنی'!A:A,0)),0)</f>
        <v>0</v>
      </c>
      <c r="F80" s="11">
        <f>Table216[[#This Row],[حسابهای دریافتنی]]+Table216[[#This Row],[چکهای در جریان وصول]]+Table216[[#This Row],[چکهای نزد صندوق]]</f>
        <v>0</v>
      </c>
      <c r="G80" s="12">
        <f>IFERROR(INDEX('مانده سوفاله'!F:F,MATCH(Table216[[#This Row],[كد تفصيلي]],'مانده سوفاله'!A:A,0)),0)</f>
        <v>-1097</v>
      </c>
    </row>
    <row r="81" spans="1:7" customFormat="1" ht="24" customHeight="1" x14ac:dyDescent="0.35">
      <c r="A81" s="53">
        <v>10065</v>
      </c>
      <c r="B81" s="56" t="s">
        <v>228</v>
      </c>
      <c r="C81" s="10">
        <f>IFERROR(INDEX('حسابهای دریافتنی'!H:H,MATCH(Table216[[#This Row],[كد تفصيلي]],'حسابهای دریافتنی'!A:A,0)),0)</f>
        <v>0</v>
      </c>
      <c r="D81" s="11">
        <f>IFERROR(INDEX('درجریان وصول'!F:F,MATCH(Table216[[#This Row],[كد تفصيلي]],'درجریان وصول'!A:A,0)),0)</f>
        <v>0</v>
      </c>
      <c r="E81" s="11">
        <f>IFERROR(INDEX('چکهای دریافتنی'!F:F,MATCH(Table216[[#This Row],[كد تفصيلي]],'چکهای دریافتنی'!A:A,0)),0)</f>
        <v>0</v>
      </c>
      <c r="F81" s="11">
        <f>Table216[[#This Row],[حسابهای دریافتنی]]+Table216[[#This Row],[چکهای در جریان وصول]]+Table216[[#This Row],[چکهای نزد صندوق]]</f>
        <v>0</v>
      </c>
      <c r="G81" s="12">
        <f>IFERROR(INDEX('مانده سوفاله'!F:F,MATCH(Table216[[#This Row],[كد تفصيلي]],'مانده سوفاله'!A:A,0)),0)</f>
        <v>127</v>
      </c>
    </row>
    <row r="82" spans="1:7" customFormat="1" ht="24" customHeight="1" x14ac:dyDescent="0.35">
      <c r="A82" s="54">
        <v>10076</v>
      </c>
      <c r="B82" s="55" t="s">
        <v>182</v>
      </c>
      <c r="C82" s="10">
        <f>IFERROR(INDEX('حسابهای دریافتنی'!H:H,MATCH(Table216[[#This Row],[كد تفصيلي]],'حسابهای دریافتنی'!A:A,0)),0)</f>
        <v>0</v>
      </c>
      <c r="D82" s="11">
        <f>IFERROR(INDEX('درجریان وصول'!F:F,MATCH(Table216[[#This Row],[كد تفصيلي]],'درجریان وصول'!A:A,0)),0)</f>
        <v>0</v>
      </c>
      <c r="E82" s="11">
        <f>IFERROR(INDEX('چکهای دریافتنی'!F:F,MATCH(Table216[[#This Row],[كد تفصيلي]],'چکهای دریافتنی'!A:A,0)),0)</f>
        <v>0</v>
      </c>
      <c r="F82" s="11">
        <f>Table216[[#This Row],[حسابهای دریافتنی]]+Table216[[#This Row],[چکهای در جریان وصول]]+Table216[[#This Row],[چکهای نزد صندوق]]</f>
        <v>0</v>
      </c>
      <c r="G82" s="12">
        <f>IFERROR(INDEX('مانده سوفاله'!F:F,MATCH(Table216[[#This Row],[كد تفصيلي]],'مانده سوفاله'!A:A,0)),0)</f>
        <v>-13</v>
      </c>
    </row>
    <row r="83" spans="1:7" ht="24" customHeight="1" x14ac:dyDescent="0.35">
      <c r="A83" s="27">
        <v>30065</v>
      </c>
      <c r="B83" s="55" t="s">
        <v>110</v>
      </c>
      <c r="C83" s="10">
        <f>IFERROR(INDEX('حسابهای دریافتنی'!H:H,MATCH(Table216[[#This Row],[كد تفصيلي]],'حسابهای دریافتنی'!A:A,0)),0)</f>
        <v>0</v>
      </c>
      <c r="D83" s="11">
        <f>IFERROR(INDEX('درجریان وصول'!F:F,MATCH(Table216[[#This Row],[كد تفصيلي]],'درجریان وصول'!A:A,0)),0)</f>
        <v>0</v>
      </c>
      <c r="E83" s="11">
        <f>IFERROR(INDEX('چکهای دریافتنی'!F:F,MATCH(Table216[[#This Row],[كد تفصيلي]],'چکهای دریافتنی'!A:A,0)),0)</f>
        <v>0</v>
      </c>
      <c r="F83" s="11">
        <f>Table216[[#This Row],[حسابهای دریافتنی]]+Table216[[#This Row],[چکهای در جریان وصول]]+Table216[[#This Row],[چکهای نزد صندوق]]</f>
        <v>0</v>
      </c>
      <c r="G83" s="12">
        <f>IFERROR(INDEX('مانده سوفاله'!F:F,MATCH(Table216[[#This Row],[كد تفصيلي]],'مانده سوفاله'!A:A,0)),0)</f>
        <v>33</v>
      </c>
    </row>
    <row r="84" spans="1:7" ht="24" customHeight="1" x14ac:dyDescent="0.35">
      <c r="A84" s="27">
        <v>30071</v>
      </c>
      <c r="B84" s="55" t="s">
        <v>116</v>
      </c>
      <c r="C84" s="10">
        <f>IFERROR(INDEX('حسابهای دریافتنی'!H:H,MATCH(Table216[[#This Row],[كد تفصيلي]],'حسابهای دریافتنی'!A:A,0)),0)</f>
        <v>0</v>
      </c>
      <c r="D84" s="11">
        <f>IFERROR(INDEX('درجریان وصول'!F:F,MATCH(Table216[[#This Row],[كد تفصيلي]],'درجریان وصول'!A:A,0)),0)</f>
        <v>0</v>
      </c>
      <c r="E84" s="11">
        <f>IFERROR(INDEX('چکهای دریافتنی'!F:F,MATCH(Table216[[#This Row],[كد تفصيلي]],'چکهای دریافتنی'!A:A,0)),0)</f>
        <v>0</v>
      </c>
      <c r="F84" s="11">
        <f>Table216[[#This Row],[حسابهای دریافتنی]]+Table216[[#This Row],[چکهای در جریان وصول]]+Table216[[#This Row],[چکهای نزد صندوق]]</f>
        <v>0</v>
      </c>
      <c r="G84" s="12">
        <f>IFERROR(INDEX('مانده سوفاله'!F:F,MATCH(Table216[[#This Row],[كد تفصيلي]],'مانده سوفاله'!A:A,0)),0)</f>
        <v>3</v>
      </c>
    </row>
    <row r="85" spans="1:7" ht="24" customHeight="1" x14ac:dyDescent="0.35">
      <c r="A85" s="27">
        <v>30079</v>
      </c>
      <c r="B85" s="55" t="s">
        <v>124</v>
      </c>
      <c r="C85" s="10">
        <f>IFERROR(INDEX('حسابهای دریافتنی'!H:H,MATCH(Table216[[#This Row],[كد تفصيلي]],'حسابهای دریافتنی'!A:A,0)),0)</f>
        <v>0</v>
      </c>
      <c r="D85" s="11">
        <f>IFERROR(INDEX('درجریان وصول'!F:F,MATCH(Table216[[#This Row],[كد تفصيلي]],'درجریان وصول'!A:A,0)),0)</f>
        <v>0</v>
      </c>
      <c r="E85" s="11">
        <f>IFERROR(INDEX('چکهای دریافتنی'!F:F,MATCH(Table216[[#This Row],[كد تفصيلي]],'چکهای دریافتنی'!A:A,0)),0)</f>
        <v>0</v>
      </c>
      <c r="F85" s="11">
        <f>Table216[[#This Row],[حسابهای دریافتنی]]+Table216[[#This Row],[چکهای در جریان وصول]]+Table216[[#This Row],[چکهای نزد صندوق]]</f>
        <v>0</v>
      </c>
      <c r="G85" s="12">
        <f>IFERROR(INDEX('مانده سوفاله'!F:F,MATCH(Table216[[#This Row],[كد تفصيلي]],'مانده سوفاله'!A:A,0)),0)</f>
        <v>-85</v>
      </c>
    </row>
    <row r="86" spans="1:7" ht="24" customHeight="1" x14ac:dyDescent="0.35">
      <c r="A86" s="27">
        <v>30097</v>
      </c>
      <c r="B86" s="55" t="s">
        <v>188</v>
      </c>
      <c r="C86" s="10">
        <f>IFERROR(INDEX('حسابهای دریافتنی'!H:H,MATCH(Table216[[#This Row],[كد تفصيلي]],'حسابهای دریافتنی'!A:A,0)),0)</f>
        <v>0</v>
      </c>
      <c r="D86" s="11">
        <f>IFERROR(INDEX('درجریان وصول'!F:F,MATCH(Table216[[#This Row],[كد تفصيلي]],'درجریان وصول'!A:A,0)),0)</f>
        <v>0</v>
      </c>
      <c r="E86" s="11">
        <f>IFERROR(INDEX('چکهای دریافتنی'!F:F,MATCH(Table216[[#This Row],[كد تفصيلي]],'چکهای دریافتنی'!A:A,0)),0)</f>
        <v>0</v>
      </c>
      <c r="F86" s="11">
        <f>Table216[[#This Row],[حسابهای دریافتنی]]+Table216[[#This Row],[چکهای در جریان وصول]]+Table216[[#This Row],[چکهای نزد صندوق]]</f>
        <v>0</v>
      </c>
      <c r="G86" s="12">
        <f>IFERROR(INDEX('مانده سوفاله'!F:F,MATCH(Table216[[#This Row],[كد تفصيلي]],'مانده سوفاله'!A:A,0)),0)</f>
        <v>-82</v>
      </c>
    </row>
    <row r="87" spans="1:7" ht="24" customHeight="1" x14ac:dyDescent="0.35">
      <c r="A87" s="26">
        <v>30118</v>
      </c>
      <c r="B87" s="56" t="s">
        <v>205</v>
      </c>
      <c r="C87" s="10">
        <f>IFERROR(INDEX('حسابهای دریافتنی'!H:H,MATCH(Table216[[#This Row],[كد تفصيلي]],'حسابهای دریافتنی'!A:A,0)),0)</f>
        <v>0</v>
      </c>
      <c r="D87" s="11">
        <f>IFERROR(INDEX('درجریان وصول'!F:F,MATCH(Table216[[#This Row],[كد تفصيلي]],'درجریان وصول'!A:A,0)),0)</f>
        <v>0</v>
      </c>
      <c r="E87" s="11">
        <f>IFERROR(INDEX('چکهای دریافتنی'!F:F,MATCH(Table216[[#This Row],[كد تفصيلي]],'چکهای دریافتنی'!A:A,0)),0)</f>
        <v>0</v>
      </c>
      <c r="F87" s="11">
        <f>Table216[[#This Row],[حسابهای دریافتنی]]+Table216[[#This Row],[چکهای در جریان وصول]]+Table216[[#This Row],[چکهای نزد صندوق]]</f>
        <v>0</v>
      </c>
      <c r="G87" s="12">
        <f>IFERROR(INDEX('مانده سوفاله'!F:F,MATCH(Table216[[#This Row],[كد تفصيلي]],'مانده سوفاله'!A:A,0)),0)</f>
        <v>-20</v>
      </c>
    </row>
    <row r="88" spans="1:7" ht="24" customHeight="1" x14ac:dyDescent="0.35">
      <c r="A88" s="27">
        <v>30137</v>
      </c>
      <c r="B88" s="55" t="s">
        <v>218</v>
      </c>
      <c r="C88" s="10">
        <f>IFERROR(INDEX('حسابهای دریافتنی'!H:H,MATCH(Table216[[#This Row],[كد تفصيلي]],'حسابهای دریافتنی'!A:A,0)),0)</f>
        <v>0</v>
      </c>
      <c r="D88" s="11">
        <f>IFERROR(INDEX('درجریان وصول'!F:F,MATCH(Table216[[#This Row],[كد تفصيلي]],'درجریان وصول'!A:A,0)),0)</f>
        <v>0</v>
      </c>
      <c r="E88" s="11">
        <f>IFERROR(INDEX('چکهای دریافتنی'!F:F,MATCH(Table216[[#This Row],[كد تفصيلي]],'چکهای دریافتنی'!A:A,0)),0)</f>
        <v>213182200</v>
      </c>
      <c r="F88" s="11">
        <f>Table216[[#This Row],[حسابهای دریافتنی]]+Table216[[#This Row],[چکهای در جریان وصول]]+Table216[[#This Row],[چکهای نزد صندوق]]</f>
        <v>213182200</v>
      </c>
      <c r="G88" s="12">
        <f>IFERROR(INDEX('مانده سوفاله'!F:F,MATCH(Table216[[#This Row],[كد تفصيلي]],'مانده سوفاله'!A:A,0)),0)</f>
        <v>0</v>
      </c>
    </row>
    <row r="89" spans="1:7" ht="24" customHeight="1" x14ac:dyDescent="0.35">
      <c r="A89" s="27">
        <v>30141</v>
      </c>
      <c r="B89" s="55" t="s">
        <v>261</v>
      </c>
      <c r="C89" s="10">
        <f>IFERROR(INDEX('حسابهای دریافتنی'!H:H,MATCH(Table216[[#This Row],[كد تفصيلي]],'حسابهای دریافتنی'!A:A,0)),0)</f>
        <v>0</v>
      </c>
      <c r="D89" s="11">
        <f>IFERROR(INDEX('درجریان وصول'!F:F,MATCH(Table216[[#This Row],[كد تفصيلي]],'درجریان وصول'!A:A,0)),0)</f>
        <v>0</v>
      </c>
      <c r="E89" s="11">
        <f>IFERROR(INDEX('چکهای دریافتنی'!F:F,MATCH(Table216[[#This Row],[كد تفصيلي]],'چکهای دریافتنی'!A:A,0)),0)</f>
        <v>0</v>
      </c>
      <c r="F89" s="11">
        <f>Table216[[#This Row],[حسابهای دریافتنی]]+Table216[[#This Row],[چکهای در جریان وصول]]+Table216[[#This Row],[چکهای نزد صندوق]]</f>
        <v>0</v>
      </c>
      <c r="G89" s="12">
        <f>IFERROR(INDEX('مانده سوفاله'!F:F,MATCH(Table216[[#This Row],[كد تفصيلي]],'مانده سوفاله'!A:A,0)),0)</f>
        <v>-42</v>
      </c>
    </row>
    <row r="90" spans="1:7" ht="24" customHeight="1" x14ac:dyDescent="0.35">
      <c r="A90" s="26">
        <v>30142</v>
      </c>
      <c r="B90" s="56" t="s">
        <v>263</v>
      </c>
      <c r="C90" s="10">
        <f>IFERROR(INDEX('حسابهای دریافتنی'!H:H,MATCH(Table216[[#This Row],[كد تفصيلي]],'حسابهای دریافتنی'!A:A,0)),0)</f>
        <v>0</v>
      </c>
      <c r="D90" s="11">
        <f>IFERROR(INDEX('درجریان وصول'!F:F,MATCH(Table216[[#This Row],[كد تفصيلي]],'درجریان وصول'!A:A,0)),0)</f>
        <v>0</v>
      </c>
      <c r="E90" s="11">
        <f>IFERROR(INDEX('چکهای دریافتنی'!F:F,MATCH(Table216[[#This Row],[كد تفصيلي]],'چکهای دریافتنی'!A:A,0)),0)</f>
        <v>0</v>
      </c>
      <c r="F90" s="11">
        <f>Table216[[#This Row],[حسابهای دریافتنی]]+Table216[[#This Row],[چکهای در جریان وصول]]+Table216[[#This Row],[چکهای نزد صندوق]]</f>
        <v>0</v>
      </c>
      <c r="G90" s="12">
        <f>IFERROR(INDEX('مانده سوفاله'!F:F,MATCH(Table216[[#This Row],[كد تفصيلي]],'مانده سوفاله'!A:A,0)),0)</f>
        <v>13</v>
      </c>
    </row>
    <row r="91" spans="1:7" ht="24" customHeight="1" x14ac:dyDescent="0.35">
      <c r="A91" s="26">
        <v>30160</v>
      </c>
      <c r="B91" s="56" t="s">
        <v>296</v>
      </c>
      <c r="C91" s="10">
        <f>IFERROR(INDEX('حسابهای دریافتنی'!H:H,MATCH(Table216[[#This Row],[كد تفصيلي]],'حسابهای دریافتنی'!A:A,0)),0)</f>
        <v>0</v>
      </c>
      <c r="D91" s="11">
        <f>IFERROR(INDEX('درجریان وصول'!F:F,MATCH(Table216[[#This Row],[كد تفصيلي]],'درجریان وصول'!A:A,0)),0)</f>
        <v>0</v>
      </c>
      <c r="E91" s="11">
        <f>IFERROR(INDEX('چکهای دریافتنی'!F:F,MATCH(Table216[[#This Row],[كد تفصيلي]],'چکهای دریافتنی'!A:A,0)),0)</f>
        <v>0</v>
      </c>
      <c r="F91" s="11">
        <f>Table216[[#This Row],[حسابهای دریافتنی]]+Table216[[#This Row],[چکهای در جریان وصول]]+Table216[[#This Row],[چکهای نزد صندوق]]</f>
        <v>0</v>
      </c>
      <c r="G91" s="12">
        <f>IFERROR(INDEX('مانده سوفاله'!F:F,MATCH(Table216[[#This Row],[كد تفصيلي]],'مانده سوفاله'!A:A,0)),0)</f>
        <v>-425</v>
      </c>
    </row>
    <row r="92" spans="1:7" ht="24" customHeight="1" x14ac:dyDescent="0.35">
      <c r="A92" s="27">
        <v>79010</v>
      </c>
      <c r="B92" s="55" t="s">
        <v>176</v>
      </c>
      <c r="C92" s="10">
        <f>IFERROR(INDEX('حسابهای دریافتنی'!H:H,MATCH(Table216[[#This Row],[كد تفصيلي]],'حسابهای دریافتنی'!A:A,0)),0)</f>
        <v>0</v>
      </c>
      <c r="D92" s="11">
        <f>IFERROR(INDEX('درجریان وصول'!F:F,MATCH(Table216[[#This Row],[كد تفصيلي]],'درجریان وصول'!A:A,0)),0)</f>
        <v>0</v>
      </c>
      <c r="E92" s="11">
        <f>IFERROR(INDEX('چکهای دریافتنی'!F:F,MATCH(Table216[[#This Row],[كد تفصيلي]],'چکهای دریافتنی'!A:A,0)),0)</f>
        <v>0</v>
      </c>
      <c r="F92" s="11">
        <f>Table216[[#This Row],[حسابهای دریافتنی]]+Table216[[#This Row],[چکهای در جریان وصول]]+Table216[[#This Row],[چکهای نزد صندوق]]</f>
        <v>0</v>
      </c>
      <c r="G92" s="12">
        <f>IFERROR(INDEX('مانده سوفاله'!F:F,MATCH(Table216[[#This Row],[كد تفصيلي]],'مانده سوفاله'!A:A,0)),0)</f>
        <v>-110</v>
      </c>
    </row>
    <row r="93" spans="1:7" ht="24" customHeight="1" x14ac:dyDescent="0.35">
      <c r="A93" s="26">
        <v>30174</v>
      </c>
      <c r="B93" s="56" t="s">
        <v>327</v>
      </c>
      <c r="C93" s="10">
        <f>IFERROR(INDEX('حسابهای دریافتنی'!H:H,MATCH(Table216[[#This Row],[كد تفصيلي]],'حسابهای دریافتنی'!A:A,0)),0)</f>
        <v>-5000</v>
      </c>
      <c r="D93" s="11">
        <f>IFERROR(INDEX('درجریان وصول'!F:F,MATCH(Table216[[#This Row],[كد تفصيلي]],'درجریان وصول'!A:A,0)),0)</f>
        <v>0</v>
      </c>
      <c r="E93" s="11">
        <f>IFERROR(INDEX('چکهای دریافتنی'!F:F,MATCH(Table216[[#This Row],[كد تفصيلي]],'چکهای دریافتنی'!A:A,0)),0)</f>
        <v>0</v>
      </c>
      <c r="F93" s="11">
        <f>Table216[[#This Row],[حسابهای دریافتنی]]+Table216[[#This Row],[چکهای در جریان وصول]]+Table216[[#This Row],[چکهای نزد صندوق]]</f>
        <v>-5000</v>
      </c>
      <c r="G93" s="12">
        <f>IFERROR(INDEX('مانده سوفاله'!F:F,MATCH(Table216[[#This Row],[كد تفصيلي]],'مانده سوفاله'!A:A,0)),0)</f>
        <v>0</v>
      </c>
    </row>
    <row r="94" spans="1:7" ht="24" customHeight="1" x14ac:dyDescent="0.35">
      <c r="A94" s="27">
        <v>30026</v>
      </c>
      <c r="B94" s="55" t="s">
        <v>74</v>
      </c>
      <c r="C94" s="10">
        <f>IFERROR(INDEX('حسابهای دریافتنی'!H:H,MATCH(Table216[[#This Row],[كد تفصيلي]],'حسابهای دریافتنی'!A:A,0)),0)</f>
        <v>5689439</v>
      </c>
      <c r="D94" s="11">
        <f>IFERROR(INDEX('درجریان وصول'!F:F,MATCH(Table216[[#This Row],[كد تفصيلي]],'درجریان وصول'!A:A,0)),0)</f>
        <v>0</v>
      </c>
      <c r="E94" s="11">
        <f>IFERROR(INDEX('چکهای دریافتنی'!F:F,MATCH(Table216[[#This Row],[كد تفصيلي]],'چکهای دریافتنی'!A:A,0)),0)</f>
        <v>0</v>
      </c>
      <c r="F94" s="11">
        <f>Table216[[#This Row],[حسابهای دریافتنی]]+Table216[[#This Row],[چکهای در جریان وصول]]+Table216[[#This Row],[چکهای نزد صندوق]]</f>
        <v>5689439</v>
      </c>
      <c r="G94" s="12">
        <f>IFERROR(INDEX('مانده سوفاله'!F:F,MATCH(Table216[[#This Row],[كد تفصيلي]],'مانده سوفاله'!A:A,0)),0)</f>
        <v>764</v>
      </c>
    </row>
    <row r="95" spans="1:7" ht="24" customHeight="1" x14ac:dyDescent="0.35">
      <c r="A95" s="26">
        <v>30164</v>
      </c>
      <c r="B95" s="56" t="s">
        <v>304</v>
      </c>
      <c r="C95" s="10">
        <f>IFERROR(INDEX('حسابهای دریافتنی'!H:H,MATCH(Table216[[#This Row],[كد تفصيلي]],'حسابهای دریافتنی'!A:A,0)),0)</f>
        <v>184944000</v>
      </c>
      <c r="D95" s="11">
        <f>IFERROR(INDEX('درجریان وصول'!F:F,MATCH(Table216[[#This Row],[كد تفصيلي]],'درجریان وصول'!A:A,0)),0)</f>
        <v>0</v>
      </c>
      <c r="E95" s="11">
        <f>IFERROR(INDEX('چکهای دریافتنی'!F:F,MATCH(Table216[[#This Row],[كد تفصيلي]],'چکهای دریافتنی'!A:A,0)),0)</f>
        <v>0</v>
      </c>
      <c r="F95" s="11">
        <f>Table216[[#This Row],[حسابهای دریافتنی]]+Table216[[#This Row],[چکهای در جریان وصول]]+Table216[[#This Row],[چکهای نزد صندوق]]</f>
        <v>184944000</v>
      </c>
      <c r="G95" s="12">
        <f>IFERROR(INDEX('مانده سوفاله'!F:F,MATCH(Table216[[#This Row],[كد تفصيلي]],'مانده سوفاله'!A:A,0)),0)</f>
        <v>561</v>
      </c>
    </row>
    <row r="96" spans="1:7" ht="24" customHeight="1" x14ac:dyDescent="0.35">
      <c r="A96" s="27">
        <v>10109</v>
      </c>
      <c r="B96" s="55" t="s">
        <v>303</v>
      </c>
      <c r="C96" s="10">
        <f>IFERROR(INDEX('حسابهای دریافتنی'!H:H,MATCH(Table216[[#This Row],[كد تفصيلي]],'حسابهای دریافتنی'!A:A,0)),0)</f>
        <v>-1124737000</v>
      </c>
      <c r="D96" s="11">
        <f>IFERROR(INDEX('درجریان وصول'!F:F,MATCH(Table216[[#This Row],[كد تفصيلي]],'درجریان وصول'!A:A,0)),0)</f>
        <v>0</v>
      </c>
      <c r="E96" s="11">
        <f>IFERROR(INDEX('چکهای دریافتنی'!F:F,MATCH(Table216[[#This Row],[كد تفصيلي]],'چکهای دریافتنی'!A:A,0)),0)</f>
        <v>0</v>
      </c>
      <c r="F96" s="11">
        <f>Table216[[#This Row],[حسابهای دریافتنی]]+Table216[[#This Row],[چکهای در جریان وصول]]+Table216[[#This Row],[چکهای نزد صندوق]]</f>
        <v>-1124737000</v>
      </c>
      <c r="G96" s="12">
        <f>IFERROR(INDEX('مانده سوفاله'!F:F,MATCH(Table216[[#This Row],[كد تفصيلي]],'مانده سوفاله'!A:A,0)),0)</f>
        <v>-241</v>
      </c>
    </row>
    <row r="97" spans="1:7" ht="24" customHeight="1" x14ac:dyDescent="0.35">
      <c r="A97" s="26">
        <v>30021</v>
      </c>
      <c r="B97" s="56" t="s">
        <v>69</v>
      </c>
      <c r="C97" s="10">
        <f>IFERROR(INDEX('حسابهای دریافتنی'!H:H,MATCH(Table216[[#This Row],[كد تفصيلي]],'حسابهای دریافتنی'!A:A,0)),0)</f>
        <v>-122000</v>
      </c>
      <c r="D97" s="11">
        <f>IFERROR(INDEX('درجریان وصول'!F:F,MATCH(Table216[[#This Row],[كد تفصيلي]],'درجریان وصول'!A:A,0)),0)</f>
        <v>0</v>
      </c>
      <c r="E97" s="11">
        <f>IFERROR(INDEX('چکهای دریافتنی'!F:F,MATCH(Table216[[#This Row],[كد تفصيلي]],'چکهای دریافتنی'!A:A,0)),0)</f>
        <v>0</v>
      </c>
      <c r="F97" s="11">
        <f>Table216[[#This Row],[حسابهای دریافتنی]]+Table216[[#This Row],[چکهای در جریان وصول]]+Table216[[#This Row],[چکهای نزد صندوق]]</f>
        <v>-122000</v>
      </c>
      <c r="G97" s="12">
        <f>IFERROR(INDEX('مانده سوفاله'!F:F,MATCH(Table216[[#This Row],[كد تفصيلي]],'مانده سوفاله'!A:A,0)),0)</f>
        <v>0</v>
      </c>
    </row>
    <row r="98" spans="1:7" ht="24" customHeight="1" x14ac:dyDescent="0.35">
      <c r="A98" s="27">
        <v>10066</v>
      </c>
      <c r="B98" s="55" t="s">
        <v>262</v>
      </c>
      <c r="C98" s="10">
        <f>IFERROR(INDEX('حسابهای دریافتنی'!H:H,MATCH(Table216[[#This Row],[كد تفصيلي]],'حسابهای دریافتنی'!A:A,0)),0)</f>
        <v>-191500</v>
      </c>
      <c r="D98" s="11">
        <f>IFERROR(INDEX('درجریان وصول'!F:F,MATCH(Table216[[#This Row],[كد تفصيلي]],'درجریان وصول'!A:A,0)),0)</f>
        <v>0</v>
      </c>
      <c r="E98" s="11">
        <f>IFERROR(INDEX('چکهای دریافتنی'!F:F,MATCH(Table216[[#This Row],[كد تفصيلي]],'چکهای دریافتنی'!A:A,0)),0)</f>
        <v>0</v>
      </c>
      <c r="F98" s="11">
        <f>Table216[[#This Row],[حسابهای دریافتنی]]+Table216[[#This Row],[چکهای در جریان وصول]]+Table216[[#This Row],[چکهای نزد صندوق]]</f>
        <v>-191500</v>
      </c>
      <c r="G98" s="12">
        <f>IFERROR(INDEX('مانده سوفاله'!F:F,MATCH(Table216[[#This Row],[كد تفصيلي]],'مانده سوفاله'!A:A,0)),0)</f>
        <v>2</v>
      </c>
    </row>
    <row r="99" spans="1:7" ht="24" customHeight="1" x14ac:dyDescent="0.35">
      <c r="A99" s="27">
        <v>30167</v>
      </c>
      <c r="B99" s="55" t="s">
        <v>311</v>
      </c>
      <c r="C99" s="10">
        <f>IFERROR(INDEX('حسابهای دریافتنی'!H:H,MATCH(Table216[[#This Row],[كد تفصيلي]],'حسابهای دریافتنی'!A:A,0)),0)</f>
        <v>-221000</v>
      </c>
      <c r="D99" s="11">
        <f>IFERROR(INDEX('درجریان وصول'!F:F,MATCH(Table216[[#This Row],[كد تفصيلي]],'درجریان وصول'!A:A,0)),0)</f>
        <v>0</v>
      </c>
      <c r="E99" s="11">
        <f>IFERROR(INDEX('چکهای دریافتنی'!F:F,MATCH(Table216[[#This Row],[كد تفصيلي]],'چکهای دریافتنی'!A:A,0)),0)</f>
        <v>0</v>
      </c>
      <c r="F99" s="11">
        <f>Table216[[#This Row],[حسابهای دریافتنی]]+Table216[[#This Row],[چکهای در جریان وصول]]+Table216[[#This Row],[چکهای نزد صندوق]]</f>
        <v>-221000</v>
      </c>
      <c r="G99" s="12">
        <f>IFERROR(INDEX('مانده سوفاله'!F:F,MATCH(Table216[[#This Row],[كد تفصيلي]],'مانده سوفاله'!A:A,0)),0)</f>
        <v>6</v>
      </c>
    </row>
    <row r="100" spans="1:7" ht="24" customHeight="1" x14ac:dyDescent="0.35">
      <c r="A100" s="26">
        <v>10077</v>
      </c>
      <c r="B100" s="56" t="s">
        <v>210</v>
      </c>
      <c r="C100" s="10">
        <f>IFERROR(INDEX('حسابهای دریافتنی'!H:H,MATCH(Table216[[#This Row],[كد تفصيلي]],'حسابهای دریافتنی'!A:A,0)),0)</f>
        <v>-238500</v>
      </c>
      <c r="D100" s="11">
        <f>IFERROR(INDEX('درجریان وصول'!F:F,MATCH(Table216[[#This Row],[كد تفصيلي]],'درجریان وصول'!A:A,0)),0)</f>
        <v>0</v>
      </c>
      <c r="E100" s="11">
        <f>IFERROR(INDEX('چکهای دریافتنی'!F:F,MATCH(Table216[[#This Row],[كد تفصيلي]],'چکهای دریافتنی'!A:A,0)),0)</f>
        <v>0</v>
      </c>
      <c r="F100" s="11">
        <f>Table216[[#This Row],[حسابهای دریافتنی]]+Table216[[#This Row],[چکهای در جریان وصول]]+Table216[[#This Row],[چکهای نزد صندوق]]</f>
        <v>-238500</v>
      </c>
      <c r="G100" s="12">
        <f>IFERROR(INDEX('مانده سوفاله'!F:F,MATCH(Table216[[#This Row],[كد تفصيلي]],'مانده سوفاله'!A:A,0)),0)</f>
        <v>0</v>
      </c>
    </row>
    <row r="101" spans="1:7" ht="24" customHeight="1" x14ac:dyDescent="0.35">
      <c r="A101" s="27">
        <v>10012</v>
      </c>
      <c r="B101" s="55" t="s">
        <v>19</v>
      </c>
      <c r="C101" s="10">
        <f>IFERROR(INDEX('حسابهای دریافتنی'!H:H,MATCH(Table216[[#This Row],[كد تفصيلي]],'حسابهای دریافتنی'!A:A,0)),0)</f>
        <v>-244000</v>
      </c>
      <c r="D101" s="11">
        <f>IFERROR(INDEX('درجریان وصول'!F:F,MATCH(Table216[[#This Row],[كد تفصيلي]],'درجریان وصول'!A:A,0)),0)</f>
        <v>0</v>
      </c>
      <c r="E101" s="11">
        <f>IFERROR(INDEX('چکهای دریافتنی'!F:F,MATCH(Table216[[#This Row],[كد تفصيلي]],'چکهای دریافتنی'!A:A,0)),0)</f>
        <v>0</v>
      </c>
      <c r="F101" s="11">
        <f>Table216[[#This Row],[حسابهای دریافتنی]]+Table216[[#This Row],[چکهای در جریان وصول]]+Table216[[#This Row],[چکهای نزد صندوق]]</f>
        <v>-244000</v>
      </c>
      <c r="G101" s="12">
        <f>IFERROR(INDEX('مانده سوفاله'!F:F,MATCH(Table216[[#This Row],[كد تفصيلي]],'مانده سوفاله'!A:A,0)),0)</f>
        <v>0</v>
      </c>
    </row>
    <row r="102" spans="1:7" ht="24" customHeight="1" x14ac:dyDescent="0.35">
      <c r="A102" s="26">
        <v>30088</v>
      </c>
      <c r="B102" s="56" t="s">
        <v>142</v>
      </c>
      <c r="C102" s="10">
        <f>IFERROR(INDEX('حسابهای دریافتنی'!H:H,MATCH(Table216[[#This Row],[كد تفصيلي]],'حسابهای دریافتنی'!A:A,0)),0)</f>
        <v>-252000</v>
      </c>
      <c r="D102" s="11">
        <f>IFERROR(INDEX('درجریان وصول'!F:F,MATCH(Table216[[#This Row],[كد تفصيلي]],'درجریان وصول'!A:A,0)),0)</f>
        <v>0</v>
      </c>
      <c r="E102" s="11">
        <f>IFERROR(INDEX('چکهای دریافتنی'!F:F,MATCH(Table216[[#This Row],[كد تفصيلي]],'چکهای دریافتنی'!A:A,0)),0)</f>
        <v>0</v>
      </c>
      <c r="F102" s="11">
        <f>Table216[[#This Row],[حسابهای دریافتنی]]+Table216[[#This Row],[چکهای در جریان وصول]]+Table216[[#This Row],[چکهای نزد صندوق]]</f>
        <v>-252000</v>
      </c>
      <c r="G102" s="12">
        <f>IFERROR(INDEX('مانده سوفاله'!F:F,MATCH(Table216[[#This Row],[كد تفصيلي]],'مانده سوفاله'!A:A,0)),0)</f>
        <v>0</v>
      </c>
    </row>
    <row r="103" spans="1:7" ht="24" customHeight="1" x14ac:dyDescent="0.35">
      <c r="A103" s="26">
        <v>10128</v>
      </c>
      <c r="B103" s="56" t="s">
        <v>372</v>
      </c>
      <c r="C103" s="10">
        <f>IFERROR(INDEX('حسابهای دریافتنی'!H:H,MATCH(Table216[[#This Row],[كد تفصيلي]],'حسابهای دریافتنی'!A:A,0)),0)</f>
        <v>-45000</v>
      </c>
      <c r="D103" s="11">
        <f>IFERROR(INDEX('درجریان وصول'!F:F,MATCH(Table216[[#This Row],[كد تفصيلي]],'درجریان وصول'!A:A,0)),0)</f>
        <v>0</v>
      </c>
      <c r="E103" s="11">
        <f>IFERROR(INDEX('چکهای دریافتنی'!F:F,MATCH(Table216[[#This Row],[كد تفصيلي]],'چکهای دریافتنی'!A:A,0)),0)</f>
        <v>0</v>
      </c>
      <c r="F103" s="11">
        <f>Table216[[#This Row],[حسابهای دریافتنی]]+Table216[[#This Row],[چکهای در جریان وصول]]+Table216[[#This Row],[چکهای نزد صندوق]]</f>
        <v>-45000</v>
      </c>
      <c r="G103" s="12">
        <f>IFERROR(INDEX('مانده سوفاله'!F:F,MATCH(Table216[[#This Row],[كد تفصيلي]],'مانده سوفاله'!A:A,0)),0)</f>
        <v>6</v>
      </c>
    </row>
    <row r="104" spans="1:7" ht="24" customHeight="1" x14ac:dyDescent="0.35">
      <c r="A104" s="26">
        <v>10045</v>
      </c>
      <c r="B104" s="56" t="s">
        <v>50</v>
      </c>
      <c r="C104" s="10">
        <f>IFERROR(INDEX('حسابهای دریافتنی'!H:H,MATCH(Table216[[#This Row],[كد تفصيلي]],'حسابهای دریافتنی'!A:A,0)),0)</f>
        <v>-383000</v>
      </c>
      <c r="D104" s="11">
        <f>IFERROR(INDEX('درجریان وصول'!F:F,MATCH(Table216[[#This Row],[كد تفصيلي]],'درجریان وصول'!A:A,0)),0)</f>
        <v>0</v>
      </c>
      <c r="E104" s="11">
        <f>IFERROR(INDEX('چکهای دریافتنی'!F:F,MATCH(Table216[[#This Row],[كد تفصيلي]],'چکهای دریافتنی'!A:A,0)),0)</f>
        <v>0</v>
      </c>
      <c r="F104" s="11">
        <f>Table216[[#This Row],[حسابهای دریافتنی]]+Table216[[#This Row],[چکهای در جریان وصول]]+Table216[[#This Row],[چکهای نزد صندوق]]</f>
        <v>-383000</v>
      </c>
      <c r="G104" s="12">
        <f>IFERROR(INDEX('مانده سوفاله'!F:F,MATCH(Table216[[#This Row],[كد تفصيلي]],'مانده سوفاله'!A:A,0)),0)</f>
        <v>-30</v>
      </c>
    </row>
    <row r="105" spans="1:7" ht="24" customHeight="1" x14ac:dyDescent="0.35">
      <c r="A105" s="26">
        <v>30051</v>
      </c>
      <c r="B105" s="56" t="s">
        <v>98</v>
      </c>
      <c r="C105" s="10">
        <f>IFERROR(INDEX('حسابهای دریافتنی'!H:H,MATCH(Table216[[#This Row],[كد تفصيلي]],'حسابهای دریافتنی'!A:A,0)),0)</f>
        <v>-384000</v>
      </c>
      <c r="D105" s="11">
        <f>IFERROR(INDEX('درجریان وصول'!F:F,MATCH(Table216[[#This Row],[كد تفصيلي]],'درجریان وصول'!A:A,0)),0)</f>
        <v>0</v>
      </c>
      <c r="E105" s="11">
        <f>IFERROR(INDEX('چکهای دریافتنی'!F:F,MATCH(Table216[[#This Row],[كد تفصيلي]],'چکهای دریافتنی'!A:A,0)),0)</f>
        <v>0</v>
      </c>
      <c r="F105" s="11">
        <f>Table216[[#This Row],[حسابهای دریافتنی]]+Table216[[#This Row],[چکهای در جریان وصول]]+Table216[[#This Row],[چکهای نزد صندوق]]</f>
        <v>-384000</v>
      </c>
      <c r="G105" s="12">
        <f>IFERROR(INDEX('مانده سوفاله'!F:F,MATCH(Table216[[#This Row],[كد تفصيلي]],'مانده سوفاله'!A:A,0)),0)</f>
        <v>0</v>
      </c>
    </row>
    <row r="106" spans="1:7" ht="24" customHeight="1" x14ac:dyDescent="0.35">
      <c r="A106" s="27">
        <v>30044</v>
      </c>
      <c r="B106" s="55" t="s">
        <v>91</v>
      </c>
      <c r="C106" s="10">
        <f>IFERROR(INDEX('حسابهای دریافتنی'!H:H,MATCH(Table216[[#This Row],[كد تفصيلي]],'حسابهای دریافتنی'!A:A,0)),0)</f>
        <v>-492500</v>
      </c>
      <c r="D106" s="11">
        <f>IFERROR(INDEX('درجریان وصول'!F:F,MATCH(Table216[[#This Row],[كد تفصيلي]],'درجریان وصول'!A:A,0)),0)</f>
        <v>0</v>
      </c>
      <c r="E106" s="11">
        <f>IFERROR(INDEX('چکهای دریافتنی'!F:F,MATCH(Table216[[#This Row],[كد تفصيلي]],'چکهای دریافتنی'!A:A,0)),0)</f>
        <v>0</v>
      </c>
      <c r="F106" s="11">
        <f>Table216[[#This Row],[حسابهای دریافتنی]]+Table216[[#This Row],[چکهای در جریان وصول]]+Table216[[#This Row],[چکهای نزد صندوق]]</f>
        <v>-492500</v>
      </c>
      <c r="G106" s="12">
        <f>IFERROR(INDEX('مانده سوفاله'!F:F,MATCH(Table216[[#This Row],[كد تفصيلي]],'مانده سوفاله'!A:A,0)),0)</f>
        <v>2</v>
      </c>
    </row>
    <row r="107" spans="1:7" ht="24" customHeight="1" x14ac:dyDescent="0.35">
      <c r="A107" s="26">
        <v>10095</v>
      </c>
      <c r="B107" s="56" t="s">
        <v>268</v>
      </c>
      <c r="C107" s="10">
        <f>IFERROR(INDEX('حسابهای دریافتنی'!H:H,MATCH(Table216[[#This Row],[كد تفصيلي]],'حسابهای دریافتنی'!A:A,0)),0)</f>
        <v>-496500</v>
      </c>
      <c r="D107" s="11">
        <f>IFERROR(INDEX('درجریان وصول'!F:F,MATCH(Table216[[#This Row],[كد تفصيلي]],'درجریان وصول'!A:A,0)),0)</f>
        <v>0</v>
      </c>
      <c r="E107" s="11">
        <f>IFERROR(INDEX('چکهای دریافتنی'!F:F,MATCH(Table216[[#This Row],[كد تفصيلي]],'چکهای دریافتنی'!A:A,0)),0)</f>
        <v>0</v>
      </c>
      <c r="F107" s="11">
        <f>Table216[[#This Row],[حسابهای دریافتنی]]+Table216[[#This Row],[چکهای در جریان وصول]]+Table216[[#This Row],[چکهای نزد صندوق]]</f>
        <v>-496500</v>
      </c>
      <c r="G107" s="12">
        <f>IFERROR(INDEX('مانده سوفاله'!F:F,MATCH(Table216[[#This Row],[كد تفصيلي]],'مانده سوفاله'!A:A,0)),0)</f>
        <v>0</v>
      </c>
    </row>
    <row r="108" spans="1:7" ht="24" customHeight="1" x14ac:dyDescent="0.35">
      <c r="A108" s="26">
        <v>10126</v>
      </c>
      <c r="B108" s="56" t="s">
        <v>370</v>
      </c>
      <c r="C108" s="10">
        <f>IFERROR(INDEX('حسابهای دریافتنی'!H:H,MATCH(Table216[[#This Row],[كد تفصيلي]],'حسابهای دریافتنی'!A:A,0)),0)</f>
        <v>12165000</v>
      </c>
      <c r="D108" s="11">
        <f>IFERROR(INDEX('درجریان وصول'!F:F,MATCH(Table216[[#This Row],[كد تفصيلي]],'درجریان وصول'!A:A,0)),0)</f>
        <v>0</v>
      </c>
      <c r="E108" s="11">
        <f>IFERROR(INDEX('چکهای دریافتنی'!F:F,MATCH(Table216[[#This Row],[كد تفصيلي]],'چکهای دریافتنی'!A:A,0)),0)</f>
        <v>0</v>
      </c>
      <c r="F108" s="11">
        <f>Table216[[#This Row],[حسابهای دریافتنی]]+Table216[[#This Row],[چکهای در جریان وصول]]+Table216[[#This Row],[چکهای نزد صندوق]]</f>
        <v>12165000</v>
      </c>
      <c r="G108" s="12">
        <f>IFERROR(INDEX('مانده سوفاله'!F:F,MATCH(Table216[[#This Row],[كد تفصيلي]],'مانده سوفاله'!A:A,0)),0)</f>
        <v>0</v>
      </c>
    </row>
    <row r="109" spans="1:7" ht="24" customHeight="1" x14ac:dyDescent="0.35">
      <c r="A109" s="27">
        <v>30052</v>
      </c>
      <c r="B109" s="55" t="s">
        <v>149</v>
      </c>
      <c r="C109" s="10">
        <f>IFERROR(INDEX('حسابهای دریافتنی'!H:H,MATCH(Table216[[#This Row],[كد تفصيلي]],'حسابهای دریافتنی'!A:A,0)),0)</f>
        <v>-539000</v>
      </c>
      <c r="D109" s="11">
        <f>IFERROR(INDEX('درجریان وصول'!F:F,MATCH(Table216[[#This Row],[كد تفصيلي]],'درجریان وصول'!A:A,0)),0)</f>
        <v>0</v>
      </c>
      <c r="E109" s="11">
        <f>IFERROR(INDEX('چکهای دریافتنی'!F:F,MATCH(Table216[[#This Row],[كد تفصيلي]],'چکهای دریافتنی'!A:A,0)),0)</f>
        <v>0</v>
      </c>
      <c r="F109" s="11">
        <f>Table216[[#This Row],[حسابهای دریافتنی]]+Table216[[#This Row],[چکهای در جریان وصول]]+Table216[[#This Row],[چکهای نزد صندوق]]</f>
        <v>-539000</v>
      </c>
      <c r="G109" s="12">
        <f>IFERROR(INDEX('مانده سوفاله'!F:F,MATCH(Table216[[#This Row],[كد تفصيلي]],'مانده سوفاله'!A:A,0)),0)</f>
        <v>0</v>
      </c>
    </row>
    <row r="110" spans="1:7" ht="24" customHeight="1" x14ac:dyDescent="0.35">
      <c r="A110" s="26">
        <v>10061</v>
      </c>
      <c r="B110" s="56" t="s">
        <v>194</v>
      </c>
      <c r="C110" s="10">
        <f>IFERROR(INDEX('حسابهای دریافتنی'!H:H,MATCH(Table216[[#This Row],[كد تفصيلي]],'حسابهای دریافتنی'!A:A,0)),0)</f>
        <v>-565500</v>
      </c>
      <c r="D110" s="11">
        <f>IFERROR(INDEX('درجریان وصول'!F:F,MATCH(Table216[[#This Row],[كد تفصيلي]],'درجریان وصول'!A:A,0)),0)</f>
        <v>0</v>
      </c>
      <c r="E110" s="11">
        <f>IFERROR(INDEX('چکهای دریافتنی'!F:F,MATCH(Table216[[#This Row],[كد تفصيلي]],'چکهای دریافتنی'!A:A,0)),0)</f>
        <v>0</v>
      </c>
      <c r="F110" s="11">
        <f>Table216[[#This Row],[حسابهای دریافتنی]]+Table216[[#This Row],[چکهای در جریان وصول]]+Table216[[#This Row],[چکهای نزد صندوق]]</f>
        <v>-565500</v>
      </c>
      <c r="G110" s="12">
        <f>IFERROR(INDEX('مانده سوفاله'!F:F,MATCH(Table216[[#This Row],[كد تفصيلي]],'مانده سوفاله'!A:A,0)),0)</f>
        <v>0</v>
      </c>
    </row>
    <row r="111" spans="1:7" ht="24" customHeight="1" x14ac:dyDescent="0.35">
      <c r="A111" s="26">
        <v>10118</v>
      </c>
      <c r="B111" s="56" t="s">
        <v>334</v>
      </c>
      <c r="C111" s="10">
        <f>IFERROR(INDEX('حسابهای دریافتنی'!H:H,MATCH(Table216[[#This Row],[كد تفصيلي]],'حسابهای دریافتنی'!A:A,0)),0)</f>
        <v>-587500</v>
      </c>
      <c r="D111" s="11">
        <f>IFERROR(INDEX('درجریان وصول'!F:F,MATCH(Table216[[#This Row],[كد تفصيلي]],'درجریان وصول'!A:A,0)),0)</f>
        <v>0</v>
      </c>
      <c r="E111" s="11">
        <f>IFERROR(INDEX('چکهای دریافتنی'!F:F,MATCH(Table216[[#This Row],[كد تفصيلي]],'چکهای دریافتنی'!A:A,0)),0)</f>
        <v>0</v>
      </c>
      <c r="F111" s="11">
        <f>Table216[[#This Row],[حسابهای دریافتنی]]+Table216[[#This Row],[چکهای در جریان وصول]]+Table216[[#This Row],[چکهای نزد صندوق]]</f>
        <v>-587500</v>
      </c>
      <c r="G111" s="12">
        <f>IFERROR(INDEX('مانده سوفاله'!F:F,MATCH(Table216[[#This Row],[كد تفصيلي]],'مانده سوفاله'!A:A,0)),0)</f>
        <v>0</v>
      </c>
    </row>
    <row r="112" spans="1:7" ht="24" customHeight="1" x14ac:dyDescent="0.35">
      <c r="A112" s="27">
        <v>10018</v>
      </c>
      <c r="B112" s="55" t="s">
        <v>25</v>
      </c>
      <c r="C112" s="10">
        <f>IFERROR(INDEX('حسابهای دریافتنی'!H:H,MATCH(Table216[[#This Row],[كد تفصيلي]],'حسابهای دریافتنی'!A:A,0)),0)</f>
        <v>95282000</v>
      </c>
      <c r="D112" s="11">
        <f>IFERROR(INDEX('درجریان وصول'!F:F,MATCH(Table216[[#This Row],[كد تفصيلي]],'درجریان وصول'!A:A,0)),0)</f>
        <v>0</v>
      </c>
      <c r="E112" s="11">
        <f>IFERROR(INDEX('چکهای دریافتنی'!F:F,MATCH(Table216[[#This Row],[كد تفصيلي]],'چکهای دریافتنی'!A:A,0)),0)</f>
        <v>0</v>
      </c>
      <c r="F112" s="11">
        <f>Table216[[#This Row],[حسابهای دریافتنی]]+Table216[[#This Row],[چکهای در جریان وصول]]+Table216[[#This Row],[چکهای نزد صندوق]]</f>
        <v>95282000</v>
      </c>
      <c r="G112" s="12">
        <f>IFERROR(INDEX('مانده سوفاله'!F:F,MATCH(Table216[[#This Row],[كد تفصيلي]],'مانده سوفاله'!A:A,0)),0)</f>
        <v>-32</v>
      </c>
    </row>
    <row r="113" spans="1:7" ht="24" customHeight="1" x14ac:dyDescent="0.35">
      <c r="A113" s="26">
        <v>30112</v>
      </c>
      <c r="B113" s="56" t="s">
        <v>201</v>
      </c>
      <c r="C113" s="10">
        <f>IFERROR(INDEX('حسابهای دریافتنی'!H:H,MATCH(Table216[[#This Row],[كد تفصيلي]],'حسابهای دریافتنی'!A:A,0)),0)</f>
        <v>-720500</v>
      </c>
      <c r="D113" s="11">
        <f>IFERROR(INDEX('درجریان وصول'!F:F,MATCH(Table216[[#This Row],[كد تفصيلي]],'درجریان وصول'!A:A,0)),0)</f>
        <v>0</v>
      </c>
      <c r="E113" s="11">
        <f>IFERROR(INDEX('چکهای دریافتنی'!F:F,MATCH(Table216[[#This Row],[كد تفصيلي]],'چکهای دریافتنی'!A:A,0)),0)</f>
        <v>0</v>
      </c>
      <c r="F113" s="11">
        <f>Table216[[#This Row],[حسابهای دریافتنی]]+Table216[[#This Row],[چکهای در جریان وصول]]+Table216[[#This Row],[چکهای نزد صندوق]]</f>
        <v>-720500</v>
      </c>
      <c r="G113" s="12">
        <f>IFERROR(INDEX('مانده سوفاله'!F:F,MATCH(Table216[[#This Row],[كد تفصيلي]],'مانده سوفاله'!A:A,0)),0)</f>
        <v>36</v>
      </c>
    </row>
    <row r="114" spans="1:7" ht="24" customHeight="1" x14ac:dyDescent="0.35">
      <c r="A114" s="26">
        <v>10013</v>
      </c>
      <c r="B114" s="56" t="s">
        <v>20</v>
      </c>
      <c r="C114" s="10">
        <f>IFERROR(INDEX('حسابهای دریافتنی'!H:H,MATCH(Table216[[#This Row],[كد تفصيلي]],'حسابهای دریافتنی'!A:A,0)),0)</f>
        <v>-915000</v>
      </c>
      <c r="D114" s="11">
        <f>IFERROR(INDEX('درجریان وصول'!F:F,MATCH(Table216[[#This Row],[كد تفصيلي]],'درجریان وصول'!A:A,0)),0)</f>
        <v>0</v>
      </c>
      <c r="E114" s="11">
        <f>IFERROR(INDEX('چکهای دریافتنی'!F:F,MATCH(Table216[[#This Row],[كد تفصيلي]],'چکهای دریافتنی'!A:A,0)),0)</f>
        <v>0</v>
      </c>
      <c r="F114" s="11">
        <f>Table216[[#This Row],[حسابهای دریافتنی]]+Table216[[#This Row],[چکهای در جریان وصول]]+Table216[[#This Row],[چکهای نزد صندوق]]</f>
        <v>-915000</v>
      </c>
      <c r="G114" s="12">
        <f>IFERROR(INDEX('مانده سوفاله'!F:F,MATCH(Table216[[#This Row],[كد تفصيلي]],'مانده سوفاله'!A:A,0)),0)</f>
        <v>0</v>
      </c>
    </row>
    <row r="115" spans="1:7" ht="24" customHeight="1" x14ac:dyDescent="0.35">
      <c r="A115" s="27">
        <v>10042</v>
      </c>
      <c r="B115" s="55" t="s">
        <v>47</v>
      </c>
      <c r="C115" s="10">
        <f>IFERROR(INDEX('حسابهای دریافتنی'!H:H,MATCH(Table216[[#This Row],[كد تفصيلي]],'حسابهای دریافتنی'!A:A,0)),0)</f>
        <v>-1120000</v>
      </c>
      <c r="D115" s="11">
        <f>IFERROR(INDEX('درجریان وصول'!F:F,MATCH(Table216[[#This Row],[كد تفصيلي]],'درجریان وصول'!A:A,0)),0)</f>
        <v>0</v>
      </c>
      <c r="E115" s="11">
        <f>IFERROR(INDEX('چکهای دریافتنی'!F:F,MATCH(Table216[[#This Row],[كد تفصيلي]],'چکهای دریافتنی'!A:A,0)),0)</f>
        <v>0</v>
      </c>
      <c r="F115" s="11">
        <f>Table216[[#This Row],[حسابهای دریافتنی]]+Table216[[#This Row],[چکهای در جریان وصول]]+Table216[[#This Row],[چکهای نزد صندوق]]</f>
        <v>-1120000</v>
      </c>
      <c r="G115" s="12">
        <f>IFERROR(INDEX('مانده سوفاله'!F:F,MATCH(Table216[[#This Row],[كد تفصيلي]],'مانده سوفاله'!A:A,0)),0)</f>
        <v>2</v>
      </c>
    </row>
    <row r="116" spans="1:7" ht="24" customHeight="1" x14ac:dyDescent="0.35">
      <c r="A116" s="27">
        <v>30032</v>
      </c>
      <c r="B116" s="55" t="s">
        <v>79</v>
      </c>
      <c r="C116" s="10">
        <f>IFERROR(INDEX('حسابهای دریافتنی'!H:H,MATCH(Table216[[#This Row],[كد تفصيلي]],'حسابهای دریافتنی'!A:A,0)),0)</f>
        <v>-1347000</v>
      </c>
      <c r="D116" s="11">
        <f>IFERROR(INDEX('درجریان وصول'!F:F,MATCH(Table216[[#This Row],[كد تفصيلي]],'درجریان وصول'!A:A,0)),0)</f>
        <v>0</v>
      </c>
      <c r="E116" s="11">
        <f>IFERROR(INDEX('چکهای دریافتنی'!F:F,MATCH(Table216[[#This Row],[كد تفصيلي]],'چکهای دریافتنی'!A:A,0)),0)</f>
        <v>0</v>
      </c>
      <c r="F116" s="11">
        <f>Table216[[#This Row],[حسابهای دریافتنی]]+Table216[[#This Row],[چکهای در جریان وصول]]+Table216[[#This Row],[چکهای نزد صندوق]]</f>
        <v>-1347000</v>
      </c>
      <c r="G116" s="12">
        <f>IFERROR(INDEX('مانده سوفاله'!F:F,MATCH(Table216[[#This Row],[كد تفصيلي]],'مانده سوفاله'!A:A,0)),0)</f>
        <v>0</v>
      </c>
    </row>
    <row r="117" spans="1:7" ht="24" customHeight="1" x14ac:dyDescent="0.35">
      <c r="A117" s="27">
        <v>30171</v>
      </c>
      <c r="B117" s="55" t="s">
        <v>322</v>
      </c>
      <c r="C117" s="10">
        <f>IFERROR(INDEX('حسابهای دریافتنی'!H:H,MATCH(Table216[[#This Row],[كد تفصيلي]],'حسابهای دریافتنی'!A:A,0)),0)</f>
        <v>-1500000</v>
      </c>
      <c r="D117" s="11">
        <f>IFERROR(INDEX('درجریان وصول'!F:F,MATCH(Table216[[#This Row],[كد تفصيلي]],'درجریان وصول'!A:A,0)),0)</f>
        <v>0</v>
      </c>
      <c r="E117" s="11">
        <f>IFERROR(INDEX('چکهای دریافتنی'!F:F,MATCH(Table216[[#This Row],[كد تفصيلي]],'چکهای دریافتنی'!A:A,0)),0)</f>
        <v>0</v>
      </c>
      <c r="F117" s="11">
        <f>Table216[[#This Row],[حسابهای دریافتنی]]+Table216[[#This Row],[چکهای در جریان وصول]]+Table216[[#This Row],[چکهای نزد صندوق]]</f>
        <v>-1500000</v>
      </c>
      <c r="G117" s="12">
        <f>IFERROR(INDEX('مانده سوفاله'!F:F,MATCH(Table216[[#This Row],[كد تفصيلي]],'مانده سوفاله'!A:A,0)),0)</f>
        <v>0</v>
      </c>
    </row>
    <row r="118" spans="1:7" ht="24" customHeight="1" x14ac:dyDescent="0.35">
      <c r="A118" s="26">
        <v>10103</v>
      </c>
      <c r="B118" s="56" t="s">
        <v>283</v>
      </c>
      <c r="C118" s="10">
        <f>IFERROR(INDEX('حسابهای دریافتنی'!H:H,MATCH(Table216[[#This Row],[كد تفصيلي]],'حسابهای دریافتنی'!A:A,0)),0)</f>
        <v>-1580000</v>
      </c>
      <c r="D118" s="11">
        <f>IFERROR(INDEX('درجریان وصول'!F:F,MATCH(Table216[[#This Row],[كد تفصيلي]],'درجریان وصول'!A:A,0)),0)</f>
        <v>0</v>
      </c>
      <c r="E118" s="11">
        <f>IFERROR(INDEX('چکهای دریافتنی'!F:F,MATCH(Table216[[#This Row],[كد تفصيلي]],'چکهای دریافتنی'!A:A,0)),0)</f>
        <v>0</v>
      </c>
      <c r="F118" s="11">
        <f>Table216[[#This Row],[حسابهای دریافتنی]]+Table216[[#This Row],[چکهای در جریان وصول]]+Table216[[#This Row],[چکهای نزد صندوق]]</f>
        <v>-1580000</v>
      </c>
      <c r="G118" s="12">
        <f>IFERROR(INDEX('مانده سوفاله'!F:F,MATCH(Table216[[#This Row],[كد تفصيلي]],'مانده سوفاله'!A:A,0)),0)</f>
        <v>0</v>
      </c>
    </row>
    <row r="119" spans="1:7" ht="24" customHeight="1" x14ac:dyDescent="0.35">
      <c r="A119" s="27">
        <v>10125</v>
      </c>
      <c r="B119" s="55" t="s">
        <v>345</v>
      </c>
      <c r="C119" s="10">
        <f>IFERROR(INDEX('حسابهای دریافتنی'!H:H,MATCH(Table216[[#This Row],[كد تفصيلي]],'حسابهای دریافتنی'!A:A,0)),0)</f>
        <v>-1650000</v>
      </c>
      <c r="D119" s="11">
        <f>IFERROR(INDEX('درجریان وصول'!F:F,MATCH(Table216[[#This Row],[كد تفصيلي]],'درجریان وصول'!A:A,0)),0)</f>
        <v>0</v>
      </c>
      <c r="E119" s="11">
        <f>IFERROR(INDEX('چکهای دریافتنی'!F:F,MATCH(Table216[[#This Row],[كد تفصيلي]],'چکهای دریافتنی'!A:A,0)),0)</f>
        <v>0</v>
      </c>
      <c r="F119" s="11">
        <f>Table216[[#This Row],[حسابهای دریافتنی]]+Table216[[#This Row],[چکهای در جریان وصول]]+Table216[[#This Row],[چکهای نزد صندوق]]</f>
        <v>-1650000</v>
      </c>
      <c r="G119" s="12">
        <f>IFERROR(INDEX('مانده سوفاله'!F:F,MATCH(Table216[[#This Row],[كد تفصيلي]],'مانده سوفاله'!A:A,0)),0)</f>
        <v>0</v>
      </c>
    </row>
    <row r="120" spans="1:7" ht="24" customHeight="1" x14ac:dyDescent="0.35">
      <c r="A120" s="26">
        <v>10110</v>
      </c>
      <c r="B120" s="56" t="s">
        <v>306</v>
      </c>
      <c r="C120" s="10">
        <f>IFERROR(INDEX('حسابهای دریافتنی'!H:H,MATCH(Table216[[#This Row],[كد تفصيلي]],'حسابهای دریافتنی'!A:A,0)),0)</f>
        <v>-1817500</v>
      </c>
      <c r="D120" s="11">
        <f>IFERROR(INDEX('درجریان وصول'!F:F,MATCH(Table216[[#This Row],[كد تفصيلي]],'درجریان وصول'!A:A,0)),0)</f>
        <v>0</v>
      </c>
      <c r="E120" s="11">
        <f>IFERROR(INDEX('چکهای دریافتنی'!F:F,MATCH(Table216[[#This Row],[كد تفصيلي]],'چکهای دریافتنی'!A:A,0)),0)</f>
        <v>0</v>
      </c>
      <c r="F120" s="11">
        <f>Table216[[#This Row],[حسابهای دریافتنی]]+Table216[[#This Row],[چکهای در جریان وصول]]+Table216[[#This Row],[چکهای نزد صندوق]]</f>
        <v>-1817500</v>
      </c>
      <c r="G120" s="12">
        <f>IFERROR(INDEX('مانده سوفاله'!F:F,MATCH(Table216[[#This Row],[كد تفصيلي]],'مانده سوفاله'!A:A,0)),0)</f>
        <v>7</v>
      </c>
    </row>
    <row r="121" spans="1:7" ht="24" customHeight="1" x14ac:dyDescent="0.35">
      <c r="A121" s="27">
        <v>30103</v>
      </c>
      <c r="B121" s="55" t="s">
        <v>240</v>
      </c>
      <c r="C121" s="10">
        <f>IFERROR(INDEX('حسابهای دریافتنی'!H:H,MATCH(Table216[[#This Row],[كد تفصيلي]],'حسابهای دریافتنی'!A:A,0)),0)</f>
        <v>-1820000</v>
      </c>
      <c r="D121" s="11">
        <f>IFERROR(INDEX('درجریان وصول'!F:F,MATCH(Table216[[#This Row],[كد تفصيلي]],'درجریان وصول'!A:A,0)),0)</f>
        <v>0</v>
      </c>
      <c r="E121" s="11">
        <f>IFERROR(INDEX('چکهای دریافتنی'!F:F,MATCH(Table216[[#This Row],[كد تفصيلي]],'چکهای دریافتنی'!A:A,0)),0)</f>
        <v>0</v>
      </c>
      <c r="F121" s="11">
        <f>Table216[[#This Row],[حسابهای دریافتنی]]+Table216[[#This Row],[چکهای در جریان وصول]]+Table216[[#This Row],[چکهای نزد صندوق]]</f>
        <v>-1820000</v>
      </c>
      <c r="G121" s="12">
        <f>IFERROR(INDEX('مانده سوفاله'!F:F,MATCH(Table216[[#This Row],[كد تفصيلي]],'مانده سوفاله'!A:A,0)),0)</f>
        <v>0</v>
      </c>
    </row>
    <row r="122" spans="1:7" ht="24" customHeight="1" x14ac:dyDescent="0.35">
      <c r="A122" s="26">
        <v>30128</v>
      </c>
      <c r="B122" s="56" t="s">
        <v>212</v>
      </c>
      <c r="C122" s="10">
        <f>IFERROR(INDEX('حسابهای دریافتنی'!H:H,MATCH(Table216[[#This Row],[كد تفصيلي]],'حسابهای دریافتنی'!A:A,0)),0)</f>
        <v>-2451320</v>
      </c>
      <c r="D122" s="11">
        <f>IFERROR(INDEX('درجریان وصول'!F:F,MATCH(Table216[[#This Row],[كد تفصيلي]],'درجریان وصول'!A:A,0)),0)</f>
        <v>0</v>
      </c>
      <c r="E122" s="11">
        <f>IFERROR(INDEX('چکهای دریافتنی'!F:F,MATCH(Table216[[#This Row],[كد تفصيلي]],'چکهای دریافتنی'!A:A,0)),0)</f>
        <v>0</v>
      </c>
      <c r="F122" s="11">
        <f>Table216[[#This Row],[حسابهای دریافتنی]]+Table216[[#This Row],[چکهای در جریان وصول]]+Table216[[#This Row],[چکهای نزد صندوق]]</f>
        <v>-2451320</v>
      </c>
      <c r="G122" s="12">
        <f>IFERROR(INDEX('مانده سوفاله'!F:F,MATCH(Table216[[#This Row],[كد تفصيلي]],'مانده سوفاله'!A:A,0)),0)</f>
        <v>0</v>
      </c>
    </row>
    <row r="123" spans="1:7" ht="24" customHeight="1" x14ac:dyDescent="0.35">
      <c r="A123" s="26">
        <v>30015</v>
      </c>
      <c r="B123" s="56" t="s">
        <v>64</v>
      </c>
      <c r="C123" s="10">
        <f>IFERROR(INDEX('حسابهای دریافتنی'!H:H,MATCH(Table216[[#This Row],[كد تفصيلي]],'حسابهای دریافتنی'!A:A,0)),0)</f>
        <v>-3105895</v>
      </c>
      <c r="D123" s="11">
        <f>IFERROR(INDEX('درجریان وصول'!F:F,MATCH(Table216[[#This Row],[كد تفصيلي]],'درجریان وصول'!A:A,0)),0)</f>
        <v>0</v>
      </c>
      <c r="E123" s="11">
        <f>IFERROR(INDEX('چکهای دریافتنی'!F:F,MATCH(Table216[[#This Row],[كد تفصيلي]],'چکهای دریافتنی'!A:A,0)),0)</f>
        <v>0</v>
      </c>
      <c r="F123" s="11">
        <f>Table216[[#This Row],[حسابهای دریافتنی]]+Table216[[#This Row],[چکهای در جریان وصول]]+Table216[[#This Row],[چکهای نزد صندوق]]</f>
        <v>-3105895</v>
      </c>
      <c r="G123" s="12">
        <f>IFERROR(INDEX('مانده سوفاله'!F:F,MATCH(Table216[[#This Row],[كد تفصيلي]],'مانده سوفاله'!A:A,0)),0)</f>
        <v>0</v>
      </c>
    </row>
    <row r="124" spans="1:7" ht="24" customHeight="1" x14ac:dyDescent="0.35">
      <c r="A124" s="26">
        <v>30110</v>
      </c>
      <c r="B124" s="56" t="s">
        <v>200</v>
      </c>
      <c r="C124" s="10">
        <f>IFERROR(INDEX('حسابهای دریافتنی'!H:H,MATCH(Table216[[#This Row],[كد تفصيلي]],'حسابهای دریافتنی'!A:A,0)),0)</f>
        <v>-3492360</v>
      </c>
      <c r="D124" s="11">
        <f>IFERROR(INDEX('درجریان وصول'!F:F,MATCH(Table216[[#This Row],[كد تفصيلي]],'درجریان وصول'!A:A,0)),0)</f>
        <v>0</v>
      </c>
      <c r="E124" s="11">
        <f>IFERROR(INDEX('چکهای دریافتنی'!F:F,MATCH(Table216[[#This Row],[كد تفصيلي]],'چکهای دریافتنی'!A:A,0)),0)</f>
        <v>0</v>
      </c>
      <c r="F124" s="11">
        <f>Table216[[#This Row],[حسابهای دریافتنی]]+Table216[[#This Row],[چکهای در جریان وصول]]+Table216[[#This Row],[چکهای نزد صندوق]]</f>
        <v>-3492360</v>
      </c>
      <c r="G124" s="12">
        <f>IFERROR(INDEX('مانده سوفاله'!F:F,MATCH(Table216[[#This Row],[كد تفصيلي]],'مانده سوفاله'!A:A,0)),0)</f>
        <v>0</v>
      </c>
    </row>
    <row r="125" spans="1:7" ht="24" customHeight="1" x14ac:dyDescent="0.35">
      <c r="A125" s="26">
        <v>10049</v>
      </c>
      <c r="B125" s="56" t="s">
        <v>157</v>
      </c>
      <c r="C125" s="10">
        <f>IFERROR(INDEX('حسابهای دریافتنی'!H:H,MATCH(Table216[[#This Row],[كد تفصيلي]],'حسابهای دریافتنی'!A:A,0)),0)</f>
        <v>-32909500</v>
      </c>
      <c r="D125" s="11">
        <f>IFERROR(INDEX('درجریان وصول'!F:F,MATCH(Table216[[#This Row],[كد تفصيلي]],'درجریان وصول'!A:A,0)),0)</f>
        <v>0</v>
      </c>
      <c r="E125" s="11">
        <f>IFERROR(INDEX('چکهای دریافتنی'!F:F,MATCH(Table216[[#This Row],[كد تفصيلي]],'چکهای دریافتنی'!A:A,0)),0)</f>
        <v>0</v>
      </c>
      <c r="F125" s="11">
        <f>Table216[[#This Row],[حسابهای دریافتنی]]+Table216[[#This Row],[چکهای در جریان وصول]]+Table216[[#This Row],[چکهای نزد صندوق]]</f>
        <v>-32909500</v>
      </c>
      <c r="G125" s="12">
        <f>IFERROR(INDEX('مانده سوفاله'!F:F,MATCH(Table216[[#This Row],[كد تفصيلي]],'مانده سوفاله'!A:A,0)),0)</f>
        <v>0</v>
      </c>
    </row>
    <row r="126" spans="1:7" ht="24" customHeight="1" x14ac:dyDescent="0.35">
      <c r="A126" s="26">
        <v>10015</v>
      </c>
      <c r="B126" s="56" t="s">
        <v>22</v>
      </c>
      <c r="C126" s="10">
        <f>IFERROR(INDEX('حسابهای دریافتنی'!H:H,MATCH(Table216[[#This Row],[كد تفصيلي]],'حسابهای دریافتنی'!A:A,0)),0)</f>
        <v>-4735000</v>
      </c>
      <c r="D126" s="11">
        <f>IFERROR(INDEX('درجریان وصول'!F:F,MATCH(Table216[[#This Row],[كد تفصيلي]],'درجریان وصول'!A:A,0)),0)</f>
        <v>0</v>
      </c>
      <c r="E126" s="11">
        <f>IFERROR(INDEX('چکهای دریافتنی'!F:F,MATCH(Table216[[#This Row],[كد تفصيلي]],'چکهای دریافتنی'!A:A,0)),0)</f>
        <v>0</v>
      </c>
      <c r="F126" s="11">
        <f>Table216[[#This Row],[حسابهای دریافتنی]]+Table216[[#This Row],[چکهای در جریان وصول]]+Table216[[#This Row],[چکهای نزد صندوق]]</f>
        <v>-4735000</v>
      </c>
      <c r="G126" s="12">
        <f>IFERROR(INDEX('مانده سوفاله'!F:F,MATCH(Table216[[#This Row],[كد تفصيلي]],'مانده سوفاله'!A:A,0)),0)</f>
        <v>12</v>
      </c>
    </row>
    <row r="127" spans="1:7" ht="24" customHeight="1" x14ac:dyDescent="0.35">
      <c r="A127" s="26">
        <v>30023</v>
      </c>
      <c r="B127" s="56" t="s">
        <v>71</v>
      </c>
      <c r="C127" s="10">
        <f>IFERROR(INDEX('حسابهای دریافتنی'!H:H,MATCH(Table216[[#This Row],[كد تفصيلي]],'حسابهای دریافتنی'!A:A,0)),0)</f>
        <v>-5793600</v>
      </c>
      <c r="D127" s="11">
        <f>IFERROR(INDEX('درجریان وصول'!F:F,MATCH(Table216[[#This Row],[كد تفصيلي]],'درجریان وصول'!A:A,0)),0)</f>
        <v>0</v>
      </c>
      <c r="E127" s="11">
        <f>IFERROR(INDEX('چکهای دریافتنی'!F:F,MATCH(Table216[[#This Row],[كد تفصيلي]],'چکهای دریافتنی'!A:A,0)),0)</f>
        <v>0</v>
      </c>
      <c r="F127" s="11">
        <f>Table216[[#This Row],[حسابهای دریافتنی]]+Table216[[#This Row],[چکهای در جریان وصول]]+Table216[[#This Row],[چکهای نزد صندوق]]</f>
        <v>-5793600</v>
      </c>
      <c r="G127" s="12">
        <f>IFERROR(INDEX('مانده سوفاله'!F:F,MATCH(Table216[[#This Row],[كد تفصيلي]],'مانده سوفاله'!A:A,0)),0)</f>
        <v>0</v>
      </c>
    </row>
    <row r="128" spans="1:7" ht="24" customHeight="1" x14ac:dyDescent="0.35">
      <c r="A128" s="26">
        <v>10091</v>
      </c>
      <c r="B128" s="56" t="s">
        <v>258</v>
      </c>
      <c r="C128" s="10">
        <f>IFERROR(INDEX('حسابهای دریافتنی'!H:H,MATCH(Table216[[#This Row],[كد تفصيلي]],'حسابهای دریافتنی'!A:A,0)),0)</f>
        <v>59321500</v>
      </c>
      <c r="D128" s="11">
        <f>IFERROR(INDEX('درجریان وصول'!F:F,MATCH(Table216[[#This Row],[كد تفصيلي]],'درجریان وصول'!A:A,0)),0)</f>
        <v>0</v>
      </c>
      <c r="E128" s="11">
        <f>IFERROR(INDEX('چکهای دریافتنی'!F:F,MATCH(Table216[[#This Row],[كد تفصيلي]],'چکهای دریافتنی'!A:A,0)),0)</f>
        <v>0</v>
      </c>
      <c r="F128" s="11">
        <f>Table216[[#This Row],[حسابهای دریافتنی]]+Table216[[#This Row],[چکهای در جریان وصول]]+Table216[[#This Row],[چکهای نزد صندوق]]</f>
        <v>59321500</v>
      </c>
      <c r="G128" s="12">
        <f>IFERROR(INDEX('مانده سوفاله'!F:F,MATCH(Table216[[#This Row],[كد تفصيلي]],'مانده سوفاله'!A:A,0)),0)</f>
        <v>0</v>
      </c>
    </row>
    <row r="129" spans="1:7" ht="24" customHeight="1" x14ac:dyDescent="0.35">
      <c r="A129" s="26">
        <v>30176</v>
      </c>
      <c r="B129" s="56" t="s">
        <v>332</v>
      </c>
      <c r="C129" s="10">
        <f>IFERROR(INDEX('حسابهای دریافتنی'!H:H,MATCH(Table216[[#This Row],[كد تفصيلي]],'حسابهای دریافتنی'!A:A,0)),0)</f>
        <v>-7540075</v>
      </c>
      <c r="D129" s="11">
        <f>IFERROR(INDEX('درجریان وصول'!F:F,MATCH(Table216[[#This Row],[كد تفصيلي]],'درجریان وصول'!A:A,0)),0)</f>
        <v>0</v>
      </c>
      <c r="E129" s="11">
        <f>IFERROR(INDEX('چکهای دریافتنی'!F:F,MATCH(Table216[[#This Row],[كد تفصيلي]],'چکهای دریافتنی'!A:A,0)),0)</f>
        <v>0</v>
      </c>
      <c r="F129" s="11">
        <f>Table216[[#This Row],[حسابهای دریافتنی]]+Table216[[#This Row],[چکهای در جریان وصول]]+Table216[[#This Row],[چکهای نزد صندوق]]</f>
        <v>-7540075</v>
      </c>
      <c r="G129" s="12">
        <f>IFERROR(INDEX('مانده سوفاله'!F:F,MATCH(Table216[[#This Row],[كد تفصيلي]],'مانده سوفاله'!A:A,0)),0)</f>
        <v>0</v>
      </c>
    </row>
    <row r="130" spans="1:7" ht="24" customHeight="1" x14ac:dyDescent="0.35">
      <c r="A130" s="26">
        <v>10106</v>
      </c>
      <c r="B130" s="56" t="s">
        <v>298</v>
      </c>
      <c r="C130" s="10">
        <f>IFERROR(INDEX('حسابهای دریافتنی'!H:H,MATCH(Table216[[#This Row],[كد تفصيلي]],'حسابهای دریافتنی'!A:A,0)),0)</f>
        <v>-9134000</v>
      </c>
      <c r="D130" s="11">
        <f>IFERROR(INDEX('درجریان وصول'!F:F,MATCH(Table216[[#This Row],[كد تفصيلي]],'درجریان وصول'!A:A,0)),0)</f>
        <v>0</v>
      </c>
      <c r="E130" s="11">
        <f>IFERROR(INDEX('چکهای دریافتنی'!F:F,MATCH(Table216[[#This Row],[كد تفصيلي]],'چکهای دریافتنی'!A:A,0)),0)</f>
        <v>0</v>
      </c>
      <c r="F130" s="11">
        <f>Table216[[#This Row],[حسابهای دریافتنی]]+Table216[[#This Row],[چکهای در جریان وصول]]+Table216[[#This Row],[چکهای نزد صندوق]]</f>
        <v>-9134000</v>
      </c>
      <c r="G130" s="12">
        <f>IFERROR(INDEX('مانده سوفاله'!F:F,MATCH(Table216[[#This Row],[كد تفصيلي]],'مانده سوفاله'!A:A,0)),0)</f>
        <v>0</v>
      </c>
    </row>
    <row r="131" spans="1:7" customFormat="1" ht="24" customHeight="1" x14ac:dyDescent="0.35">
      <c r="A131" s="54">
        <v>10102</v>
      </c>
      <c r="B131" s="55" t="s">
        <v>282</v>
      </c>
      <c r="C131" s="10">
        <f>IFERROR(INDEX('حسابهای دریافتنی'!H:H,MATCH(Table216[[#This Row],[كد تفصيلي]],'حسابهای دریافتنی'!A:A,0)),0)</f>
        <v>-10374000</v>
      </c>
      <c r="D131" s="11">
        <f>IFERROR(INDEX('درجریان وصول'!F:F,MATCH(Table216[[#This Row],[كد تفصيلي]],'درجریان وصول'!A:A,0)),0)</f>
        <v>0</v>
      </c>
      <c r="E131" s="11">
        <f>IFERROR(INDEX('چکهای دریافتنی'!F:F,MATCH(Table216[[#This Row],[كد تفصيلي]],'چکهای دریافتنی'!A:A,0)),0)</f>
        <v>0</v>
      </c>
      <c r="F131" s="11">
        <f>Table216[[#This Row],[حسابهای دریافتنی]]+Table216[[#This Row],[چکهای در جریان وصول]]+Table216[[#This Row],[چکهای نزد صندوق]]</f>
        <v>-10374000</v>
      </c>
      <c r="G131" s="12">
        <f>IFERROR(INDEX('مانده سوفاله'!F:F,MATCH(Table216[[#This Row],[كد تفصيلي]],'مانده سوفاله'!A:A,0)),0)</f>
        <v>0</v>
      </c>
    </row>
    <row r="132" spans="1:7" customFormat="1" ht="24" customHeight="1" x14ac:dyDescent="0.35">
      <c r="A132" s="53">
        <v>30189</v>
      </c>
      <c r="B132" s="56" t="s">
        <v>458</v>
      </c>
      <c r="C132" s="10">
        <f>IFERROR(INDEX('حسابهای دریافتنی'!H:H,MATCH(Table216[[#This Row],[كد تفصيلي]],'حسابهای دریافتنی'!A:A,0)),0)</f>
        <v>20776490</v>
      </c>
      <c r="D132" s="11">
        <f>IFERROR(INDEX('درجریان وصول'!F:F,MATCH(Table216[[#This Row],[كد تفصيلي]],'درجریان وصول'!A:A,0)),0)</f>
        <v>0</v>
      </c>
      <c r="E132" s="11">
        <f>IFERROR(INDEX('چکهای دریافتنی'!F:F,MATCH(Table216[[#This Row],[كد تفصيلي]],'چکهای دریافتنی'!A:A,0)),0)</f>
        <v>0</v>
      </c>
      <c r="F132" s="11">
        <f>Table216[[#This Row],[حسابهای دریافتنی]]+Table216[[#This Row],[چکهای در جریان وصول]]+Table216[[#This Row],[چکهای نزد صندوق]]</f>
        <v>20776490</v>
      </c>
      <c r="G132" s="12">
        <f>IFERROR(INDEX('مانده سوفاله'!F:F,MATCH(Table216[[#This Row],[كد تفصيلي]],'مانده سوفاله'!A:A,0)),0)</f>
        <v>0</v>
      </c>
    </row>
    <row r="133" spans="1:7" customFormat="1" ht="24" customHeight="1" x14ac:dyDescent="0.35">
      <c r="A133" s="54">
        <v>10058</v>
      </c>
      <c r="B133" s="55" t="s">
        <v>173</v>
      </c>
      <c r="C133" s="10">
        <f>IFERROR(INDEX('حسابهای دریافتنی'!H:H,MATCH(Table216[[#This Row],[كد تفصيلي]],'حسابهای دریافتنی'!A:A,0)),0)</f>
        <v>-13650000</v>
      </c>
      <c r="D133" s="11">
        <f>IFERROR(INDEX('درجریان وصول'!F:F,MATCH(Table216[[#This Row],[كد تفصيلي]],'درجریان وصول'!A:A,0)),0)</f>
        <v>0</v>
      </c>
      <c r="E133" s="11">
        <f>IFERROR(INDEX('چکهای دریافتنی'!F:F,MATCH(Table216[[#This Row],[كد تفصيلي]],'چکهای دریافتنی'!A:A,0)),0)</f>
        <v>0</v>
      </c>
      <c r="F133" s="11">
        <f>Table216[[#This Row],[حسابهای دریافتنی]]+Table216[[#This Row],[چکهای در جریان وصول]]+Table216[[#This Row],[چکهای نزد صندوق]]</f>
        <v>-13650000</v>
      </c>
      <c r="G133" s="12">
        <f>IFERROR(INDEX('مانده سوفاله'!F:F,MATCH(Table216[[#This Row],[كد تفصيلي]],'مانده سوفاله'!A:A,0)),0)</f>
        <v>0</v>
      </c>
    </row>
    <row r="134" spans="1:7" customFormat="1" ht="24" customHeight="1" x14ac:dyDescent="0.35">
      <c r="A134" s="53">
        <v>30082</v>
      </c>
      <c r="B134" s="56" t="s">
        <v>127</v>
      </c>
      <c r="C134" s="10">
        <f>IFERROR(INDEX('حسابهای دریافتنی'!H:H,MATCH(Table216[[#This Row],[كد تفصيلي]],'حسابهای دریافتنی'!A:A,0)),0)</f>
        <v>-15037000</v>
      </c>
      <c r="D134" s="11">
        <f>IFERROR(INDEX('درجریان وصول'!F:F,MATCH(Table216[[#This Row],[كد تفصيلي]],'درجریان وصول'!A:A,0)),0)</f>
        <v>0</v>
      </c>
      <c r="E134" s="11">
        <f>IFERROR(INDEX('چکهای دریافتنی'!F:F,MATCH(Table216[[#This Row],[كد تفصيلي]],'چکهای دریافتنی'!A:A,0)),0)</f>
        <v>0</v>
      </c>
      <c r="F134" s="11">
        <f>Table216[[#This Row],[حسابهای دریافتنی]]+Table216[[#This Row],[چکهای در جریان وصول]]+Table216[[#This Row],[چکهای نزد صندوق]]</f>
        <v>-15037000</v>
      </c>
      <c r="G134" s="12">
        <f>IFERROR(INDEX('مانده سوفاله'!F:F,MATCH(Table216[[#This Row],[كد تفصيلي]],'مانده سوفاله'!A:A,0)),0)</f>
        <v>-16</v>
      </c>
    </row>
    <row r="135" spans="1:7" customFormat="1" ht="24" customHeight="1" x14ac:dyDescent="0.35">
      <c r="A135" s="54">
        <v>30034</v>
      </c>
      <c r="B135" s="55" t="s">
        <v>81</v>
      </c>
      <c r="C135" s="10">
        <f>IFERROR(INDEX('حسابهای دریافتنی'!H:H,MATCH(Table216[[#This Row],[كد تفصيلي]],'حسابهای دریافتنی'!A:A,0)),0)</f>
        <v>388329200</v>
      </c>
      <c r="D135" s="11">
        <f>IFERROR(INDEX('درجریان وصول'!F:F,MATCH(Table216[[#This Row],[كد تفصيلي]],'درجریان وصول'!A:A,0)),0)</f>
        <v>0</v>
      </c>
      <c r="E135" s="11">
        <f>IFERROR(INDEX('چکهای دریافتنی'!F:F,MATCH(Table216[[#This Row],[كد تفصيلي]],'چکهای دریافتنی'!A:A,0)),0)</f>
        <v>0</v>
      </c>
      <c r="F135" s="11">
        <f>Table216[[#This Row],[حسابهای دریافتنی]]+Table216[[#This Row],[چکهای در جریان وصول]]+Table216[[#This Row],[چکهای نزد صندوق]]</f>
        <v>388329200</v>
      </c>
      <c r="G135" s="12">
        <f>IFERROR(INDEX('مانده سوفاله'!F:F,MATCH(Table216[[#This Row],[كد تفصيلي]],'مانده سوفاله'!A:A,0)),0)</f>
        <v>2886</v>
      </c>
    </row>
    <row r="136" spans="1:7" customFormat="1" ht="24" customHeight="1" x14ac:dyDescent="0.35">
      <c r="A136" s="54">
        <v>30042</v>
      </c>
      <c r="B136" s="55" t="s">
        <v>89</v>
      </c>
      <c r="C136" s="10">
        <f>IFERROR(INDEX('حسابهای دریافتنی'!H:H,MATCH(Table216[[#This Row],[كد تفصيلي]],'حسابهای دریافتنی'!A:A,0)),0)</f>
        <v>-18303540</v>
      </c>
      <c r="D136" s="11">
        <f>IFERROR(INDEX('درجریان وصول'!F:F,MATCH(Table216[[#This Row],[كد تفصيلي]],'درجریان وصول'!A:A,0)),0)</f>
        <v>0</v>
      </c>
      <c r="E136" s="11">
        <f>IFERROR(INDEX('چکهای دریافتنی'!F:F,MATCH(Table216[[#This Row],[كد تفصيلي]],'چکهای دریافتنی'!A:A,0)),0)</f>
        <v>0</v>
      </c>
      <c r="F136" s="11">
        <f>Table216[[#This Row],[حسابهای دریافتنی]]+Table216[[#This Row],[چکهای در جریان وصول]]+Table216[[#This Row],[چکهای نزد صندوق]]</f>
        <v>-18303540</v>
      </c>
      <c r="G136" s="12">
        <f>IFERROR(INDEX('مانده سوفاله'!F:F,MATCH(Table216[[#This Row],[كد تفصيلي]],'مانده سوفاله'!A:A,0)),0)</f>
        <v>0</v>
      </c>
    </row>
    <row r="137" spans="1:7" customFormat="1" ht="24" customHeight="1" x14ac:dyDescent="0.35">
      <c r="A137" s="54">
        <v>30155</v>
      </c>
      <c r="B137" s="55" t="s">
        <v>289</v>
      </c>
      <c r="C137" s="10">
        <f>IFERROR(INDEX('حسابهای دریافتنی'!H:H,MATCH(Table216[[#This Row],[كد تفصيلي]],'حسابهای دریافتنی'!A:A,0)),0)</f>
        <v>-454985417</v>
      </c>
      <c r="D137" s="11">
        <f>IFERROR(INDEX('درجریان وصول'!F:F,MATCH(Table216[[#This Row],[كد تفصيلي]],'درجریان وصول'!A:A,0)),0)</f>
        <v>0</v>
      </c>
      <c r="E137" s="11">
        <f>IFERROR(INDEX('چکهای دریافتنی'!F:F,MATCH(Table216[[#This Row],[كد تفصيلي]],'چکهای دریافتنی'!A:A,0)),0)</f>
        <v>1379936267</v>
      </c>
      <c r="F137" s="11">
        <f>Table216[[#This Row],[حسابهای دریافتنی]]+Table216[[#This Row],[چکهای در جریان وصول]]+Table216[[#This Row],[چکهای نزد صندوق]]</f>
        <v>924950850</v>
      </c>
      <c r="G137" s="12">
        <f>IFERROR(INDEX('مانده سوفاله'!F:F,MATCH(Table216[[#This Row],[كد تفصيلي]],'مانده سوفاله'!A:A,0)),0)</f>
        <v>0</v>
      </c>
    </row>
    <row r="138" spans="1:7" customFormat="1" ht="24" customHeight="1" x14ac:dyDescent="0.35">
      <c r="A138" s="54">
        <v>30028</v>
      </c>
      <c r="B138" s="55" t="s">
        <v>76</v>
      </c>
      <c r="C138" s="10">
        <f>IFERROR(INDEX('حسابهای دریافتنی'!H:H,MATCH(Table216[[#This Row],[كد تفصيلي]],'حسابهای دریافتنی'!A:A,0)),0)</f>
        <v>-23665000</v>
      </c>
      <c r="D138" s="11">
        <f>IFERROR(INDEX('درجریان وصول'!F:F,MATCH(Table216[[#This Row],[كد تفصيلي]],'درجریان وصول'!A:A,0)),0)</f>
        <v>0</v>
      </c>
      <c r="E138" s="11">
        <f>IFERROR(INDEX('چکهای دریافتنی'!F:F,MATCH(Table216[[#This Row],[كد تفصيلي]],'چکهای دریافتنی'!A:A,0)),0)</f>
        <v>0</v>
      </c>
      <c r="F138" s="11">
        <f>Table216[[#This Row],[حسابهای دریافتنی]]+Table216[[#This Row],[چکهای در جریان وصول]]+Table216[[#This Row],[چکهای نزد صندوق]]</f>
        <v>-23665000</v>
      </c>
      <c r="G138" s="12">
        <f>IFERROR(INDEX('مانده سوفاله'!F:F,MATCH(Table216[[#This Row],[كد تفصيلي]],'مانده سوفاله'!A:A,0)),0)</f>
        <v>0</v>
      </c>
    </row>
    <row r="139" spans="1:7" customFormat="1" ht="24" customHeight="1" x14ac:dyDescent="0.35">
      <c r="A139" s="54">
        <v>30187</v>
      </c>
      <c r="B139" s="55" t="s">
        <v>369</v>
      </c>
      <c r="C139" s="10">
        <f>IFERROR(INDEX('حسابهای دریافتنی'!H:H,MATCH(Table216[[#This Row],[كد تفصيلي]],'حسابهای دریافتنی'!A:A,0)),0)</f>
        <v>337825500</v>
      </c>
      <c r="D139" s="11">
        <f>IFERROR(INDEX('درجریان وصول'!F:F,MATCH(Table216[[#This Row],[كد تفصيلي]],'درجریان وصول'!A:A,0)),0)</f>
        <v>0</v>
      </c>
      <c r="E139" s="11">
        <f>IFERROR(INDEX('چکهای دریافتنی'!F:F,MATCH(Table216[[#This Row],[كد تفصيلي]],'چکهای دریافتنی'!A:A,0)),0)</f>
        <v>0</v>
      </c>
      <c r="F139" s="11">
        <f>Table216[[#This Row],[حسابهای دریافتنی]]+Table216[[#This Row],[چکهای در جریان وصول]]+Table216[[#This Row],[چکهای نزد صندوق]]</f>
        <v>337825500</v>
      </c>
      <c r="G139" s="12">
        <f>IFERROR(INDEX('مانده سوفاله'!F:F,MATCH(Table216[[#This Row],[كد تفصيلي]],'مانده سوفاله'!A:A,0)),0)</f>
        <v>-108</v>
      </c>
    </row>
    <row r="140" spans="1:7" customFormat="1" ht="24" customHeight="1" x14ac:dyDescent="0.35">
      <c r="A140" s="53">
        <v>30072</v>
      </c>
      <c r="B140" s="56" t="s">
        <v>117</v>
      </c>
      <c r="C140" s="10">
        <f>IFERROR(INDEX('حسابهای دریافتنی'!H:H,MATCH(Table216[[#This Row],[كد تفصيلي]],'حسابهای دریافتنی'!A:A,0)),0)</f>
        <v>-30178900</v>
      </c>
      <c r="D140" s="11">
        <f>IFERROR(INDEX('درجریان وصول'!F:F,MATCH(Table216[[#This Row],[كد تفصيلي]],'درجریان وصول'!A:A,0)),0)</f>
        <v>0</v>
      </c>
      <c r="E140" s="11">
        <f>IFERROR(INDEX('چکهای دریافتنی'!F:F,MATCH(Table216[[#This Row],[كد تفصيلي]],'چکهای دریافتنی'!A:A,0)),0)</f>
        <v>0</v>
      </c>
      <c r="F140" s="11">
        <f>Table216[[#This Row],[حسابهای دریافتنی]]+Table216[[#This Row],[چکهای در جریان وصول]]+Table216[[#This Row],[چکهای نزد صندوق]]</f>
        <v>-30178900</v>
      </c>
      <c r="G140" s="12">
        <f>IFERROR(INDEX('مانده سوفاله'!F:F,MATCH(Table216[[#This Row],[كد تفصيلي]],'مانده سوفاله'!A:A,0)),0)</f>
        <v>-79</v>
      </c>
    </row>
    <row r="141" spans="1:7" customFormat="1" ht="24" customHeight="1" x14ac:dyDescent="0.35">
      <c r="A141" s="54">
        <v>30000</v>
      </c>
      <c r="B141" s="55" t="s">
        <v>189</v>
      </c>
      <c r="C141" s="10">
        <f>IFERROR(INDEX('حسابهای دریافتنی'!H:H,MATCH(Table216[[#This Row],[كد تفصيلي]],'حسابهای دریافتنی'!A:A,0)),0)</f>
        <v>-55440000</v>
      </c>
      <c r="D141" s="11">
        <f>IFERROR(INDEX('درجریان وصول'!F:F,MATCH(Table216[[#This Row],[كد تفصيلي]],'درجریان وصول'!A:A,0)),0)</f>
        <v>0</v>
      </c>
      <c r="E141" s="11">
        <f>IFERROR(INDEX('چکهای دریافتنی'!F:F,MATCH(Table216[[#This Row],[كد تفصيلي]],'چکهای دریافتنی'!A:A,0)),0)</f>
        <v>0</v>
      </c>
      <c r="F141" s="11">
        <f>Table216[[#This Row],[حسابهای دریافتنی]]+Table216[[#This Row],[چکهای در جریان وصول]]+Table216[[#This Row],[چکهای نزد صندوق]]</f>
        <v>-55440000</v>
      </c>
      <c r="G141" s="12">
        <f>IFERROR(INDEX('مانده سوفاله'!F:F,MATCH(Table216[[#This Row],[كد تفصيلي]],'مانده سوفاله'!A:A,0)),0)</f>
        <v>0</v>
      </c>
    </row>
    <row r="142" spans="1:7" customFormat="1" ht="24" customHeight="1" x14ac:dyDescent="0.35">
      <c r="A142" s="54">
        <v>30133</v>
      </c>
      <c r="B142" s="55" t="s">
        <v>251</v>
      </c>
      <c r="C142" s="10">
        <f>IFERROR(INDEX('حسابهای دریافتنی'!H:H,MATCH(Table216[[#This Row],[كد تفصيلي]],'حسابهای دریافتنی'!A:A,0)),0)</f>
        <v>-66889500</v>
      </c>
      <c r="D142" s="11">
        <f>IFERROR(INDEX('درجریان وصول'!F:F,MATCH(Table216[[#This Row],[كد تفصيلي]],'درجریان وصول'!A:A,0)),0)</f>
        <v>0</v>
      </c>
      <c r="E142" s="11">
        <f>IFERROR(INDEX('چکهای دریافتنی'!F:F,MATCH(Table216[[#This Row],[كد تفصيلي]],'چکهای دریافتنی'!A:A,0)),0)</f>
        <v>0</v>
      </c>
      <c r="F142" s="11">
        <f>Table216[[#This Row],[حسابهای دریافتنی]]+Table216[[#This Row],[چکهای در جریان وصول]]+Table216[[#This Row],[چکهای نزد صندوق]]</f>
        <v>-66889500</v>
      </c>
      <c r="G142" s="12">
        <f>IFERROR(INDEX('مانده سوفاله'!F:F,MATCH(Table216[[#This Row],[كد تفصيلي]],'مانده سوفاله'!A:A,0)),0)</f>
        <v>0</v>
      </c>
    </row>
    <row r="143" spans="1:7" customFormat="1" ht="24" customHeight="1" x14ac:dyDescent="0.35">
      <c r="A143" s="54">
        <v>10084</v>
      </c>
      <c r="B143" s="55" t="s">
        <v>217</v>
      </c>
      <c r="C143" s="10">
        <f>IFERROR(INDEX('حسابهای دریافتنی'!H:H,MATCH(Table216[[#This Row],[كد تفصيلي]],'حسابهای دریافتنی'!A:A,0)),0)</f>
        <v>358092810</v>
      </c>
      <c r="D143" s="11">
        <f>IFERROR(INDEX('درجریان وصول'!F:F,MATCH(Table216[[#This Row],[كد تفصيلي]],'درجریان وصول'!A:A,0)),0)</f>
        <v>0</v>
      </c>
      <c r="E143" s="11">
        <f>IFERROR(INDEX('چکهای دریافتنی'!F:F,MATCH(Table216[[#This Row],[كد تفصيلي]],'چکهای دریافتنی'!A:A,0)),0)</f>
        <v>870000000</v>
      </c>
      <c r="F143" s="11">
        <f>Table216[[#This Row],[حسابهای دریافتنی]]+Table216[[#This Row],[چکهای در جریان وصول]]+Table216[[#This Row],[چکهای نزد صندوق]]</f>
        <v>1228092810</v>
      </c>
      <c r="G143" s="12">
        <f>IFERROR(INDEX('مانده سوفاله'!F:F,MATCH(Table216[[#This Row],[كد تفصيلي]],'مانده سوفاله'!A:A,0)),0)</f>
        <v>-1656</v>
      </c>
    </row>
    <row r="144" spans="1:7" customFormat="1" ht="24" customHeight="1" x14ac:dyDescent="0.35">
      <c r="A144" s="53">
        <v>10089</v>
      </c>
      <c r="B144" s="56" t="s">
        <v>255</v>
      </c>
      <c r="C144" s="10">
        <f>IFERROR(INDEX('حسابهای دریافتنی'!H:H,MATCH(Table216[[#This Row],[كد تفصيلي]],'حسابهای دریافتنی'!A:A,0)),0)</f>
        <v>-143944000</v>
      </c>
      <c r="D144" s="11">
        <f>IFERROR(INDEX('درجریان وصول'!F:F,MATCH(Table216[[#This Row],[كد تفصيلي]],'درجریان وصول'!A:A,0)),0)</f>
        <v>0</v>
      </c>
      <c r="E144" s="11">
        <f>IFERROR(INDEX('چکهای دریافتنی'!F:F,MATCH(Table216[[#This Row],[كد تفصيلي]],'چکهای دریافتنی'!A:A,0)),0)</f>
        <v>0</v>
      </c>
      <c r="F144" s="11">
        <f>Table216[[#This Row],[حسابهای دریافتنی]]+Table216[[#This Row],[چکهای در جریان وصول]]+Table216[[#This Row],[چکهای نزد صندوق]]</f>
        <v>-143944000</v>
      </c>
      <c r="G144" s="12">
        <f>IFERROR(INDEX('مانده سوفاله'!F:F,MATCH(Table216[[#This Row],[كد تفصيلي]],'مانده سوفاله'!A:A,0)),0)</f>
        <v>-948</v>
      </c>
    </row>
    <row r="145" spans="1:7" customFormat="1" ht="24" customHeight="1" x14ac:dyDescent="0.35">
      <c r="A145" s="53">
        <v>30001</v>
      </c>
      <c r="B145" s="56" t="s">
        <v>190</v>
      </c>
      <c r="C145" s="10">
        <f>IFERROR(INDEX('حسابهای دریافتنی'!H:H,MATCH(Table216[[#This Row],[كد تفصيلي]],'حسابهای دریافتنی'!A:A,0)),0)</f>
        <v>119647176</v>
      </c>
      <c r="D145" s="11">
        <f>IFERROR(INDEX('درجریان وصول'!F:F,MATCH(Table216[[#This Row],[كد تفصيلي]],'درجریان وصول'!A:A,0)),0)</f>
        <v>0</v>
      </c>
      <c r="E145" s="11">
        <f>IFERROR(INDEX('چکهای دریافتنی'!F:F,MATCH(Table216[[#This Row],[كد تفصيلي]],'چکهای دریافتنی'!A:A,0)),0)</f>
        <v>0</v>
      </c>
      <c r="F145" s="11">
        <f>Table216[[#This Row],[حسابهای دریافتنی]]+Table216[[#This Row],[چکهای در جریان وصول]]+Table216[[#This Row],[چکهای نزد صندوق]]</f>
        <v>119647176</v>
      </c>
      <c r="G145" s="12">
        <f>IFERROR(INDEX('مانده سوفاله'!F:F,MATCH(Table216[[#This Row],[كد تفصيلي]],'مانده سوفاله'!A:A,0)),0)</f>
        <v>123</v>
      </c>
    </row>
    <row r="146" spans="1:7" customFormat="1" ht="24" customHeight="1" x14ac:dyDescent="0.35">
      <c r="A146" s="54">
        <v>30190</v>
      </c>
      <c r="B146" s="55" t="s">
        <v>459</v>
      </c>
      <c r="C146" s="10">
        <f>IFERROR(INDEX('حسابهای دریافتنی'!H:H,MATCH(Table216[[#This Row],[كد تفصيلي]],'حسابهای دریافتنی'!A:A,0)),0)</f>
        <v>328477520</v>
      </c>
      <c r="D146" s="11">
        <f>IFERROR(INDEX('درجریان وصول'!F:F,MATCH(Table216[[#This Row],[كد تفصيلي]],'درجریان وصول'!A:A,0)),0)</f>
        <v>0</v>
      </c>
      <c r="E146" s="11">
        <f>IFERROR(INDEX('چکهای دریافتنی'!F:F,MATCH(Table216[[#This Row],[كد تفصيلي]],'چکهای دریافتنی'!A:A,0)),0)</f>
        <v>0</v>
      </c>
      <c r="F146" s="11">
        <f>Table216[[#This Row],[حسابهای دریافتنی]]+Table216[[#This Row],[چکهای در جریان وصول]]+Table216[[#This Row],[چکهای نزد صندوق]]</f>
        <v>328477520</v>
      </c>
      <c r="G146" s="12">
        <f>IFERROR(INDEX('مانده سوفاله'!F:F,MATCH(Table216[[#This Row],[كد تفصيلي]],'مانده سوفاله'!A:A,0)),0)</f>
        <v>1790</v>
      </c>
    </row>
    <row r="147" spans="1:7" customFormat="1" ht="24" customHeight="1" x14ac:dyDescent="0.35">
      <c r="A147" s="54">
        <v>30016</v>
      </c>
      <c r="B147" s="55" t="s">
        <v>253</v>
      </c>
      <c r="C147" s="10">
        <f>IFERROR(INDEX('حسابهای دریافتنی'!H:H,MATCH(Table216[[#This Row],[كد تفصيلي]],'حسابهای دریافتنی'!A:A,0)),0)</f>
        <v>0</v>
      </c>
      <c r="D147" s="11">
        <f>IFERROR(INDEX('درجریان وصول'!F:F,MATCH(Table216[[#This Row],[كد تفصيلي]],'درجریان وصول'!A:A,0)),0)</f>
        <v>0</v>
      </c>
      <c r="E147" s="11">
        <f>IFERROR(INDEX('چکهای دریافتنی'!F:F,MATCH(Table216[[#This Row],[كد تفصيلي]],'چکهای دریافتنی'!A:A,0)),0)</f>
        <v>0</v>
      </c>
      <c r="F147" s="11">
        <f>Table216[[#This Row],[حسابهای دریافتنی]]+Table216[[#This Row],[چکهای در جریان وصول]]+Table216[[#This Row],[چکهای نزد صندوق]]</f>
        <v>0</v>
      </c>
      <c r="G147" s="12">
        <f>IFERROR(INDEX('مانده سوفاله'!F:F,MATCH(Table216[[#This Row],[كد تفصيلي]],'مانده سوفاله'!A:A,0)),0)</f>
        <v>0</v>
      </c>
    </row>
    <row r="148" spans="1:7" customFormat="1" ht="24" customHeight="1" x14ac:dyDescent="0.35">
      <c r="A148" s="53">
        <v>10009</v>
      </c>
      <c r="B148" s="56" t="s">
        <v>16</v>
      </c>
      <c r="C148" s="10">
        <f>IFERROR(INDEX('حسابهای دریافتنی'!H:H,MATCH(Table216[[#This Row],[كد تفصيلي]],'حسابهای دریافتنی'!A:A,0)),0)</f>
        <v>-4260580000</v>
      </c>
      <c r="D148" s="11">
        <f>IFERROR(INDEX('درجریان وصول'!F:F,MATCH(Table216[[#This Row],[كد تفصيلي]],'درجریان وصول'!A:A,0)),0)</f>
        <v>0</v>
      </c>
      <c r="E148" s="11">
        <f>IFERROR(INDEX('چکهای دریافتنی'!F:F,MATCH(Table216[[#This Row],[كد تفصيلي]],'چکهای دریافتنی'!A:A,0)),0)</f>
        <v>1600000000</v>
      </c>
      <c r="F148" s="11">
        <f>Table216[[#This Row],[حسابهای دریافتنی]]+Table216[[#This Row],[چکهای در جریان وصول]]+Table216[[#This Row],[چکهای نزد صندوق]]</f>
        <v>-2660580000</v>
      </c>
      <c r="G148" s="12">
        <f>IFERROR(INDEX('مانده سوفاله'!F:F,MATCH(Table216[[#This Row],[كد تفصيلي]],'مانده سوفاله'!A:A,0)),0)</f>
        <v>9952</v>
      </c>
    </row>
    <row r="149" spans="1:7" customFormat="1" ht="24" customHeight="1" x14ac:dyDescent="0.35">
      <c r="A149" s="53">
        <v>10079</v>
      </c>
      <c r="B149" s="56" t="s">
        <v>174</v>
      </c>
      <c r="C149" s="10">
        <f>IFERROR(INDEX('حسابهای دریافتنی'!H:H,MATCH(Table216[[#This Row],[كد تفصيلي]],'حسابهای دریافتنی'!A:A,0)),0)</f>
        <v>-226593500</v>
      </c>
      <c r="D149" s="11">
        <f>IFERROR(INDEX('درجریان وصول'!F:F,MATCH(Table216[[#This Row],[كد تفصيلي]],'درجریان وصول'!A:A,0)),0)</f>
        <v>0</v>
      </c>
      <c r="E149" s="11">
        <f>IFERROR(INDEX('چکهای دریافتنی'!F:F,MATCH(Table216[[#This Row],[كد تفصيلي]],'چکهای دریافتنی'!A:A,0)),0)</f>
        <v>0</v>
      </c>
      <c r="F149" s="11">
        <f>Table216[[#This Row],[حسابهای دریافتنی]]+Table216[[#This Row],[چکهای در جریان وصول]]+Table216[[#This Row],[چکهای نزد صندوق]]</f>
        <v>-226593500</v>
      </c>
      <c r="G149" s="12">
        <f>IFERROR(INDEX('مانده سوفاله'!F:F,MATCH(Table216[[#This Row],[كد تفصيلي]],'مانده سوفاله'!A:A,0)),0)</f>
        <v>0</v>
      </c>
    </row>
    <row r="150" spans="1:7" customFormat="1" ht="24" customHeight="1" x14ac:dyDescent="0.35">
      <c r="A150" s="53">
        <v>30156</v>
      </c>
      <c r="B150" s="56" t="s">
        <v>290</v>
      </c>
      <c r="C150" s="10">
        <f>IFERROR(INDEX('حسابهای دریافتنی'!H:H,MATCH(Table216[[#This Row],[كد تفصيلي]],'حسابهای دریافتنی'!A:A,0)),0)</f>
        <v>-180917500</v>
      </c>
      <c r="D150" s="11">
        <f>IFERROR(INDEX('درجریان وصول'!F:F,MATCH(Table216[[#This Row],[كد تفصيلي]],'درجریان وصول'!A:A,0)),0)</f>
        <v>0</v>
      </c>
      <c r="E150" s="11">
        <f>IFERROR(INDEX('چکهای دریافتنی'!F:F,MATCH(Table216[[#This Row],[كد تفصيلي]],'چکهای دریافتنی'!A:A,0)),0)</f>
        <v>0</v>
      </c>
      <c r="F150" s="11">
        <f>Table216[[#This Row],[حسابهای دریافتنی]]+Table216[[#This Row],[چکهای در جریان وصول]]+Table216[[#This Row],[چکهای نزد صندوق]]</f>
        <v>-180917500</v>
      </c>
      <c r="G150" s="12">
        <f>IFERROR(INDEX('مانده سوفاله'!F:F,MATCH(Table216[[#This Row],[كد تفصيلي]],'مانده سوفاله'!A:A,0)),0)</f>
        <v>0</v>
      </c>
    </row>
    <row r="151" spans="1:7" customFormat="1" ht="24" customHeight="1" x14ac:dyDescent="0.35">
      <c r="A151" s="53">
        <v>10029</v>
      </c>
      <c r="B151" s="56" t="s">
        <v>35</v>
      </c>
      <c r="C151" s="10">
        <f>IFERROR(INDEX('حسابهای دریافتنی'!H:H,MATCH(Table216[[#This Row],[كد تفصيلي]],'حسابهای دریافتنی'!A:A,0)),0)</f>
        <v>-1038298620</v>
      </c>
      <c r="D151" s="11">
        <f>IFERROR(INDEX('درجریان وصول'!F:F,MATCH(Table216[[#This Row],[كد تفصيلي]],'درجریان وصول'!A:A,0)),0)</f>
        <v>0</v>
      </c>
      <c r="E151" s="11">
        <f>IFERROR(INDEX('چکهای دریافتنی'!F:F,MATCH(Table216[[#This Row],[كد تفصيلي]],'چکهای دریافتنی'!A:A,0)),0)</f>
        <v>2019000000</v>
      </c>
      <c r="F151" s="11">
        <f>Table216[[#This Row],[حسابهای دریافتنی]]+Table216[[#This Row],[چکهای در جریان وصول]]+Table216[[#This Row],[چکهای نزد صندوق]]</f>
        <v>980701380</v>
      </c>
      <c r="G151" s="12">
        <f>IFERROR(INDEX('مانده سوفاله'!F:F,MATCH(Table216[[#This Row],[كد تفصيلي]],'مانده سوفاله'!A:A,0)),0)</f>
        <v>6603</v>
      </c>
    </row>
    <row r="152" spans="1:7" customFormat="1" ht="24" customHeight="1" x14ac:dyDescent="0.35">
      <c r="A152" s="53">
        <v>79120</v>
      </c>
      <c r="B152" s="56" t="s">
        <v>195</v>
      </c>
      <c r="C152" s="10">
        <f>IFERROR(INDEX('حسابهای دریافتنی'!H:H,MATCH(Table216[[#This Row],[كد تفصيلي]],'حسابهای دریافتنی'!A:A,0)),0)</f>
        <v>-15776160000</v>
      </c>
      <c r="D152" s="11">
        <f>IFERROR(INDEX('درجریان وصول'!F:F,MATCH(Table216[[#This Row],[كد تفصيلي]],'درجریان وصول'!A:A,0)),0)</f>
        <v>0</v>
      </c>
      <c r="E152" s="11">
        <f>IFERROR(INDEX('چکهای دریافتنی'!F:F,MATCH(Table216[[#This Row],[كد تفصيلي]],'چکهای دریافتنی'!A:A,0)),0)</f>
        <v>0</v>
      </c>
      <c r="F152" s="11">
        <f>Table216[[#This Row],[حسابهای دریافتنی]]+Table216[[#This Row],[چکهای در جریان وصول]]+Table216[[#This Row],[چکهای نزد صندوق]]</f>
        <v>-15776160000</v>
      </c>
      <c r="G152" s="12">
        <f>IFERROR(INDEX('مانده سوفاله'!F:F,MATCH(Table216[[#This Row],[كد تفصيلي]],'مانده سوفاله'!A:A,0)),0)</f>
        <v>0</v>
      </c>
    </row>
    <row r="153" spans="1:7" customFormat="1" ht="24" customHeight="1" x14ac:dyDescent="0.35">
      <c r="A153" s="54">
        <v>10056</v>
      </c>
      <c r="B153" s="55" t="s">
        <v>166</v>
      </c>
      <c r="C153" s="10">
        <f>IFERROR(INDEX('حسابهای دریافتنی'!H:H,MATCH(Table216[[#This Row],[كد تفصيلي]],'حسابهای دریافتنی'!A:A,0)),0)</f>
        <v>812653500</v>
      </c>
      <c r="D153" s="11">
        <f>IFERROR(INDEX('درجریان وصول'!F:F,MATCH(Table216[[#This Row],[كد تفصيلي]],'درجریان وصول'!A:A,0)),0)</f>
        <v>0</v>
      </c>
      <c r="E153" s="11">
        <f>IFERROR(INDEX('چکهای دریافتنی'!F:F,MATCH(Table216[[#This Row],[كد تفصيلي]],'چکهای دریافتنی'!A:A,0)),0)</f>
        <v>0</v>
      </c>
      <c r="F153" s="11">
        <f>Table216[[#This Row],[حسابهای دریافتنی]]+Table216[[#This Row],[چکهای در جریان وصول]]+Table216[[#This Row],[چکهای نزد صندوق]]</f>
        <v>812653500</v>
      </c>
      <c r="G153" s="12">
        <f>IFERROR(INDEX('مانده سوفاله'!F:F,MATCH(Table216[[#This Row],[كد تفصيلي]],'مانده سوفاله'!A:A,0)),0)</f>
        <v>0</v>
      </c>
    </row>
    <row r="154" spans="1:7" customFormat="1" ht="24" customHeight="1" x14ac:dyDescent="0.35">
      <c r="A154" s="53">
        <v>30182</v>
      </c>
      <c r="B154" s="56" t="s">
        <v>342</v>
      </c>
      <c r="C154" s="10">
        <f>IFERROR(INDEX('حسابهای دریافتنی'!H:H,MATCH(Table216[[#This Row],[كد تفصيلي]],'حسابهای دریافتنی'!A:A,0)),0)</f>
        <v>-528256400</v>
      </c>
      <c r="D154" s="11">
        <f>IFERROR(INDEX('درجریان وصول'!F:F,MATCH(Table216[[#This Row],[كد تفصيلي]],'درجریان وصول'!A:A,0)),0)</f>
        <v>0</v>
      </c>
      <c r="E154" s="11">
        <f>IFERROR(INDEX('چکهای دریافتنی'!F:F,MATCH(Table216[[#This Row],[كد تفصيلي]],'چکهای دریافتنی'!A:A,0)),0)</f>
        <v>0</v>
      </c>
      <c r="F154" s="11">
        <f>Table216[[#This Row],[حسابهای دریافتنی]]+Table216[[#This Row],[چکهای در جریان وصول]]+Table216[[#This Row],[چکهای نزد صندوق]]</f>
        <v>-528256400</v>
      </c>
      <c r="G154" s="12">
        <f>IFERROR(INDEX('مانده سوفاله'!F:F,MATCH(Table216[[#This Row],[كد تفصيلي]],'مانده سوفاله'!A:A,0)),0)</f>
        <v>0</v>
      </c>
    </row>
    <row r="155" spans="1:7" customFormat="1" ht="24" customHeight="1" x14ac:dyDescent="0.35">
      <c r="A155" s="54">
        <v>50008</v>
      </c>
      <c r="B155" s="55" t="s">
        <v>146</v>
      </c>
      <c r="C155" s="10">
        <f>IFERROR(INDEX('حسابهای دریافتنی'!H:H,MATCH(Table216[[#This Row],[كد تفصيلي]],'حسابهای دریافتنی'!A:A,0)),0)</f>
        <v>-406230000</v>
      </c>
      <c r="D155" s="11">
        <f>IFERROR(INDEX('درجریان وصول'!F:F,MATCH(Table216[[#This Row],[كد تفصيلي]],'درجریان وصول'!A:A,0)),0)</f>
        <v>0</v>
      </c>
      <c r="E155" s="11">
        <f>IFERROR(INDEX('چکهای دریافتنی'!F:F,MATCH(Table216[[#This Row],[كد تفصيلي]],'چکهای دریافتنی'!A:A,0)),0)</f>
        <v>0</v>
      </c>
      <c r="F155" s="11">
        <f>Table216[[#This Row],[حسابهای دریافتنی]]+Table216[[#This Row],[چکهای در جریان وصول]]+Table216[[#This Row],[چکهای نزد صندوق]]</f>
        <v>-406230000</v>
      </c>
      <c r="G155" s="12">
        <f>IFERROR(INDEX('مانده سوفاله'!F:F,MATCH(Table216[[#This Row],[كد تفصيلي]],'مانده سوفاله'!A:A,0)),0)</f>
        <v>0</v>
      </c>
    </row>
    <row r="156" spans="1:7" customFormat="1" ht="24" customHeight="1" x14ac:dyDescent="0.35">
      <c r="A156" s="53">
        <v>10069</v>
      </c>
      <c r="B156" s="56" t="s">
        <v>204</v>
      </c>
      <c r="C156" s="10">
        <f>IFERROR(INDEX('حسابهای دریافتنی'!H:H,MATCH(Table216[[#This Row],[كد تفصيلي]],'حسابهای دریافتنی'!A:A,0)),0)</f>
        <v>952500</v>
      </c>
      <c r="D156" s="11">
        <f>IFERROR(INDEX('درجریان وصول'!F:F,MATCH(Table216[[#This Row],[كد تفصيلي]],'درجریان وصول'!A:A,0)),0)</f>
        <v>0</v>
      </c>
      <c r="E156" s="11">
        <f>IFERROR(INDEX('چکهای دریافتنی'!F:F,MATCH(Table216[[#This Row],[كد تفصيلي]],'چکهای دریافتنی'!A:A,0)),0)</f>
        <v>73000000</v>
      </c>
      <c r="F156" s="11">
        <f>Table216[[#This Row],[حسابهای دریافتنی]]+Table216[[#This Row],[چکهای در جریان وصول]]+Table216[[#This Row],[چکهای نزد صندوق]]</f>
        <v>73952500</v>
      </c>
      <c r="G156" s="12">
        <f>IFERROR(INDEX('مانده سوفاله'!F:F,MATCH(Table216[[#This Row],[كد تفصيلي]],'مانده سوفاله'!A:A,0)),0)</f>
        <v>339</v>
      </c>
    </row>
    <row r="157" spans="1:7" ht="24" customHeight="1" x14ac:dyDescent="0.35">
      <c r="A157" s="26">
        <v>30194</v>
      </c>
      <c r="B157" s="56" t="s">
        <v>490</v>
      </c>
      <c r="C157" s="10">
        <f>IFERROR(INDEX('حسابهای دریافتنی'!H:H,MATCH(Table216[[#This Row],[كد تفصيلي]],'حسابهای دریافتنی'!A:A,0)),0)</f>
        <v>0</v>
      </c>
      <c r="D157" s="11">
        <f>IFERROR(INDEX('درجریان وصول'!F:F,MATCH(Table216[[#This Row],[كد تفصيلي]],'درجریان وصول'!A:A,0)),0)</f>
        <v>0</v>
      </c>
      <c r="E157" s="11">
        <f>IFERROR(INDEX('چکهای دریافتنی'!F:F,MATCH(Table216[[#This Row],[كد تفصيلي]],'چکهای دریافتنی'!A:A,0)),0)</f>
        <v>0</v>
      </c>
      <c r="F157" s="11">
        <f>Table216[[#This Row],[حسابهای دریافتنی]]+Table216[[#This Row],[چکهای در جریان وصول]]+Table216[[#This Row],[چکهای نزد صندوق]]</f>
        <v>0</v>
      </c>
      <c r="G157" s="12">
        <f>IFERROR(INDEX('مانده سوفاله'!F:F,MATCH(Table216[[#This Row],[كد تفصيلي]],'مانده سوفاله'!A:A,0)),0)</f>
        <v>0</v>
      </c>
    </row>
    <row r="158" spans="1:7" ht="24" customHeight="1" x14ac:dyDescent="0.35">
      <c r="A158" s="27">
        <v>30195</v>
      </c>
      <c r="B158" s="55" t="s">
        <v>477</v>
      </c>
      <c r="C158" s="10">
        <f>IFERROR(INDEX('حسابهای دریافتنی'!H:H,MATCH(Table216[[#This Row],[كد تفصيلي]],'حسابهای دریافتنی'!A:A,0)),0)</f>
        <v>-1861000</v>
      </c>
      <c r="D158" s="11">
        <f>IFERROR(INDEX('درجریان وصول'!F:F,MATCH(Table216[[#This Row],[كد تفصيلي]],'درجریان وصول'!A:A,0)),0)</f>
        <v>0</v>
      </c>
      <c r="E158" s="11">
        <f>IFERROR(INDEX('چکهای دریافتنی'!F:F,MATCH(Table216[[#This Row],[كد تفصيلي]],'چکهای دریافتنی'!A:A,0)),0)</f>
        <v>0</v>
      </c>
      <c r="F158" s="11">
        <f>Table216[[#This Row],[حسابهای دریافتنی]]+Table216[[#This Row],[چکهای در جریان وصول]]+Table216[[#This Row],[چکهای نزد صندوق]]</f>
        <v>-1861000</v>
      </c>
      <c r="G158" s="12">
        <f>IFERROR(INDEX('مانده سوفاله'!F:F,MATCH(Table216[[#This Row],[كد تفصيلي]],'مانده سوفاله'!A:A,0)),0)</f>
        <v>0</v>
      </c>
    </row>
    <row r="159" spans="1:7" ht="24" customHeight="1" x14ac:dyDescent="0.35">
      <c r="A159" s="27">
        <v>10119</v>
      </c>
      <c r="B159" s="55" t="s">
        <v>333</v>
      </c>
      <c r="C159" s="10">
        <f>IFERROR(INDEX('حسابهای دریافتنی'!H:H,MATCH(Table216[[#This Row],[كد تفصيلي]],'حسابهای دریافتنی'!A:A,0)),0)</f>
        <v>-2592000</v>
      </c>
      <c r="D159" s="11">
        <f>IFERROR(INDEX('درجریان وصول'!F:F,MATCH(Table216[[#This Row],[كد تفصيلي]],'درجریان وصول'!A:A,0)),0)</f>
        <v>0</v>
      </c>
      <c r="E159" s="11">
        <f>IFERROR(INDEX('چکهای دریافتنی'!F:F,MATCH(Table216[[#This Row],[كد تفصيلي]],'چکهای دریافتنی'!A:A,0)),0)</f>
        <v>0</v>
      </c>
      <c r="F159" s="11">
        <f>Table216[[#This Row],[حسابهای دریافتنی]]+Table216[[#This Row],[چکهای در جریان وصول]]+Table216[[#This Row],[چکهای نزد صندوق]]</f>
        <v>-2592000</v>
      </c>
      <c r="G159" s="12">
        <f>IFERROR(INDEX('مانده سوفاله'!F:F,MATCH(Table216[[#This Row],[كد تفصيلي]],'مانده سوفاله'!A:A,0)),0)</f>
        <v>353</v>
      </c>
    </row>
    <row r="160" spans="1:7" ht="24" customHeight="1" x14ac:dyDescent="0.35">
      <c r="A160" s="26">
        <v>10101</v>
      </c>
      <c r="B160" s="56" t="s">
        <v>281</v>
      </c>
      <c r="C160" s="10">
        <f>IFERROR(INDEX('حسابهای دریافتنی'!H:H,MATCH(Table216[[#This Row],[كد تفصيلي]],'حسابهای دریافتنی'!A:A,0)),0)</f>
        <v>0</v>
      </c>
      <c r="D160" s="11">
        <f>IFERROR(INDEX('درجریان وصول'!F:F,MATCH(Table216[[#This Row],[كد تفصيلي]],'درجریان وصول'!A:A,0)),0)</f>
        <v>0</v>
      </c>
      <c r="E160" s="11">
        <f>IFERROR(INDEX('چکهای دریافتنی'!F:F,MATCH(Table216[[#This Row],[كد تفصيلي]],'چکهای دریافتنی'!A:A,0)),0)</f>
        <v>0</v>
      </c>
      <c r="F160" s="11">
        <f>Table216[[#This Row],[حسابهای دریافتنی]]+Table216[[#This Row],[چکهای در جریان وصول]]+Table216[[#This Row],[چکهای نزد صندوق]]</f>
        <v>0</v>
      </c>
      <c r="G160" s="12">
        <f>IFERROR(INDEX('مانده سوفاله'!F:F,MATCH(Table216[[#This Row],[كد تفصيلي]],'مانده سوفاله'!A:A,0)),0)</f>
        <v>0</v>
      </c>
    </row>
    <row r="161" spans="1:7" ht="24" customHeight="1" x14ac:dyDescent="0.35">
      <c r="A161" s="27">
        <v>10136</v>
      </c>
      <c r="B161" s="55" t="s">
        <v>491</v>
      </c>
      <c r="C161" s="10">
        <f>IFERROR(INDEX('حسابهای دریافتنی'!H:H,MATCH(Table216[[#This Row],[كد تفصيلي]],'حسابهای دریافتنی'!A:A,0)),0)</f>
        <v>0</v>
      </c>
      <c r="D161" s="11">
        <f>IFERROR(INDEX('درجریان وصول'!F:F,MATCH(Table216[[#This Row],[كد تفصيلي]],'درجریان وصول'!A:A,0)),0)</f>
        <v>0</v>
      </c>
      <c r="E161" s="11">
        <f>IFERROR(INDEX('چکهای دریافتنی'!F:F,MATCH(Table216[[#This Row],[كد تفصيلي]],'چکهای دریافتنی'!A:A,0)),0)</f>
        <v>0</v>
      </c>
      <c r="F161" s="11">
        <f>Table216[[#This Row],[حسابهای دریافتنی]]+Table216[[#This Row],[چکهای در جریان وصول]]+Table216[[#This Row],[چکهای نزد صندوق]]</f>
        <v>0</v>
      </c>
      <c r="G161" s="12">
        <f>IFERROR(INDEX('مانده سوفاله'!F:F,MATCH(Table216[[#This Row],[كد تفصيلي]],'مانده سوفاله'!A:A,0)),0)</f>
        <v>0</v>
      </c>
    </row>
    <row r="162" spans="1:7" ht="24" customHeight="1" x14ac:dyDescent="0.35">
      <c r="A162" s="27">
        <v>30040</v>
      </c>
      <c r="B162" s="55" t="s">
        <v>87</v>
      </c>
      <c r="C162" s="10">
        <f>IFERROR(INDEX('حسابهای دریافتنی'!H:H,MATCH(Table216[[#This Row],[كد تفصيلي]],'حسابهای دریافتنی'!A:A,0)),0)</f>
        <v>0</v>
      </c>
      <c r="D162" s="11">
        <f>IFERROR(INDEX('درجریان وصول'!F:F,MATCH(Table216[[#This Row],[كد تفصيلي]],'درجریان وصول'!A:A,0)),0)</f>
        <v>0</v>
      </c>
      <c r="E162" s="11">
        <f>IFERROR(INDEX('چکهای دریافتنی'!F:F,MATCH(Table216[[#This Row],[كد تفصيلي]],'چکهای دریافتنی'!A:A,0)),0)</f>
        <v>0</v>
      </c>
      <c r="F162" s="11">
        <f>Table216[[#This Row],[حسابهای دریافتنی]]+Table216[[#This Row],[چکهای در جریان وصول]]+Table216[[#This Row],[چکهای نزد صندوق]]</f>
        <v>0</v>
      </c>
      <c r="G162" s="12">
        <f>IFERROR(INDEX('مانده سوفاله'!F:F,MATCH(Table216[[#This Row],[كد تفصيلي]],'مانده سوفاله'!A:A,0)),0)</f>
        <v>0</v>
      </c>
    </row>
    <row r="163" spans="1:7" ht="24" customHeight="1" x14ac:dyDescent="0.35">
      <c r="A163" s="26">
        <v>10097</v>
      </c>
      <c r="B163" s="56" t="s">
        <v>270</v>
      </c>
      <c r="C163" s="10">
        <f>IFERROR(INDEX('حسابهای دریافتنی'!H:H,MATCH(Table216[[#This Row],[كد تفصيلي]],'حسابهای دریافتنی'!A:A,0)),0)</f>
        <v>270642500</v>
      </c>
      <c r="D163" s="11">
        <f>IFERROR(INDEX('درجریان وصول'!F:F,MATCH(Table216[[#This Row],[كد تفصيلي]],'درجریان وصول'!A:A,0)),0)</f>
        <v>0</v>
      </c>
      <c r="E163" s="11">
        <f>IFERROR(INDEX('چکهای دریافتنی'!F:F,MATCH(Table216[[#This Row],[كد تفصيلي]],'چکهای دریافتنی'!A:A,0)),0)</f>
        <v>287000000</v>
      </c>
      <c r="F163" s="11">
        <f>Table216[[#This Row],[حسابهای دریافتنی]]+Table216[[#This Row],[چکهای در جریان وصول]]+Table216[[#This Row],[چکهای نزد صندوق]]</f>
        <v>557642500</v>
      </c>
      <c r="G163" s="12">
        <f>IFERROR(INDEX('مانده سوفاله'!F:F,MATCH(Table216[[#This Row],[كد تفصيلي]],'مانده سوفاله'!A:A,0)),0)</f>
        <v>0</v>
      </c>
    </row>
    <row r="164" spans="1:7" ht="24" customHeight="1" x14ac:dyDescent="0.35">
      <c r="A164" s="27">
        <v>30131</v>
      </c>
      <c r="B164" s="55" t="s">
        <v>213</v>
      </c>
      <c r="C164" s="10">
        <f>IFERROR(INDEX('حسابهای دریافتنی'!H:H,MATCH(Table216[[#This Row],[كد تفصيلي]],'حسابهای دریافتنی'!A:A,0)),0)</f>
        <v>-6228486500</v>
      </c>
      <c r="D164" s="11">
        <f>IFERROR(INDEX('درجریان وصول'!F:F,MATCH(Table216[[#This Row],[كد تفصيلي]],'درجریان وصول'!A:A,0)),0)</f>
        <v>0</v>
      </c>
      <c r="E164" s="11">
        <f>IFERROR(INDEX('چکهای دریافتنی'!F:F,MATCH(Table216[[#This Row],[كد تفصيلي]],'چکهای دریافتنی'!A:A,0)),0)</f>
        <v>0</v>
      </c>
      <c r="F164" s="11">
        <f>Table216[[#This Row],[حسابهای دریافتنی]]+Table216[[#This Row],[چکهای در جریان وصول]]+Table216[[#This Row],[چکهای نزد صندوق]]</f>
        <v>-6228486500</v>
      </c>
      <c r="G164" s="12">
        <f>IFERROR(INDEX('مانده سوفاله'!F:F,MATCH(Table216[[#This Row],[كد تفصيلي]],'مانده سوفاله'!A:A,0)),0)</f>
        <v>222</v>
      </c>
    </row>
    <row r="165" spans="1:7" ht="24" customHeight="1" x14ac:dyDescent="0.35">
      <c r="A165" s="26">
        <v>10019</v>
      </c>
      <c r="B165" s="56" t="s">
        <v>26</v>
      </c>
      <c r="C165" s="10">
        <f>IFERROR(INDEX('حسابهای دریافتنی'!H:H,MATCH(Table216[[#This Row],[كد تفصيلي]],'حسابهای دریافتنی'!A:A,0)),0)</f>
        <v>0</v>
      </c>
      <c r="D165" s="11">
        <f>IFERROR(INDEX('درجریان وصول'!F:F,MATCH(Table216[[#This Row],[كد تفصيلي]],'درجریان وصول'!A:A,0)),0)</f>
        <v>0</v>
      </c>
      <c r="E165" s="11">
        <f>IFERROR(INDEX('چکهای دریافتنی'!F:F,MATCH(Table216[[#This Row],[كد تفصيلي]],'چکهای دریافتنی'!A:A,0)),0)</f>
        <v>0</v>
      </c>
      <c r="F165" s="11">
        <f>Table216[[#This Row],[حسابهای دریافتنی]]+Table216[[#This Row],[چکهای در جریان وصول]]+Table216[[#This Row],[چکهای نزد صندوق]]</f>
        <v>0</v>
      </c>
      <c r="G165" s="12">
        <f>IFERROR(INDEX('مانده سوفاله'!F:F,MATCH(Table216[[#This Row],[كد تفصيلي]],'مانده سوفاله'!A:A,0)),0)</f>
        <v>285</v>
      </c>
    </row>
    <row r="166" spans="1:7" ht="24" customHeight="1" x14ac:dyDescent="0.35">
      <c r="A166" s="27">
        <v>30169</v>
      </c>
      <c r="B166" s="55" t="s">
        <v>318</v>
      </c>
      <c r="C166" s="10">
        <f>IFERROR(INDEX('حسابهای دریافتنی'!H:H,MATCH(Table216[[#This Row],[كد تفصيلي]],'حسابهای دریافتنی'!A:A,0)),0)</f>
        <v>-658993316</v>
      </c>
      <c r="D166" s="11">
        <f>IFERROR(INDEX('درجریان وصول'!F:F,MATCH(Table216[[#This Row],[كد تفصيلي]],'درجریان وصول'!A:A,0)),0)</f>
        <v>0</v>
      </c>
      <c r="E166" s="11">
        <f>IFERROR(INDEX('چکهای دریافتنی'!F:F,MATCH(Table216[[#This Row],[كد تفصيلي]],'چکهای دریافتنی'!A:A,0)),0)</f>
        <v>2085000000</v>
      </c>
      <c r="F166" s="11">
        <f>Table216[[#This Row],[حسابهای دریافتنی]]+Table216[[#This Row],[چکهای در جریان وصول]]+Table216[[#This Row],[چکهای نزد صندوق]]</f>
        <v>1426006684</v>
      </c>
      <c r="G166" s="12">
        <f>IFERROR(INDEX('مانده سوفاله'!F:F,MATCH(Table216[[#This Row],[كد تفصيلي]],'مانده سوفاله'!A:A,0)),0)</f>
        <v>0</v>
      </c>
    </row>
    <row r="167" spans="1:7" ht="24" customHeight="1" x14ac:dyDescent="0.35">
      <c r="A167" s="26">
        <v>30186</v>
      </c>
      <c r="B167" s="56" t="s">
        <v>367</v>
      </c>
      <c r="C167" s="10">
        <f>IFERROR(INDEX('حسابهای دریافتنی'!H:H,MATCH(Table216[[#This Row],[كد تفصيلي]],'حسابهای دریافتنی'!A:A,0)),0)</f>
        <v>986425000</v>
      </c>
      <c r="D167" s="11">
        <f>IFERROR(INDEX('درجریان وصول'!F:F,MATCH(Table216[[#This Row],[كد تفصيلي]],'درجریان وصول'!A:A,0)),0)</f>
        <v>0</v>
      </c>
      <c r="E167" s="11">
        <f>IFERROR(INDEX('چکهای دریافتنی'!F:F,MATCH(Table216[[#This Row],[كد تفصيلي]],'چکهای دریافتنی'!A:A,0)),0)</f>
        <v>5982430000</v>
      </c>
      <c r="F167" s="11">
        <f>Table216[[#This Row],[حسابهای دریافتنی]]+Table216[[#This Row],[چکهای در جریان وصول]]+Table216[[#This Row],[چکهای نزد صندوق]]</f>
        <v>6968855000</v>
      </c>
      <c r="G167" s="12">
        <f>IFERROR(INDEX('مانده سوفاله'!F:F,MATCH(Table216[[#This Row],[كد تفصيلي]],'مانده سوفاله'!A:A,0)),0)</f>
        <v>-7388</v>
      </c>
    </row>
    <row r="168" spans="1:7" ht="24" customHeight="1" x14ac:dyDescent="0.35">
      <c r="A168" s="26">
        <v>50005</v>
      </c>
      <c r="B168" s="56" t="s">
        <v>148</v>
      </c>
      <c r="C168" s="10">
        <f>IFERROR(INDEX('حسابهای دریافتنی'!H:H,MATCH(Table216[[#This Row],[كد تفصيلي]],'حسابهای دریافتنی'!A:A,0)),0)</f>
        <v>0</v>
      </c>
      <c r="D168" s="11">
        <f>IFERROR(INDEX('درجریان وصول'!F:F,MATCH(Table216[[#This Row],[كد تفصيلي]],'درجریان وصول'!A:A,0)),0)</f>
        <v>0</v>
      </c>
      <c r="E168" s="11">
        <f>IFERROR(INDEX('چکهای دریافتنی'!F:F,MATCH(Table216[[#This Row],[كد تفصيلي]],'چکهای دریافتنی'!A:A,0)),0)</f>
        <v>0</v>
      </c>
      <c r="F168" s="11">
        <f>Table216[[#This Row],[حسابهای دریافتنی]]+Table216[[#This Row],[چکهای در جریان وصول]]+Table216[[#This Row],[چکهای نزد صندوق]]</f>
        <v>0</v>
      </c>
      <c r="G168" s="12">
        <f>IFERROR(INDEX('مانده سوفاله'!F:F,MATCH(Table216[[#This Row],[كد تفصيلي]],'مانده سوفاله'!A:A,0)),0)</f>
        <v>0</v>
      </c>
    </row>
    <row r="169" spans="1:7" ht="24" customHeight="1" x14ac:dyDescent="0.35">
      <c r="A169" s="27">
        <v>79043</v>
      </c>
      <c r="B169" s="55" t="s">
        <v>156</v>
      </c>
      <c r="C169" s="10">
        <f>IFERROR(INDEX('حسابهای دریافتنی'!H:H,MATCH(Table216[[#This Row],[كد تفصيلي]],'حسابهای دریافتنی'!A:A,0)),0)</f>
        <v>-16110730000</v>
      </c>
      <c r="D169" s="11">
        <f>IFERROR(INDEX('درجریان وصول'!F:F,MATCH(Table216[[#This Row],[كد تفصيلي]],'درجریان وصول'!A:A,0)),0)</f>
        <v>0</v>
      </c>
      <c r="E169" s="11">
        <f>IFERROR(INDEX('چکهای دریافتنی'!F:F,MATCH(Table216[[#This Row],[كد تفصيلي]],'چکهای دریافتنی'!A:A,0)),0)</f>
        <v>0</v>
      </c>
      <c r="F169" s="11">
        <f>Table216[[#This Row],[حسابهای دریافتنی]]+Table216[[#This Row],[چکهای در جریان وصول]]+Table216[[#This Row],[چکهای نزد صندوق]]</f>
        <v>-16110730000</v>
      </c>
      <c r="G169" s="12">
        <f>IFERROR(INDEX('مانده سوفاله'!F:F,MATCH(Table216[[#This Row],[كد تفصيلي]],'مانده سوفاله'!A:A,0)),0)</f>
        <v>0</v>
      </c>
    </row>
    <row r="170" spans="1:7" ht="24" customHeight="1" x14ac:dyDescent="0.35">
      <c r="A170" s="27">
        <v>30127</v>
      </c>
      <c r="B170" s="55" t="s">
        <v>163</v>
      </c>
      <c r="C170" s="10">
        <f>IFERROR(INDEX('حسابهای دریافتنی'!H:H,MATCH(Table216[[#This Row],[كد تفصيلي]],'حسابهای دریافتنی'!A:A,0)),0)</f>
        <v>31800110000</v>
      </c>
      <c r="D170" s="11">
        <f>IFERROR(INDEX('درجریان وصول'!F:F,MATCH(Table216[[#This Row],[كد تفصيلي]],'درجریان وصول'!A:A,0)),0)</f>
        <v>0</v>
      </c>
      <c r="E170" s="11">
        <f>IFERROR(INDEX('چکهای دریافتنی'!F:F,MATCH(Table216[[#This Row],[كد تفصيلي]],'چکهای دریافتنی'!A:A,0)),0)</f>
        <v>0</v>
      </c>
      <c r="F170" s="11">
        <f>Table216[[#This Row],[حسابهای دریافتنی]]+Table216[[#This Row],[چکهای در جریان وصول]]+Table216[[#This Row],[چکهای نزد صندوق]]</f>
        <v>31800110000</v>
      </c>
      <c r="G170" s="12">
        <f>IFERROR(INDEX('مانده سوفاله'!F:F,MATCH(Table216[[#This Row],[كد تفصيلي]],'مانده سوفاله'!A:A,0)),0)</f>
        <v>-18472</v>
      </c>
    </row>
    <row r="171" spans="1:7" ht="24" customHeight="1" x14ac:dyDescent="0.35">
      <c r="A171" s="36"/>
      <c r="B171" s="37"/>
      <c r="C171" s="38">
        <f>SUBTOTAL(109,Table216[حسابهای دریافتنی])</f>
        <v>57858158979</v>
      </c>
      <c r="D171" s="38">
        <f>SUBTOTAL(109,Table216[چکهای در جریان وصول])</f>
        <v>0</v>
      </c>
      <c r="E171" s="38">
        <f>SUBTOTAL(109,Table216[چکهای نزد صندوق])</f>
        <v>62507828942</v>
      </c>
      <c r="F171" s="38"/>
      <c r="G171" s="39">
        <f>SUBTOTAL(109,Table216[مانده سوفاله])</f>
        <v>-132142.5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71"/>
  <sheetViews>
    <sheetView rightToLeft="1" topLeftCell="A163" workbookViewId="0">
      <selection activeCell="C168" sqref="C168"/>
    </sheetView>
  </sheetViews>
  <sheetFormatPr defaultColWidth="9.08984375" defaultRowHeight="24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6.75" customHeight="1" thickBot="1" x14ac:dyDescent="0.4">
      <c r="A1" s="97" t="s">
        <v>492</v>
      </c>
      <c r="B1" s="98"/>
      <c r="C1" s="98"/>
      <c r="D1" s="98"/>
      <c r="E1" s="98"/>
      <c r="F1" s="98"/>
      <c r="G1" s="99"/>
    </row>
    <row r="2" spans="1:7" s="2" customFormat="1" ht="48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" customHeight="1" x14ac:dyDescent="0.35">
      <c r="A3" s="27">
        <v>30004</v>
      </c>
      <c r="B3" s="55" t="s">
        <v>54</v>
      </c>
      <c r="C3" s="10">
        <f>IFERROR(INDEX('حسابهای دریافتنی'!H:H,MATCH(Table217[[#This Row],[كد تفصيلي]],'حسابهای دریافتنی'!A:A,0)),0)</f>
        <v>7598548260</v>
      </c>
      <c r="D3" s="11">
        <f>IFERROR(INDEX('درجریان وصول'!F:F,MATCH(Table217[[#This Row],[كد تفصيلي]],'درجریان وصول'!A:A,0)),0)</f>
        <v>0</v>
      </c>
      <c r="E3" s="11">
        <f>IFERROR(INDEX('چکهای دریافتنی'!F:F,MATCH(Table217[[#This Row],[كد تفصيلي]],'چکهای دریافتنی'!A:A,0)),0)</f>
        <v>11698760000</v>
      </c>
      <c r="F3" s="11">
        <f>Table217[[#This Row],[حسابهای دریافتنی]]+Table217[[#This Row],[چکهای در جریان وصول]]+Table217[[#This Row],[چکهای نزد صندوق]]</f>
        <v>19297308260</v>
      </c>
      <c r="G3" s="12">
        <f>IFERROR(INDEX('مانده سوفاله'!F:F,MATCH(Table217[[#This Row],[كد تفصيلي]],'مانده سوفاله'!A:A,0)),0)</f>
        <v>-4237</v>
      </c>
    </row>
    <row r="4" spans="1:7" ht="24" customHeight="1" x14ac:dyDescent="0.35">
      <c r="A4" s="26">
        <v>10003</v>
      </c>
      <c r="B4" s="56" t="s">
        <v>10</v>
      </c>
      <c r="C4" s="10">
        <f>IFERROR(INDEX('حسابهای دریافتنی'!H:H,MATCH(Table217[[#This Row],[كد تفصيلي]],'حسابهای دریافتنی'!A:A,0)),0)</f>
        <v>10804267992</v>
      </c>
      <c r="D4" s="11">
        <f>IFERROR(INDEX('درجریان وصول'!F:F,MATCH(Table217[[#This Row],[كد تفصيلي]],'درجریان وصول'!A:A,0)),0)</f>
        <v>0</v>
      </c>
      <c r="E4" s="11">
        <f>IFERROR(INDEX('چکهای دریافتنی'!F:F,MATCH(Table217[[#This Row],[كد تفصيلي]],'چکهای دریافتنی'!A:A,0)),0)</f>
        <v>13698001280</v>
      </c>
      <c r="F4" s="11">
        <f>Table217[[#This Row],[حسابهای دریافتنی]]+Table217[[#This Row],[چکهای در جریان وصول]]+Table217[[#This Row],[چکهای نزد صندوق]]</f>
        <v>24502269272</v>
      </c>
      <c r="G4" s="12">
        <f>IFERROR(INDEX('مانده سوفاله'!F:F,MATCH(Table217[[#This Row],[كد تفصيلي]],'مانده سوفاله'!A:A,0)),0)</f>
        <v>-39886</v>
      </c>
    </row>
    <row r="5" spans="1:7" ht="24" customHeight="1" x14ac:dyDescent="0.35">
      <c r="A5" s="26">
        <v>30066</v>
      </c>
      <c r="B5" s="56" t="s">
        <v>111</v>
      </c>
      <c r="C5" s="10">
        <f>IFERROR(INDEX('حسابهای دریافتنی'!H:H,MATCH(Table217[[#This Row],[كد تفصيلي]],'حسابهای دریافتنی'!A:A,0)),0)</f>
        <v>6484147500</v>
      </c>
      <c r="D5" s="11">
        <f>IFERROR(INDEX('درجریان وصول'!F:F,MATCH(Table217[[#This Row],[كد تفصيلي]],'درجریان وصول'!A:A,0)),0)</f>
        <v>0</v>
      </c>
      <c r="E5" s="11">
        <f>IFERROR(INDEX('چکهای دریافتنی'!F:F,MATCH(Table217[[#This Row],[كد تفصيلي]],'چکهای دریافتنی'!A:A,0)),0)</f>
        <v>0</v>
      </c>
      <c r="F5" s="11">
        <f>Table217[[#This Row],[حسابهای دریافتنی]]+Table217[[#This Row],[چکهای در جریان وصول]]+Table217[[#This Row],[چکهای نزد صندوق]]</f>
        <v>6484147500</v>
      </c>
      <c r="G5" s="12">
        <f>IFERROR(INDEX('مانده سوفاله'!F:F,MATCH(Table217[[#This Row],[كد تفصيلي]],'مانده سوفاله'!A:A,0)),0)</f>
        <v>-1320</v>
      </c>
    </row>
    <row r="6" spans="1:7" ht="24" customHeight="1" x14ac:dyDescent="0.35">
      <c r="A6" s="26">
        <v>10055</v>
      </c>
      <c r="B6" s="56" t="s">
        <v>162</v>
      </c>
      <c r="C6" s="10">
        <f>IFERROR(INDEX('حسابهای دریافتنی'!H:H,MATCH(Table217[[#This Row],[كد تفصيلي]],'حسابهای دریافتنی'!A:A,0)),0)</f>
        <v>10460111325</v>
      </c>
      <c r="D6" s="11">
        <f>IFERROR(INDEX('درجریان وصول'!F:F,MATCH(Table217[[#This Row],[كد تفصيلي]],'درجریان وصول'!A:A,0)),0)</f>
        <v>0</v>
      </c>
      <c r="E6" s="11">
        <f>IFERROR(INDEX('چکهای دریافتنی'!F:F,MATCH(Table217[[#This Row],[كد تفصيلي]],'چکهای دریافتنی'!A:A,0)),0)</f>
        <v>2783298655</v>
      </c>
      <c r="F6" s="11">
        <f>Table217[[#This Row],[حسابهای دریافتنی]]+Table217[[#This Row],[چکهای در جریان وصول]]+Table217[[#This Row],[چکهای نزد صندوق]]</f>
        <v>13243409980</v>
      </c>
      <c r="G6" s="12">
        <f>IFERROR(INDEX('مانده سوفاله'!F:F,MATCH(Table217[[#This Row],[كد تفصيلي]],'مانده سوفاله'!A:A,0)),0)</f>
        <v>-12714</v>
      </c>
    </row>
    <row r="7" spans="1:7" ht="24" customHeight="1" x14ac:dyDescent="0.35">
      <c r="A7" s="26">
        <v>30009</v>
      </c>
      <c r="B7" s="56" t="s">
        <v>164</v>
      </c>
      <c r="C7" s="10">
        <f>IFERROR(INDEX('حسابهای دریافتنی'!H:H,MATCH(Table217[[#This Row],[كد تفصيلي]],'حسابهای دریافتنی'!A:A,0)),0)</f>
        <v>7853844277</v>
      </c>
      <c r="D7" s="11">
        <f>IFERROR(INDEX('درجریان وصول'!F:F,MATCH(Table217[[#This Row],[كد تفصيلي]],'درجریان وصول'!A:A,0)),0)</f>
        <v>0</v>
      </c>
      <c r="E7" s="11">
        <f>IFERROR(INDEX('چکهای دریافتنی'!F:F,MATCH(Table217[[#This Row],[كد تفصيلي]],'چکهای دریافتنی'!A:A,0)),0)</f>
        <v>6474835380</v>
      </c>
      <c r="F7" s="11">
        <f>Table217[[#This Row],[حسابهای دریافتنی]]+Table217[[#This Row],[چکهای در جریان وصول]]+Table217[[#This Row],[چکهای نزد صندوق]]</f>
        <v>14328679657</v>
      </c>
      <c r="G7" s="12">
        <f>IFERROR(INDEX('مانده سوفاله'!F:F,MATCH(Table217[[#This Row],[كد تفصيلي]],'مانده سوفاله'!A:A,0)),0)</f>
        <v>-11452</v>
      </c>
    </row>
    <row r="8" spans="1:7" ht="24" customHeight="1" x14ac:dyDescent="0.35">
      <c r="A8" s="26">
        <v>30058</v>
      </c>
      <c r="B8" s="56" t="s">
        <v>103</v>
      </c>
      <c r="C8" s="10">
        <f>IFERROR(INDEX('حسابهای دریافتنی'!H:H,MATCH(Table217[[#This Row],[كد تفصيلي]],'حسابهای دریافتنی'!A:A,0)),0)</f>
        <v>1700045560</v>
      </c>
      <c r="D8" s="11">
        <f>IFERROR(INDEX('درجریان وصول'!F:F,MATCH(Table217[[#This Row],[كد تفصيلي]],'درجریان وصول'!A:A,0)),0)</f>
        <v>0</v>
      </c>
      <c r="E8" s="11">
        <f>IFERROR(INDEX('چکهای دریافتنی'!F:F,MATCH(Table217[[#This Row],[كد تفصيلي]],'چکهای دریافتنی'!A:A,0)),0)</f>
        <v>0</v>
      </c>
      <c r="F8" s="11">
        <f>Table217[[#This Row],[حسابهای دریافتنی]]+Table217[[#This Row],[چکهای در جریان وصول]]+Table217[[#This Row],[چکهای نزد صندوق]]</f>
        <v>1700045560</v>
      </c>
      <c r="G8" s="12">
        <f>IFERROR(INDEX('مانده سوفاله'!F:F,MATCH(Table217[[#This Row],[كد تفصيلي]],'مانده سوفاله'!A:A,0)),0)</f>
        <v>-225</v>
      </c>
    </row>
    <row r="9" spans="1:7" ht="24" customHeight="1" x14ac:dyDescent="0.35">
      <c r="A9" s="27">
        <v>30022</v>
      </c>
      <c r="B9" s="55" t="s">
        <v>70</v>
      </c>
      <c r="C9" s="10">
        <f>IFERROR(INDEX('حسابهای دریافتنی'!H:H,MATCH(Table217[[#This Row],[كد تفصيلي]],'حسابهای دریافتنی'!A:A,0)),0)</f>
        <v>2933770530</v>
      </c>
      <c r="D9" s="11">
        <f>IFERROR(INDEX('درجریان وصول'!F:F,MATCH(Table217[[#This Row],[كد تفصيلي]],'درجریان وصول'!A:A,0)),0)</f>
        <v>0</v>
      </c>
      <c r="E9" s="11">
        <f>IFERROR(INDEX('چکهای دریافتنی'!F:F,MATCH(Table217[[#This Row],[كد تفصيلي]],'چکهای دریافتنی'!A:A,0)),0)</f>
        <v>0</v>
      </c>
      <c r="F9" s="11">
        <f>Table217[[#This Row],[حسابهای دریافتنی]]+Table217[[#This Row],[چکهای در جریان وصول]]+Table217[[#This Row],[چکهای نزد صندوق]]</f>
        <v>2933770530</v>
      </c>
      <c r="G9" s="12">
        <f>IFERROR(INDEX('مانده سوفاله'!F:F,MATCH(Table217[[#This Row],[كد تفصيلي]],'مانده سوفاله'!A:A,0)),0)</f>
        <v>-14747</v>
      </c>
    </row>
    <row r="10" spans="1:7" ht="24" customHeight="1" x14ac:dyDescent="0.35">
      <c r="A10" s="27">
        <v>30099</v>
      </c>
      <c r="B10" s="55" t="s">
        <v>167</v>
      </c>
      <c r="C10" s="10">
        <f>IFERROR(INDEX('حسابهای دریافتنی'!H:H,MATCH(Table217[[#This Row],[كد تفصيلي]],'حسابهای دریافتنی'!A:A,0)),0)</f>
        <v>1398393484</v>
      </c>
      <c r="D10" s="11">
        <f>IFERROR(INDEX('درجریان وصول'!F:F,MATCH(Table217[[#This Row],[كد تفصيلي]],'درجریان وصول'!A:A,0)),0)</f>
        <v>0</v>
      </c>
      <c r="E10" s="11">
        <f>IFERROR(INDEX('چکهای دریافتنی'!F:F,MATCH(Table217[[#This Row],[كد تفصيلي]],'چکهای دریافتنی'!A:A,0)),0)</f>
        <v>583000000</v>
      </c>
      <c r="F10" s="11">
        <f>Table217[[#This Row],[حسابهای دریافتنی]]+Table217[[#This Row],[چکهای در جریان وصول]]+Table217[[#This Row],[چکهای نزد صندوق]]</f>
        <v>1981393484</v>
      </c>
      <c r="G10" s="12">
        <f>IFERROR(INDEX('مانده سوفاله'!F:F,MATCH(Table217[[#This Row],[كد تفصيلي]],'مانده سوفاله'!A:A,0)),0)</f>
        <v>-332</v>
      </c>
    </row>
    <row r="11" spans="1:7" ht="24" customHeight="1" x14ac:dyDescent="0.35">
      <c r="A11" s="26">
        <v>30162</v>
      </c>
      <c r="B11" s="56" t="s">
        <v>301</v>
      </c>
      <c r="C11" s="10">
        <f>IFERROR(INDEX('حسابهای دریافتنی'!H:H,MATCH(Table217[[#This Row],[كد تفصيلي]],'حسابهای دریافتنی'!A:A,0)),0)</f>
        <v>204890235</v>
      </c>
      <c r="D11" s="11">
        <f>IFERROR(INDEX('درجریان وصول'!F:F,MATCH(Table217[[#This Row],[كد تفصيلي]],'درجریان وصول'!A:A,0)),0)</f>
        <v>0</v>
      </c>
      <c r="E11" s="11">
        <f>IFERROR(INDEX('چکهای دریافتنی'!F:F,MATCH(Table217[[#This Row],[كد تفصيلي]],'چکهای دریافتنی'!A:A,0)),0)</f>
        <v>0</v>
      </c>
      <c r="F11" s="11">
        <f>Table217[[#This Row],[حسابهای دریافتنی]]+Table217[[#This Row],[چکهای در جریان وصول]]+Table217[[#This Row],[چکهای نزد صندوق]]</f>
        <v>204890235</v>
      </c>
      <c r="G11" s="12">
        <f>IFERROR(INDEX('مانده سوفاله'!F:F,MATCH(Table217[[#This Row],[كد تفصيلي]],'مانده سوفاله'!A:A,0)),0)</f>
        <v>-251</v>
      </c>
    </row>
    <row r="12" spans="1:7" ht="24" customHeight="1" x14ac:dyDescent="0.35">
      <c r="A12" s="26">
        <v>10057</v>
      </c>
      <c r="B12" s="56" t="s">
        <v>225</v>
      </c>
      <c r="C12" s="10">
        <f>IFERROR(INDEX('حسابهای دریافتنی'!H:H,MATCH(Table217[[#This Row],[كد تفصيلي]],'حسابهای دریافتنی'!A:A,0)),0)</f>
        <v>1390485500</v>
      </c>
      <c r="D12" s="11">
        <f>IFERROR(INDEX('درجریان وصول'!F:F,MATCH(Table217[[#This Row],[كد تفصيلي]],'درجریان وصول'!A:A,0)),0)</f>
        <v>0</v>
      </c>
      <c r="E12" s="11">
        <f>IFERROR(INDEX('چکهای دریافتنی'!F:F,MATCH(Table217[[#This Row],[كد تفصيلي]],'چکهای دریافتنی'!A:A,0)),0)</f>
        <v>0</v>
      </c>
      <c r="F12" s="11">
        <f>Table217[[#This Row],[حسابهای دریافتنی]]+Table217[[#This Row],[چکهای در جریان وصول]]+Table217[[#This Row],[چکهای نزد صندوق]]</f>
        <v>1390485500</v>
      </c>
      <c r="G12" s="12">
        <f>IFERROR(INDEX('مانده سوفاله'!F:F,MATCH(Table217[[#This Row],[كد تفصيلي]],'مانده سوفاله'!A:A,0)),0)</f>
        <v>-2044</v>
      </c>
    </row>
    <row r="13" spans="1:7" ht="24" customHeight="1" x14ac:dyDescent="0.35">
      <c r="A13" s="26">
        <v>50011</v>
      </c>
      <c r="B13" s="56" t="s">
        <v>147</v>
      </c>
      <c r="C13" s="10">
        <f>IFERROR(INDEX('حسابهای دریافتنی'!H:H,MATCH(Table217[[#This Row],[كد تفصيلي]],'حسابهای دریافتنی'!A:A,0)),0)</f>
        <v>832182413</v>
      </c>
      <c r="D13" s="11">
        <f>IFERROR(INDEX('درجریان وصول'!F:F,MATCH(Table217[[#This Row],[كد تفصيلي]],'درجریان وصول'!A:A,0)),0)</f>
        <v>0</v>
      </c>
      <c r="E13" s="11">
        <f>IFERROR(INDEX('چکهای دریافتنی'!F:F,MATCH(Table217[[#This Row],[كد تفصيلي]],'چکهای دریافتنی'!A:A,0)),0)</f>
        <v>0</v>
      </c>
      <c r="F13" s="11">
        <f>Table217[[#This Row],[حسابهای دریافتنی]]+Table217[[#This Row],[چکهای در جریان وصول]]+Table217[[#This Row],[چکهای نزد صندوق]]</f>
        <v>832182413</v>
      </c>
      <c r="G13" s="12">
        <f>IFERROR(INDEX('مانده سوفاله'!F:F,MATCH(Table217[[#This Row],[كد تفصيلي]],'مانده سوفاله'!A:A,0)),0)</f>
        <v>30</v>
      </c>
    </row>
    <row r="14" spans="1:7" ht="24" customHeight="1" x14ac:dyDescent="0.35">
      <c r="A14" s="26">
        <v>30191</v>
      </c>
      <c r="B14" s="56" t="s">
        <v>460</v>
      </c>
      <c r="C14" s="10">
        <f>IFERROR(INDEX('حسابهای دریافتنی'!H:H,MATCH(Table217[[#This Row],[كد تفصيلي]],'حسابهای دریافتنی'!A:A,0)),0)</f>
        <v>792933000</v>
      </c>
      <c r="D14" s="11">
        <f>IFERROR(INDEX('درجریان وصول'!F:F,MATCH(Table217[[#This Row],[كد تفصيلي]],'درجریان وصول'!A:A,0)),0)</f>
        <v>0</v>
      </c>
      <c r="E14" s="11">
        <f>IFERROR(INDEX('چکهای دریافتنی'!F:F,MATCH(Table217[[#This Row],[كد تفصيلي]],'چکهای دریافتنی'!A:A,0)),0)</f>
        <v>0</v>
      </c>
      <c r="F14" s="11">
        <f>Table217[[#This Row],[حسابهای دریافتنی]]+Table217[[#This Row],[چکهای در جریان وصول]]+Table217[[#This Row],[چکهای نزد صندوق]]</f>
        <v>792933000</v>
      </c>
      <c r="G14" s="12">
        <f>IFERROR(INDEX('مانده سوفاله'!F:F,MATCH(Table217[[#This Row],[كد تفصيلي]],'مانده سوفاله'!A:A,0)),0)</f>
        <v>134</v>
      </c>
    </row>
    <row r="15" spans="1:7" ht="24" customHeight="1" x14ac:dyDescent="0.35">
      <c r="A15" s="26">
        <v>30017</v>
      </c>
      <c r="B15" s="56" t="s">
        <v>65</v>
      </c>
      <c r="C15" s="10">
        <f>IFERROR(INDEX('حسابهای دریافتنی'!H:H,MATCH(Table217[[#This Row],[كد تفصيلي]],'حسابهای دریافتنی'!A:A,0)),0)</f>
        <v>905000830</v>
      </c>
      <c r="D15" s="11">
        <f>IFERROR(INDEX('درجریان وصول'!F:F,MATCH(Table217[[#This Row],[كد تفصيلي]],'درجریان وصول'!A:A,0)),0)</f>
        <v>0</v>
      </c>
      <c r="E15" s="11">
        <f>IFERROR(INDEX('چکهای دریافتنی'!F:F,MATCH(Table217[[#This Row],[كد تفصيلي]],'چکهای دریافتنی'!A:A,0)),0)</f>
        <v>0</v>
      </c>
      <c r="F15" s="11">
        <f>Table217[[#This Row],[حسابهای دریافتنی]]+Table217[[#This Row],[چکهای در جریان وصول]]+Table217[[#This Row],[چکهای نزد صندوق]]</f>
        <v>905000830</v>
      </c>
      <c r="G15" s="12">
        <f>IFERROR(INDEX('مانده سوفاله'!F:F,MATCH(Table217[[#This Row],[كد تفصيلي]],'مانده سوفاله'!A:A,0)),0)</f>
        <v>-2186</v>
      </c>
    </row>
    <row r="16" spans="1:7" ht="24" customHeight="1" x14ac:dyDescent="0.35">
      <c r="A16" s="27">
        <v>10020</v>
      </c>
      <c r="B16" s="55" t="s">
        <v>27</v>
      </c>
      <c r="C16" s="10">
        <f>IFERROR(INDEX('حسابهای دریافتنی'!H:H,MATCH(Table217[[#This Row],[كد تفصيلي]],'حسابهای دریافتنی'!A:A,0)),0)</f>
        <v>57999963</v>
      </c>
      <c r="D16" s="11">
        <f>IFERROR(INDEX('درجریان وصول'!F:F,MATCH(Table217[[#This Row],[كد تفصيلي]],'درجریان وصول'!A:A,0)),0)</f>
        <v>0</v>
      </c>
      <c r="E16" s="11">
        <f>IFERROR(INDEX('چکهای دریافتنی'!F:F,MATCH(Table217[[#This Row],[كد تفصيلي]],'چکهای دریافتنی'!A:A,0)),0)</f>
        <v>728000000</v>
      </c>
      <c r="F16" s="11">
        <f>Table217[[#This Row],[حسابهای دریافتنی]]+Table217[[#This Row],[چکهای در جریان وصول]]+Table217[[#This Row],[چکهای نزد صندوق]]</f>
        <v>785999963</v>
      </c>
      <c r="G16" s="12">
        <f>IFERROR(INDEX('مانده سوفاله'!F:F,MATCH(Table217[[#This Row],[كد تفصيلي]],'مانده سوفاله'!A:A,0)),0)</f>
        <v>-1031</v>
      </c>
    </row>
    <row r="17" spans="1:7" ht="24" customHeight="1" x14ac:dyDescent="0.35">
      <c r="A17" s="27">
        <v>30014</v>
      </c>
      <c r="B17" s="55" t="s">
        <v>63</v>
      </c>
      <c r="C17" s="10">
        <f>IFERROR(INDEX('حسابهای دریافتنی'!H:H,MATCH(Table217[[#This Row],[كد تفصيلي]],'حسابهای دریافتنی'!A:A,0)),0)</f>
        <v>1762223932</v>
      </c>
      <c r="D17" s="11">
        <f>IFERROR(INDEX('درجریان وصول'!F:F,MATCH(Table217[[#This Row],[كد تفصيلي]],'درجریان وصول'!A:A,0)),0)</f>
        <v>0</v>
      </c>
      <c r="E17" s="11">
        <f>IFERROR(INDEX('چکهای دریافتنی'!F:F,MATCH(Table217[[#This Row],[كد تفصيلي]],'چکهای دریافتنی'!A:A,0)),0)</f>
        <v>0</v>
      </c>
      <c r="F17" s="11">
        <f>Table217[[#This Row],[حسابهای دریافتنی]]+Table217[[#This Row],[چکهای در جریان وصول]]+Table217[[#This Row],[چکهای نزد صندوق]]</f>
        <v>1762223932</v>
      </c>
      <c r="G17" s="12">
        <f>IFERROR(INDEX('مانده سوفاله'!F:F,MATCH(Table217[[#This Row],[كد تفصيلي]],'مانده سوفاله'!A:A,0)),0)</f>
        <v>-1368</v>
      </c>
    </row>
    <row r="18" spans="1:7" ht="24" customHeight="1" x14ac:dyDescent="0.35">
      <c r="A18" s="27">
        <v>30131</v>
      </c>
      <c r="B18" s="55" t="s">
        <v>213</v>
      </c>
      <c r="C18" s="10">
        <f>IFERROR(INDEX('حسابهای دریافتنی'!H:H,MATCH(Table217[[#This Row],[كد تفصيلي]],'حسابهای دریافتنی'!A:A,0)),0)</f>
        <v>-6228486500</v>
      </c>
      <c r="D18" s="11">
        <f>IFERROR(INDEX('درجریان وصول'!F:F,MATCH(Table217[[#This Row],[كد تفصيلي]],'درجریان وصول'!A:A,0)),0)</f>
        <v>0</v>
      </c>
      <c r="E18" s="11">
        <f>IFERROR(INDEX('چکهای دریافتنی'!F:F,MATCH(Table217[[#This Row],[كد تفصيلي]],'چکهای دریافتنی'!A:A,0)),0)</f>
        <v>0</v>
      </c>
      <c r="F18" s="11">
        <f>Table217[[#This Row],[حسابهای دریافتنی]]+Table217[[#This Row],[چکهای در جریان وصول]]+Table217[[#This Row],[چکهای نزد صندوق]]</f>
        <v>-6228486500</v>
      </c>
      <c r="G18" s="12">
        <f>IFERROR(INDEX('مانده سوفاله'!F:F,MATCH(Table217[[#This Row],[كد تفصيلي]],'مانده سوفاله'!A:A,0)),0)</f>
        <v>222</v>
      </c>
    </row>
    <row r="19" spans="1:7" ht="24" customHeight="1" x14ac:dyDescent="0.35">
      <c r="A19" s="26">
        <v>10027</v>
      </c>
      <c r="B19" s="56" t="s">
        <v>33</v>
      </c>
      <c r="C19" s="10">
        <f>IFERROR(INDEX('حسابهای دریافتنی'!H:H,MATCH(Table217[[#This Row],[كد تفصيلي]],'حسابهای دریافتنی'!A:A,0)),0)</f>
        <v>33078340</v>
      </c>
      <c r="D19" s="11">
        <f>IFERROR(INDEX('درجریان وصول'!F:F,MATCH(Table217[[#This Row],[كد تفصيلي]],'درجریان وصول'!A:A,0)),0)</f>
        <v>0</v>
      </c>
      <c r="E19" s="11">
        <f>IFERROR(INDEX('چکهای دریافتنی'!F:F,MATCH(Table217[[#This Row],[كد تفصيلي]],'چکهای دریافتنی'!A:A,0)),0)</f>
        <v>1588359160</v>
      </c>
      <c r="F19" s="11">
        <f>Table217[[#This Row],[حسابهای دریافتنی]]+Table217[[#This Row],[چکهای در جریان وصول]]+Table217[[#This Row],[چکهای نزد صندوق]]</f>
        <v>1621437500</v>
      </c>
      <c r="G19" s="12">
        <f>IFERROR(INDEX('مانده سوفاله'!F:F,MATCH(Table217[[#This Row],[كد تفصيلي]],'مانده سوفاله'!A:A,0)),0)</f>
        <v>-647</v>
      </c>
    </row>
    <row r="20" spans="1:7" ht="24" customHeight="1" x14ac:dyDescent="0.35">
      <c r="A20" s="26">
        <v>30124</v>
      </c>
      <c r="B20" s="56" t="s">
        <v>246</v>
      </c>
      <c r="C20" s="10">
        <f>IFERROR(INDEX('حسابهای دریافتنی'!H:H,MATCH(Table217[[#This Row],[كد تفصيلي]],'حسابهای دریافتنی'!A:A,0)),0)</f>
        <v>0</v>
      </c>
      <c r="D20" s="11">
        <f>IFERROR(INDEX('درجریان وصول'!F:F,MATCH(Table217[[#This Row],[كد تفصيلي]],'درجریان وصول'!A:A,0)),0)</f>
        <v>0</v>
      </c>
      <c r="E20" s="11">
        <f>IFERROR(INDEX('چکهای دریافتنی'!F:F,MATCH(Table217[[#This Row],[كد تفصيلي]],'چکهای دریافتنی'!A:A,0)),0)</f>
        <v>505676000</v>
      </c>
      <c r="F20" s="11">
        <f>Table217[[#This Row],[حسابهای دریافتنی]]+Table217[[#This Row],[چکهای در جریان وصول]]+Table217[[#This Row],[چکهای نزد صندوق]]</f>
        <v>505676000</v>
      </c>
      <c r="G20" s="12">
        <f>IFERROR(INDEX('مانده سوفاله'!F:F,MATCH(Table217[[#This Row],[كد تفصيلي]],'مانده سوفاله'!A:A,0)),0)</f>
        <v>1498</v>
      </c>
    </row>
    <row r="21" spans="1:7" ht="24" customHeight="1" x14ac:dyDescent="0.35">
      <c r="A21" s="26">
        <v>30184</v>
      </c>
      <c r="B21" s="56" t="s">
        <v>368</v>
      </c>
      <c r="C21" s="10">
        <f>IFERROR(INDEX('حسابهای دریافتنی'!H:H,MATCH(Table217[[#This Row],[كد تفصيلي]],'حسابهای دریافتنی'!A:A,0)),0)</f>
        <v>904890480</v>
      </c>
      <c r="D21" s="11">
        <f>IFERROR(INDEX('درجریان وصول'!F:F,MATCH(Table217[[#This Row],[كد تفصيلي]],'درجریان وصول'!A:A,0)),0)</f>
        <v>0</v>
      </c>
      <c r="E21" s="11">
        <f>IFERROR(INDEX('چکهای دریافتنی'!F:F,MATCH(Table217[[#This Row],[كد تفصيلي]],'چکهای دریافتنی'!A:A,0)),0)</f>
        <v>0</v>
      </c>
      <c r="F21" s="11">
        <f>Table217[[#This Row],[حسابهای دریافتنی]]+Table217[[#This Row],[چکهای در جریان وصول]]+Table217[[#This Row],[چکهای نزد صندوق]]</f>
        <v>904890480</v>
      </c>
      <c r="G21" s="12">
        <f>IFERROR(INDEX('مانده سوفاله'!F:F,MATCH(Table217[[#This Row],[كد تفصيلي]],'مانده سوفاله'!A:A,0)),0)</f>
        <v>-100</v>
      </c>
    </row>
    <row r="22" spans="1:7" ht="24" customHeight="1" x14ac:dyDescent="0.35">
      <c r="A22" s="27">
        <v>10104</v>
      </c>
      <c r="B22" s="55" t="s">
        <v>293</v>
      </c>
      <c r="C22" s="10">
        <f>IFERROR(INDEX('حسابهای دریافتنی'!H:H,MATCH(Table217[[#This Row],[كد تفصيلي]],'حسابهای دریافتنی'!A:A,0)),0)</f>
        <v>0</v>
      </c>
      <c r="D22" s="11">
        <f>IFERROR(INDEX('درجریان وصول'!F:F,MATCH(Table217[[#This Row],[كد تفصيلي]],'درجریان وصول'!A:A,0)),0)</f>
        <v>0</v>
      </c>
      <c r="E22" s="11">
        <f>IFERROR(INDEX('چکهای دریافتنی'!F:F,MATCH(Table217[[#This Row],[كد تفصيلي]],'چکهای دریافتنی'!A:A,0)),0)</f>
        <v>0</v>
      </c>
      <c r="F22" s="11">
        <f>Table217[[#This Row],[حسابهای دریافتنی]]+Table217[[#This Row],[چکهای در جریان وصول]]+Table217[[#This Row],[چکهای نزد صندوق]]</f>
        <v>0</v>
      </c>
      <c r="G22" s="12">
        <f>IFERROR(INDEX('مانده سوفاله'!F:F,MATCH(Table217[[#This Row],[كد تفصيلي]],'مانده سوفاله'!A:A,0)),0)</f>
        <v>4065</v>
      </c>
    </row>
    <row r="23" spans="1:7" ht="24" customHeight="1" x14ac:dyDescent="0.35">
      <c r="A23" s="27">
        <v>30081</v>
      </c>
      <c r="B23" s="55" t="s">
        <v>126</v>
      </c>
      <c r="C23" s="10">
        <f>IFERROR(INDEX('حسابهای دریافتنی'!H:H,MATCH(Table217[[#This Row],[كد تفصيلي]],'حسابهای دریافتنی'!A:A,0)),0)</f>
        <v>1148992373</v>
      </c>
      <c r="D23" s="11">
        <f>IFERROR(INDEX('درجریان وصول'!F:F,MATCH(Table217[[#This Row],[كد تفصيلي]],'درجریان وصول'!A:A,0)),0)</f>
        <v>0</v>
      </c>
      <c r="E23" s="11">
        <f>IFERROR(INDEX('چکهای دریافتنی'!F:F,MATCH(Table217[[#This Row],[كد تفصيلي]],'چکهای دریافتنی'!A:A,0)),0)</f>
        <v>0</v>
      </c>
      <c r="F23" s="11">
        <f>Table217[[#This Row],[حسابهای دریافتنی]]+Table217[[#This Row],[چکهای در جریان وصول]]+Table217[[#This Row],[چکهای نزد صندوق]]</f>
        <v>1148992373</v>
      </c>
      <c r="G23" s="12">
        <f>IFERROR(INDEX('مانده سوفاله'!F:F,MATCH(Table217[[#This Row],[كد تفصيلي]],'مانده سوفاله'!A:A,0)),0)</f>
        <v>-6924</v>
      </c>
    </row>
    <row r="24" spans="1:7" ht="24" customHeight="1" x14ac:dyDescent="0.35">
      <c r="A24" s="27">
        <v>50016</v>
      </c>
      <c r="B24" s="55" t="s">
        <v>160</v>
      </c>
      <c r="C24" s="10">
        <f>IFERROR(INDEX('حسابهای دریافتنی'!H:H,MATCH(Table217[[#This Row],[كد تفصيلي]],'حسابهای دریافتنی'!A:A,0)),0)</f>
        <v>6344545550</v>
      </c>
      <c r="D24" s="11">
        <f>IFERROR(INDEX('درجریان وصول'!F:F,MATCH(Table217[[#This Row],[كد تفصيلي]],'درجریان وصول'!A:A,0)),0)</f>
        <v>0</v>
      </c>
      <c r="E24" s="11">
        <f>IFERROR(INDEX('چکهای دریافتنی'!F:F,MATCH(Table217[[#This Row],[كد تفصيلي]],'چکهای دریافتنی'!A:A,0)),0)</f>
        <v>0</v>
      </c>
      <c r="F24" s="11">
        <f>Table217[[#This Row],[حسابهای دریافتنی]]+Table217[[#This Row],[چکهای در جریان وصول]]+Table217[[#This Row],[چکهای نزد صندوق]]</f>
        <v>6344545550</v>
      </c>
      <c r="G24" s="12">
        <f>IFERROR(INDEX('مانده سوفاله'!F:F,MATCH(Table217[[#This Row],[كد تفصيلي]],'مانده سوفاله'!A:A,0)),0)</f>
        <v>5508</v>
      </c>
    </row>
    <row r="25" spans="1:7" ht="24" customHeight="1" x14ac:dyDescent="0.35">
      <c r="A25" s="26">
        <v>30140</v>
      </c>
      <c r="B25" s="56" t="s">
        <v>259</v>
      </c>
      <c r="C25" s="10">
        <f>IFERROR(INDEX('حسابهای دریافتنی'!H:H,MATCH(Table217[[#This Row],[كد تفصيلي]],'حسابهای دریافتنی'!A:A,0)),0)</f>
        <v>553728200</v>
      </c>
      <c r="D25" s="11">
        <f>IFERROR(INDEX('درجریان وصول'!F:F,MATCH(Table217[[#This Row],[كد تفصيلي]],'درجریان وصول'!A:A,0)),0)</f>
        <v>0</v>
      </c>
      <c r="E25" s="11">
        <f>IFERROR(INDEX('چکهای دریافتنی'!F:F,MATCH(Table217[[#This Row],[كد تفصيلي]],'چکهای دریافتنی'!A:A,0)),0)</f>
        <v>1030000000</v>
      </c>
      <c r="F25" s="11">
        <f>Table217[[#This Row],[حسابهای دریافتنی]]+Table217[[#This Row],[چکهای در جریان وصول]]+Table217[[#This Row],[چکهای نزد صندوق]]</f>
        <v>1583728200</v>
      </c>
      <c r="G25" s="12">
        <f>IFERROR(INDEX('مانده سوفاله'!F:F,MATCH(Table217[[#This Row],[كد تفصيلي]],'مانده سوفاله'!A:A,0)),0)</f>
        <v>-12630</v>
      </c>
    </row>
    <row r="26" spans="1:7" ht="24" customHeight="1" x14ac:dyDescent="0.35">
      <c r="A26" s="26">
        <v>30003</v>
      </c>
      <c r="B26" s="56" t="s">
        <v>53</v>
      </c>
      <c r="C26" s="10">
        <f>IFERROR(INDEX('حسابهای دریافتنی'!H:H,MATCH(Table217[[#This Row],[كد تفصيلي]],'حسابهای دریافتنی'!A:A,0)),0)</f>
        <v>754765900</v>
      </c>
      <c r="D26" s="11">
        <f>IFERROR(INDEX('درجریان وصول'!F:F,MATCH(Table217[[#This Row],[كد تفصيلي]],'درجریان وصول'!A:A,0)),0)</f>
        <v>0</v>
      </c>
      <c r="E26" s="11">
        <f>IFERROR(INDEX('چکهای دریافتنی'!F:F,MATCH(Table217[[#This Row],[كد تفصيلي]],'چکهای دریافتنی'!A:A,0)),0)</f>
        <v>571000000</v>
      </c>
      <c r="F26" s="11">
        <f>Table217[[#This Row],[حسابهای دریافتنی]]+Table217[[#This Row],[چکهای در جریان وصول]]+Table217[[#This Row],[چکهای نزد صندوق]]</f>
        <v>1325765900</v>
      </c>
      <c r="G26" s="12">
        <f>IFERROR(INDEX('مانده سوفاله'!F:F,MATCH(Table217[[#This Row],[كد تفصيلي]],'مانده سوفاله'!A:A,0)),0)</f>
        <v>-3538</v>
      </c>
    </row>
    <row r="27" spans="1:7" ht="24" customHeight="1" x14ac:dyDescent="0.35">
      <c r="A27" s="27">
        <v>10056</v>
      </c>
      <c r="B27" s="55" t="s">
        <v>166</v>
      </c>
      <c r="C27" s="10">
        <f>IFERROR(INDEX('حسابهای دریافتنی'!H:H,MATCH(Table217[[#This Row],[كد تفصيلي]],'حسابهای دریافتنی'!A:A,0)),0)</f>
        <v>812653500</v>
      </c>
      <c r="D27" s="11">
        <f>IFERROR(INDEX('درجریان وصول'!F:F,MATCH(Table217[[#This Row],[كد تفصيلي]],'درجریان وصول'!A:A,0)),0)</f>
        <v>0</v>
      </c>
      <c r="E27" s="11">
        <f>IFERROR(INDEX('چکهای دریافتنی'!F:F,MATCH(Table217[[#This Row],[كد تفصيلي]],'چکهای دریافتنی'!A:A,0)),0)</f>
        <v>0</v>
      </c>
      <c r="F27" s="11">
        <f>Table217[[#This Row],[حسابهای دریافتنی]]+Table217[[#This Row],[چکهای در جریان وصول]]+Table217[[#This Row],[چکهای نزد صندوق]]</f>
        <v>812653500</v>
      </c>
      <c r="G27" s="12">
        <f>IFERROR(INDEX('مانده سوفاله'!F:F,MATCH(Table217[[#This Row],[كد تفصيلي]],'مانده سوفاله'!A:A,0)),0)</f>
        <v>0</v>
      </c>
    </row>
    <row r="28" spans="1:7" ht="24" customHeight="1" x14ac:dyDescent="0.35">
      <c r="A28" s="27">
        <v>10008</v>
      </c>
      <c r="B28" s="55" t="s">
        <v>15</v>
      </c>
      <c r="C28" s="10">
        <f>IFERROR(INDEX('حسابهای دریافتنی'!H:H,MATCH(Table217[[#This Row],[كد تفصيلي]],'حسابهای دریافتنی'!A:A,0)),0)</f>
        <v>597342000</v>
      </c>
      <c r="D28" s="11">
        <f>IFERROR(INDEX('درجریان وصول'!F:F,MATCH(Table217[[#This Row],[كد تفصيلي]],'درجریان وصول'!A:A,0)),0)</f>
        <v>0</v>
      </c>
      <c r="E28" s="11">
        <f>IFERROR(INDEX('چکهای دریافتنی'!F:F,MATCH(Table217[[#This Row],[كد تفصيلي]],'چکهای دریافتنی'!A:A,0)),0)</f>
        <v>0</v>
      </c>
      <c r="F28" s="11">
        <f>Table217[[#This Row],[حسابهای دریافتنی]]+Table217[[#This Row],[چکهای در جریان وصول]]+Table217[[#This Row],[چکهای نزد صندوق]]</f>
        <v>597342000</v>
      </c>
      <c r="G28" s="12">
        <f>IFERROR(INDEX('مانده سوفاله'!F:F,MATCH(Table217[[#This Row],[كد تفصيلي]],'مانده سوفاله'!A:A,0)),0)</f>
        <v>-578</v>
      </c>
    </row>
    <row r="29" spans="1:7" ht="24" customHeight="1" x14ac:dyDescent="0.35">
      <c r="A29" s="26">
        <v>30070</v>
      </c>
      <c r="B29" s="56" t="s">
        <v>115</v>
      </c>
      <c r="C29" s="10">
        <f>IFERROR(INDEX('حسابهای دریافتنی'!H:H,MATCH(Table217[[#This Row],[كد تفصيلي]],'حسابهای دریافتنی'!A:A,0)),0)</f>
        <v>2651728820</v>
      </c>
      <c r="D29" s="11">
        <f>IFERROR(INDEX('درجریان وصول'!F:F,MATCH(Table217[[#This Row],[كد تفصيلي]],'درجریان وصول'!A:A,0)),0)</f>
        <v>0</v>
      </c>
      <c r="E29" s="11">
        <f>IFERROR(INDEX('چکهای دریافتنی'!F:F,MATCH(Table217[[#This Row],[كد تفصيلي]],'چکهای دریافتنی'!A:A,0)),0)</f>
        <v>3660000000</v>
      </c>
      <c r="F29" s="11">
        <f>Table217[[#This Row],[حسابهای دریافتنی]]+Table217[[#This Row],[چکهای در جریان وصول]]+Table217[[#This Row],[چکهای نزد صندوق]]</f>
        <v>6311728820</v>
      </c>
      <c r="G29" s="12">
        <f>IFERROR(INDEX('مانده سوفاله'!F:F,MATCH(Table217[[#This Row],[كد تفصيلي]],'مانده سوفاله'!A:A,0)),0)</f>
        <v>4378</v>
      </c>
    </row>
    <row r="30" spans="1:7" ht="24" customHeight="1" x14ac:dyDescent="0.35">
      <c r="A30" s="27">
        <v>30020</v>
      </c>
      <c r="B30" s="55" t="s">
        <v>68</v>
      </c>
      <c r="C30" s="10">
        <f>IFERROR(INDEX('حسابهای دریافتنی'!H:H,MATCH(Table217[[#This Row],[كد تفصيلي]],'حسابهای دریافتنی'!A:A,0)),0)</f>
        <v>2253500</v>
      </c>
      <c r="D30" s="11">
        <f>IFERROR(INDEX('درجریان وصول'!F:F,MATCH(Table217[[#This Row],[كد تفصيلي]],'درجریان وصول'!A:A,0)),0)</f>
        <v>0</v>
      </c>
      <c r="E30" s="11">
        <f>IFERROR(INDEX('چکهای دریافتنی'!F:F,MATCH(Table217[[#This Row],[كد تفصيلي]],'چکهای دریافتنی'!A:A,0)),0)</f>
        <v>0</v>
      </c>
      <c r="F30" s="11">
        <f>Table217[[#This Row],[حسابهای دریافتنی]]+Table217[[#This Row],[چکهای در جریان وصول]]+Table217[[#This Row],[چکهای نزد صندوق]]</f>
        <v>2253500</v>
      </c>
      <c r="G30" s="12">
        <f>IFERROR(INDEX('مانده سوفاله'!F:F,MATCH(Table217[[#This Row],[كد تفصيلي]],'مانده سوفاله'!A:A,0)),0)</f>
        <v>4</v>
      </c>
    </row>
    <row r="31" spans="1:7" ht="24" customHeight="1" x14ac:dyDescent="0.35">
      <c r="A31" s="27">
        <v>10127</v>
      </c>
      <c r="B31" s="55" t="s">
        <v>371</v>
      </c>
      <c r="C31" s="10">
        <f>IFERROR(INDEX('حسابهای دریافتنی'!H:H,MATCH(Table217[[#This Row],[كد تفصيلي]],'حسابهای دریافتنی'!A:A,0)),0)</f>
        <v>803728000</v>
      </c>
      <c r="D31" s="11">
        <f>IFERROR(INDEX('درجریان وصول'!F:F,MATCH(Table217[[#This Row],[كد تفصيلي]],'درجریان وصول'!A:A,0)),0)</f>
        <v>0</v>
      </c>
      <c r="E31" s="11">
        <f>IFERROR(INDEX('چکهای دریافتنی'!F:F,MATCH(Table217[[#This Row],[كد تفصيلي]],'چکهای دریافتنی'!A:A,0)),0)</f>
        <v>0</v>
      </c>
      <c r="F31" s="11">
        <f>Table217[[#This Row],[حسابهای دریافتنی]]+Table217[[#This Row],[چکهای در جریان وصول]]+Table217[[#This Row],[چکهای نزد صندوق]]</f>
        <v>803728000</v>
      </c>
      <c r="G31" s="12">
        <f>IFERROR(INDEX('مانده سوفاله'!F:F,MATCH(Table217[[#This Row],[كد تفصيلي]],'مانده سوفاله'!A:A,0)),0)</f>
        <v>-1469</v>
      </c>
    </row>
    <row r="32" spans="1:7" ht="24" customHeight="1" x14ac:dyDescent="0.35">
      <c r="A32" s="27">
        <v>30069</v>
      </c>
      <c r="B32" s="55" t="s">
        <v>114</v>
      </c>
      <c r="C32" s="10">
        <f>IFERROR(INDEX('حسابهای دریافتنی'!H:H,MATCH(Table217[[#This Row],[كد تفصيلي]],'حسابهای دریافتنی'!A:A,0)),0)</f>
        <v>377909400</v>
      </c>
      <c r="D32" s="11">
        <f>IFERROR(INDEX('درجریان وصول'!F:F,MATCH(Table217[[#This Row],[كد تفصيلي]],'درجریان وصول'!A:A,0)),0)</f>
        <v>0</v>
      </c>
      <c r="E32" s="11">
        <f>IFERROR(INDEX('چکهای دریافتنی'!F:F,MATCH(Table217[[#This Row],[كد تفصيلي]],'چکهای دریافتنی'!A:A,0)),0)</f>
        <v>0</v>
      </c>
      <c r="F32" s="11">
        <f>Table217[[#This Row],[حسابهای دریافتنی]]+Table217[[#This Row],[چکهای در جریان وصول]]+Table217[[#This Row],[چکهای نزد صندوق]]</f>
        <v>377909400</v>
      </c>
      <c r="G32" s="12">
        <f>IFERROR(INDEX('مانده سوفاله'!F:F,MATCH(Table217[[#This Row],[كد تفصيلي]],'مانده سوفاله'!A:A,0)),0)</f>
        <v>66</v>
      </c>
    </row>
    <row r="33" spans="1:7" ht="24" customHeight="1" x14ac:dyDescent="0.35">
      <c r="A33" s="27">
        <v>30018</v>
      </c>
      <c r="B33" s="55" t="s">
        <v>66</v>
      </c>
      <c r="C33" s="10">
        <f>IFERROR(INDEX('حسابهای دریافتنی'!H:H,MATCH(Table217[[#This Row],[كد تفصيلي]],'حسابهای دریافتنی'!A:A,0)),0)</f>
        <v>1901077182</v>
      </c>
      <c r="D33" s="11">
        <f>IFERROR(INDEX('درجریان وصول'!F:F,MATCH(Table217[[#This Row],[كد تفصيلي]],'درجریان وصول'!A:A,0)),0)</f>
        <v>0</v>
      </c>
      <c r="E33" s="11">
        <f>IFERROR(INDEX('چکهای دریافتنی'!F:F,MATCH(Table217[[#This Row],[كد تفصيلي]],'چکهای دریافتنی'!A:A,0)),0)</f>
        <v>0</v>
      </c>
      <c r="F33" s="11">
        <f>Table217[[#This Row],[حسابهای دریافتنی]]+Table217[[#This Row],[چکهای در جریان وصول]]+Table217[[#This Row],[چکهای نزد صندوق]]</f>
        <v>1901077182</v>
      </c>
      <c r="G33" s="12">
        <f>IFERROR(INDEX('مانده سوفاله'!F:F,MATCH(Table217[[#This Row],[كد تفصيلي]],'مانده سوفاله'!A:A,0)),0)</f>
        <v>-3024</v>
      </c>
    </row>
    <row r="34" spans="1:7" ht="24" customHeight="1" x14ac:dyDescent="0.35">
      <c r="A34" s="27">
        <v>30055</v>
      </c>
      <c r="B34" s="55" t="s">
        <v>100</v>
      </c>
      <c r="C34" s="10">
        <f>IFERROR(INDEX('حسابهای دریافتنی'!H:H,MATCH(Table217[[#This Row],[كد تفصيلي]],'حسابهای دریافتنی'!A:A,0)),0)</f>
        <v>0</v>
      </c>
      <c r="D34" s="11">
        <f>IFERROR(INDEX('درجریان وصول'!F:F,MATCH(Table217[[#This Row],[كد تفصيلي]],'درجریان وصول'!A:A,0)),0)</f>
        <v>0</v>
      </c>
      <c r="E34" s="11">
        <f>IFERROR(INDEX('چکهای دریافتنی'!F:F,MATCH(Table217[[#This Row],[كد تفصيلي]],'چکهای دریافتنی'!A:A,0)),0)</f>
        <v>0</v>
      </c>
      <c r="F34" s="11">
        <f>Table217[[#This Row],[حسابهای دریافتنی]]+Table217[[#This Row],[چکهای در جریان وصول]]+Table217[[#This Row],[چکهای نزد صندوق]]</f>
        <v>0</v>
      </c>
      <c r="G34" s="12">
        <f>IFERROR(INDEX('مانده سوفاله'!F:F,MATCH(Table217[[#This Row],[كد تفصيلي]],'مانده سوفاله'!A:A,0)),0)</f>
        <v>48</v>
      </c>
    </row>
    <row r="35" spans="1:7" ht="24" customHeight="1" x14ac:dyDescent="0.35">
      <c r="A35" s="27">
        <v>10084</v>
      </c>
      <c r="B35" s="55" t="s">
        <v>217</v>
      </c>
      <c r="C35" s="10">
        <f>IFERROR(INDEX('حسابهای دریافتنی'!H:H,MATCH(Table217[[#This Row],[كد تفصيلي]],'حسابهای دریافتنی'!A:A,0)),0)</f>
        <v>358092810</v>
      </c>
      <c r="D35" s="11">
        <f>IFERROR(INDEX('درجریان وصول'!F:F,MATCH(Table217[[#This Row],[كد تفصيلي]],'درجریان وصول'!A:A,0)),0)</f>
        <v>0</v>
      </c>
      <c r="E35" s="11">
        <f>IFERROR(INDEX('چکهای دریافتنی'!F:F,MATCH(Table217[[#This Row],[كد تفصيلي]],'چکهای دریافتنی'!A:A,0)),0)</f>
        <v>870000000</v>
      </c>
      <c r="F35" s="11">
        <f>Table217[[#This Row],[حسابهای دریافتنی]]+Table217[[#This Row],[چکهای در جریان وصول]]+Table217[[#This Row],[چکهای نزد صندوق]]</f>
        <v>1228092810</v>
      </c>
      <c r="G35" s="12">
        <f>IFERROR(INDEX('مانده سوفاله'!F:F,MATCH(Table217[[#This Row],[كد تفصيلي]],'مانده سوفاله'!A:A,0)),0)</f>
        <v>-1656</v>
      </c>
    </row>
    <row r="36" spans="1:7" ht="24" customHeight="1" x14ac:dyDescent="0.35">
      <c r="A36" s="26">
        <v>30086</v>
      </c>
      <c r="B36" s="56" t="s">
        <v>131</v>
      </c>
      <c r="C36" s="10">
        <f>IFERROR(INDEX('حسابهای دریافتنی'!H:H,MATCH(Table217[[#This Row],[كد تفصيلي]],'حسابهای دریافتنی'!A:A,0)),0)</f>
        <v>187376603</v>
      </c>
      <c r="D36" s="11">
        <f>IFERROR(INDEX('درجریان وصول'!F:F,MATCH(Table217[[#This Row],[كد تفصيلي]],'درجریان وصول'!A:A,0)),0)</f>
        <v>0</v>
      </c>
      <c r="E36" s="11">
        <f>IFERROR(INDEX('چکهای دریافتنی'!F:F,MATCH(Table217[[#This Row],[كد تفصيلي]],'چکهای دریافتنی'!A:A,0)),0)</f>
        <v>0</v>
      </c>
      <c r="F36" s="11">
        <f>Table217[[#This Row],[حسابهای دریافتنی]]+Table217[[#This Row],[چکهای در جریان وصول]]+Table217[[#This Row],[چکهای نزد صندوق]]</f>
        <v>187376603</v>
      </c>
      <c r="G36" s="12">
        <f>IFERROR(INDEX('مانده سوفاله'!F:F,MATCH(Table217[[#This Row],[كد تفصيلي]],'مانده سوفاله'!A:A,0)),0)</f>
        <v>1549</v>
      </c>
    </row>
    <row r="37" spans="1:7" ht="24" customHeight="1" x14ac:dyDescent="0.35">
      <c r="A37" s="26">
        <v>30186</v>
      </c>
      <c r="B37" s="56" t="s">
        <v>367</v>
      </c>
      <c r="C37" s="10">
        <f>IFERROR(INDEX('حسابهای دریافتنی'!H:H,MATCH(Table217[[#This Row],[كد تفصيلي]],'حسابهای دریافتنی'!A:A,0)),0)</f>
        <v>986425000</v>
      </c>
      <c r="D37" s="11">
        <f>IFERROR(INDEX('درجریان وصول'!F:F,MATCH(Table217[[#This Row],[كد تفصيلي]],'درجریان وصول'!A:A,0)),0)</f>
        <v>0</v>
      </c>
      <c r="E37" s="11">
        <f>IFERROR(INDEX('چکهای دریافتنی'!F:F,MATCH(Table217[[#This Row],[كد تفصيلي]],'چکهای دریافتنی'!A:A,0)),0)</f>
        <v>5982430000</v>
      </c>
      <c r="F37" s="11">
        <f>Table217[[#This Row],[حسابهای دریافتنی]]+Table217[[#This Row],[چکهای در جریان وصول]]+Table217[[#This Row],[چکهای نزد صندوق]]</f>
        <v>6968855000</v>
      </c>
      <c r="G37" s="12">
        <f>IFERROR(INDEX('مانده سوفاله'!F:F,MATCH(Table217[[#This Row],[كد تفصيلي]],'مانده سوفاله'!A:A,0)),0)</f>
        <v>-7388</v>
      </c>
    </row>
    <row r="38" spans="1:7" ht="24" customHeight="1" x14ac:dyDescent="0.35">
      <c r="A38" s="27">
        <v>30077</v>
      </c>
      <c r="B38" s="55" t="s">
        <v>122</v>
      </c>
      <c r="C38" s="10">
        <f>IFERROR(INDEX('حسابهای دریافتنی'!H:H,MATCH(Table217[[#This Row],[كد تفصيلي]],'حسابهای دریافتنی'!A:A,0)),0)</f>
        <v>360000</v>
      </c>
      <c r="D38" s="11">
        <f>IFERROR(INDEX('درجریان وصول'!F:F,MATCH(Table217[[#This Row],[كد تفصيلي]],'درجریان وصول'!A:A,0)),0)</f>
        <v>0</v>
      </c>
      <c r="E38" s="11">
        <f>IFERROR(INDEX('چکهای دریافتنی'!F:F,MATCH(Table217[[#This Row],[كد تفصيلي]],'چکهای دریافتنی'!A:A,0)),0)</f>
        <v>0</v>
      </c>
      <c r="F38" s="11">
        <f>Table217[[#This Row],[حسابهای دریافتنی]]+Table217[[#This Row],[چکهای در جریان وصول]]+Table217[[#This Row],[چکهای نزد صندوق]]</f>
        <v>360000</v>
      </c>
      <c r="G38" s="12">
        <f>IFERROR(INDEX('مانده سوفاله'!F:F,MATCH(Table217[[#This Row],[كد تفصيلي]],'مانده سوفاله'!A:A,0)),0)</f>
        <v>-32</v>
      </c>
    </row>
    <row r="39" spans="1:7" ht="24" customHeight="1" x14ac:dyDescent="0.35">
      <c r="A39" s="27">
        <v>30196</v>
      </c>
      <c r="B39" s="55" t="s">
        <v>481</v>
      </c>
      <c r="C39" s="10">
        <f>IFERROR(INDEX('حسابهای دریافتنی'!H:H,MATCH(Table217[[#This Row],[كد تفصيلي]],'حسابهای دریافتنی'!A:A,0)),0)</f>
        <v>3592950000</v>
      </c>
      <c r="D39" s="11">
        <f>IFERROR(INDEX('درجریان وصول'!F:F,MATCH(Table217[[#This Row],[كد تفصيلي]],'درجریان وصول'!A:A,0)),0)</f>
        <v>0</v>
      </c>
      <c r="E39" s="11">
        <f>IFERROR(INDEX('چکهای دریافتنی'!F:F,MATCH(Table217[[#This Row],[كد تفصيلي]],'چکهای دریافتنی'!A:A,0)),0)</f>
        <v>0</v>
      </c>
      <c r="F39" s="11">
        <f>Table217[[#This Row],[حسابهای دریافتنی]]+Table217[[#This Row],[چکهای در جریان وصول]]+Table217[[#This Row],[چکهای نزد صندوق]]</f>
        <v>3592950000</v>
      </c>
      <c r="G39" s="12">
        <f>IFERROR(INDEX('مانده سوفاله'!F:F,MATCH(Table217[[#This Row],[كد تفصيلي]],'مانده سوفاله'!A:A,0)),0)</f>
        <v>-8965</v>
      </c>
    </row>
    <row r="40" spans="1:7" ht="24" customHeight="1" x14ac:dyDescent="0.35">
      <c r="A40" s="27">
        <v>10096</v>
      </c>
      <c r="B40" s="55" t="s">
        <v>271</v>
      </c>
      <c r="C40" s="10">
        <f>IFERROR(INDEX('حسابهای دریافتنی'!H:H,MATCH(Table217[[#This Row],[كد تفصيلي]],'حسابهای دریافتنی'!A:A,0)),0)</f>
        <v>36455500</v>
      </c>
      <c r="D40" s="11">
        <f>IFERROR(INDEX('درجریان وصول'!F:F,MATCH(Table217[[#This Row],[كد تفصيلي]],'درجریان وصول'!A:A,0)),0)</f>
        <v>0</v>
      </c>
      <c r="E40" s="11">
        <f>IFERROR(INDEX('چکهای دریافتنی'!F:F,MATCH(Table217[[#This Row],[كد تفصيلي]],'چکهای دریافتنی'!A:A,0)),0)</f>
        <v>0</v>
      </c>
      <c r="F40" s="11">
        <f>Table217[[#This Row],[حسابهای دریافتنی]]+Table217[[#This Row],[چکهای در جریان وصول]]+Table217[[#This Row],[چکهای نزد صندوق]]</f>
        <v>36455500</v>
      </c>
      <c r="G40" s="12">
        <f>IFERROR(INDEX('مانده سوفاله'!F:F,MATCH(Table217[[#This Row],[كد تفصيلي]],'مانده سوفاله'!A:A,0)),0)</f>
        <v>0</v>
      </c>
    </row>
    <row r="41" spans="1:7" ht="24" customHeight="1" x14ac:dyDescent="0.35">
      <c r="A41" s="26">
        <v>30025</v>
      </c>
      <c r="B41" s="56" t="s">
        <v>73</v>
      </c>
      <c r="C41" s="10">
        <f>IFERROR(INDEX('حسابهای دریافتنی'!H:H,MATCH(Table217[[#This Row],[كد تفصيلي]],'حسابهای دریافتنی'!A:A,0)),0)</f>
        <v>35598920</v>
      </c>
      <c r="D41" s="11">
        <f>IFERROR(INDEX('درجریان وصول'!F:F,MATCH(Table217[[#This Row],[كد تفصيلي]],'درجریان وصول'!A:A,0)),0)</f>
        <v>0</v>
      </c>
      <c r="E41" s="11">
        <f>IFERROR(INDEX('چکهای دریافتنی'!F:F,MATCH(Table217[[#This Row],[كد تفصيلي]],'چکهای دریافتنی'!A:A,0)),0)</f>
        <v>0</v>
      </c>
      <c r="F41" s="11">
        <f>Table217[[#This Row],[حسابهای دریافتنی]]+Table217[[#This Row],[چکهای در جریان وصول]]+Table217[[#This Row],[چکهای نزد صندوق]]</f>
        <v>35598920</v>
      </c>
      <c r="G41" s="12">
        <f>IFERROR(INDEX('مانده سوفاله'!F:F,MATCH(Table217[[#This Row],[كد تفصيلي]],'مانده سوفاله'!A:A,0)),0)</f>
        <v>-165</v>
      </c>
    </row>
    <row r="42" spans="1:7" ht="24" customHeight="1" x14ac:dyDescent="0.35">
      <c r="A42" s="26">
        <v>30005</v>
      </c>
      <c r="B42" s="56" t="s">
        <v>55</v>
      </c>
      <c r="C42" s="10">
        <f>IFERROR(INDEX('حسابهای دریافتنی'!H:H,MATCH(Table217[[#This Row],[كد تفصيلي]],'حسابهای دریافتنی'!A:A,0)),0)</f>
        <v>35368209</v>
      </c>
      <c r="D42" s="11">
        <f>IFERROR(INDEX('درجریان وصول'!F:F,MATCH(Table217[[#This Row],[كد تفصيلي]],'درجریان وصول'!A:A,0)),0)</f>
        <v>0</v>
      </c>
      <c r="E42" s="11">
        <f>IFERROR(INDEX('چکهای دریافتنی'!F:F,MATCH(Table217[[#This Row],[كد تفصيلي]],'چکهای دریافتنی'!A:A,0)),0)</f>
        <v>0</v>
      </c>
      <c r="F42" s="11">
        <f>Table217[[#This Row],[حسابهای دریافتنی]]+Table217[[#This Row],[چکهای در جریان وصول]]+Table217[[#This Row],[چکهای نزد صندوق]]</f>
        <v>35368209</v>
      </c>
      <c r="G42" s="12">
        <f>IFERROR(INDEX('مانده سوفاله'!F:F,MATCH(Table217[[#This Row],[كد تفصيلي]],'مانده سوفاله'!A:A,0)),0)</f>
        <v>61</v>
      </c>
    </row>
    <row r="43" spans="1:7" ht="24" customHeight="1" x14ac:dyDescent="0.35">
      <c r="A43" s="27">
        <v>30093</v>
      </c>
      <c r="B43" s="55" t="s">
        <v>151</v>
      </c>
      <c r="C43" s="10">
        <f>IFERROR(INDEX('حسابهای دریافتنی'!H:H,MATCH(Table217[[#This Row],[كد تفصيلي]],'حسابهای دریافتنی'!A:A,0)),0)</f>
        <v>0</v>
      </c>
      <c r="D43" s="11">
        <f>IFERROR(INDEX('درجریان وصول'!F:F,MATCH(Table217[[#This Row],[كد تفصيلي]],'درجریان وصول'!A:A,0)),0)</f>
        <v>0</v>
      </c>
      <c r="E43" s="11">
        <f>IFERROR(INDEX('چکهای دریافتنی'!F:F,MATCH(Table217[[#This Row],[كد تفصيلي]],'چکهای دریافتنی'!A:A,0)),0)</f>
        <v>0</v>
      </c>
      <c r="F43" s="11">
        <f>Table217[[#This Row],[حسابهای دریافتنی]]+Table217[[#This Row],[چکهای در جریان وصول]]+Table217[[#This Row],[چکهای نزد صندوق]]</f>
        <v>0</v>
      </c>
      <c r="G43" s="12">
        <v>77</v>
      </c>
    </row>
    <row r="44" spans="1:7" ht="24" customHeight="1" x14ac:dyDescent="0.35">
      <c r="A44" s="27">
        <v>30008</v>
      </c>
      <c r="B44" s="55" t="s">
        <v>58</v>
      </c>
      <c r="C44" s="10">
        <f>IFERROR(INDEX('حسابهای دریافتنی'!H:H,MATCH(Table217[[#This Row],[كد تفصيلي]],'حسابهای دریافتنی'!A:A,0)),0)</f>
        <v>15520000</v>
      </c>
      <c r="D44" s="11">
        <f>IFERROR(INDEX('درجریان وصول'!F:F,MATCH(Table217[[#This Row],[كد تفصيلي]],'درجریان وصول'!A:A,0)),0)</f>
        <v>0</v>
      </c>
      <c r="E44" s="11">
        <f>IFERROR(INDEX('چکهای دریافتنی'!F:F,MATCH(Table217[[#This Row],[كد تفصيلي]],'چکهای دریافتنی'!A:A,0)),0)</f>
        <v>0</v>
      </c>
      <c r="F44" s="11">
        <f>Table217[[#This Row],[حسابهای دریافتنی]]+Table217[[#This Row],[چکهای در جریان وصول]]+Table217[[#This Row],[چکهای نزد صندوق]]</f>
        <v>15520000</v>
      </c>
      <c r="G44" s="12">
        <f>IFERROR(INDEX('مانده سوفاله'!F:F,MATCH(Table217[[#This Row],[كد تفصيلي]],'مانده سوفاله'!A:A,0)),0)</f>
        <v>0</v>
      </c>
    </row>
    <row r="45" spans="1:7" ht="24" customHeight="1" x14ac:dyDescent="0.35">
      <c r="A45" s="26">
        <v>10007</v>
      </c>
      <c r="B45" s="56" t="s">
        <v>14</v>
      </c>
      <c r="C45" s="10">
        <f>IFERROR(INDEX('حسابهای دریافتنی'!H:H,MATCH(Table217[[#This Row],[كد تفصيلي]],'حسابهای دریافتنی'!A:A,0)),0)</f>
        <v>12770000</v>
      </c>
      <c r="D45" s="11">
        <f>IFERROR(INDEX('درجریان وصول'!F:F,MATCH(Table217[[#This Row],[كد تفصيلي]],'درجریان وصول'!A:A,0)),0)</f>
        <v>0</v>
      </c>
      <c r="E45" s="11">
        <f>IFERROR(INDEX('چکهای دریافتنی'!F:F,MATCH(Table217[[#This Row],[كد تفصيلي]],'چکهای دریافتنی'!A:A,0)),0)</f>
        <v>0</v>
      </c>
      <c r="F45" s="11">
        <f>Table217[[#This Row],[حسابهای دریافتنی]]+Table217[[#This Row],[چکهای در جریان وصول]]+Table217[[#This Row],[چکهای نزد صندوق]]</f>
        <v>12770000</v>
      </c>
      <c r="G45" s="12">
        <f>IFERROR(INDEX('مانده سوفاله'!F:F,MATCH(Table217[[#This Row],[كد تفصيلي]],'مانده سوفاله'!A:A,0)),0)</f>
        <v>-52.5</v>
      </c>
    </row>
    <row r="46" spans="1:7" ht="24" customHeight="1" x14ac:dyDescent="0.35">
      <c r="A46" s="27">
        <v>30012</v>
      </c>
      <c r="B46" s="55" t="s">
        <v>61</v>
      </c>
      <c r="C46" s="10">
        <f>IFERROR(INDEX('حسابهای دریافتنی'!H:H,MATCH(Table217[[#This Row],[كد تفصيلي]],'حسابهای دریافتنی'!A:A,0)),0)</f>
        <v>-46099000</v>
      </c>
      <c r="D46" s="11">
        <f>IFERROR(INDEX('درجریان وصول'!F:F,MATCH(Table217[[#This Row],[كد تفصيلي]],'درجریان وصول'!A:A,0)),0)</f>
        <v>0</v>
      </c>
      <c r="E46" s="11">
        <f>IFERROR(INDEX('چکهای دریافتنی'!F:F,MATCH(Table217[[#This Row],[كد تفصيلي]],'چکهای دریافتنی'!A:A,0)),0)</f>
        <v>348650000</v>
      </c>
      <c r="F46" s="11">
        <f>Table217[[#This Row],[حسابهای دریافتنی]]+Table217[[#This Row],[چکهای در جریان وصول]]+Table217[[#This Row],[چکهای نزد صندوق]]</f>
        <v>302551000</v>
      </c>
      <c r="G46" s="12">
        <f>IFERROR(INDEX('مانده سوفاله'!F:F,MATCH(Table217[[#This Row],[كد تفصيلي]],'مانده سوفاله'!A:A,0)),0)</f>
        <v>141</v>
      </c>
    </row>
    <row r="47" spans="1:7" ht="24" customHeight="1" x14ac:dyDescent="0.35">
      <c r="A47" s="27">
        <v>30101</v>
      </c>
      <c r="B47" s="55" t="s">
        <v>196</v>
      </c>
      <c r="C47" s="10">
        <f>IFERROR(INDEX('حسابهای دریافتنی'!H:H,MATCH(Table217[[#This Row],[كد تفصيلي]],'حسابهای دریافتنی'!A:A,0)),0)</f>
        <v>203336095</v>
      </c>
      <c r="D47" s="11">
        <f>IFERROR(INDEX('درجریان وصول'!F:F,MATCH(Table217[[#This Row],[كد تفصيلي]],'درجریان وصول'!A:A,0)),0)</f>
        <v>0</v>
      </c>
      <c r="E47" s="11">
        <f>IFERROR(INDEX('چکهای دریافتنی'!F:F,MATCH(Table217[[#This Row],[كد تفصيلي]],'چکهای دریافتنی'!A:A,0)),0)</f>
        <v>0</v>
      </c>
      <c r="F47" s="11">
        <f>Table217[[#This Row],[حسابهای دریافتنی]]+Table217[[#This Row],[چکهای در جریان وصول]]+Table217[[#This Row],[چکهای نزد صندوق]]</f>
        <v>203336095</v>
      </c>
      <c r="G47" s="12">
        <f>IFERROR(INDEX('مانده سوفاله'!F:F,MATCH(Table217[[#This Row],[كد تفصيلي]],'مانده سوفاله'!A:A,0)),0)</f>
        <v>15</v>
      </c>
    </row>
    <row r="48" spans="1:7" ht="24" customHeight="1" x14ac:dyDescent="0.35">
      <c r="A48" s="27">
        <v>30137</v>
      </c>
      <c r="B48" s="55" t="s">
        <v>218</v>
      </c>
      <c r="C48" s="10">
        <f>IFERROR(INDEX('حسابهای دریافتنی'!H:H,MATCH(Table217[[#This Row],[كد تفصيلي]],'حسابهای دریافتنی'!A:A,0)),0)</f>
        <v>0</v>
      </c>
      <c r="D48" s="11">
        <f>IFERROR(INDEX('درجریان وصول'!F:F,MATCH(Table217[[#This Row],[كد تفصيلي]],'درجریان وصول'!A:A,0)),0)</f>
        <v>0</v>
      </c>
      <c r="E48" s="11">
        <f>IFERROR(INDEX('چکهای دریافتنی'!F:F,MATCH(Table217[[#This Row],[كد تفصيلي]],'چکهای دریافتنی'!A:A,0)),0)</f>
        <v>213182200</v>
      </c>
      <c r="F48" s="11">
        <f>Table217[[#This Row],[حسابهای دریافتنی]]+Table217[[#This Row],[چکهای در جریان وصول]]+Table217[[#This Row],[چکهای نزد صندوق]]</f>
        <v>213182200</v>
      </c>
      <c r="G48" s="12">
        <f>IFERROR(INDEX('مانده سوفاله'!F:F,MATCH(Table217[[#This Row],[كد تفصيلي]],'مانده سوفاله'!A:A,0)),0)</f>
        <v>0</v>
      </c>
    </row>
    <row r="49" spans="1:7" ht="24" customHeight="1" x14ac:dyDescent="0.35">
      <c r="A49" s="27">
        <v>30145</v>
      </c>
      <c r="B49" s="55" t="s">
        <v>265</v>
      </c>
      <c r="C49" s="10">
        <f>IFERROR(INDEX('حسابهای دریافتنی'!H:H,MATCH(Table217[[#This Row],[كد تفصيلي]],'حسابهای دریافتنی'!A:A,0)),0)</f>
        <v>6442500</v>
      </c>
      <c r="D49" s="11">
        <f>IFERROR(INDEX('درجریان وصول'!F:F,MATCH(Table217[[#This Row],[كد تفصيلي]],'درجریان وصول'!A:A,0)),0)</f>
        <v>0</v>
      </c>
      <c r="E49" s="11">
        <f>IFERROR(INDEX('چکهای دریافتنی'!F:F,MATCH(Table217[[#This Row],[كد تفصيلي]],'چکهای دریافتنی'!A:A,0)),0)</f>
        <v>0</v>
      </c>
      <c r="F49" s="11">
        <f>Table217[[#This Row],[حسابهای دریافتنی]]+Table217[[#This Row],[چکهای در جریان وصول]]+Table217[[#This Row],[چکهای نزد صندوق]]</f>
        <v>6442500</v>
      </c>
      <c r="G49" s="12">
        <f>IFERROR(INDEX('مانده سوفاله'!F:F,MATCH(Table217[[#This Row],[كد تفصيلي]],'مانده سوفاله'!A:A,0)),0)</f>
        <v>0</v>
      </c>
    </row>
    <row r="50" spans="1:7" ht="24" customHeight="1" x14ac:dyDescent="0.35">
      <c r="A50" s="26">
        <v>30047</v>
      </c>
      <c r="B50" s="56" t="s">
        <v>94</v>
      </c>
      <c r="C50" s="10">
        <f>IFERROR(INDEX('حسابهای دریافتنی'!H:H,MATCH(Table217[[#This Row],[كد تفصيلي]],'حسابهای دریافتنی'!A:A,0)),0)</f>
        <v>5794900</v>
      </c>
      <c r="D50" s="11">
        <f>IFERROR(INDEX('درجریان وصول'!F:F,MATCH(Table217[[#This Row],[كد تفصيلي]],'درجریان وصول'!A:A,0)),0)</f>
        <v>0</v>
      </c>
      <c r="E50" s="11">
        <f>IFERROR(INDEX('چکهای دریافتنی'!F:F,MATCH(Table217[[#This Row],[كد تفصيلي]],'چکهای دریافتنی'!A:A,0)),0)</f>
        <v>0</v>
      </c>
      <c r="F50" s="11">
        <f>Table217[[#This Row],[حسابهای دریافتنی]]+Table217[[#This Row],[چکهای در جریان وصول]]+Table217[[#This Row],[چکهای نزد صندوق]]</f>
        <v>5794900</v>
      </c>
      <c r="G50" s="12">
        <f>IFERROR(INDEX('مانده سوفاله'!F:F,MATCH(Table217[[#This Row],[كد تفصيلي]],'مانده سوفاله'!A:A,0)),0)</f>
        <v>-630</v>
      </c>
    </row>
    <row r="51" spans="1:7" ht="24" customHeight="1" x14ac:dyDescent="0.35">
      <c r="A51" s="26">
        <v>30011</v>
      </c>
      <c r="B51" s="56" t="s">
        <v>60</v>
      </c>
      <c r="C51" s="10">
        <f>IFERROR(INDEX('حسابهای دریافتنی'!H:H,MATCH(Table217[[#This Row],[كد تفصيلي]],'حسابهای دریافتنی'!A:A,0)),0)</f>
        <v>5595200</v>
      </c>
      <c r="D51" s="11">
        <f>IFERROR(INDEX('درجریان وصول'!F:F,MATCH(Table217[[#This Row],[كد تفصيلي]],'درجریان وصول'!A:A,0)),0)</f>
        <v>0</v>
      </c>
      <c r="E51" s="11">
        <f>IFERROR(INDEX('چکهای دریافتنی'!F:F,MATCH(Table217[[#This Row],[كد تفصيلي]],'چکهای دریافتنی'!A:A,0)),0)</f>
        <v>0</v>
      </c>
      <c r="F51" s="11">
        <f>Table217[[#This Row],[حسابهای دریافتنی]]+Table217[[#This Row],[چکهای در جریان وصول]]+Table217[[#This Row],[چکهای نزد صندوق]]</f>
        <v>5595200</v>
      </c>
      <c r="G51" s="12">
        <f>IFERROR(INDEX('مانده سوفاله'!F:F,MATCH(Table217[[#This Row],[كد تفصيلي]],'مانده سوفاله'!A:A,0)),0)</f>
        <v>-5</v>
      </c>
    </row>
    <row r="52" spans="1:7" ht="24" customHeight="1" x14ac:dyDescent="0.35">
      <c r="A52" s="27">
        <v>10080</v>
      </c>
      <c r="B52" s="55" t="s">
        <v>214</v>
      </c>
      <c r="C52" s="10">
        <f>IFERROR(INDEX('حسابهای دریافتنی'!H:H,MATCH(Table217[[#This Row],[كد تفصيلي]],'حسابهای دریافتنی'!A:A,0)),0)</f>
        <v>5395000</v>
      </c>
      <c r="D52" s="11">
        <f>IFERROR(INDEX('درجریان وصول'!F:F,MATCH(Table217[[#This Row],[كد تفصيلي]],'درجریان وصول'!A:A,0)),0)</f>
        <v>0</v>
      </c>
      <c r="E52" s="11">
        <f>IFERROR(INDEX('چکهای دریافتنی'!F:F,MATCH(Table217[[#This Row],[كد تفصيلي]],'چکهای دریافتنی'!A:A,0)),0)</f>
        <v>0</v>
      </c>
      <c r="F52" s="11">
        <f>Table217[[#This Row],[حسابهای دریافتنی]]+Table217[[#This Row],[چکهای در جریان وصول]]+Table217[[#This Row],[چکهای نزد صندوق]]</f>
        <v>5395000</v>
      </c>
      <c r="G52" s="12">
        <f>IFERROR(INDEX('مانده سوفاله'!F:F,MATCH(Table217[[#This Row],[كد تفصيلي]],'مانده سوفاله'!A:A,0)),0)</f>
        <v>0</v>
      </c>
    </row>
    <row r="53" spans="1:7" ht="24" customHeight="1" x14ac:dyDescent="0.35">
      <c r="A53" s="26">
        <v>30114</v>
      </c>
      <c r="B53" s="56" t="s">
        <v>175</v>
      </c>
      <c r="C53" s="10">
        <f>IFERROR(INDEX('حسابهای دریافتنی'!H:H,MATCH(Table217[[#This Row],[كد تفصيلي]],'حسابهای دریافتنی'!A:A,0)),0)</f>
        <v>5385600</v>
      </c>
      <c r="D53" s="11">
        <f>IFERROR(INDEX('درجریان وصول'!F:F,MATCH(Table217[[#This Row],[كد تفصيلي]],'درجریان وصول'!A:A,0)),0)</f>
        <v>0</v>
      </c>
      <c r="E53" s="11">
        <f>IFERROR(INDEX('چکهای دریافتنی'!F:F,MATCH(Table217[[#This Row],[كد تفصيلي]],'چکهای دریافتنی'!A:A,0)),0)</f>
        <v>0</v>
      </c>
      <c r="F53" s="11">
        <f>Table217[[#This Row],[حسابهای دریافتنی]]+Table217[[#This Row],[چکهای در جریان وصول]]+Table217[[#This Row],[چکهای نزد صندوق]]</f>
        <v>5385600</v>
      </c>
      <c r="G53" s="12">
        <f>IFERROR(INDEX('مانده سوفاله'!F:F,MATCH(Table217[[#This Row],[كد تفصيلي]],'مانده سوفاله'!A:A,0)),0)</f>
        <v>0</v>
      </c>
    </row>
    <row r="54" spans="1:7" ht="24" customHeight="1" x14ac:dyDescent="0.35">
      <c r="A54" s="27">
        <v>30123</v>
      </c>
      <c r="B54" s="55" t="s">
        <v>208</v>
      </c>
      <c r="C54" s="10">
        <f>IFERROR(INDEX('حسابهای دریافتنی'!H:H,MATCH(Table217[[#This Row],[كد تفصيلي]],'حسابهای دریافتنی'!A:A,0)),0)</f>
        <v>4138250</v>
      </c>
      <c r="D54" s="11">
        <f>IFERROR(INDEX('درجریان وصول'!F:F,MATCH(Table217[[#This Row],[كد تفصيلي]],'درجریان وصول'!A:A,0)),0)</f>
        <v>0</v>
      </c>
      <c r="E54" s="11">
        <f>IFERROR(INDEX('چکهای دریافتنی'!F:F,MATCH(Table217[[#This Row],[كد تفصيلي]],'چکهای دریافتنی'!A:A,0)),0)</f>
        <v>0</v>
      </c>
      <c r="F54" s="11">
        <f>Table217[[#This Row],[حسابهای دریافتنی]]+Table217[[#This Row],[چکهای در جریان وصول]]+Table217[[#This Row],[چکهای نزد صندوق]]</f>
        <v>4138250</v>
      </c>
      <c r="G54" s="12">
        <f>IFERROR(INDEX('مانده سوفاله'!F:F,MATCH(Table217[[#This Row],[كد تفصيلي]],'مانده سوفاله'!A:A,0)),0)</f>
        <v>-20</v>
      </c>
    </row>
    <row r="55" spans="1:7" ht="24" customHeight="1" x14ac:dyDescent="0.35">
      <c r="A55" s="26">
        <v>10116</v>
      </c>
      <c r="B55" s="56" t="s">
        <v>321</v>
      </c>
      <c r="C55" s="10">
        <f>IFERROR(INDEX('حسابهای دریافتنی'!H:H,MATCH(Table217[[#This Row],[كد تفصيلي]],'حسابهای دریافتنی'!A:A,0)),0)</f>
        <v>3892500</v>
      </c>
      <c r="D55" s="11">
        <f>IFERROR(INDEX('درجریان وصول'!F:F,MATCH(Table217[[#This Row],[كد تفصيلي]],'درجریان وصول'!A:A,0)),0)</f>
        <v>0</v>
      </c>
      <c r="E55" s="11">
        <f>IFERROR(INDEX('چکهای دریافتنی'!F:F,MATCH(Table217[[#This Row],[كد تفصيلي]],'چکهای دریافتنی'!A:A,0)),0)</f>
        <v>0</v>
      </c>
      <c r="F55" s="11">
        <f>Table217[[#This Row],[حسابهای دریافتنی]]+Table217[[#This Row],[چکهای در جریان وصول]]+Table217[[#This Row],[چکهای نزد صندوق]]</f>
        <v>3892500</v>
      </c>
      <c r="G55" s="12">
        <f>IFERROR(INDEX('مانده سوفاله'!F:F,MATCH(Table217[[#This Row],[كد تفصيلي]],'مانده سوفاله'!A:A,0)),0)</f>
        <v>0</v>
      </c>
    </row>
    <row r="56" spans="1:7" ht="24" customHeight="1" x14ac:dyDescent="0.35">
      <c r="A56" s="26">
        <v>10101</v>
      </c>
      <c r="B56" s="56" t="s">
        <v>281</v>
      </c>
      <c r="C56" s="10">
        <f>IFERROR(INDEX('حسابهای دریافتنی'!H:H,MATCH(Table217[[#This Row],[كد تفصيلي]],'حسابهای دریافتنی'!A:A,0)),0)</f>
        <v>0</v>
      </c>
      <c r="D56" s="11">
        <f>IFERROR(INDEX('درجریان وصول'!F:F,MATCH(Table217[[#This Row],[كد تفصيلي]],'درجریان وصول'!A:A,0)),0)</f>
        <v>0</v>
      </c>
      <c r="E56" s="11">
        <f>IFERROR(INDEX('چکهای دریافتنی'!F:F,MATCH(Table217[[#This Row],[كد تفصيلي]],'چکهای دریافتنی'!A:A,0)),0)</f>
        <v>0</v>
      </c>
      <c r="F56" s="11">
        <f>Table217[[#This Row],[حسابهای دریافتنی]]+Table217[[#This Row],[چکهای در جریان وصول]]+Table217[[#This Row],[چکهای نزد صندوق]]</f>
        <v>0</v>
      </c>
      <c r="G56" s="12">
        <f>IFERROR(INDEX('مانده سوفاله'!F:F,MATCH(Table217[[#This Row],[كد تفصيلي]],'مانده سوفاله'!A:A,0)),0)</f>
        <v>0</v>
      </c>
    </row>
    <row r="57" spans="1:7" ht="24" customHeight="1" x14ac:dyDescent="0.35">
      <c r="A57" s="27">
        <v>10030</v>
      </c>
      <c r="B57" s="55" t="s">
        <v>36</v>
      </c>
      <c r="C57" s="10">
        <f>IFERROR(INDEX('حسابهای دریافتنی'!H:H,MATCH(Table217[[#This Row],[كد تفصيلي]],'حسابهای دریافتنی'!A:A,0)),0)</f>
        <v>3272000</v>
      </c>
      <c r="D57" s="11">
        <f>IFERROR(INDEX('درجریان وصول'!F:F,MATCH(Table217[[#This Row],[كد تفصيلي]],'درجریان وصول'!A:A,0)),0)</f>
        <v>0</v>
      </c>
      <c r="E57" s="11">
        <f>IFERROR(INDEX('چکهای دریافتنی'!F:F,MATCH(Table217[[#This Row],[كد تفصيلي]],'چکهای دریافتنی'!A:A,0)),0)</f>
        <v>0</v>
      </c>
      <c r="F57" s="11">
        <f>Table217[[#This Row],[حسابهای دریافتنی]]+Table217[[#This Row],[چکهای در جریان وصول]]+Table217[[#This Row],[چکهای نزد صندوق]]</f>
        <v>3272000</v>
      </c>
      <c r="G57" s="12">
        <f>IFERROR(INDEX('مانده سوفاله'!F:F,MATCH(Table217[[#This Row],[كد تفصيلي]],'مانده سوفاله'!A:A,0)),0)</f>
        <v>-222</v>
      </c>
    </row>
    <row r="58" spans="1:7" ht="24" customHeight="1" x14ac:dyDescent="0.35">
      <c r="A58" s="26">
        <v>30178</v>
      </c>
      <c r="B58" s="56" t="s">
        <v>335</v>
      </c>
      <c r="C58" s="10">
        <f>IFERROR(INDEX('حسابهای دریافتنی'!H:H,MATCH(Table217[[#This Row],[كد تفصيلي]],'حسابهای دریافتنی'!A:A,0)),0)</f>
        <v>3040000</v>
      </c>
      <c r="D58" s="11">
        <f>IFERROR(INDEX('درجریان وصول'!F:F,MATCH(Table217[[#This Row],[كد تفصيلي]],'درجریان وصول'!A:A,0)),0)</f>
        <v>0</v>
      </c>
      <c r="E58" s="11">
        <f>IFERROR(INDEX('چکهای دریافتنی'!F:F,MATCH(Table217[[#This Row],[كد تفصيلي]],'چکهای دریافتنی'!A:A,0)),0)</f>
        <v>0</v>
      </c>
      <c r="F58" s="11">
        <f>Table217[[#This Row],[حسابهای دریافتنی]]+Table217[[#This Row],[چکهای در جریان وصول]]+Table217[[#This Row],[چکهای نزد صندوق]]</f>
        <v>3040000</v>
      </c>
      <c r="G58" s="12">
        <f>IFERROR(INDEX('مانده سوفاله'!F:F,MATCH(Table217[[#This Row],[كد تفصيلي]],'مانده سوفاله'!A:A,0)),0)</f>
        <v>0</v>
      </c>
    </row>
    <row r="59" spans="1:7" ht="24" customHeight="1" x14ac:dyDescent="0.35">
      <c r="A59" s="27">
        <v>10004</v>
      </c>
      <c r="B59" s="55" t="s">
        <v>11</v>
      </c>
      <c r="C59" s="10">
        <f>IFERROR(INDEX('حسابهای دریافتنی'!H:H,MATCH(Table217[[#This Row],[كد تفصيلي]],'حسابهای دریافتنی'!A:A,0)),0)</f>
        <v>853000</v>
      </c>
      <c r="D59" s="11">
        <f>IFERROR(INDEX('درجریان وصول'!F:F,MATCH(Table217[[#This Row],[كد تفصيلي]],'درجریان وصول'!A:A,0)),0)</f>
        <v>0</v>
      </c>
      <c r="E59" s="11">
        <f>IFERROR(INDEX('چکهای دریافتنی'!F:F,MATCH(Table217[[#This Row],[كد تفصيلي]],'چکهای دریافتنی'!A:A,0)),0)</f>
        <v>341000000</v>
      </c>
      <c r="F59" s="11">
        <f>Table217[[#This Row],[حسابهای دریافتنی]]+Table217[[#This Row],[چکهای در جریان وصول]]+Table217[[#This Row],[چکهای نزد صندوق]]</f>
        <v>341853000</v>
      </c>
      <c r="G59" s="12">
        <f>IFERROR(INDEX('مانده سوفاله'!F:F,MATCH(Table217[[#This Row],[كد تفصيلي]],'مانده سوفاله'!A:A,0)),0)</f>
        <v>-12</v>
      </c>
    </row>
    <row r="60" spans="1:7" ht="24" customHeight="1" x14ac:dyDescent="0.35">
      <c r="A60" s="26">
        <v>30084</v>
      </c>
      <c r="B60" s="56" t="s">
        <v>129</v>
      </c>
      <c r="C60" s="10">
        <f>IFERROR(INDEX('حسابهای دریافتنی'!H:H,MATCH(Table217[[#This Row],[كد تفصيلي]],'حسابهای دریافتنی'!A:A,0)),0)</f>
        <v>1220000</v>
      </c>
      <c r="D60" s="11">
        <f>IFERROR(INDEX('درجریان وصول'!F:F,MATCH(Table217[[#This Row],[كد تفصيلي]],'درجریان وصول'!A:A,0)),0)</f>
        <v>0</v>
      </c>
      <c r="E60" s="11">
        <f>IFERROR(INDEX('چکهای دریافتنی'!F:F,MATCH(Table217[[#This Row],[كد تفصيلي]],'چکهای دریافتنی'!A:A,0)),0)</f>
        <v>0</v>
      </c>
      <c r="F60" s="11">
        <f>Table217[[#This Row],[حسابهای دریافتنی]]+Table217[[#This Row],[چکهای در جریان وصول]]+Table217[[#This Row],[چکهای نزد صندوق]]</f>
        <v>1220000</v>
      </c>
      <c r="G60" s="12">
        <f>IFERROR(INDEX('مانده سوفاله'!F:F,MATCH(Table217[[#This Row],[كد تفصيلي]],'مانده سوفاله'!A:A,0)),0)</f>
        <v>0</v>
      </c>
    </row>
    <row r="61" spans="1:7" ht="24" customHeight="1" x14ac:dyDescent="0.35">
      <c r="A61" s="27">
        <v>10070</v>
      </c>
      <c r="B61" s="55" t="s">
        <v>230</v>
      </c>
      <c r="C61" s="10">
        <f>IFERROR(INDEX('حسابهای دریافتنی'!H:H,MATCH(Table217[[#This Row],[كد تفصيلي]],'حسابهای دریافتنی'!A:A,0)),0)</f>
        <v>508152500</v>
      </c>
      <c r="D61" s="11">
        <f>IFERROR(INDEX('درجریان وصول'!F:F,MATCH(Table217[[#This Row],[كد تفصيلي]],'درجریان وصول'!A:A,0)),0)</f>
        <v>0</v>
      </c>
      <c r="E61" s="11">
        <f>IFERROR(INDEX('چکهای دریافتنی'!F:F,MATCH(Table217[[#This Row],[كد تفصيلي]],'چکهای دریافتنی'!A:A,0)),0)</f>
        <v>570000000</v>
      </c>
      <c r="F61" s="11">
        <f>Table217[[#This Row],[حسابهای دریافتنی]]+Table217[[#This Row],[چکهای در جریان وصول]]+Table217[[#This Row],[چکهای نزد صندوق]]</f>
        <v>1078152500</v>
      </c>
      <c r="G61" s="12">
        <f>IFERROR(INDEX('مانده سوفاله'!F:F,MATCH(Table217[[#This Row],[كد تفصيلي]],'مانده سوفاله'!A:A,0)),0)</f>
        <v>-3170</v>
      </c>
    </row>
    <row r="62" spans="1:7" ht="24" customHeight="1" x14ac:dyDescent="0.35">
      <c r="A62" s="27">
        <v>79055</v>
      </c>
      <c r="B62" s="55" t="s">
        <v>297</v>
      </c>
      <c r="C62" s="10">
        <f>IFERROR(INDEX('حسابهای دریافتنی'!H:H,MATCH(Table217[[#This Row],[كد تفصيلي]],'حسابهای دریافتنی'!A:A,0)),0)</f>
        <v>896500</v>
      </c>
      <c r="D62" s="11">
        <f>IFERROR(INDEX('درجریان وصول'!F:F,MATCH(Table217[[#This Row],[كد تفصيلي]],'درجریان وصول'!A:A,0)),0)</f>
        <v>0</v>
      </c>
      <c r="E62" s="11">
        <f>IFERROR(INDEX('چکهای دریافتنی'!F:F,MATCH(Table217[[#This Row],[كد تفصيلي]],'چکهای دریافتنی'!A:A,0)),0)</f>
        <v>0</v>
      </c>
      <c r="F62" s="11">
        <f>Table217[[#This Row],[حسابهای دریافتنی]]+Table217[[#This Row],[چکهای در جریان وصول]]+Table217[[#This Row],[چکهای نزد صندوق]]</f>
        <v>896500</v>
      </c>
      <c r="G62" s="12">
        <f>IFERROR(INDEX('مانده سوفاله'!F:F,MATCH(Table217[[#This Row],[كد تفصيلي]],'مانده سوفاله'!A:A,0)),0)</f>
        <v>0</v>
      </c>
    </row>
    <row r="63" spans="1:7" ht="24" customHeight="1" x14ac:dyDescent="0.35">
      <c r="A63" s="27">
        <v>30030</v>
      </c>
      <c r="B63" s="55" t="s">
        <v>77</v>
      </c>
      <c r="C63" s="10">
        <f>IFERROR(INDEX('حسابهای دریافتنی'!H:H,MATCH(Table217[[#This Row],[كد تفصيلي]],'حسابهای دریافتنی'!A:A,0)),0)</f>
        <v>850500</v>
      </c>
      <c r="D63" s="11">
        <f>IFERROR(INDEX('درجریان وصول'!F:F,MATCH(Table217[[#This Row],[كد تفصيلي]],'درجریان وصول'!A:A,0)),0)</f>
        <v>0</v>
      </c>
      <c r="E63" s="11">
        <f>IFERROR(INDEX('چکهای دریافتنی'!F:F,MATCH(Table217[[#This Row],[كد تفصيلي]],'چکهای دریافتنی'!A:A,0)),0)</f>
        <v>0</v>
      </c>
      <c r="F63" s="11">
        <f>Table217[[#This Row],[حسابهای دریافتنی]]+Table217[[#This Row],[چکهای در جریان وصول]]+Table217[[#This Row],[چکهای نزد صندوق]]</f>
        <v>850500</v>
      </c>
      <c r="G63" s="12">
        <f>IFERROR(INDEX('مانده سوفاله'!F:F,MATCH(Table217[[#This Row],[كد تفصيلي]],'مانده سوفاله'!A:A,0)),0)</f>
        <v>-49</v>
      </c>
    </row>
    <row r="64" spans="1:7" ht="24" customHeight="1" x14ac:dyDescent="0.35">
      <c r="A64" s="27">
        <v>30129</v>
      </c>
      <c r="B64" s="55" t="s">
        <v>178</v>
      </c>
      <c r="C64" s="10">
        <f>IFERROR(INDEX('حسابهای دریافتنی'!H:H,MATCH(Table217[[#This Row],[كد تفصيلي]],'حسابهای دریافتنی'!A:A,0)),0)</f>
        <v>783000</v>
      </c>
      <c r="D64" s="11">
        <f>IFERROR(INDEX('درجریان وصول'!F:F,MATCH(Table217[[#This Row],[كد تفصيلي]],'درجریان وصول'!A:A,0)),0)</f>
        <v>0</v>
      </c>
      <c r="E64" s="11">
        <f>IFERROR(INDEX('چکهای دریافتنی'!F:F,MATCH(Table217[[#This Row],[كد تفصيلي]],'چکهای دریافتنی'!A:A,0)),0)</f>
        <v>0</v>
      </c>
      <c r="F64" s="11">
        <f>Table217[[#This Row],[حسابهای دریافتنی]]+Table217[[#This Row],[چکهای در جریان وصول]]+Table217[[#This Row],[چکهای نزد صندوق]]</f>
        <v>783000</v>
      </c>
      <c r="G64" s="12">
        <f>IFERROR(INDEX('مانده سوفاله'!F:F,MATCH(Table217[[#This Row],[كد تفصيلي]],'مانده سوفاله'!A:A,0)),0)</f>
        <v>0</v>
      </c>
    </row>
    <row r="65" spans="1:7" ht="24" customHeight="1" x14ac:dyDescent="0.35">
      <c r="A65" s="26">
        <v>30090</v>
      </c>
      <c r="B65" s="56" t="s">
        <v>144</v>
      </c>
      <c r="C65" s="10">
        <f>IFERROR(INDEX('حسابهای دریافتنی'!H:H,MATCH(Table217[[#This Row],[كد تفصيلي]],'حسابهای دریافتنی'!A:A,0)),0)</f>
        <v>640100</v>
      </c>
      <c r="D65" s="11">
        <f>IFERROR(INDEX('درجریان وصول'!F:F,MATCH(Table217[[#This Row],[كد تفصيلي]],'درجریان وصول'!A:A,0)),0)</f>
        <v>0</v>
      </c>
      <c r="E65" s="11">
        <f>IFERROR(INDEX('چکهای دریافتنی'!F:F,MATCH(Table217[[#This Row],[كد تفصيلي]],'چکهای دریافتنی'!A:A,0)),0)</f>
        <v>0</v>
      </c>
      <c r="F65" s="11">
        <f>Table217[[#This Row],[حسابهای دریافتنی]]+Table217[[#This Row],[چکهای در جریان وصول]]+Table217[[#This Row],[چکهای نزد صندوق]]</f>
        <v>640100</v>
      </c>
      <c r="G65" s="12">
        <f>IFERROR(INDEX('مانده سوفاله'!F:F,MATCH(Table217[[#This Row],[كد تفصيلي]],'مانده سوفاله'!A:A,0)),0)</f>
        <v>0</v>
      </c>
    </row>
    <row r="66" spans="1:7" ht="24" customHeight="1" x14ac:dyDescent="0.35">
      <c r="A66" s="27">
        <v>30109</v>
      </c>
      <c r="B66" s="55" t="s">
        <v>165</v>
      </c>
      <c r="C66" s="10">
        <f>IFERROR(INDEX('حسابهای دریافتنی'!H:H,MATCH(Table217[[#This Row],[كد تفصيلي]],'حسابهای دریافتنی'!A:A,0)),0)</f>
        <v>607300</v>
      </c>
      <c r="D66" s="11">
        <f>IFERROR(INDEX('درجریان وصول'!F:F,MATCH(Table217[[#This Row],[كد تفصيلي]],'درجریان وصول'!A:A,0)),0)</f>
        <v>0</v>
      </c>
      <c r="E66" s="11">
        <f>IFERROR(INDEX('چکهای دریافتنی'!F:F,MATCH(Table217[[#This Row],[كد تفصيلي]],'چکهای دریافتنی'!A:A,0)),0)</f>
        <v>0</v>
      </c>
      <c r="F66" s="11">
        <f>Table217[[#This Row],[حسابهای دریافتنی]]+Table217[[#This Row],[چکهای در جریان وصول]]+Table217[[#This Row],[چکهای نزد صندوق]]</f>
        <v>607300</v>
      </c>
      <c r="G66" s="12">
        <f>IFERROR(INDEX('مانده سوفاله'!F:F,MATCH(Table217[[#This Row],[كد تفصيلي]],'مانده سوفاله'!A:A,0)),0)</f>
        <v>0</v>
      </c>
    </row>
    <row r="67" spans="1:7" ht="24" customHeight="1" x14ac:dyDescent="0.35">
      <c r="A67" s="26">
        <v>10131</v>
      </c>
      <c r="B67" s="56" t="s">
        <v>457</v>
      </c>
      <c r="C67" s="10">
        <f>IFERROR(INDEX('حسابهای دریافتنی'!H:H,MATCH(Table217[[#This Row],[كد تفصيلي]],'حسابهای دریافتنی'!A:A,0)),0)</f>
        <v>-1194000</v>
      </c>
      <c r="D67" s="11">
        <f>IFERROR(INDEX('درجریان وصول'!F:F,MATCH(Table217[[#This Row],[كد تفصيلي]],'درجریان وصول'!A:A,0)),0)</f>
        <v>0</v>
      </c>
      <c r="E67" s="11">
        <f>IFERROR(INDEX('چکهای دریافتنی'!F:F,MATCH(Table217[[#This Row],[كد تفصيلي]],'چکهای دریافتنی'!A:A,0)),0)</f>
        <v>0</v>
      </c>
      <c r="F67" s="11">
        <f>Table217[[#This Row],[حسابهای دریافتنی]]+Table217[[#This Row],[چکهای در جریان وصول]]+Table217[[#This Row],[چکهای نزد صندوق]]</f>
        <v>-1194000</v>
      </c>
      <c r="G67" s="12">
        <f>IFERROR(INDEX('مانده سوفاله'!F:F,MATCH(Table217[[#This Row],[كد تفصيلي]],'مانده سوفاله'!A:A,0)),0)</f>
        <v>1</v>
      </c>
    </row>
    <row r="68" spans="1:7" ht="24" customHeight="1" x14ac:dyDescent="0.35">
      <c r="A68" s="27">
        <v>30010</v>
      </c>
      <c r="B68" s="55" t="s">
        <v>59</v>
      </c>
      <c r="C68" s="10">
        <f>IFERROR(INDEX('حسابهای دریافتنی'!H:H,MATCH(Table217[[#This Row],[كد تفصيلي]],'حسابهای دریافتنی'!A:A,0)),0)</f>
        <v>366215</v>
      </c>
      <c r="D68" s="11">
        <f>IFERROR(INDEX('درجریان وصول'!F:F,MATCH(Table217[[#This Row],[كد تفصيلي]],'درجریان وصول'!A:A,0)),0)</f>
        <v>0</v>
      </c>
      <c r="E68" s="11">
        <f>IFERROR(INDEX('چکهای دریافتنی'!F:F,MATCH(Table217[[#This Row],[كد تفصيلي]],'چکهای دریافتنی'!A:A,0)),0)</f>
        <v>0</v>
      </c>
      <c r="F68" s="11">
        <f>Table217[[#This Row],[حسابهای دریافتنی]]+Table217[[#This Row],[چکهای در جریان وصول]]+Table217[[#This Row],[چکهای نزد صندوق]]</f>
        <v>366215</v>
      </c>
      <c r="G68" s="12">
        <f>IFERROR(INDEX('مانده سوفاله'!F:F,MATCH(Table217[[#This Row],[كد تفصيلي]],'مانده سوفاله'!A:A,0)),0)</f>
        <v>8</v>
      </c>
    </row>
    <row r="69" spans="1:7" ht="24" customHeight="1" x14ac:dyDescent="0.35">
      <c r="A69" s="26">
        <v>30027</v>
      </c>
      <c r="B69" s="56" t="s">
        <v>75</v>
      </c>
      <c r="C69" s="10">
        <f>IFERROR(INDEX('حسابهای دریافتنی'!H:H,MATCH(Table217[[#This Row],[كد تفصيلي]],'حسابهای دریافتنی'!A:A,0)),0)</f>
        <v>326950</v>
      </c>
      <c r="D69" s="11">
        <f>IFERROR(INDEX('درجریان وصول'!F:F,MATCH(Table217[[#This Row],[كد تفصيلي]],'درجریان وصول'!A:A,0)),0)</f>
        <v>0</v>
      </c>
      <c r="E69" s="11">
        <f>IFERROR(INDEX('چکهای دریافتنی'!F:F,MATCH(Table217[[#This Row],[كد تفصيلي]],'چکهای دریافتنی'!A:A,0)),0)</f>
        <v>0</v>
      </c>
      <c r="F69" s="11">
        <f>Table217[[#This Row],[حسابهای دریافتنی]]+Table217[[#This Row],[چکهای در جریان وصول]]+Table217[[#This Row],[چکهای نزد صندوق]]</f>
        <v>326950</v>
      </c>
      <c r="G69" s="12">
        <f>IFERROR(INDEX('مانده سوفاله'!F:F,MATCH(Table217[[#This Row],[كد تفصيلي]],'مانده سوفاله'!A:A,0)),0)</f>
        <v>0</v>
      </c>
    </row>
    <row r="70" spans="1:7" ht="24" customHeight="1" x14ac:dyDescent="0.35">
      <c r="A70" s="27">
        <v>30135</v>
      </c>
      <c r="B70" s="55" t="s">
        <v>179</v>
      </c>
      <c r="C70" s="10">
        <f>IFERROR(INDEX('حسابهای دریافتنی'!H:H,MATCH(Table217[[#This Row],[كد تفصيلي]],'حسابهای دریافتنی'!A:A,0)),0)</f>
        <v>195000</v>
      </c>
      <c r="D70" s="11">
        <f>IFERROR(INDEX('درجریان وصول'!F:F,MATCH(Table217[[#This Row],[كد تفصيلي]],'درجریان وصول'!A:A,0)),0)</f>
        <v>0</v>
      </c>
      <c r="E70" s="11">
        <f>IFERROR(INDEX('چکهای دریافتنی'!F:F,MATCH(Table217[[#This Row],[كد تفصيلي]],'چکهای دریافتنی'!A:A,0)),0)</f>
        <v>0</v>
      </c>
      <c r="F70" s="11">
        <f>Table217[[#This Row],[حسابهای دریافتنی]]+Table217[[#This Row],[چکهای در جریان وصول]]+Table217[[#This Row],[چکهای نزد صندوق]]</f>
        <v>195000</v>
      </c>
      <c r="G70" s="12">
        <f>IFERROR(INDEX('مانده سوفاله'!F:F,MATCH(Table217[[#This Row],[كد تفصيلي]],'مانده سوفاله'!A:A,0)),0)</f>
        <v>-5</v>
      </c>
    </row>
    <row r="71" spans="1:7" ht="24" customHeight="1" x14ac:dyDescent="0.35">
      <c r="A71" s="27">
        <v>10088</v>
      </c>
      <c r="B71" s="55" t="s">
        <v>254</v>
      </c>
      <c r="C71" s="10">
        <f>IFERROR(INDEX('حسابهای دریافتنی'!H:H,MATCH(Table217[[#This Row],[كد تفصيلي]],'حسابهای دریافتنی'!A:A,0)),0)</f>
        <v>113500</v>
      </c>
      <c r="D71" s="11">
        <f>IFERROR(INDEX('درجریان وصول'!F:F,MATCH(Table217[[#This Row],[كد تفصيلي]],'درجریان وصول'!A:A,0)),0)</f>
        <v>0</v>
      </c>
      <c r="E71" s="11">
        <f>IFERROR(INDEX('چکهای دریافتنی'!F:F,MATCH(Table217[[#This Row],[كد تفصيلي]],'چکهای دریافتنی'!A:A,0)),0)</f>
        <v>0</v>
      </c>
      <c r="F71" s="11">
        <f>Table217[[#This Row],[حسابهای دریافتنی]]+Table217[[#This Row],[چکهای در جریان وصول]]+Table217[[#This Row],[چکهای نزد صندوق]]</f>
        <v>113500</v>
      </c>
      <c r="G71" s="12">
        <f>IFERROR(INDEX('مانده سوفاله'!F:F,MATCH(Table217[[#This Row],[كد تفصيلي]],'مانده سوفاله'!A:A,0)),0)</f>
        <v>0</v>
      </c>
    </row>
    <row r="72" spans="1:7" ht="24" customHeight="1" x14ac:dyDescent="0.35">
      <c r="A72" s="27">
        <v>10002</v>
      </c>
      <c r="B72" s="55" t="s">
        <v>9</v>
      </c>
      <c r="C72" s="10">
        <f>IFERROR(INDEX('حسابهای دریافتنی'!H:H,MATCH(Table217[[#This Row],[كد تفصيلي]],'حسابهای دریافتنی'!A:A,0)),0)</f>
        <v>-3600000000</v>
      </c>
      <c r="D72" s="11">
        <f>IFERROR(INDEX('درجریان وصول'!F:F,MATCH(Table217[[#This Row],[كد تفصيلي]],'درجریان وصول'!A:A,0)),0)</f>
        <v>0</v>
      </c>
      <c r="E72" s="11">
        <f>IFERROR(INDEX('چکهای دریافتنی'!F:F,MATCH(Table217[[#This Row],[كد تفصيلي]],'چکهای دریافتنی'!A:A,0)),0)</f>
        <v>0</v>
      </c>
      <c r="F72" s="11">
        <f>Table217[[#This Row],[حسابهای دریافتنی]]+Table217[[#This Row],[چکهای در جریان وصول]]+Table217[[#This Row],[چکهای نزد صندوق]]</f>
        <v>-3600000000</v>
      </c>
      <c r="G72" s="12">
        <f>IFERROR(INDEX('مانده سوفاله'!F:F,MATCH(Table217[[#This Row],[كد تفصيلي]],'مانده سوفاله'!A:A,0)),0)</f>
        <v>0</v>
      </c>
    </row>
    <row r="73" spans="1:7" ht="24" customHeight="1" x14ac:dyDescent="0.35">
      <c r="A73" s="27">
        <v>10133</v>
      </c>
      <c r="B73" s="55" t="s">
        <v>465</v>
      </c>
      <c r="C73" s="10">
        <f>IFERROR(INDEX('حسابهای دریافتنی'!H:H,MATCH(Table217[[#This Row],[كد تفصيلي]],'حسابهای دریافتنی'!A:A,0)),0)</f>
        <v>-1249039000</v>
      </c>
      <c r="D73" s="11">
        <f>IFERROR(INDEX('درجریان وصول'!F:F,MATCH(Table217[[#This Row],[كد تفصيلي]],'درجریان وصول'!A:A,0)),0)</f>
        <v>0</v>
      </c>
      <c r="E73" s="11">
        <f>IFERROR(INDEX('چکهای دریافتنی'!F:F,MATCH(Table217[[#This Row],[كد تفصيلي]],'چکهای دریافتنی'!A:A,0)),0)</f>
        <v>0</v>
      </c>
      <c r="F73" s="11">
        <f>Table217[[#This Row],[حسابهای دریافتنی]]+Table217[[#This Row],[چکهای در جریان وصول]]+Table217[[#This Row],[چکهای نزد صندوق]]</f>
        <v>-1249039000</v>
      </c>
      <c r="G73" s="12">
        <f>IFERROR(INDEX('مانده سوفاله'!F:F,MATCH(Table217[[#This Row],[كد تفصيلي]],'مانده سوفاله'!A:A,0)),0)</f>
        <v>0</v>
      </c>
    </row>
    <row r="74" spans="1:7" ht="24" customHeight="1" x14ac:dyDescent="0.35">
      <c r="A74" s="26">
        <v>30019</v>
      </c>
      <c r="B74" s="56" t="s">
        <v>67</v>
      </c>
      <c r="C74" s="10">
        <f>IFERROR(INDEX('حسابهای دریافتنی'!H:H,MATCH(Table217[[#This Row],[كد تفصيلي]],'حسابهای دریافتنی'!A:A,0)),0)</f>
        <v>823484840</v>
      </c>
      <c r="D74" s="11">
        <f>IFERROR(INDEX('درجریان وصول'!F:F,MATCH(Table217[[#This Row],[كد تفصيلي]],'درجریان وصول'!A:A,0)),0)</f>
        <v>0</v>
      </c>
      <c r="E74" s="11">
        <f>IFERROR(INDEX('چکهای دریافتنی'!F:F,MATCH(Table217[[#This Row],[كد تفصيلي]],'چکهای دریافتنی'!A:A,0)),0)</f>
        <v>0</v>
      </c>
      <c r="F74" s="11">
        <f>Table217[[#This Row],[حسابهای دریافتنی]]+Table217[[#This Row],[چکهای در جریان وصول]]+Table217[[#This Row],[چکهای نزد صندوق]]</f>
        <v>823484840</v>
      </c>
      <c r="G74" s="12">
        <f>IFERROR(INDEX('مانده سوفاله'!F:F,MATCH(Table217[[#This Row],[كد تفصيلي]],'مانده سوفاله'!A:A,0)),0)</f>
        <v>612</v>
      </c>
    </row>
    <row r="75" spans="1:7" ht="24" customHeight="1" x14ac:dyDescent="0.35">
      <c r="A75" s="27">
        <v>10010</v>
      </c>
      <c r="B75" s="55" t="s">
        <v>17</v>
      </c>
      <c r="C75" s="10">
        <f>IFERROR(INDEX('حسابهای دریافتنی'!H:H,MATCH(Table217[[#This Row],[كد تفصيلي]],'حسابهای دریافتنی'!A:A,0)),0)</f>
        <v>0</v>
      </c>
      <c r="D75" s="11">
        <f>IFERROR(INDEX('درجریان وصول'!F:F,MATCH(Table217[[#This Row],[كد تفصيلي]],'درجریان وصول'!A:A,0)),0)</f>
        <v>0</v>
      </c>
      <c r="E75" s="11">
        <f>IFERROR(INDEX('چکهای دریافتنی'!F:F,MATCH(Table217[[#This Row],[كد تفصيلي]],'چکهای دریافتنی'!A:A,0)),0)</f>
        <v>0</v>
      </c>
      <c r="F75" s="11">
        <f>Table217[[#This Row],[حسابهای دریافتنی]]+Table217[[#This Row],[چکهای در جریان وصول]]+Table217[[#This Row],[چکهای نزد صندوق]]</f>
        <v>0</v>
      </c>
      <c r="G75" s="12">
        <f>IFERROR(INDEX('مانده سوفاله'!F:F,MATCH(Table217[[#This Row],[كد تفصيلي]],'مانده سوفاله'!A:A,0)),0)</f>
        <v>8</v>
      </c>
    </row>
    <row r="76" spans="1:7" ht="24" customHeight="1" x14ac:dyDescent="0.35">
      <c r="A76" s="26">
        <v>10023</v>
      </c>
      <c r="B76" s="56" t="s">
        <v>155</v>
      </c>
      <c r="C76" s="10">
        <f>IFERROR(INDEX('حسابهای دریافتنی'!H:H,MATCH(Table217[[#This Row],[كد تفصيلي]],'حسابهای دریافتنی'!A:A,0)),0)</f>
        <v>0</v>
      </c>
      <c r="D76" s="11">
        <f>IFERROR(INDEX('درجریان وصول'!F:F,MATCH(Table217[[#This Row],[كد تفصيلي]],'درجریان وصول'!A:A,0)),0)</f>
        <v>0</v>
      </c>
      <c r="E76" s="11">
        <f>IFERROR(INDEX('چکهای دریافتنی'!F:F,MATCH(Table217[[#This Row],[كد تفصيلي]],'چکهای دریافتنی'!A:A,0)),0)</f>
        <v>0</v>
      </c>
      <c r="F76" s="11">
        <f>Table217[[#This Row],[حسابهای دریافتنی]]+Table217[[#This Row],[چکهای در جریان وصول]]+Table217[[#This Row],[چکهای نزد صندوق]]</f>
        <v>0</v>
      </c>
      <c r="G76" s="12">
        <f>IFERROR(INDEX('مانده سوفاله'!F:F,MATCH(Table217[[#This Row],[كد تفصيلي]],'مانده سوفاله'!A:A,0)),0)</f>
        <v>6</v>
      </c>
    </row>
    <row r="77" spans="1:7" customFormat="1" ht="24" customHeight="1" x14ac:dyDescent="0.35">
      <c r="A77" s="53">
        <v>10039</v>
      </c>
      <c r="B77" s="56" t="s">
        <v>45</v>
      </c>
      <c r="C77" s="10">
        <f>IFERROR(INDEX('حسابهای دریافتنی'!H:H,MATCH(Table217[[#This Row],[كد تفصيلي]],'حسابهای دریافتنی'!A:A,0)),0)</f>
        <v>0</v>
      </c>
      <c r="D77" s="11">
        <f>IFERROR(INDEX('درجریان وصول'!F:F,MATCH(Table217[[#This Row],[كد تفصيلي]],'درجریان وصول'!A:A,0)),0)</f>
        <v>0</v>
      </c>
      <c r="E77" s="11">
        <f>IFERROR(INDEX('چکهای دریافتنی'!F:F,MATCH(Table217[[#This Row],[كد تفصيلي]],'چکهای دریافتنی'!A:A,0)),0)</f>
        <v>0</v>
      </c>
      <c r="F77" s="11">
        <f>Table217[[#This Row],[حسابهای دریافتنی]]+Table217[[#This Row],[چکهای در جریان وصول]]+Table217[[#This Row],[چکهای نزد صندوق]]</f>
        <v>0</v>
      </c>
      <c r="G77" s="12">
        <f>IFERROR(INDEX('مانده سوفاله'!F:F,MATCH(Table217[[#This Row],[كد تفصيلي]],'مانده سوفاله'!A:A,0)),0)</f>
        <v>4</v>
      </c>
    </row>
    <row r="78" spans="1:7" customFormat="1" ht="24" customHeight="1" x14ac:dyDescent="0.35">
      <c r="A78" s="54">
        <v>10046</v>
      </c>
      <c r="B78" s="55" t="s">
        <v>51</v>
      </c>
      <c r="C78" s="10">
        <f>IFERROR(INDEX('حسابهای دریافتنی'!H:H,MATCH(Table217[[#This Row],[كد تفصيلي]],'حسابهای دریافتنی'!A:A,0)),0)</f>
        <v>0</v>
      </c>
      <c r="D78" s="11">
        <f>IFERROR(INDEX('درجریان وصول'!F:F,MATCH(Table217[[#This Row],[كد تفصيلي]],'درجریان وصول'!A:A,0)),0)</f>
        <v>0</v>
      </c>
      <c r="E78" s="11">
        <f>IFERROR(INDEX('چکهای دریافتنی'!F:F,MATCH(Table217[[#This Row],[كد تفصيلي]],'چکهای دریافتنی'!A:A,0)),0)</f>
        <v>0</v>
      </c>
      <c r="F78" s="11">
        <f>Table217[[#This Row],[حسابهای دریافتنی]]+Table217[[#This Row],[چکهای در جریان وصول]]+Table217[[#This Row],[چکهای نزد صندوق]]</f>
        <v>0</v>
      </c>
      <c r="G78" s="12">
        <f>IFERROR(INDEX('مانده سوفاله'!F:F,MATCH(Table217[[#This Row],[كد تفصيلي]],'مانده سوفاله'!A:A,0)),0)</f>
        <v>118</v>
      </c>
    </row>
    <row r="79" spans="1:7" customFormat="1" ht="24" customHeight="1" x14ac:dyDescent="0.35">
      <c r="A79" s="54">
        <v>10048</v>
      </c>
      <c r="B79" s="55" t="s">
        <v>191</v>
      </c>
      <c r="C79" s="10">
        <f>IFERROR(INDEX('حسابهای دریافتنی'!H:H,MATCH(Table217[[#This Row],[كد تفصيلي]],'حسابهای دریافتنی'!A:A,0)),0)</f>
        <v>0</v>
      </c>
      <c r="D79" s="11">
        <f>IFERROR(INDEX('درجریان وصول'!F:F,MATCH(Table217[[#This Row],[كد تفصيلي]],'درجریان وصول'!A:A,0)),0)</f>
        <v>0</v>
      </c>
      <c r="E79" s="11">
        <f>IFERROR(INDEX('چکهای دریافتنی'!F:F,MATCH(Table217[[#This Row],[كد تفصيلي]],'چکهای دریافتنی'!A:A,0)),0)</f>
        <v>0</v>
      </c>
      <c r="F79" s="11">
        <f>Table217[[#This Row],[حسابهای دریافتنی]]+Table217[[#This Row],[چکهای در جریان وصول]]+Table217[[#This Row],[چکهای نزد صندوق]]</f>
        <v>0</v>
      </c>
      <c r="G79" s="12">
        <f>IFERROR(INDEX('مانده سوفاله'!F:F,MATCH(Table217[[#This Row],[كد تفصيلي]],'مانده سوفاله'!A:A,0)),0)</f>
        <v>-1097</v>
      </c>
    </row>
    <row r="80" spans="1:7" customFormat="1" ht="24" customHeight="1" x14ac:dyDescent="0.35">
      <c r="A80" s="53">
        <v>10065</v>
      </c>
      <c r="B80" s="56" t="s">
        <v>228</v>
      </c>
      <c r="C80" s="10">
        <f>IFERROR(INDEX('حسابهای دریافتنی'!H:H,MATCH(Table217[[#This Row],[كد تفصيلي]],'حسابهای دریافتنی'!A:A,0)),0)</f>
        <v>0</v>
      </c>
      <c r="D80" s="11">
        <f>IFERROR(INDEX('درجریان وصول'!F:F,MATCH(Table217[[#This Row],[كد تفصيلي]],'درجریان وصول'!A:A,0)),0)</f>
        <v>0</v>
      </c>
      <c r="E80" s="11">
        <f>IFERROR(INDEX('چکهای دریافتنی'!F:F,MATCH(Table217[[#This Row],[كد تفصيلي]],'چکهای دریافتنی'!A:A,0)),0)</f>
        <v>0</v>
      </c>
      <c r="F80" s="11">
        <f>Table217[[#This Row],[حسابهای دریافتنی]]+Table217[[#This Row],[چکهای در جریان وصول]]+Table217[[#This Row],[چکهای نزد صندوق]]</f>
        <v>0</v>
      </c>
      <c r="G80" s="12">
        <f>IFERROR(INDEX('مانده سوفاله'!F:F,MATCH(Table217[[#This Row],[كد تفصيلي]],'مانده سوفاله'!A:A,0)),0)</f>
        <v>127</v>
      </c>
    </row>
    <row r="81" spans="1:7" customFormat="1" ht="24" customHeight="1" x14ac:dyDescent="0.35">
      <c r="A81" s="54">
        <v>10076</v>
      </c>
      <c r="B81" s="55" t="s">
        <v>182</v>
      </c>
      <c r="C81" s="10">
        <f>IFERROR(INDEX('حسابهای دریافتنی'!H:H,MATCH(Table217[[#This Row],[كد تفصيلي]],'حسابهای دریافتنی'!A:A,0)),0)</f>
        <v>0</v>
      </c>
      <c r="D81" s="11">
        <f>IFERROR(INDEX('درجریان وصول'!F:F,MATCH(Table217[[#This Row],[كد تفصيلي]],'درجریان وصول'!A:A,0)),0)</f>
        <v>0</v>
      </c>
      <c r="E81" s="11">
        <f>IFERROR(INDEX('چکهای دریافتنی'!F:F,MATCH(Table217[[#This Row],[كد تفصيلي]],'چکهای دریافتنی'!A:A,0)),0)</f>
        <v>0</v>
      </c>
      <c r="F81" s="11">
        <f>Table217[[#This Row],[حسابهای دریافتنی]]+Table217[[#This Row],[چکهای در جریان وصول]]+Table217[[#This Row],[چکهای نزد صندوق]]</f>
        <v>0</v>
      </c>
      <c r="G81" s="12">
        <f>IFERROR(INDEX('مانده سوفاله'!F:F,MATCH(Table217[[#This Row],[كد تفصيلي]],'مانده سوفاله'!A:A,0)),0)</f>
        <v>-13</v>
      </c>
    </row>
    <row r="82" spans="1:7" ht="24" customHeight="1" x14ac:dyDescent="0.35">
      <c r="A82" s="27">
        <v>30065</v>
      </c>
      <c r="B82" s="55" t="s">
        <v>110</v>
      </c>
      <c r="C82" s="10">
        <f>IFERROR(INDEX('حسابهای دریافتنی'!H:H,MATCH(Table217[[#This Row],[كد تفصيلي]],'حسابهای دریافتنی'!A:A,0)),0)</f>
        <v>0</v>
      </c>
      <c r="D82" s="11">
        <f>IFERROR(INDEX('درجریان وصول'!F:F,MATCH(Table217[[#This Row],[كد تفصيلي]],'درجریان وصول'!A:A,0)),0)</f>
        <v>0</v>
      </c>
      <c r="E82" s="11">
        <f>IFERROR(INDEX('چکهای دریافتنی'!F:F,MATCH(Table217[[#This Row],[كد تفصيلي]],'چکهای دریافتنی'!A:A,0)),0)</f>
        <v>0</v>
      </c>
      <c r="F82" s="11">
        <f>Table217[[#This Row],[حسابهای دریافتنی]]+Table217[[#This Row],[چکهای در جریان وصول]]+Table217[[#This Row],[چکهای نزد صندوق]]</f>
        <v>0</v>
      </c>
      <c r="G82" s="12">
        <f>IFERROR(INDEX('مانده سوفاله'!F:F,MATCH(Table217[[#This Row],[كد تفصيلي]],'مانده سوفاله'!A:A,0)),0)</f>
        <v>33</v>
      </c>
    </row>
    <row r="83" spans="1:7" ht="24" customHeight="1" x14ac:dyDescent="0.35">
      <c r="A83" s="27">
        <v>30071</v>
      </c>
      <c r="B83" s="55" t="s">
        <v>116</v>
      </c>
      <c r="C83" s="10">
        <f>IFERROR(INDEX('حسابهای دریافتنی'!H:H,MATCH(Table217[[#This Row],[كد تفصيلي]],'حسابهای دریافتنی'!A:A,0)),0)</f>
        <v>0</v>
      </c>
      <c r="D83" s="11">
        <f>IFERROR(INDEX('درجریان وصول'!F:F,MATCH(Table217[[#This Row],[كد تفصيلي]],'درجریان وصول'!A:A,0)),0)</f>
        <v>0</v>
      </c>
      <c r="E83" s="11">
        <f>IFERROR(INDEX('چکهای دریافتنی'!F:F,MATCH(Table217[[#This Row],[كد تفصيلي]],'چکهای دریافتنی'!A:A,0)),0)</f>
        <v>0</v>
      </c>
      <c r="F83" s="11">
        <f>Table217[[#This Row],[حسابهای دریافتنی]]+Table217[[#This Row],[چکهای در جریان وصول]]+Table217[[#This Row],[چکهای نزد صندوق]]</f>
        <v>0</v>
      </c>
      <c r="G83" s="12">
        <f>IFERROR(INDEX('مانده سوفاله'!F:F,MATCH(Table217[[#This Row],[كد تفصيلي]],'مانده سوفاله'!A:A,0)),0)</f>
        <v>3</v>
      </c>
    </row>
    <row r="84" spans="1:7" ht="24" customHeight="1" x14ac:dyDescent="0.35">
      <c r="A84" s="27">
        <v>30079</v>
      </c>
      <c r="B84" s="55" t="s">
        <v>124</v>
      </c>
      <c r="C84" s="10">
        <f>IFERROR(INDEX('حسابهای دریافتنی'!H:H,MATCH(Table217[[#This Row],[كد تفصيلي]],'حسابهای دریافتنی'!A:A,0)),0)</f>
        <v>0</v>
      </c>
      <c r="D84" s="11">
        <f>IFERROR(INDEX('درجریان وصول'!F:F,MATCH(Table217[[#This Row],[كد تفصيلي]],'درجریان وصول'!A:A,0)),0)</f>
        <v>0</v>
      </c>
      <c r="E84" s="11">
        <f>IFERROR(INDEX('چکهای دریافتنی'!F:F,MATCH(Table217[[#This Row],[كد تفصيلي]],'چکهای دریافتنی'!A:A,0)),0)</f>
        <v>0</v>
      </c>
      <c r="F84" s="11">
        <f>Table217[[#This Row],[حسابهای دریافتنی]]+Table217[[#This Row],[چکهای در جریان وصول]]+Table217[[#This Row],[چکهای نزد صندوق]]</f>
        <v>0</v>
      </c>
      <c r="G84" s="12">
        <f>IFERROR(INDEX('مانده سوفاله'!F:F,MATCH(Table217[[#This Row],[كد تفصيلي]],'مانده سوفاله'!A:A,0)),0)</f>
        <v>-85</v>
      </c>
    </row>
    <row r="85" spans="1:7" ht="24" customHeight="1" x14ac:dyDescent="0.35">
      <c r="A85" s="27">
        <v>30097</v>
      </c>
      <c r="B85" s="55" t="s">
        <v>188</v>
      </c>
      <c r="C85" s="10">
        <f>IFERROR(INDEX('حسابهای دریافتنی'!H:H,MATCH(Table217[[#This Row],[كد تفصيلي]],'حسابهای دریافتنی'!A:A,0)),0)</f>
        <v>0</v>
      </c>
      <c r="D85" s="11">
        <f>IFERROR(INDEX('درجریان وصول'!F:F,MATCH(Table217[[#This Row],[كد تفصيلي]],'درجریان وصول'!A:A,0)),0)</f>
        <v>0</v>
      </c>
      <c r="E85" s="11">
        <f>IFERROR(INDEX('چکهای دریافتنی'!F:F,MATCH(Table217[[#This Row],[كد تفصيلي]],'چکهای دریافتنی'!A:A,0)),0)</f>
        <v>0</v>
      </c>
      <c r="F85" s="11">
        <f>Table217[[#This Row],[حسابهای دریافتنی]]+Table217[[#This Row],[چکهای در جریان وصول]]+Table217[[#This Row],[چکهای نزد صندوق]]</f>
        <v>0</v>
      </c>
      <c r="G85" s="12">
        <f>IFERROR(INDEX('مانده سوفاله'!F:F,MATCH(Table217[[#This Row],[كد تفصيلي]],'مانده سوفاله'!A:A,0)),0)</f>
        <v>-82</v>
      </c>
    </row>
    <row r="86" spans="1:7" ht="24" customHeight="1" x14ac:dyDescent="0.35">
      <c r="A86" s="26">
        <v>30118</v>
      </c>
      <c r="B86" s="56" t="s">
        <v>205</v>
      </c>
      <c r="C86" s="10">
        <f>IFERROR(INDEX('حسابهای دریافتنی'!H:H,MATCH(Table217[[#This Row],[كد تفصيلي]],'حسابهای دریافتنی'!A:A,0)),0)</f>
        <v>0</v>
      </c>
      <c r="D86" s="11">
        <f>IFERROR(INDEX('درجریان وصول'!F:F,MATCH(Table217[[#This Row],[كد تفصيلي]],'درجریان وصول'!A:A,0)),0)</f>
        <v>0</v>
      </c>
      <c r="E86" s="11">
        <f>IFERROR(INDEX('چکهای دریافتنی'!F:F,MATCH(Table217[[#This Row],[كد تفصيلي]],'چکهای دریافتنی'!A:A,0)),0)</f>
        <v>0</v>
      </c>
      <c r="F86" s="11">
        <f>Table217[[#This Row],[حسابهای دریافتنی]]+Table217[[#This Row],[چکهای در جریان وصول]]+Table217[[#This Row],[چکهای نزد صندوق]]</f>
        <v>0</v>
      </c>
      <c r="G86" s="12">
        <f>IFERROR(INDEX('مانده سوفاله'!F:F,MATCH(Table217[[#This Row],[كد تفصيلي]],'مانده سوفاله'!A:A,0)),0)</f>
        <v>-20</v>
      </c>
    </row>
    <row r="87" spans="1:7" ht="24" customHeight="1" x14ac:dyDescent="0.35">
      <c r="A87" s="27">
        <v>30141</v>
      </c>
      <c r="B87" s="55" t="s">
        <v>261</v>
      </c>
      <c r="C87" s="10">
        <f>IFERROR(INDEX('حسابهای دریافتنی'!H:H,MATCH(Table217[[#This Row],[كد تفصيلي]],'حسابهای دریافتنی'!A:A,0)),0)</f>
        <v>0</v>
      </c>
      <c r="D87" s="11">
        <f>IFERROR(INDEX('درجریان وصول'!F:F,MATCH(Table217[[#This Row],[كد تفصيلي]],'درجریان وصول'!A:A,0)),0)</f>
        <v>0</v>
      </c>
      <c r="E87" s="11">
        <f>IFERROR(INDEX('چکهای دریافتنی'!F:F,MATCH(Table217[[#This Row],[كد تفصيلي]],'چکهای دریافتنی'!A:A,0)),0)</f>
        <v>0</v>
      </c>
      <c r="F87" s="11">
        <f>Table217[[#This Row],[حسابهای دریافتنی]]+Table217[[#This Row],[چکهای در جریان وصول]]+Table217[[#This Row],[چکهای نزد صندوق]]</f>
        <v>0</v>
      </c>
      <c r="G87" s="12">
        <f>IFERROR(INDEX('مانده سوفاله'!F:F,MATCH(Table217[[#This Row],[كد تفصيلي]],'مانده سوفاله'!A:A,0)),0)</f>
        <v>-42</v>
      </c>
    </row>
    <row r="88" spans="1:7" ht="24" customHeight="1" x14ac:dyDescent="0.35">
      <c r="A88" s="26">
        <v>30142</v>
      </c>
      <c r="B88" s="56" t="s">
        <v>263</v>
      </c>
      <c r="C88" s="10">
        <f>IFERROR(INDEX('حسابهای دریافتنی'!H:H,MATCH(Table217[[#This Row],[كد تفصيلي]],'حسابهای دریافتنی'!A:A,0)),0)</f>
        <v>0</v>
      </c>
      <c r="D88" s="11">
        <f>IFERROR(INDEX('درجریان وصول'!F:F,MATCH(Table217[[#This Row],[كد تفصيلي]],'درجریان وصول'!A:A,0)),0)</f>
        <v>0</v>
      </c>
      <c r="E88" s="11">
        <f>IFERROR(INDEX('چکهای دریافتنی'!F:F,MATCH(Table217[[#This Row],[كد تفصيلي]],'چکهای دریافتنی'!A:A,0)),0)</f>
        <v>0</v>
      </c>
      <c r="F88" s="11">
        <f>Table217[[#This Row],[حسابهای دریافتنی]]+Table217[[#This Row],[چکهای در جریان وصول]]+Table217[[#This Row],[چکهای نزد صندوق]]</f>
        <v>0</v>
      </c>
      <c r="G88" s="12">
        <f>IFERROR(INDEX('مانده سوفاله'!F:F,MATCH(Table217[[#This Row],[كد تفصيلي]],'مانده سوفاله'!A:A,0)),0)</f>
        <v>13</v>
      </c>
    </row>
    <row r="89" spans="1:7" ht="24" customHeight="1" x14ac:dyDescent="0.35">
      <c r="A89" s="26">
        <v>30160</v>
      </c>
      <c r="B89" s="56" t="s">
        <v>296</v>
      </c>
      <c r="C89" s="10">
        <f>IFERROR(INDEX('حسابهای دریافتنی'!H:H,MATCH(Table217[[#This Row],[كد تفصيلي]],'حسابهای دریافتنی'!A:A,0)),0)</f>
        <v>0</v>
      </c>
      <c r="D89" s="11">
        <f>IFERROR(INDEX('درجریان وصول'!F:F,MATCH(Table217[[#This Row],[كد تفصيلي]],'درجریان وصول'!A:A,0)),0)</f>
        <v>0</v>
      </c>
      <c r="E89" s="11">
        <f>IFERROR(INDEX('چکهای دریافتنی'!F:F,MATCH(Table217[[#This Row],[كد تفصيلي]],'چکهای دریافتنی'!A:A,0)),0)</f>
        <v>0</v>
      </c>
      <c r="F89" s="11">
        <f>Table217[[#This Row],[حسابهای دریافتنی]]+Table217[[#This Row],[چکهای در جریان وصول]]+Table217[[#This Row],[چکهای نزد صندوق]]</f>
        <v>0</v>
      </c>
      <c r="G89" s="12">
        <f>IFERROR(INDEX('مانده سوفاله'!F:F,MATCH(Table217[[#This Row],[كد تفصيلي]],'مانده سوفاله'!A:A,0)),0)</f>
        <v>-425</v>
      </c>
    </row>
    <row r="90" spans="1:7" ht="24" customHeight="1" x14ac:dyDescent="0.35">
      <c r="A90" s="27">
        <v>79010</v>
      </c>
      <c r="B90" s="55" t="s">
        <v>176</v>
      </c>
      <c r="C90" s="10">
        <f>IFERROR(INDEX('حسابهای دریافتنی'!H:H,MATCH(Table217[[#This Row],[كد تفصيلي]],'حسابهای دریافتنی'!A:A,0)),0)</f>
        <v>0</v>
      </c>
      <c r="D90" s="11">
        <f>IFERROR(INDEX('درجریان وصول'!F:F,MATCH(Table217[[#This Row],[كد تفصيلي]],'درجریان وصول'!A:A,0)),0)</f>
        <v>0</v>
      </c>
      <c r="E90" s="11">
        <f>IFERROR(INDEX('چکهای دریافتنی'!F:F,MATCH(Table217[[#This Row],[كد تفصيلي]],'چکهای دریافتنی'!A:A,0)),0)</f>
        <v>0</v>
      </c>
      <c r="F90" s="11">
        <f>Table217[[#This Row],[حسابهای دریافتنی]]+Table217[[#This Row],[چکهای در جریان وصول]]+Table217[[#This Row],[چکهای نزد صندوق]]</f>
        <v>0</v>
      </c>
      <c r="G90" s="12">
        <f>IFERROR(INDEX('مانده سوفاله'!F:F,MATCH(Table217[[#This Row],[كد تفصيلي]],'مانده سوفاله'!A:A,0)),0)</f>
        <v>-110</v>
      </c>
    </row>
    <row r="91" spans="1:7" ht="24" customHeight="1" x14ac:dyDescent="0.35">
      <c r="A91" s="26">
        <v>30174</v>
      </c>
      <c r="B91" s="56" t="s">
        <v>327</v>
      </c>
      <c r="C91" s="10">
        <f>IFERROR(INDEX('حسابهای دریافتنی'!H:H,MATCH(Table217[[#This Row],[كد تفصيلي]],'حسابهای دریافتنی'!A:A,0)),0)</f>
        <v>-5000</v>
      </c>
      <c r="D91" s="11">
        <f>IFERROR(INDEX('درجریان وصول'!F:F,MATCH(Table217[[#This Row],[كد تفصيلي]],'درجریان وصول'!A:A,0)),0)</f>
        <v>0</v>
      </c>
      <c r="E91" s="11">
        <f>IFERROR(INDEX('چکهای دریافتنی'!F:F,MATCH(Table217[[#This Row],[كد تفصيلي]],'چکهای دریافتنی'!A:A,0)),0)</f>
        <v>0</v>
      </c>
      <c r="F91" s="11">
        <f>Table217[[#This Row],[حسابهای دریافتنی]]+Table217[[#This Row],[چکهای در جریان وصول]]+Table217[[#This Row],[چکهای نزد صندوق]]</f>
        <v>-5000</v>
      </c>
      <c r="G91" s="12">
        <f>IFERROR(INDEX('مانده سوفاله'!F:F,MATCH(Table217[[#This Row],[كد تفصيلي]],'مانده سوفاله'!A:A,0)),0)</f>
        <v>0</v>
      </c>
    </row>
    <row r="92" spans="1:7" ht="24" customHeight="1" x14ac:dyDescent="0.35">
      <c r="A92" s="27">
        <v>30026</v>
      </c>
      <c r="B92" s="55" t="s">
        <v>74</v>
      </c>
      <c r="C92" s="10">
        <f>IFERROR(INDEX('حسابهای دریافتنی'!H:H,MATCH(Table217[[#This Row],[كد تفصيلي]],'حسابهای دریافتنی'!A:A,0)),0)</f>
        <v>5689439</v>
      </c>
      <c r="D92" s="11">
        <f>IFERROR(INDEX('درجریان وصول'!F:F,MATCH(Table217[[#This Row],[كد تفصيلي]],'درجریان وصول'!A:A,0)),0)</f>
        <v>0</v>
      </c>
      <c r="E92" s="11">
        <f>IFERROR(INDEX('چکهای دریافتنی'!F:F,MATCH(Table217[[#This Row],[كد تفصيلي]],'چکهای دریافتنی'!A:A,0)),0)</f>
        <v>0</v>
      </c>
      <c r="F92" s="11">
        <f>Table217[[#This Row],[حسابهای دریافتنی]]+Table217[[#This Row],[چکهای در جریان وصول]]+Table217[[#This Row],[چکهای نزد صندوق]]</f>
        <v>5689439</v>
      </c>
      <c r="G92" s="12">
        <f>IFERROR(INDEX('مانده سوفاله'!F:F,MATCH(Table217[[#This Row],[كد تفصيلي]],'مانده سوفاله'!A:A,0)),0)</f>
        <v>764</v>
      </c>
    </row>
    <row r="93" spans="1:7" ht="24" customHeight="1" x14ac:dyDescent="0.35">
      <c r="A93" s="26">
        <v>30164</v>
      </c>
      <c r="B93" s="56" t="s">
        <v>304</v>
      </c>
      <c r="C93" s="10">
        <f>IFERROR(INDEX('حسابهای دریافتنی'!H:H,MATCH(Table217[[#This Row],[كد تفصيلي]],'حسابهای دریافتنی'!A:A,0)),0)</f>
        <v>184944000</v>
      </c>
      <c r="D93" s="11">
        <f>IFERROR(INDEX('درجریان وصول'!F:F,MATCH(Table217[[#This Row],[كد تفصيلي]],'درجریان وصول'!A:A,0)),0)</f>
        <v>0</v>
      </c>
      <c r="E93" s="11">
        <f>IFERROR(INDEX('چکهای دریافتنی'!F:F,MATCH(Table217[[#This Row],[كد تفصيلي]],'چکهای دریافتنی'!A:A,0)),0)</f>
        <v>0</v>
      </c>
      <c r="F93" s="11">
        <f>Table217[[#This Row],[حسابهای دریافتنی]]+Table217[[#This Row],[چکهای در جریان وصول]]+Table217[[#This Row],[چکهای نزد صندوق]]</f>
        <v>184944000</v>
      </c>
      <c r="G93" s="12">
        <f>IFERROR(INDEX('مانده سوفاله'!F:F,MATCH(Table217[[#This Row],[كد تفصيلي]],'مانده سوفاله'!A:A,0)),0)</f>
        <v>561</v>
      </c>
    </row>
    <row r="94" spans="1:7" ht="24" customHeight="1" x14ac:dyDescent="0.35">
      <c r="A94" s="27">
        <v>10109</v>
      </c>
      <c r="B94" s="55" t="s">
        <v>303</v>
      </c>
      <c r="C94" s="10">
        <f>IFERROR(INDEX('حسابهای دریافتنی'!H:H,MATCH(Table217[[#This Row],[كد تفصيلي]],'حسابهای دریافتنی'!A:A,0)),0)</f>
        <v>-1124737000</v>
      </c>
      <c r="D94" s="11">
        <f>IFERROR(INDEX('درجریان وصول'!F:F,MATCH(Table217[[#This Row],[كد تفصيلي]],'درجریان وصول'!A:A,0)),0)</f>
        <v>0</v>
      </c>
      <c r="E94" s="11">
        <f>IFERROR(INDEX('چکهای دریافتنی'!F:F,MATCH(Table217[[#This Row],[كد تفصيلي]],'چکهای دریافتنی'!A:A,0)),0)</f>
        <v>0</v>
      </c>
      <c r="F94" s="11">
        <f>Table217[[#This Row],[حسابهای دریافتنی]]+Table217[[#This Row],[چکهای در جریان وصول]]+Table217[[#This Row],[چکهای نزد صندوق]]</f>
        <v>-1124737000</v>
      </c>
      <c r="G94" s="12">
        <f>IFERROR(INDEX('مانده سوفاله'!F:F,MATCH(Table217[[#This Row],[كد تفصيلي]],'مانده سوفاله'!A:A,0)),0)</f>
        <v>-241</v>
      </c>
    </row>
    <row r="95" spans="1:7" ht="24" customHeight="1" x14ac:dyDescent="0.35">
      <c r="A95" s="26">
        <v>30021</v>
      </c>
      <c r="B95" s="56" t="s">
        <v>69</v>
      </c>
      <c r="C95" s="10">
        <f>IFERROR(INDEX('حسابهای دریافتنی'!H:H,MATCH(Table217[[#This Row],[كد تفصيلي]],'حسابهای دریافتنی'!A:A,0)),0)</f>
        <v>-122000</v>
      </c>
      <c r="D95" s="11">
        <f>IFERROR(INDEX('درجریان وصول'!F:F,MATCH(Table217[[#This Row],[كد تفصيلي]],'درجریان وصول'!A:A,0)),0)</f>
        <v>0</v>
      </c>
      <c r="E95" s="11">
        <f>IFERROR(INDEX('چکهای دریافتنی'!F:F,MATCH(Table217[[#This Row],[كد تفصيلي]],'چکهای دریافتنی'!A:A,0)),0)</f>
        <v>0</v>
      </c>
      <c r="F95" s="11">
        <f>Table217[[#This Row],[حسابهای دریافتنی]]+Table217[[#This Row],[چکهای در جریان وصول]]+Table217[[#This Row],[چکهای نزد صندوق]]</f>
        <v>-122000</v>
      </c>
      <c r="G95" s="12">
        <f>IFERROR(INDEX('مانده سوفاله'!F:F,MATCH(Table217[[#This Row],[كد تفصيلي]],'مانده سوفاله'!A:A,0)),0)</f>
        <v>0</v>
      </c>
    </row>
    <row r="96" spans="1:7" ht="24" customHeight="1" x14ac:dyDescent="0.35">
      <c r="A96" s="27">
        <v>10066</v>
      </c>
      <c r="B96" s="55" t="s">
        <v>262</v>
      </c>
      <c r="C96" s="10">
        <f>IFERROR(INDEX('حسابهای دریافتنی'!H:H,MATCH(Table217[[#This Row],[كد تفصيلي]],'حسابهای دریافتنی'!A:A,0)),0)</f>
        <v>-191500</v>
      </c>
      <c r="D96" s="11">
        <f>IFERROR(INDEX('درجریان وصول'!F:F,MATCH(Table217[[#This Row],[كد تفصيلي]],'درجریان وصول'!A:A,0)),0)</f>
        <v>0</v>
      </c>
      <c r="E96" s="11">
        <f>IFERROR(INDEX('چکهای دریافتنی'!F:F,MATCH(Table217[[#This Row],[كد تفصيلي]],'چکهای دریافتنی'!A:A,0)),0)</f>
        <v>0</v>
      </c>
      <c r="F96" s="11">
        <f>Table217[[#This Row],[حسابهای دریافتنی]]+Table217[[#This Row],[چکهای در جریان وصول]]+Table217[[#This Row],[چکهای نزد صندوق]]</f>
        <v>-191500</v>
      </c>
      <c r="G96" s="12">
        <f>IFERROR(INDEX('مانده سوفاله'!F:F,MATCH(Table217[[#This Row],[كد تفصيلي]],'مانده سوفاله'!A:A,0)),0)</f>
        <v>2</v>
      </c>
    </row>
    <row r="97" spans="1:7" ht="24" customHeight="1" x14ac:dyDescent="0.35">
      <c r="A97" s="27">
        <v>30167</v>
      </c>
      <c r="B97" s="55" t="s">
        <v>311</v>
      </c>
      <c r="C97" s="10">
        <f>IFERROR(INDEX('حسابهای دریافتنی'!H:H,MATCH(Table217[[#This Row],[كد تفصيلي]],'حسابهای دریافتنی'!A:A,0)),0)</f>
        <v>-221000</v>
      </c>
      <c r="D97" s="11">
        <f>IFERROR(INDEX('درجریان وصول'!F:F,MATCH(Table217[[#This Row],[كد تفصيلي]],'درجریان وصول'!A:A,0)),0)</f>
        <v>0</v>
      </c>
      <c r="E97" s="11">
        <f>IFERROR(INDEX('چکهای دریافتنی'!F:F,MATCH(Table217[[#This Row],[كد تفصيلي]],'چکهای دریافتنی'!A:A,0)),0)</f>
        <v>0</v>
      </c>
      <c r="F97" s="11">
        <f>Table217[[#This Row],[حسابهای دریافتنی]]+Table217[[#This Row],[چکهای در جریان وصول]]+Table217[[#This Row],[چکهای نزد صندوق]]</f>
        <v>-221000</v>
      </c>
      <c r="G97" s="12">
        <f>IFERROR(INDEX('مانده سوفاله'!F:F,MATCH(Table217[[#This Row],[كد تفصيلي]],'مانده سوفاله'!A:A,0)),0)</f>
        <v>6</v>
      </c>
    </row>
    <row r="98" spans="1:7" ht="24" customHeight="1" x14ac:dyDescent="0.35">
      <c r="A98" s="26">
        <v>10077</v>
      </c>
      <c r="B98" s="56" t="s">
        <v>210</v>
      </c>
      <c r="C98" s="10">
        <f>IFERROR(INDEX('حسابهای دریافتنی'!H:H,MATCH(Table217[[#This Row],[كد تفصيلي]],'حسابهای دریافتنی'!A:A,0)),0)</f>
        <v>-238500</v>
      </c>
      <c r="D98" s="11">
        <f>IFERROR(INDEX('درجریان وصول'!F:F,MATCH(Table217[[#This Row],[كد تفصيلي]],'درجریان وصول'!A:A,0)),0)</f>
        <v>0</v>
      </c>
      <c r="E98" s="11">
        <f>IFERROR(INDEX('چکهای دریافتنی'!F:F,MATCH(Table217[[#This Row],[كد تفصيلي]],'چکهای دریافتنی'!A:A,0)),0)</f>
        <v>0</v>
      </c>
      <c r="F98" s="11">
        <f>Table217[[#This Row],[حسابهای دریافتنی]]+Table217[[#This Row],[چکهای در جریان وصول]]+Table217[[#This Row],[چکهای نزد صندوق]]</f>
        <v>-238500</v>
      </c>
      <c r="G98" s="12">
        <f>IFERROR(INDEX('مانده سوفاله'!F:F,MATCH(Table217[[#This Row],[كد تفصيلي]],'مانده سوفاله'!A:A,0)),0)</f>
        <v>0</v>
      </c>
    </row>
    <row r="99" spans="1:7" ht="24" customHeight="1" x14ac:dyDescent="0.35">
      <c r="A99" s="27">
        <v>10012</v>
      </c>
      <c r="B99" s="55" t="s">
        <v>19</v>
      </c>
      <c r="C99" s="10">
        <f>IFERROR(INDEX('حسابهای دریافتنی'!H:H,MATCH(Table217[[#This Row],[كد تفصيلي]],'حسابهای دریافتنی'!A:A,0)),0)</f>
        <v>-244000</v>
      </c>
      <c r="D99" s="11">
        <f>IFERROR(INDEX('درجریان وصول'!F:F,MATCH(Table217[[#This Row],[كد تفصيلي]],'درجریان وصول'!A:A,0)),0)</f>
        <v>0</v>
      </c>
      <c r="E99" s="11">
        <f>IFERROR(INDEX('چکهای دریافتنی'!F:F,MATCH(Table217[[#This Row],[كد تفصيلي]],'چکهای دریافتنی'!A:A,0)),0)</f>
        <v>0</v>
      </c>
      <c r="F99" s="11">
        <f>Table217[[#This Row],[حسابهای دریافتنی]]+Table217[[#This Row],[چکهای در جریان وصول]]+Table217[[#This Row],[چکهای نزد صندوق]]</f>
        <v>-244000</v>
      </c>
      <c r="G99" s="12">
        <f>IFERROR(INDEX('مانده سوفاله'!F:F,MATCH(Table217[[#This Row],[كد تفصيلي]],'مانده سوفاله'!A:A,0)),0)</f>
        <v>0</v>
      </c>
    </row>
    <row r="100" spans="1:7" ht="24" customHeight="1" x14ac:dyDescent="0.35">
      <c r="A100" s="26">
        <v>30088</v>
      </c>
      <c r="B100" s="56" t="s">
        <v>142</v>
      </c>
      <c r="C100" s="10">
        <f>IFERROR(INDEX('حسابهای دریافتنی'!H:H,MATCH(Table217[[#This Row],[كد تفصيلي]],'حسابهای دریافتنی'!A:A,0)),0)</f>
        <v>-252000</v>
      </c>
      <c r="D100" s="11">
        <f>IFERROR(INDEX('درجریان وصول'!F:F,MATCH(Table217[[#This Row],[كد تفصيلي]],'درجریان وصول'!A:A,0)),0)</f>
        <v>0</v>
      </c>
      <c r="E100" s="11">
        <f>IFERROR(INDEX('چکهای دریافتنی'!F:F,MATCH(Table217[[#This Row],[كد تفصيلي]],'چکهای دریافتنی'!A:A,0)),0)</f>
        <v>0</v>
      </c>
      <c r="F100" s="11">
        <f>Table217[[#This Row],[حسابهای دریافتنی]]+Table217[[#This Row],[چکهای در جریان وصول]]+Table217[[#This Row],[چکهای نزد صندوق]]</f>
        <v>-252000</v>
      </c>
      <c r="G100" s="12">
        <f>IFERROR(INDEX('مانده سوفاله'!F:F,MATCH(Table217[[#This Row],[كد تفصيلي]],'مانده سوفاله'!A:A,0)),0)</f>
        <v>0</v>
      </c>
    </row>
    <row r="101" spans="1:7" ht="24" customHeight="1" x14ac:dyDescent="0.35">
      <c r="A101" s="26">
        <v>10128</v>
      </c>
      <c r="B101" s="56" t="s">
        <v>372</v>
      </c>
      <c r="C101" s="10">
        <f>IFERROR(INDEX('حسابهای دریافتنی'!H:H,MATCH(Table217[[#This Row],[كد تفصيلي]],'حسابهای دریافتنی'!A:A,0)),0)</f>
        <v>-45000</v>
      </c>
      <c r="D101" s="11">
        <f>IFERROR(INDEX('درجریان وصول'!F:F,MATCH(Table217[[#This Row],[كد تفصيلي]],'درجریان وصول'!A:A,0)),0)</f>
        <v>0</v>
      </c>
      <c r="E101" s="11">
        <f>IFERROR(INDEX('چکهای دریافتنی'!F:F,MATCH(Table217[[#This Row],[كد تفصيلي]],'چکهای دریافتنی'!A:A,0)),0)</f>
        <v>0</v>
      </c>
      <c r="F101" s="11">
        <f>Table217[[#This Row],[حسابهای دریافتنی]]+Table217[[#This Row],[چکهای در جریان وصول]]+Table217[[#This Row],[چکهای نزد صندوق]]</f>
        <v>-45000</v>
      </c>
      <c r="G101" s="12">
        <f>IFERROR(INDEX('مانده سوفاله'!F:F,MATCH(Table217[[#This Row],[كد تفصيلي]],'مانده سوفاله'!A:A,0)),0)</f>
        <v>6</v>
      </c>
    </row>
    <row r="102" spans="1:7" ht="24" customHeight="1" x14ac:dyDescent="0.35">
      <c r="A102" s="26">
        <v>10045</v>
      </c>
      <c r="B102" s="56" t="s">
        <v>50</v>
      </c>
      <c r="C102" s="10">
        <f>IFERROR(INDEX('حسابهای دریافتنی'!H:H,MATCH(Table217[[#This Row],[كد تفصيلي]],'حسابهای دریافتنی'!A:A,0)),0)</f>
        <v>-383000</v>
      </c>
      <c r="D102" s="11">
        <f>IFERROR(INDEX('درجریان وصول'!F:F,MATCH(Table217[[#This Row],[كد تفصيلي]],'درجریان وصول'!A:A,0)),0)</f>
        <v>0</v>
      </c>
      <c r="E102" s="11">
        <f>IFERROR(INDEX('چکهای دریافتنی'!F:F,MATCH(Table217[[#This Row],[كد تفصيلي]],'چکهای دریافتنی'!A:A,0)),0)</f>
        <v>0</v>
      </c>
      <c r="F102" s="11">
        <f>Table217[[#This Row],[حسابهای دریافتنی]]+Table217[[#This Row],[چکهای در جریان وصول]]+Table217[[#This Row],[چکهای نزد صندوق]]</f>
        <v>-383000</v>
      </c>
      <c r="G102" s="12">
        <f>IFERROR(INDEX('مانده سوفاله'!F:F,MATCH(Table217[[#This Row],[كد تفصيلي]],'مانده سوفاله'!A:A,0)),0)</f>
        <v>-30</v>
      </c>
    </row>
    <row r="103" spans="1:7" ht="24" customHeight="1" x14ac:dyDescent="0.35">
      <c r="A103" s="27">
        <v>30044</v>
      </c>
      <c r="B103" s="55" t="s">
        <v>91</v>
      </c>
      <c r="C103" s="10">
        <f>IFERROR(INDEX('حسابهای دریافتنی'!H:H,MATCH(Table217[[#This Row],[كد تفصيلي]],'حسابهای دریافتنی'!A:A,0)),0)</f>
        <v>-492500</v>
      </c>
      <c r="D103" s="11">
        <f>IFERROR(INDEX('درجریان وصول'!F:F,MATCH(Table217[[#This Row],[كد تفصيلي]],'درجریان وصول'!A:A,0)),0)</f>
        <v>0</v>
      </c>
      <c r="E103" s="11">
        <f>IFERROR(INDEX('چکهای دریافتنی'!F:F,MATCH(Table217[[#This Row],[كد تفصيلي]],'چکهای دریافتنی'!A:A,0)),0)</f>
        <v>0</v>
      </c>
      <c r="F103" s="11">
        <f>Table217[[#This Row],[حسابهای دریافتنی]]+Table217[[#This Row],[چکهای در جریان وصول]]+Table217[[#This Row],[چکهای نزد صندوق]]</f>
        <v>-492500</v>
      </c>
      <c r="G103" s="12">
        <f>IFERROR(INDEX('مانده سوفاله'!F:F,MATCH(Table217[[#This Row],[كد تفصيلي]],'مانده سوفاله'!A:A,0)),0)</f>
        <v>2</v>
      </c>
    </row>
    <row r="104" spans="1:7" ht="24" customHeight="1" x14ac:dyDescent="0.35">
      <c r="A104" s="26">
        <v>10095</v>
      </c>
      <c r="B104" s="56" t="s">
        <v>268</v>
      </c>
      <c r="C104" s="10">
        <f>IFERROR(INDEX('حسابهای دریافتنی'!H:H,MATCH(Table217[[#This Row],[كد تفصيلي]],'حسابهای دریافتنی'!A:A,0)),0)</f>
        <v>-496500</v>
      </c>
      <c r="D104" s="11">
        <f>IFERROR(INDEX('درجریان وصول'!F:F,MATCH(Table217[[#This Row],[كد تفصيلي]],'درجریان وصول'!A:A,0)),0)</f>
        <v>0</v>
      </c>
      <c r="E104" s="11">
        <f>IFERROR(INDEX('چکهای دریافتنی'!F:F,MATCH(Table217[[#This Row],[كد تفصيلي]],'چکهای دریافتنی'!A:A,0)),0)</f>
        <v>0</v>
      </c>
      <c r="F104" s="11">
        <f>Table217[[#This Row],[حسابهای دریافتنی]]+Table217[[#This Row],[چکهای در جریان وصول]]+Table217[[#This Row],[چکهای نزد صندوق]]</f>
        <v>-496500</v>
      </c>
      <c r="G104" s="12">
        <f>IFERROR(INDEX('مانده سوفاله'!F:F,MATCH(Table217[[#This Row],[كد تفصيلي]],'مانده سوفاله'!A:A,0)),0)</f>
        <v>0</v>
      </c>
    </row>
    <row r="105" spans="1:7" ht="24" customHeight="1" x14ac:dyDescent="0.35">
      <c r="A105" s="26">
        <v>10126</v>
      </c>
      <c r="B105" s="56" t="s">
        <v>370</v>
      </c>
      <c r="C105" s="10">
        <f>IFERROR(INDEX('حسابهای دریافتنی'!H:H,MATCH(Table217[[#This Row],[كد تفصيلي]],'حسابهای دریافتنی'!A:A,0)),0)</f>
        <v>12165000</v>
      </c>
      <c r="D105" s="11">
        <f>IFERROR(INDEX('درجریان وصول'!F:F,MATCH(Table217[[#This Row],[كد تفصيلي]],'درجریان وصول'!A:A,0)),0)</f>
        <v>0</v>
      </c>
      <c r="E105" s="11">
        <f>IFERROR(INDEX('چکهای دریافتنی'!F:F,MATCH(Table217[[#This Row],[كد تفصيلي]],'چکهای دریافتنی'!A:A,0)),0)</f>
        <v>0</v>
      </c>
      <c r="F105" s="11">
        <f>Table217[[#This Row],[حسابهای دریافتنی]]+Table217[[#This Row],[چکهای در جریان وصول]]+Table217[[#This Row],[چکهای نزد صندوق]]</f>
        <v>12165000</v>
      </c>
      <c r="G105" s="12">
        <f>IFERROR(INDEX('مانده سوفاله'!F:F,MATCH(Table217[[#This Row],[كد تفصيلي]],'مانده سوفاله'!A:A,0)),0)</f>
        <v>0</v>
      </c>
    </row>
    <row r="106" spans="1:7" ht="24" customHeight="1" x14ac:dyDescent="0.35">
      <c r="A106" s="27">
        <v>30052</v>
      </c>
      <c r="B106" s="55" t="s">
        <v>149</v>
      </c>
      <c r="C106" s="10">
        <f>IFERROR(INDEX('حسابهای دریافتنی'!H:H,MATCH(Table217[[#This Row],[كد تفصيلي]],'حسابهای دریافتنی'!A:A,0)),0)</f>
        <v>-539000</v>
      </c>
      <c r="D106" s="11">
        <f>IFERROR(INDEX('درجریان وصول'!F:F,MATCH(Table217[[#This Row],[كد تفصيلي]],'درجریان وصول'!A:A,0)),0)</f>
        <v>0</v>
      </c>
      <c r="E106" s="11">
        <f>IFERROR(INDEX('چکهای دریافتنی'!F:F,MATCH(Table217[[#This Row],[كد تفصيلي]],'چکهای دریافتنی'!A:A,0)),0)</f>
        <v>0</v>
      </c>
      <c r="F106" s="11">
        <f>Table217[[#This Row],[حسابهای دریافتنی]]+Table217[[#This Row],[چکهای در جریان وصول]]+Table217[[#This Row],[چکهای نزد صندوق]]</f>
        <v>-539000</v>
      </c>
      <c r="G106" s="12">
        <f>IFERROR(INDEX('مانده سوفاله'!F:F,MATCH(Table217[[#This Row],[كد تفصيلي]],'مانده سوفاله'!A:A,0)),0)</f>
        <v>0</v>
      </c>
    </row>
    <row r="107" spans="1:7" ht="24" customHeight="1" x14ac:dyDescent="0.35">
      <c r="A107" s="26">
        <v>10061</v>
      </c>
      <c r="B107" s="56" t="s">
        <v>194</v>
      </c>
      <c r="C107" s="10">
        <f>IFERROR(INDEX('حسابهای دریافتنی'!H:H,MATCH(Table217[[#This Row],[كد تفصيلي]],'حسابهای دریافتنی'!A:A,0)),0)</f>
        <v>-565500</v>
      </c>
      <c r="D107" s="11">
        <f>IFERROR(INDEX('درجریان وصول'!F:F,MATCH(Table217[[#This Row],[كد تفصيلي]],'درجریان وصول'!A:A,0)),0)</f>
        <v>0</v>
      </c>
      <c r="E107" s="11">
        <f>IFERROR(INDEX('چکهای دریافتنی'!F:F,MATCH(Table217[[#This Row],[كد تفصيلي]],'چکهای دریافتنی'!A:A,0)),0)</f>
        <v>0</v>
      </c>
      <c r="F107" s="11">
        <f>Table217[[#This Row],[حسابهای دریافتنی]]+Table217[[#This Row],[چکهای در جریان وصول]]+Table217[[#This Row],[چکهای نزد صندوق]]</f>
        <v>-565500</v>
      </c>
      <c r="G107" s="12">
        <f>IFERROR(INDEX('مانده سوفاله'!F:F,MATCH(Table217[[#This Row],[كد تفصيلي]],'مانده سوفاله'!A:A,0)),0)</f>
        <v>0</v>
      </c>
    </row>
    <row r="108" spans="1:7" ht="24" customHeight="1" x14ac:dyDescent="0.35">
      <c r="A108" s="26">
        <v>10118</v>
      </c>
      <c r="B108" s="56" t="s">
        <v>334</v>
      </c>
      <c r="C108" s="10">
        <f>IFERROR(INDEX('حسابهای دریافتنی'!H:H,MATCH(Table217[[#This Row],[كد تفصيلي]],'حسابهای دریافتنی'!A:A,0)),0)</f>
        <v>-587500</v>
      </c>
      <c r="D108" s="11">
        <f>IFERROR(INDEX('درجریان وصول'!F:F,MATCH(Table217[[#This Row],[كد تفصيلي]],'درجریان وصول'!A:A,0)),0)</f>
        <v>0</v>
      </c>
      <c r="E108" s="11">
        <f>IFERROR(INDEX('چکهای دریافتنی'!F:F,MATCH(Table217[[#This Row],[كد تفصيلي]],'چکهای دریافتنی'!A:A,0)),0)</f>
        <v>0</v>
      </c>
      <c r="F108" s="11">
        <f>Table217[[#This Row],[حسابهای دریافتنی]]+Table217[[#This Row],[چکهای در جریان وصول]]+Table217[[#This Row],[چکهای نزد صندوق]]</f>
        <v>-587500</v>
      </c>
      <c r="G108" s="12">
        <f>IFERROR(INDEX('مانده سوفاله'!F:F,MATCH(Table217[[#This Row],[كد تفصيلي]],'مانده سوفاله'!A:A,0)),0)</f>
        <v>0</v>
      </c>
    </row>
    <row r="109" spans="1:7" ht="24" customHeight="1" x14ac:dyDescent="0.35">
      <c r="A109" s="27">
        <v>10018</v>
      </c>
      <c r="B109" s="55" t="s">
        <v>25</v>
      </c>
      <c r="C109" s="10">
        <f>IFERROR(INDEX('حسابهای دریافتنی'!H:H,MATCH(Table217[[#This Row],[كد تفصيلي]],'حسابهای دریافتنی'!A:A,0)),0)</f>
        <v>95282000</v>
      </c>
      <c r="D109" s="11">
        <f>IFERROR(INDEX('درجریان وصول'!F:F,MATCH(Table217[[#This Row],[كد تفصيلي]],'درجریان وصول'!A:A,0)),0)</f>
        <v>0</v>
      </c>
      <c r="E109" s="11">
        <f>IFERROR(INDEX('چکهای دریافتنی'!F:F,MATCH(Table217[[#This Row],[كد تفصيلي]],'چکهای دریافتنی'!A:A,0)),0)</f>
        <v>0</v>
      </c>
      <c r="F109" s="11">
        <f>Table217[[#This Row],[حسابهای دریافتنی]]+Table217[[#This Row],[چکهای در جریان وصول]]+Table217[[#This Row],[چکهای نزد صندوق]]</f>
        <v>95282000</v>
      </c>
      <c r="G109" s="12">
        <f>IFERROR(INDEX('مانده سوفاله'!F:F,MATCH(Table217[[#This Row],[كد تفصيلي]],'مانده سوفاله'!A:A,0)),0)</f>
        <v>-32</v>
      </c>
    </row>
    <row r="110" spans="1:7" ht="24" customHeight="1" x14ac:dyDescent="0.35">
      <c r="A110" s="26">
        <v>30112</v>
      </c>
      <c r="B110" s="56" t="s">
        <v>201</v>
      </c>
      <c r="C110" s="10">
        <f>IFERROR(INDEX('حسابهای دریافتنی'!H:H,MATCH(Table217[[#This Row],[كد تفصيلي]],'حسابهای دریافتنی'!A:A,0)),0)</f>
        <v>-720500</v>
      </c>
      <c r="D110" s="11">
        <f>IFERROR(INDEX('درجریان وصول'!F:F,MATCH(Table217[[#This Row],[كد تفصيلي]],'درجریان وصول'!A:A,0)),0)</f>
        <v>0</v>
      </c>
      <c r="E110" s="11">
        <f>IFERROR(INDEX('چکهای دریافتنی'!F:F,MATCH(Table217[[#This Row],[كد تفصيلي]],'چکهای دریافتنی'!A:A,0)),0)</f>
        <v>0</v>
      </c>
      <c r="F110" s="11">
        <f>Table217[[#This Row],[حسابهای دریافتنی]]+Table217[[#This Row],[چکهای در جریان وصول]]+Table217[[#This Row],[چکهای نزد صندوق]]</f>
        <v>-720500</v>
      </c>
      <c r="G110" s="12">
        <f>IFERROR(INDEX('مانده سوفاله'!F:F,MATCH(Table217[[#This Row],[كد تفصيلي]],'مانده سوفاله'!A:A,0)),0)</f>
        <v>36</v>
      </c>
    </row>
    <row r="111" spans="1:7" ht="24" customHeight="1" x14ac:dyDescent="0.35">
      <c r="A111" s="26">
        <v>10013</v>
      </c>
      <c r="B111" s="56" t="s">
        <v>20</v>
      </c>
      <c r="C111" s="10">
        <f>IFERROR(INDEX('حسابهای دریافتنی'!H:H,MATCH(Table217[[#This Row],[كد تفصيلي]],'حسابهای دریافتنی'!A:A,0)),0)</f>
        <v>-915000</v>
      </c>
      <c r="D111" s="11">
        <f>IFERROR(INDEX('درجریان وصول'!F:F,MATCH(Table217[[#This Row],[كد تفصيلي]],'درجریان وصول'!A:A,0)),0)</f>
        <v>0</v>
      </c>
      <c r="E111" s="11">
        <f>IFERROR(INDEX('چکهای دریافتنی'!F:F,MATCH(Table217[[#This Row],[كد تفصيلي]],'چکهای دریافتنی'!A:A,0)),0)</f>
        <v>0</v>
      </c>
      <c r="F111" s="11">
        <f>Table217[[#This Row],[حسابهای دریافتنی]]+Table217[[#This Row],[چکهای در جریان وصول]]+Table217[[#This Row],[چکهای نزد صندوق]]</f>
        <v>-915000</v>
      </c>
      <c r="G111" s="12">
        <f>IFERROR(INDEX('مانده سوفاله'!F:F,MATCH(Table217[[#This Row],[كد تفصيلي]],'مانده سوفاله'!A:A,0)),0)</f>
        <v>0</v>
      </c>
    </row>
    <row r="112" spans="1:7" ht="24" customHeight="1" x14ac:dyDescent="0.35">
      <c r="A112" s="27">
        <v>10072</v>
      </c>
      <c r="B112" s="55" t="s">
        <v>177</v>
      </c>
      <c r="C112" s="10">
        <f>IFERROR(INDEX('حسابهای دریافتنی'!H:H,MATCH(Table217[[#This Row],[كد تفصيلي]],'حسابهای دریافتنی'!A:A,0)),0)</f>
        <v>55880</v>
      </c>
      <c r="D112" s="11">
        <f>IFERROR(INDEX('درجریان وصول'!F:F,MATCH(Table217[[#This Row],[كد تفصيلي]],'درجریان وصول'!A:A,0)),0)</f>
        <v>0</v>
      </c>
      <c r="E112" s="11">
        <f>IFERROR(INDEX('چکهای دریافتنی'!F:F,MATCH(Table217[[#This Row],[كد تفصيلي]],'چکهای دریافتنی'!A:A,0)),0)</f>
        <v>427700000</v>
      </c>
      <c r="F112" s="11">
        <f>Table217[[#This Row],[حسابهای دریافتنی]]+Table217[[#This Row],[چکهای در جریان وصول]]+Table217[[#This Row],[چکهای نزد صندوق]]</f>
        <v>427755880</v>
      </c>
      <c r="G112" s="12">
        <f>IFERROR(INDEX('مانده سوفاله'!F:F,MATCH(Table217[[#This Row],[كد تفصيلي]],'مانده سوفاله'!A:A,0)),0)</f>
        <v>0</v>
      </c>
    </row>
    <row r="113" spans="1:7" ht="24" customHeight="1" x14ac:dyDescent="0.35">
      <c r="A113" s="27">
        <v>10042</v>
      </c>
      <c r="B113" s="55" t="s">
        <v>47</v>
      </c>
      <c r="C113" s="10">
        <f>IFERROR(INDEX('حسابهای دریافتنی'!H:H,MATCH(Table217[[#This Row],[كد تفصيلي]],'حسابهای دریافتنی'!A:A,0)),0)</f>
        <v>-1120000</v>
      </c>
      <c r="D113" s="11">
        <f>IFERROR(INDEX('درجریان وصول'!F:F,MATCH(Table217[[#This Row],[كد تفصيلي]],'درجریان وصول'!A:A,0)),0)</f>
        <v>0</v>
      </c>
      <c r="E113" s="11">
        <f>IFERROR(INDEX('چکهای دریافتنی'!F:F,MATCH(Table217[[#This Row],[كد تفصيلي]],'چکهای دریافتنی'!A:A,0)),0)</f>
        <v>0</v>
      </c>
      <c r="F113" s="11">
        <f>Table217[[#This Row],[حسابهای دریافتنی]]+Table217[[#This Row],[چکهای در جریان وصول]]+Table217[[#This Row],[چکهای نزد صندوق]]</f>
        <v>-1120000</v>
      </c>
      <c r="G113" s="12">
        <f>IFERROR(INDEX('مانده سوفاله'!F:F,MATCH(Table217[[#This Row],[كد تفصيلي]],'مانده سوفاله'!A:A,0)),0)</f>
        <v>2</v>
      </c>
    </row>
    <row r="114" spans="1:7" ht="24" customHeight="1" x14ac:dyDescent="0.35">
      <c r="A114" s="27">
        <v>30032</v>
      </c>
      <c r="B114" s="55" t="s">
        <v>79</v>
      </c>
      <c r="C114" s="10">
        <f>IFERROR(INDEX('حسابهای دریافتنی'!H:H,MATCH(Table217[[#This Row],[كد تفصيلي]],'حسابهای دریافتنی'!A:A,0)),0)</f>
        <v>-1347000</v>
      </c>
      <c r="D114" s="11">
        <f>IFERROR(INDEX('درجریان وصول'!F:F,MATCH(Table217[[#This Row],[كد تفصيلي]],'درجریان وصول'!A:A,0)),0)</f>
        <v>0</v>
      </c>
      <c r="E114" s="11">
        <f>IFERROR(INDEX('چکهای دریافتنی'!F:F,MATCH(Table217[[#This Row],[كد تفصيلي]],'چکهای دریافتنی'!A:A,0)),0)</f>
        <v>0</v>
      </c>
      <c r="F114" s="11">
        <f>Table217[[#This Row],[حسابهای دریافتنی]]+Table217[[#This Row],[چکهای در جریان وصول]]+Table217[[#This Row],[چکهای نزد صندوق]]</f>
        <v>-1347000</v>
      </c>
      <c r="G114" s="12">
        <f>IFERROR(INDEX('مانده سوفاله'!F:F,MATCH(Table217[[#This Row],[كد تفصيلي]],'مانده سوفاله'!A:A,0)),0)</f>
        <v>0</v>
      </c>
    </row>
    <row r="115" spans="1:7" ht="24" customHeight="1" x14ac:dyDescent="0.35">
      <c r="A115" s="27">
        <v>30171</v>
      </c>
      <c r="B115" s="55" t="s">
        <v>322</v>
      </c>
      <c r="C115" s="10">
        <f>IFERROR(INDEX('حسابهای دریافتنی'!H:H,MATCH(Table217[[#This Row],[كد تفصيلي]],'حسابهای دریافتنی'!A:A,0)),0)</f>
        <v>-1500000</v>
      </c>
      <c r="D115" s="11">
        <f>IFERROR(INDEX('درجریان وصول'!F:F,MATCH(Table217[[#This Row],[كد تفصيلي]],'درجریان وصول'!A:A,0)),0)</f>
        <v>0</v>
      </c>
      <c r="E115" s="11">
        <f>IFERROR(INDEX('چکهای دریافتنی'!F:F,MATCH(Table217[[#This Row],[كد تفصيلي]],'چکهای دریافتنی'!A:A,0)),0)</f>
        <v>0</v>
      </c>
      <c r="F115" s="11">
        <f>Table217[[#This Row],[حسابهای دریافتنی]]+Table217[[#This Row],[چکهای در جریان وصول]]+Table217[[#This Row],[چکهای نزد صندوق]]</f>
        <v>-1500000</v>
      </c>
      <c r="G115" s="12">
        <f>IFERROR(INDEX('مانده سوفاله'!F:F,MATCH(Table217[[#This Row],[كد تفصيلي]],'مانده سوفاله'!A:A,0)),0)</f>
        <v>0</v>
      </c>
    </row>
    <row r="116" spans="1:7" ht="24" customHeight="1" x14ac:dyDescent="0.35">
      <c r="A116" s="26">
        <v>10103</v>
      </c>
      <c r="B116" s="56" t="s">
        <v>283</v>
      </c>
      <c r="C116" s="10">
        <f>IFERROR(INDEX('حسابهای دریافتنی'!H:H,MATCH(Table217[[#This Row],[كد تفصيلي]],'حسابهای دریافتنی'!A:A,0)),0)</f>
        <v>-1580000</v>
      </c>
      <c r="D116" s="11">
        <f>IFERROR(INDEX('درجریان وصول'!F:F,MATCH(Table217[[#This Row],[كد تفصيلي]],'درجریان وصول'!A:A,0)),0)</f>
        <v>0</v>
      </c>
      <c r="E116" s="11">
        <f>IFERROR(INDEX('چکهای دریافتنی'!F:F,MATCH(Table217[[#This Row],[كد تفصيلي]],'چکهای دریافتنی'!A:A,0)),0)</f>
        <v>0</v>
      </c>
      <c r="F116" s="11">
        <f>Table217[[#This Row],[حسابهای دریافتنی]]+Table217[[#This Row],[چکهای در جریان وصول]]+Table217[[#This Row],[چکهای نزد صندوق]]</f>
        <v>-1580000</v>
      </c>
      <c r="G116" s="12">
        <f>IFERROR(INDEX('مانده سوفاله'!F:F,MATCH(Table217[[#This Row],[كد تفصيلي]],'مانده سوفاله'!A:A,0)),0)</f>
        <v>0</v>
      </c>
    </row>
    <row r="117" spans="1:7" ht="24" customHeight="1" x14ac:dyDescent="0.35">
      <c r="A117" s="27">
        <v>10125</v>
      </c>
      <c r="B117" s="55" t="s">
        <v>345</v>
      </c>
      <c r="C117" s="10">
        <f>IFERROR(INDEX('حسابهای دریافتنی'!H:H,MATCH(Table217[[#This Row],[كد تفصيلي]],'حسابهای دریافتنی'!A:A,0)),0)</f>
        <v>-1650000</v>
      </c>
      <c r="D117" s="11">
        <f>IFERROR(INDEX('درجریان وصول'!F:F,MATCH(Table217[[#This Row],[كد تفصيلي]],'درجریان وصول'!A:A,0)),0)</f>
        <v>0</v>
      </c>
      <c r="E117" s="11">
        <f>IFERROR(INDEX('چکهای دریافتنی'!F:F,MATCH(Table217[[#This Row],[كد تفصيلي]],'چکهای دریافتنی'!A:A,0)),0)</f>
        <v>0</v>
      </c>
      <c r="F117" s="11">
        <f>Table217[[#This Row],[حسابهای دریافتنی]]+Table217[[#This Row],[چکهای در جریان وصول]]+Table217[[#This Row],[چکهای نزد صندوق]]</f>
        <v>-1650000</v>
      </c>
      <c r="G117" s="12">
        <f>IFERROR(INDEX('مانده سوفاله'!F:F,MATCH(Table217[[#This Row],[كد تفصيلي]],'مانده سوفاله'!A:A,0)),0)</f>
        <v>0</v>
      </c>
    </row>
    <row r="118" spans="1:7" ht="24" customHeight="1" x14ac:dyDescent="0.35">
      <c r="A118" s="26">
        <v>10110</v>
      </c>
      <c r="B118" s="56" t="s">
        <v>306</v>
      </c>
      <c r="C118" s="10">
        <f>IFERROR(INDEX('حسابهای دریافتنی'!H:H,MATCH(Table217[[#This Row],[كد تفصيلي]],'حسابهای دریافتنی'!A:A,0)),0)</f>
        <v>-1817500</v>
      </c>
      <c r="D118" s="11">
        <f>IFERROR(INDEX('درجریان وصول'!F:F,MATCH(Table217[[#This Row],[كد تفصيلي]],'درجریان وصول'!A:A,0)),0)</f>
        <v>0</v>
      </c>
      <c r="E118" s="11">
        <f>IFERROR(INDEX('چکهای دریافتنی'!F:F,MATCH(Table217[[#This Row],[كد تفصيلي]],'چکهای دریافتنی'!A:A,0)),0)</f>
        <v>0</v>
      </c>
      <c r="F118" s="11">
        <f>Table217[[#This Row],[حسابهای دریافتنی]]+Table217[[#This Row],[چکهای در جریان وصول]]+Table217[[#This Row],[چکهای نزد صندوق]]</f>
        <v>-1817500</v>
      </c>
      <c r="G118" s="12">
        <f>IFERROR(INDEX('مانده سوفاله'!F:F,MATCH(Table217[[#This Row],[كد تفصيلي]],'مانده سوفاله'!A:A,0)),0)</f>
        <v>7</v>
      </c>
    </row>
    <row r="119" spans="1:7" ht="24" customHeight="1" x14ac:dyDescent="0.35">
      <c r="A119" s="27">
        <v>30103</v>
      </c>
      <c r="B119" s="55" t="s">
        <v>240</v>
      </c>
      <c r="C119" s="10">
        <f>IFERROR(INDEX('حسابهای دریافتنی'!H:H,MATCH(Table217[[#This Row],[كد تفصيلي]],'حسابهای دریافتنی'!A:A,0)),0)</f>
        <v>-1820000</v>
      </c>
      <c r="D119" s="11">
        <f>IFERROR(INDEX('درجریان وصول'!F:F,MATCH(Table217[[#This Row],[كد تفصيلي]],'درجریان وصول'!A:A,0)),0)</f>
        <v>0</v>
      </c>
      <c r="E119" s="11">
        <f>IFERROR(INDEX('چکهای دریافتنی'!F:F,MATCH(Table217[[#This Row],[كد تفصيلي]],'چکهای دریافتنی'!A:A,0)),0)</f>
        <v>0</v>
      </c>
      <c r="F119" s="11">
        <f>Table217[[#This Row],[حسابهای دریافتنی]]+Table217[[#This Row],[چکهای در جریان وصول]]+Table217[[#This Row],[چکهای نزد صندوق]]</f>
        <v>-1820000</v>
      </c>
      <c r="G119" s="12">
        <f>IFERROR(INDEX('مانده سوفاله'!F:F,MATCH(Table217[[#This Row],[كد تفصيلي]],'مانده سوفاله'!A:A,0)),0)</f>
        <v>0</v>
      </c>
    </row>
    <row r="120" spans="1:7" ht="24" customHeight="1" x14ac:dyDescent="0.35">
      <c r="A120" s="26">
        <v>30128</v>
      </c>
      <c r="B120" s="56" t="s">
        <v>212</v>
      </c>
      <c r="C120" s="10">
        <f>IFERROR(INDEX('حسابهای دریافتنی'!H:H,MATCH(Table217[[#This Row],[كد تفصيلي]],'حسابهای دریافتنی'!A:A,0)),0)</f>
        <v>-2451320</v>
      </c>
      <c r="D120" s="11">
        <f>IFERROR(INDEX('درجریان وصول'!F:F,MATCH(Table217[[#This Row],[كد تفصيلي]],'درجریان وصول'!A:A,0)),0)</f>
        <v>0</v>
      </c>
      <c r="E120" s="11">
        <f>IFERROR(INDEX('چکهای دریافتنی'!F:F,MATCH(Table217[[#This Row],[كد تفصيلي]],'چکهای دریافتنی'!A:A,0)),0)</f>
        <v>0</v>
      </c>
      <c r="F120" s="11">
        <f>Table217[[#This Row],[حسابهای دریافتنی]]+Table217[[#This Row],[چکهای در جریان وصول]]+Table217[[#This Row],[چکهای نزد صندوق]]</f>
        <v>-2451320</v>
      </c>
      <c r="G120" s="12">
        <f>IFERROR(INDEX('مانده سوفاله'!F:F,MATCH(Table217[[#This Row],[كد تفصيلي]],'مانده سوفاله'!A:A,0)),0)</f>
        <v>0</v>
      </c>
    </row>
    <row r="121" spans="1:7" ht="24" customHeight="1" x14ac:dyDescent="0.35">
      <c r="A121" s="26">
        <v>10097</v>
      </c>
      <c r="B121" s="56" t="s">
        <v>270</v>
      </c>
      <c r="C121" s="10">
        <f>IFERROR(INDEX('حسابهای دریافتنی'!H:H,MATCH(Table217[[#This Row],[كد تفصيلي]],'حسابهای دریافتنی'!A:A,0)),0)</f>
        <v>270642500</v>
      </c>
      <c r="D121" s="11">
        <f>IFERROR(INDEX('درجریان وصول'!F:F,MATCH(Table217[[#This Row],[كد تفصيلي]],'درجریان وصول'!A:A,0)),0)</f>
        <v>0</v>
      </c>
      <c r="E121" s="11">
        <f>IFERROR(INDEX('چکهای دریافتنی'!F:F,MATCH(Table217[[#This Row],[كد تفصيلي]],'چکهای دریافتنی'!A:A,0)),0)</f>
        <v>287000000</v>
      </c>
      <c r="F121" s="11">
        <f>Table217[[#This Row],[حسابهای دریافتنی]]+Table217[[#This Row],[چکهای در جریان وصول]]+Table217[[#This Row],[چکهای نزد صندوق]]</f>
        <v>557642500</v>
      </c>
      <c r="G121" s="12">
        <f>IFERROR(INDEX('مانده سوفاله'!F:F,MATCH(Table217[[#This Row],[كد تفصيلي]],'مانده سوفاله'!A:A,0)),0)</f>
        <v>0</v>
      </c>
    </row>
    <row r="122" spans="1:7" ht="24" customHeight="1" x14ac:dyDescent="0.35">
      <c r="A122" s="26">
        <v>30013</v>
      </c>
      <c r="B122" s="56" t="s">
        <v>62</v>
      </c>
      <c r="C122" s="10">
        <f>IFERROR(INDEX('حسابهای دریافتنی'!H:H,MATCH(Table217[[#This Row],[كد تفصيلي]],'حسابهای دریافتنی'!A:A,0)),0)</f>
        <v>-2744620</v>
      </c>
      <c r="D122" s="11">
        <f>IFERROR(INDEX('درجریان وصول'!F:F,MATCH(Table217[[#This Row],[كد تفصيلي]],'درجریان وصول'!A:A,0)),0)</f>
        <v>0</v>
      </c>
      <c r="E122" s="11">
        <f>IFERROR(INDEX('چکهای دریافتنی'!F:F,MATCH(Table217[[#This Row],[كد تفصيلي]],'چکهای دریافتنی'!A:A,0)),0)</f>
        <v>0</v>
      </c>
      <c r="F122" s="11">
        <f>Table217[[#This Row],[حسابهای دریافتنی]]+Table217[[#This Row],[چکهای در جریان وصول]]+Table217[[#This Row],[چکهای نزد صندوق]]</f>
        <v>-2744620</v>
      </c>
      <c r="G122" s="12">
        <f>IFERROR(INDEX('مانده سوفاله'!F:F,MATCH(Table217[[#This Row],[كد تفصيلي]],'مانده سوفاله'!A:A,0)),0)</f>
        <v>0</v>
      </c>
    </row>
    <row r="123" spans="1:7" ht="24" customHeight="1" x14ac:dyDescent="0.35">
      <c r="A123" s="26">
        <v>30015</v>
      </c>
      <c r="B123" s="56" t="s">
        <v>64</v>
      </c>
      <c r="C123" s="10">
        <f>IFERROR(INDEX('حسابهای دریافتنی'!H:H,MATCH(Table217[[#This Row],[كد تفصيلي]],'حسابهای دریافتنی'!A:A,0)),0)</f>
        <v>-3105895</v>
      </c>
      <c r="D123" s="11">
        <f>IFERROR(INDEX('درجریان وصول'!F:F,MATCH(Table217[[#This Row],[كد تفصيلي]],'درجریان وصول'!A:A,0)),0)</f>
        <v>0</v>
      </c>
      <c r="E123" s="11">
        <f>IFERROR(INDEX('چکهای دریافتنی'!F:F,MATCH(Table217[[#This Row],[كد تفصيلي]],'چکهای دریافتنی'!A:A,0)),0)</f>
        <v>0</v>
      </c>
      <c r="F123" s="11">
        <f>Table217[[#This Row],[حسابهای دریافتنی]]+Table217[[#This Row],[چکهای در جریان وصول]]+Table217[[#This Row],[چکهای نزد صندوق]]</f>
        <v>-3105895</v>
      </c>
      <c r="G123" s="12">
        <f>IFERROR(INDEX('مانده سوفاله'!F:F,MATCH(Table217[[#This Row],[كد تفصيلي]],'مانده سوفاله'!A:A,0)),0)</f>
        <v>0</v>
      </c>
    </row>
    <row r="124" spans="1:7" ht="24" customHeight="1" x14ac:dyDescent="0.35">
      <c r="A124" s="26">
        <v>30110</v>
      </c>
      <c r="B124" s="56" t="s">
        <v>200</v>
      </c>
      <c r="C124" s="10">
        <f>IFERROR(INDEX('حسابهای دریافتنی'!H:H,MATCH(Table217[[#This Row],[كد تفصيلي]],'حسابهای دریافتنی'!A:A,0)),0)</f>
        <v>-3492360</v>
      </c>
      <c r="D124" s="11">
        <f>IFERROR(INDEX('درجریان وصول'!F:F,MATCH(Table217[[#This Row],[كد تفصيلي]],'درجریان وصول'!A:A,0)),0)</f>
        <v>0</v>
      </c>
      <c r="E124" s="11">
        <f>IFERROR(INDEX('چکهای دریافتنی'!F:F,MATCH(Table217[[#This Row],[كد تفصيلي]],'چکهای دریافتنی'!A:A,0)),0)</f>
        <v>0</v>
      </c>
      <c r="F124" s="11">
        <f>Table217[[#This Row],[حسابهای دریافتنی]]+Table217[[#This Row],[چکهای در جریان وصول]]+Table217[[#This Row],[چکهای نزد صندوق]]</f>
        <v>-3492360</v>
      </c>
      <c r="G124" s="12">
        <f>IFERROR(INDEX('مانده سوفاله'!F:F,MATCH(Table217[[#This Row],[كد تفصيلي]],'مانده سوفاله'!A:A,0)),0)</f>
        <v>0</v>
      </c>
    </row>
    <row r="125" spans="1:7" ht="24" customHeight="1" x14ac:dyDescent="0.35">
      <c r="A125" s="26">
        <v>10049</v>
      </c>
      <c r="B125" s="56" t="s">
        <v>157</v>
      </c>
      <c r="C125" s="10">
        <f>IFERROR(INDEX('حسابهای دریافتنی'!H:H,MATCH(Table217[[#This Row],[كد تفصيلي]],'حسابهای دریافتنی'!A:A,0)),0)</f>
        <v>-32909500</v>
      </c>
      <c r="D125" s="11">
        <f>IFERROR(INDEX('درجریان وصول'!F:F,MATCH(Table217[[#This Row],[كد تفصيلي]],'درجریان وصول'!A:A,0)),0)</f>
        <v>0</v>
      </c>
      <c r="E125" s="11">
        <f>IFERROR(INDEX('چکهای دریافتنی'!F:F,MATCH(Table217[[#This Row],[كد تفصيلي]],'چکهای دریافتنی'!A:A,0)),0)</f>
        <v>0</v>
      </c>
      <c r="F125" s="11">
        <f>Table217[[#This Row],[حسابهای دریافتنی]]+Table217[[#This Row],[چکهای در جریان وصول]]+Table217[[#This Row],[چکهای نزد صندوق]]</f>
        <v>-32909500</v>
      </c>
      <c r="G125" s="12">
        <f>IFERROR(INDEX('مانده سوفاله'!F:F,MATCH(Table217[[#This Row],[كد تفصيلي]],'مانده سوفاله'!A:A,0)),0)</f>
        <v>0</v>
      </c>
    </row>
    <row r="126" spans="1:7" ht="24" customHeight="1" x14ac:dyDescent="0.35">
      <c r="A126" s="26">
        <v>10015</v>
      </c>
      <c r="B126" s="56" t="s">
        <v>22</v>
      </c>
      <c r="C126" s="10">
        <f>IFERROR(INDEX('حسابهای دریافتنی'!H:H,MATCH(Table217[[#This Row],[كد تفصيلي]],'حسابهای دریافتنی'!A:A,0)),0)</f>
        <v>-4735000</v>
      </c>
      <c r="D126" s="11">
        <f>IFERROR(INDEX('درجریان وصول'!F:F,MATCH(Table217[[#This Row],[كد تفصيلي]],'درجریان وصول'!A:A,0)),0)</f>
        <v>0</v>
      </c>
      <c r="E126" s="11">
        <f>IFERROR(INDEX('چکهای دریافتنی'!F:F,MATCH(Table217[[#This Row],[كد تفصيلي]],'چکهای دریافتنی'!A:A,0)),0)</f>
        <v>0</v>
      </c>
      <c r="F126" s="11">
        <f>Table217[[#This Row],[حسابهای دریافتنی]]+Table217[[#This Row],[چکهای در جریان وصول]]+Table217[[#This Row],[چکهای نزد صندوق]]</f>
        <v>-4735000</v>
      </c>
      <c r="G126" s="12">
        <f>IFERROR(INDEX('مانده سوفاله'!F:F,MATCH(Table217[[#This Row],[كد تفصيلي]],'مانده سوفاله'!A:A,0)),0)</f>
        <v>12</v>
      </c>
    </row>
    <row r="127" spans="1:7" ht="24" customHeight="1" x14ac:dyDescent="0.35">
      <c r="A127" s="26">
        <v>30023</v>
      </c>
      <c r="B127" s="56" t="s">
        <v>71</v>
      </c>
      <c r="C127" s="10">
        <f>IFERROR(INDEX('حسابهای دریافتنی'!H:H,MATCH(Table217[[#This Row],[كد تفصيلي]],'حسابهای دریافتنی'!A:A,0)),0)</f>
        <v>-5793600</v>
      </c>
      <c r="D127" s="11">
        <f>IFERROR(INDEX('درجریان وصول'!F:F,MATCH(Table217[[#This Row],[كد تفصيلي]],'درجریان وصول'!A:A,0)),0)</f>
        <v>0</v>
      </c>
      <c r="E127" s="11">
        <f>IFERROR(INDEX('چکهای دریافتنی'!F:F,MATCH(Table217[[#This Row],[كد تفصيلي]],'چکهای دریافتنی'!A:A,0)),0)</f>
        <v>0</v>
      </c>
      <c r="F127" s="11">
        <f>Table217[[#This Row],[حسابهای دریافتنی]]+Table217[[#This Row],[چکهای در جریان وصول]]+Table217[[#This Row],[چکهای نزد صندوق]]</f>
        <v>-5793600</v>
      </c>
      <c r="G127" s="12">
        <f>IFERROR(INDEX('مانده سوفاله'!F:F,MATCH(Table217[[#This Row],[كد تفصيلي]],'مانده سوفاله'!A:A,0)),0)</f>
        <v>0</v>
      </c>
    </row>
    <row r="128" spans="1:7" ht="24" customHeight="1" x14ac:dyDescent="0.35">
      <c r="A128" s="26">
        <v>10091</v>
      </c>
      <c r="B128" s="56" t="s">
        <v>258</v>
      </c>
      <c r="C128" s="10">
        <f>IFERROR(INDEX('حسابهای دریافتنی'!H:H,MATCH(Table217[[#This Row],[كد تفصيلي]],'حسابهای دریافتنی'!A:A,0)),0)</f>
        <v>59321500</v>
      </c>
      <c r="D128" s="11">
        <f>IFERROR(INDEX('درجریان وصول'!F:F,MATCH(Table217[[#This Row],[كد تفصيلي]],'درجریان وصول'!A:A,0)),0)</f>
        <v>0</v>
      </c>
      <c r="E128" s="11">
        <f>IFERROR(INDEX('چکهای دریافتنی'!F:F,MATCH(Table217[[#This Row],[كد تفصيلي]],'چکهای دریافتنی'!A:A,0)),0)</f>
        <v>0</v>
      </c>
      <c r="F128" s="11">
        <f>Table217[[#This Row],[حسابهای دریافتنی]]+Table217[[#This Row],[چکهای در جریان وصول]]+Table217[[#This Row],[چکهای نزد صندوق]]</f>
        <v>59321500</v>
      </c>
      <c r="G128" s="12">
        <f>IFERROR(INDEX('مانده سوفاله'!F:F,MATCH(Table217[[#This Row],[كد تفصيلي]],'مانده سوفاله'!A:A,0)),0)</f>
        <v>0</v>
      </c>
    </row>
    <row r="129" spans="1:7" ht="24" customHeight="1" x14ac:dyDescent="0.35">
      <c r="A129" s="26">
        <v>30176</v>
      </c>
      <c r="B129" s="56" t="s">
        <v>332</v>
      </c>
      <c r="C129" s="10">
        <f>IFERROR(INDEX('حسابهای دریافتنی'!H:H,MATCH(Table217[[#This Row],[كد تفصيلي]],'حسابهای دریافتنی'!A:A,0)),0)</f>
        <v>-7540075</v>
      </c>
      <c r="D129" s="11">
        <f>IFERROR(INDEX('درجریان وصول'!F:F,MATCH(Table217[[#This Row],[كد تفصيلي]],'درجریان وصول'!A:A,0)),0)</f>
        <v>0</v>
      </c>
      <c r="E129" s="11">
        <f>IFERROR(INDEX('چکهای دریافتنی'!F:F,MATCH(Table217[[#This Row],[كد تفصيلي]],'چکهای دریافتنی'!A:A,0)),0)</f>
        <v>0</v>
      </c>
      <c r="F129" s="11">
        <f>Table217[[#This Row],[حسابهای دریافتنی]]+Table217[[#This Row],[چکهای در جریان وصول]]+Table217[[#This Row],[چکهای نزد صندوق]]</f>
        <v>-7540075</v>
      </c>
      <c r="G129" s="12">
        <f>IFERROR(INDEX('مانده سوفاله'!F:F,MATCH(Table217[[#This Row],[كد تفصيلي]],'مانده سوفاله'!A:A,0)),0)</f>
        <v>0</v>
      </c>
    </row>
    <row r="130" spans="1:7" ht="24" customHeight="1" x14ac:dyDescent="0.35">
      <c r="A130" s="26">
        <v>10106</v>
      </c>
      <c r="B130" s="56" t="s">
        <v>298</v>
      </c>
      <c r="C130" s="10">
        <f>IFERROR(INDEX('حسابهای دریافتنی'!H:H,MATCH(Table217[[#This Row],[كد تفصيلي]],'حسابهای دریافتنی'!A:A,0)),0)</f>
        <v>-9134000</v>
      </c>
      <c r="D130" s="11">
        <f>IFERROR(INDEX('درجریان وصول'!F:F,MATCH(Table217[[#This Row],[كد تفصيلي]],'درجریان وصول'!A:A,0)),0)</f>
        <v>0</v>
      </c>
      <c r="E130" s="11">
        <f>IFERROR(INDEX('چکهای دریافتنی'!F:F,MATCH(Table217[[#This Row],[كد تفصيلي]],'چکهای دریافتنی'!A:A,0)),0)</f>
        <v>0</v>
      </c>
      <c r="F130" s="11">
        <f>Table217[[#This Row],[حسابهای دریافتنی]]+Table217[[#This Row],[چکهای در جریان وصول]]+Table217[[#This Row],[چکهای نزد صندوق]]</f>
        <v>-9134000</v>
      </c>
      <c r="G130" s="12">
        <f>IFERROR(INDEX('مانده سوفاله'!F:F,MATCH(Table217[[#This Row],[كد تفصيلي]],'مانده سوفاله'!A:A,0)),0)</f>
        <v>0</v>
      </c>
    </row>
    <row r="131" spans="1:7" customFormat="1" ht="24" customHeight="1" x14ac:dyDescent="0.35">
      <c r="A131" s="54">
        <v>10102</v>
      </c>
      <c r="B131" s="55" t="s">
        <v>282</v>
      </c>
      <c r="C131" s="10">
        <f>IFERROR(INDEX('حسابهای دریافتنی'!H:H,MATCH(Table217[[#This Row],[كد تفصيلي]],'حسابهای دریافتنی'!A:A,0)),0)</f>
        <v>-10374000</v>
      </c>
      <c r="D131" s="11">
        <f>IFERROR(INDEX('درجریان وصول'!F:F,MATCH(Table217[[#This Row],[كد تفصيلي]],'درجریان وصول'!A:A,0)),0)</f>
        <v>0</v>
      </c>
      <c r="E131" s="11">
        <f>IFERROR(INDEX('چکهای دریافتنی'!F:F,MATCH(Table217[[#This Row],[كد تفصيلي]],'چکهای دریافتنی'!A:A,0)),0)</f>
        <v>0</v>
      </c>
      <c r="F131" s="11">
        <f>Table217[[#This Row],[حسابهای دریافتنی]]+Table217[[#This Row],[چکهای در جریان وصول]]+Table217[[#This Row],[چکهای نزد صندوق]]</f>
        <v>-10374000</v>
      </c>
      <c r="G131" s="12">
        <f>IFERROR(INDEX('مانده سوفاله'!F:F,MATCH(Table217[[#This Row],[كد تفصيلي]],'مانده سوفاله'!A:A,0)),0)</f>
        <v>0</v>
      </c>
    </row>
    <row r="132" spans="1:7" customFormat="1" ht="24" customHeight="1" x14ac:dyDescent="0.35">
      <c r="A132" s="54">
        <v>10058</v>
      </c>
      <c r="B132" s="55" t="s">
        <v>173</v>
      </c>
      <c r="C132" s="10">
        <f>IFERROR(INDEX('حسابهای دریافتنی'!H:H,MATCH(Table217[[#This Row],[كد تفصيلي]],'حسابهای دریافتنی'!A:A,0)),0)</f>
        <v>-13650000</v>
      </c>
      <c r="D132" s="11">
        <f>IFERROR(INDEX('درجریان وصول'!F:F,MATCH(Table217[[#This Row],[كد تفصيلي]],'درجریان وصول'!A:A,0)),0)</f>
        <v>0</v>
      </c>
      <c r="E132" s="11">
        <f>IFERROR(INDEX('چکهای دریافتنی'!F:F,MATCH(Table217[[#This Row],[كد تفصيلي]],'چکهای دریافتنی'!A:A,0)),0)</f>
        <v>0</v>
      </c>
      <c r="F132" s="11">
        <f>Table217[[#This Row],[حسابهای دریافتنی]]+Table217[[#This Row],[چکهای در جریان وصول]]+Table217[[#This Row],[چکهای نزد صندوق]]</f>
        <v>-13650000</v>
      </c>
      <c r="G132" s="12">
        <f>IFERROR(INDEX('مانده سوفاله'!F:F,MATCH(Table217[[#This Row],[كد تفصيلي]],'مانده سوفاله'!A:A,0)),0)</f>
        <v>0</v>
      </c>
    </row>
    <row r="133" spans="1:7" customFormat="1" ht="24" customHeight="1" x14ac:dyDescent="0.35">
      <c r="A133" s="53">
        <v>30082</v>
      </c>
      <c r="B133" s="56" t="s">
        <v>127</v>
      </c>
      <c r="C133" s="10">
        <f>IFERROR(INDEX('حسابهای دریافتنی'!H:H,MATCH(Table217[[#This Row],[كد تفصيلي]],'حسابهای دریافتنی'!A:A,0)),0)</f>
        <v>-15037000</v>
      </c>
      <c r="D133" s="11">
        <f>IFERROR(INDEX('درجریان وصول'!F:F,MATCH(Table217[[#This Row],[كد تفصيلي]],'درجریان وصول'!A:A,0)),0)</f>
        <v>0</v>
      </c>
      <c r="E133" s="11">
        <f>IFERROR(INDEX('چکهای دریافتنی'!F:F,MATCH(Table217[[#This Row],[كد تفصيلي]],'چکهای دریافتنی'!A:A,0)),0)</f>
        <v>0</v>
      </c>
      <c r="F133" s="11">
        <f>Table217[[#This Row],[حسابهای دریافتنی]]+Table217[[#This Row],[چکهای در جریان وصول]]+Table217[[#This Row],[چکهای نزد صندوق]]</f>
        <v>-15037000</v>
      </c>
      <c r="G133" s="12">
        <f>IFERROR(INDEX('مانده سوفاله'!F:F,MATCH(Table217[[#This Row],[كد تفصيلي]],'مانده سوفاله'!A:A,0)),0)</f>
        <v>-16</v>
      </c>
    </row>
    <row r="134" spans="1:7" customFormat="1" ht="24" customHeight="1" x14ac:dyDescent="0.35">
      <c r="A134" s="54">
        <v>30034</v>
      </c>
      <c r="B134" s="55" t="s">
        <v>81</v>
      </c>
      <c r="C134" s="10">
        <f>IFERROR(INDEX('حسابهای دریافتنی'!H:H,MATCH(Table217[[#This Row],[كد تفصيلي]],'حسابهای دریافتنی'!A:A,0)),0)</f>
        <v>388329200</v>
      </c>
      <c r="D134" s="11">
        <f>IFERROR(INDEX('درجریان وصول'!F:F,MATCH(Table217[[#This Row],[كد تفصيلي]],'درجریان وصول'!A:A,0)),0)</f>
        <v>0</v>
      </c>
      <c r="E134" s="11">
        <f>IFERROR(INDEX('چکهای دریافتنی'!F:F,MATCH(Table217[[#This Row],[كد تفصيلي]],'چکهای دریافتنی'!A:A,0)),0)</f>
        <v>0</v>
      </c>
      <c r="F134" s="11">
        <f>Table217[[#This Row],[حسابهای دریافتنی]]+Table217[[#This Row],[چکهای در جریان وصول]]+Table217[[#This Row],[چکهای نزد صندوق]]</f>
        <v>388329200</v>
      </c>
      <c r="G134" s="12">
        <f>IFERROR(INDEX('مانده سوفاله'!F:F,MATCH(Table217[[#This Row],[كد تفصيلي]],'مانده سوفاله'!A:A,0)),0)</f>
        <v>2886</v>
      </c>
    </row>
    <row r="135" spans="1:7" customFormat="1" ht="24" customHeight="1" x14ac:dyDescent="0.35">
      <c r="A135" s="54">
        <v>30042</v>
      </c>
      <c r="B135" s="55" t="s">
        <v>89</v>
      </c>
      <c r="C135" s="10">
        <f>IFERROR(INDEX('حسابهای دریافتنی'!H:H,MATCH(Table217[[#This Row],[كد تفصيلي]],'حسابهای دریافتنی'!A:A,0)),0)</f>
        <v>-18303540</v>
      </c>
      <c r="D135" s="11">
        <f>IFERROR(INDEX('درجریان وصول'!F:F,MATCH(Table217[[#This Row],[كد تفصيلي]],'درجریان وصول'!A:A,0)),0)</f>
        <v>0</v>
      </c>
      <c r="E135" s="11">
        <f>IFERROR(INDEX('چکهای دریافتنی'!F:F,MATCH(Table217[[#This Row],[كد تفصيلي]],'چکهای دریافتنی'!A:A,0)),0)</f>
        <v>0</v>
      </c>
      <c r="F135" s="11">
        <f>Table217[[#This Row],[حسابهای دریافتنی]]+Table217[[#This Row],[چکهای در جریان وصول]]+Table217[[#This Row],[چکهای نزد صندوق]]</f>
        <v>-18303540</v>
      </c>
      <c r="G135" s="12">
        <f>IFERROR(INDEX('مانده سوفاله'!F:F,MATCH(Table217[[#This Row],[كد تفصيلي]],'مانده سوفاله'!A:A,0)),0)</f>
        <v>0</v>
      </c>
    </row>
    <row r="136" spans="1:7" customFormat="1" ht="24" customHeight="1" x14ac:dyDescent="0.35">
      <c r="A136" s="54">
        <v>30155</v>
      </c>
      <c r="B136" s="55" t="s">
        <v>289</v>
      </c>
      <c r="C136" s="10">
        <f>IFERROR(INDEX('حسابهای دریافتنی'!H:H,MATCH(Table217[[#This Row],[كد تفصيلي]],'حسابهای دریافتنی'!A:A,0)),0)</f>
        <v>-454985417</v>
      </c>
      <c r="D136" s="11">
        <f>IFERROR(INDEX('درجریان وصول'!F:F,MATCH(Table217[[#This Row],[كد تفصيلي]],'درجریان وصول'!A:A,0)),0)</f>
        <v>0</v>
      </c>
      <c r="E136" s="11">
        <f>IFERROR(INDEX('چکهای دریافتنی'!F:F,MATCH(Table217[[#This Row],[كد تفصيلي]],'چکهای دریافتنی'!A:A,0)),0)</f>
        <v>1379936267</v>
      </c>
      <c r="F136" s="11">
        <f>Table217[[#This Row],[حسابهای دریافتنی]]+Table217[[#This Row],[چکهای در جریان وصول]]+Table217[[#This Row],[چکهای نزد صندوق]]</f>
        <v>924950850</v>
      </c>
      <c r="G136" s="12">
        <f>IFERROR(INDEX('مانده سوفاله'!F:F,MATCH(Table217[[#This Row],[كد تفصيلي]],'مانده سوفاله'!A:A,0)),0)</f>
        <v>0</v>
      </c>
    </row>
    <row r="137" spans="1:7" customFormat="1" ht="24" customHeight="1" x14ac:dyDescent="0.35">
      <c r="A137" s="54">
        <v>30028</v>
      </c>
      <c r="B137" s="55" t="s">
        <v>76</v>
      </c>
      <c r="C137" s="10">
        <f>IFERROR(INDEX('حسابهای دریافتنی'!H:H,MATCH(Table217[[#This Row],[كد تفصيلي]],'حسابهای دریافتنی'!A:A,0)),0)</f>
        <v>-23665000</v>
      </c>
      <c r="D137" s="11">
        <f>IFERROR(INDEX('درجریان وصول'!F:F,MATCH(Table217[[#This Row],[كد تفصيلي]],'درجریان وصول'!A:A,0)),0)</f>
        <v>0</v>
      </c>
      <c r="E137" s="11">
        <f>IFERROR(INDEX('چکهای دریافتنی'!F:F,MATCH(Table217[[#This Row],[كد تفصيلي]],'چکهای دریافتنی'!A:A,0)),0)</f>
        <v>0</v>
      </c>
      <c r="F137" s="11">
        <f>Table217[[#This Row],[حسابهای دریافتنی]]+Table217[[#This Row],[چکهای در جریان وصول]]+Table217[[#This Row],[چکهای نزد صندوق]]</f>
        <v>-23665000</v>
      </c>
      <c r="G137" s="12">
        <f>IFERROR(INDEX('مانده سوفاله'!F:F,MATCH(Table217[[#This Row],[كد تفصيلي]],'مانده سوفاله'!A:A,0)),0)</f>
        <v>0</v>
      </c>
    </row>
    <row r="138" spans="1:7" customFormat="1" ht="24" customHeight="1" x14ac:dyDescent="0.35">
      <c r="A138" s="54">
        <v>30187</v>
      </c>
      <c r="B138" s="55" t="s">
        <v>369</v>
      </c>
      <c r="C138" s="10">
        <f>IFERROR(INDEX('حسابهای دریافتنی'!H:H,MATCH(Table217[[#This Row],[كد تفصيلي]],'حسابهای دریافتنی'!A:A,0)),0)</f>
        <v>337825500</v>
      </c>
      <c r="D138" s="11">
        <f>IFERROR(INDEX('درجریان وصول'!F:F,MATCH(Table217[[#This Row],[كد تفصيلي]],'درجریان وصول'!A:A,0)),0)</f>
        <v>0</v>
      </c>
      <c r="E138" s="11">
        <f>IFERROR(INDEX('چکهای دریافتنی'!F:F,MATCH(Table217[[#This Row],[كد تفصيلي]],'چکهای دریافتنی'!A:A,0)),0)</f>
        <v>0</v>
      </c>
      <c r="F138" s="11">
        <f>Table217[[#This Row],[حسابهای دریافتنی]]+Table217[[#This Row],[چکهای در جریان وصول]]+Table217[[#This Row],[چکهای نزد صندوق]]</f>
        <v>337825500</v>
      </c>
      <c r="G138" s="12">
        <f>IFERROR(INDEX('مانده سوفاله'!F:F,MATCH(Table217[[#This Row],[كد تفصيلي]],'مانده سوفاله'!A:A,0)),0)</f>
        <v>-108</v>
      </c>
    </row>
    <row r="139" spans="1:7" customFormat="1" ht="24" customHeight="1" x14ac:dyDescent="0.35">
      <c r="A139" s="53">
        <v>30072</v>
      </c>
      <c r="B139" s="56" t="s">
        <v>117</v>
      </c>
      <c r="C139" s="10">
        <f>IFERROR(INDEX('حسابهای دریافتنی'!H:H,MATCH(Table217[[#This Row],[كد تفصيلي]],'حسابهای دریافتنی'!A:A,0)),0)</f>
        <v>-30178900</v>
      </c>
      <c r="D139" s="11">
        <f>IFERROR(INDEX('درجریان وصول'!F:F,MATCH(Table217[[#This Row],[كد تفصيلي]],'درجریان وصول'!A:A,0)),0)</f>
        <v>0</v>
      </c>
      <c r="E139" s="11">
        <f>IFERROR(INDEX('چکهای دریافتنی'!F:F,MATCH(Table217[[#This Row],[كد تفصيلي]],'چکهای دریافتنی'!A:A,0)),0)</f>
        <v>0</v>
      </c>
      <c r="F139" s="11">
        <f>Table217[[#This Row],[حسابهای دریافتنی]]+Table217[[#This Row],[چکهای در جریان وصول]]+Table217[[#This Row],[چکهای نزد صندوق]]</f>
        <v>-30178900</v>
      </c>
      <c r="G139" s="12">
        <f>IFERROR(INDEX('مانده سوفاله'!F:F,MATCH(Table217[[#This Row],[كد تفصيلي]],'مانده سوفاله'!A:A,0)),0)</f>
        <v>-79</v>
      </c>
    </row>
    <row r="140" spans="1:7" customFormat="1" ht="24" customHeight="1" x14ac:dyDescent="0.35">
      <c r="A140" s="54">
        <v>10123</v>
      </c>
      <c r="B140" s="55" t="s">
        <v>340</v>
      </c>
      <c r="C140" s="10">
        <f>IFERROR(INDEX('حسابهای دریافتنی'!H:H,MATCH(Table217[[#This Row],[كد تفصيلي]],'حسابهای دریافتنی'!A:A,0)),0)</f>
        <v>-50813000</v>
      </c>
      <c r="D140" s="11">
        <f>IFERROR(INDEX('درجریان وصول'!F:F,MATCH(Table217[[#This Row],[كد تفصيلي]],'درجریان وصول'!A:A,0)),0)</f>
        <v>0</v>
      </c>
      <c r="E140" s="11">
        <f>IFERROR(INDEX('چکهای دریافتنی'!F:F,MATCH(Table217[[#This Row],[كد تفصيلي]],'چکهای دریافتنی'!A:A,0)),0)</f>
        <v>0</v>
      </c>
      <c r="F140" s="11">
        <f>Table217[[#This Row],[حسابهای دریافتنی]]+Table217[[#This Row],[چکهای در جریان وصول]]+Table217[[#This Row],[چکهای نزد صندوق]]</f>
        <v>-50813000</v>
      </c>
      <c r="G140" s="12">
        <f>IFERROR(INDEX('مانده سوفاله'!F:F,MATCH(Table217[[#This Row],[كد تفصيلي]],'مانده سوفاله'!A:A,0)),0)</f>
        <v>0</v>
      </c>
    </row>
    <row r="141" spans="1:7" customFormat="1" ht="24" customHeight="1" x14ac:dyDescent="0.35">
      <c r="A141" s="54">
        <v>30000</v>
      </c>
      <c r="B141" s="55" t="s">
        <v>189</v>
      </c>
      <c r="C141" s="10">
        <f>IFERROR(INDEX('حسابهای دریافتنی'!H:H,MATCH(Table217[[#This Row],[كد تفصيلي]],'حسابهای دریافتنی'!A:A,0)),0)</f>
        <v>-55440000</v>
      </c>
      <c r="D141" s="11">
        <f>IFERROR(INDEX('درجریان وصول'!F:F,MATCH(Table217[[#This Row],[كد تفصيلي]],'درجریان وصول'!A:A,0)),0)</f>
        <v>0</v>
      </c>
      <c r="E141" s="11">
        <f>IFERROR(INDEX('چکهای دریافتنی'!F:F,MATCH(Table217[[#This Row],[كد تفصيلي]],'چکهای دریافتنی'!A:A,0)),0)</f>
        <v>0</v>
      </c>
      <c r="F141" s="11">
        <f>Table217[[#This Row],[حسابهای دریافتنی]]+Table217[[#This Row],[چکهای در جریان وصول]]+Table217[[#This Row],[چکهای نزد صندوق]]</f>
        <v>-55440000</v>
      </c>
      <c r="G141" s="12">
        <f>IFERROR(INDEX('مانده سوفاله'!F:F,MATCH(Table217[[#This Row],[كد تفصيلي]],'مانده سوفاله'!A:A,0)),0)</f>
        <v>0</v>
      </c>
    </row>
    <row r="142" spans="1:7" customFormat="1" ht="24" customHeight="1" x14ac:dyDescent="0.35">
      <c r="A142" s="54">
        <v>30133</v>
      </c>
      <c r="B142" s="55" t="s">
        <v>251</v>
      </c>
      <c r="C142" s="10">
        <f>IFERROR(INDEX('حسابهای دریافتنی'!H:H,MATCH(Table217[[#This Row],[كد تفصيلي]],'حسابهای دریافتنی'!A:A,0)),0)</f>
        <v>-66889500</v>
      </c>
      <c r="D142" s="11">
        <f>IFERROR(INDEX('درجریان وصول'!F:F,MATCH(Table217[[#This Row],[كد تفصيلي]],'درجریان وصول'!A:A,0)),0)</f>
        <v>0</v>
      </c>
      <c r="E142" s="11">
        <f>IFERROR(INDEX('چکهای دریافتنی'!F:F,MATCH(Table217[[#This Row],[كد تفصيلي]],'چکهای دریافتنی'!A:A,0)),0)</f>
        <v>0</v>
      </c>
      <c r="F142" s="11">
        <f>Table217[[#This Row],[حسابهای دریافتنی]]+Table217[[#This Row],[چکهای در جریان وصول]]+Table217[[#This Row],[چکهای نزد صندوق]]</f>
        <v>-66889500</v>
      </c>
      <c r="G142" s="12">
        <f>IFERROR(INDEX('مانده سوفاله'!F:F,MATCH(Table217[[#This Row],[كد تفصيلي]],'مانده سوفاله'!A:A,0)),0)</f>
        <v>0</v>
      </c>
    </row>
    <row r="143" spans="1:7" customFormat="1" ht="24" customHeight="1" x14ac:dyDescent="0.35">
      <c r="A143" s="53">
        <v>10089</v>
      </c>
      <c r="B143" s="56" t="s">
        <v>255</v>
      </c>
      <c r="C143" s="10">
        <f>IFERROR(INDEX('حسابهای دریافتنی'!H:H,MATCH(Table217[[#This Row],[كد تفصيلي]],'حسابهای دریافتنی'!A:A,0)),0)</f>
        <v>-143944000</v>
      </c>
      <c r="D143" s="11">
        <f>IFERROR(INDEX('درجریان وصول'!F:F,MATCH(Table217[[#This Row],[كد تفصيلي]],'درجریان وصول'!A:A,0)),0)</f>
        <v>0</v>
      </c>
      <c r="E143" s="11">
        <f>IFERROR(INDEX('چکهای دریافتنی'!F:F,MATCH(Table217[[#This Row],[كد تفصيلي]],'چکهای دریافتنی'!A:A,0)),0)</f>
        <v>0</v>
      </c>
      <c r="F143" s="11">
        <f>Table217[[#This Row],[حسابهای دریافتنی]]+Table217[[#This Row],[چکهای در جریان وصول]]+Table217[[#This Row],[چکهای نزد صندوق]]</f>
        <v>-143944000</v>
      </c>
      <c r="G143" s="12">
        <f>IFERROR(INDEX('مانده سوفاله'!F:F,MATCH(Table217[[#This Row],[كد تفصيلي]],'مانده سوفاله'!A:A,0)),0)</f>
        <v>-948</v>
      </c>
    </row>
    <row r="144" spans="1:7" customFormat="1" ht="24" customHeight="1" x14ac:dyDescent="0.35">
      <c r="A144" s="54">
        <v>30179</v>
      </c>
      <c r="B144" s="55" t="s">
        <v>336</v>
      </c>
      <c r="C144" s="10">
        <f>IFERROR(INDEX('حسابهای دریافتنی'!H:H,MATCH(Table217[[#This Row],[كد تفصيلي]],'حسابهای دریافتنی'!A:A,0)),0)</f>
        <v>-637200</v>
      </c>
      <c r="D144" s="11">
        <f>IFERROR(INDEX('درجریان وصول'!F:F,MATCH(Table217[[#This Row],[كد تفصيلي]],'درجریان وصول'!A:A,0)),0)</f>
        <v>0</v>
      </c>
      <c r="E144" s="11">
        <f>IFERROR(INDEX('چکهای دریافتنی'!F:F,MATCH(Table217[[#This Row],[كد تفصيلي]],'چکهای دریافتنی'!A:A,0)),0)</f>
        <v>0</v>
      </c>
      <c r="F144" s="11">
        <f>Table217[[#This Row],[حسابهای دریافتنی]]+Table217[[#This Row],[چکهای در جریان وصول]]+Table217[[#This Row],[چکهای نزد صندوق]]</f>
        <v>-637200</v>
      </c>
      <c r="G144" s="12">
        <f>IFERROR(INDEX('مانده سوفاله'!F:F,MATCH(Table217[[#This Row],[كد تفصيلي]],'مانده سوفاله'!A:A,0)),0)</f>
        <v>0</v>
      </c>
    </row>
    <row r="145" spans="1:7" customFormat="1" ht="24" customHeight="1" x14ac:dyDescent="0.35">
      <c r="A145" s="54">
        <v>30016</v>
      </c>
      <c r="B145" s="55" t="s">
        <v>253</v>
      </c>
      <c r="C145" s="10">
        <f>IFERROR(INDEX('حسابهای دریافتنی'!H:H,MATCH(Table217[[#This Row],[كد تفصيلي]],'حسابهای دریافتنی'!A:A,0)),0)</f>
        <v>0</v>
      </c>
      <c r="D145" s="11">
        <f>IFERROR(INDEX('درجریان وصول'!F:F,MATCH(Table217[[#This Row],[كد تفصيلي]],'درجریان وصول'!A:A,0)),0)</f>
        <v>0</v>
      </c>
      <c r="E145" s="11">
        <f>IFERROR(INDEX('چکهای دریافتنی'!F:F,MATCH(Table217[[#This Row],[كد تفصيلي]],'چکهای دریافتنی'!A:A,0)),0)</f>
        <v>0</v>
      </c>
      <c r="F145" s="11">
        <f>Table217[[#This Row],[حسابهای دریافتنی]]+Table217[[#This Row],[چکهای در جریان وصول]]+Table217[[#This Row],[چکهای نزد صندوق]]</f>
        <v>0</v>
      </c>
      <c r="G145" s="12">
        <f>IFERROR(INDEX('مانده سوفاله'!F:F,MATCH(Table217[[#This Row],[كد تفصيلي]],'مانده سوفاله'!A:A,0)),0)</f>
        <v>0</v>
      </c>
    </row>
    <row r="146" spans="1:7" customFormat="1" ht="24" customHeight="1" x14ac:dyDescent="0.35">
      <c r="A146" s="53">
        <v>10009</v>
      </c>
      <c r="B146" s="56" t="s">
        <v>16</v>
      </c>
      <c r="C146" s="10">
        <f>IFERROR(INDEX('حسابهای دریافتنی'!H:H,MATCH(Table217[[#This Row],[كد تفصيلي]],'حسابهای دریافتنی'!A:A,0)),0)</f>
        <v>-4260580000</v>
      </c>
      <c r="D146" s="11">
        <f>IFERROR(INDEX('درجریان وصول'!F:F,MATCH(Table217[[#This Row],[كد تفصيلي]],'درجریان وصول'!A:A,0)),0)</f>
        <v>0</v>
      </c>
      <c r="E146" s="11">
        <f>IFERROR(INDEX('چکهای دریافتنی'!F:F,MATCH(Table217[[#This Row],[كد تفصيلي]],'چکهای دریافتنی'!A:A,0)),0)</f>
        <v>1600000000</v>
      </c>
      <c r="F146" s="11">
        <f>Table217[[#This Row],[حسابهای دریافتنی]]+Table217[[#This Row],[چکهای در جریان وصول]]+Table217[[#This Row],[چکهای نزد صندوق]]</f>
        <v>-2660580000</v>
      </c>
      <c r="G146" s="12">
        <f>IFERROR(INDEX('مانده سوفاله'!F:F,MATCH(Table217[[#This Row],[كد تفصيلي]],'مانده سوفاله'!A:A,0)),0)</f>
        <v>9952</v>
      </c>
    </row>
    <row r="147" spans="1:7" customFormat="1" ht="24" customHeight="1" x14ac:dyDescent="0.35">
      <c r="A147" s="53">
        <v>10079</v>
      </c>
      <c r="B147" s="56" t="s">
        <v>174</v>
      </c>
      <c r="C147" s="10">
        <f>IFERROR(INDEX('حسابهای دریافتنی'!H:H,MATCH(Table217[[#This Row],[كد تفصيلي]],'حسابهای دریافتنی'!A:A,0)),0)</f>
        <v>-226593500</v>
      </c>
      <c r="D147" s="11">
        <f>IFERROR(INDEX('درجریان وصول'!F:F,MATCH(Table217[[#This Row],[كد تفصيلي]],'درجریان وصول'!A:A,0)),0)</f>
        <v>0</v>
      </c>
      <c r="E147" s="11">
        <f>IFERROR(INDEX('چکهای دریافتنی'!F:F,MATCH(Table217[[#This Row],[كد تفصيلي]],'چکهای دریافتنی'!A:A,0)),0)</f>
        <v>0</v>
      </c>
      <c r="F147" s="11">
        <f>Table217[[#This Row],[حسابهای دریافتنی]]+Table217[[#This Row],[چکهای در جریان وصول]]+Table217[[#This Row],[چکهای نزد صندوق]]</f>
        <v>-226593500</v>
      </c>
      <c r="G147" s="12">
        <f>IFERROR(INDEX('مانده سوفاله'!F:F,MATCH(Table217[[#This Row],[كد تفصيلي]],'مانده سوفاله'!A:A,0)),0)</f>
        <v>0</v>
      </c>
    </row>
    <row r="148" spans="1:7" customFormat="1" ht="24" customHeight="1" x14ac:dyDescent="0.35">
      <c r="A148" s="53">
        <v>30156</v>
      </c>
      <c r="B148" s="56" t="s">
        <v>290</v>
      </c>
      <c r="C148" s="10">
        <f>IFERROR(INDEX('حسابهای دریافتنی'!H:H,MATCH(Table217[[#This Row],[كد تفصيلي]],'حسابهای دریافتنی'!A:A,0)),0)</f>
        <v>-180917500</v>
      </c>
      <c r="D148" s="11">
        <f>IFERROR(INDEX('درجریان وصول'!F:F,MATCH(Table217[[#This Row],[كد تفصيلي]],'درجریان وصول'!A:A,0)),0)</f>
        <v>0</v>
      </c>
      <c r="E148" s="11">
        <f>IFERROR(INDEX('چکهای دریافتنی'!F:F,MATCH(Table217[[#This Row],[كد تفصيلي]],'چکهای دریافتنی'!A:A,0)),0)</f>
        <v>0</v>
      </c>
      <c r="F148" s="11">
        <f>Table217[[#This Row],[حسابهای دریافتنی]]+Table217[[#This Row],[چکهای در جریان وصول]]+Table217[[#This Row],[چکهای نزد صندوق]]</f>
        <v>-180917500</v>
      </c>
      <c r="G148" s="12">
        <f>IFERROR(INDEX('مانده سوفاله'!F:F,MATCH(Table217[[#This Row],[كد تفصيلي]],'مانده سوفاله'!A:A,0)),0)</f>
        <v>0</v>
      </c>
    </row>
    <row r="149" spans="1:7" customFormat="1" ht="24" customHeight="1" x14ac:dyDescent="0.35">
      <c r="A149" s="53">
        <v>10029</v>
      </c>
      <c r="B149" s="56" t="s">
        <v>35</v>
      </c>
      <c r="C149" s="10">
        <f>IFERROR(INDEX('حسابهای دریافتنی'!H:H,MATCH(Table217[[#This Row],[كد تفصيلي]],'حسابهای دریافتنی'!A:A,0)),0)</f>
        <v>-1038298620</v>
      </c>
      <c r="D149" s="11">
        <f>IFERROR(INDEX('درجریان وصول'!F:F,MATCH(Table217[[#This Row],[كد تفصيلي]],'درجریان وصول'!A:A,0)),0)</f>
        <v>0</v>
      </c>
      <c r="E149" s="11">
        <f>IFERROR(INDEX('چکهای دریافتنی'!F:F,MATCH(Table217[[#This Row],[كد تفصيلي]],'چکهای دریافتنی'!A:A,0)),0)</f>
        <v>2019000000</v>
      </c>
      <c r="F149" s="11">
        <f>Table217[[#This Row],[حسابهای دریافتنی]]+Table217[[#This Row],[چکهای در جریان وصول]]+Table217[[#This Row],[چکهای نزد صندوق]]</f>
        <v>980701380</v>
      </c>
      <c r="G149" s="12">
        <f>IFERROR(INDEX('مانده سوفاله'!F:F,MATCH(Table217[[#This Row],[كد تفصيلي]],'مانده سوفاله'!A:A,0)),0)</f>
        <v>6603</v>
      </c>
    </row>
    <row r="150" spans="1:7" customFormat="1" ht="24" customHeight="1" x14ac:dyDescent="0.35">
      <c r="A150" s="53">
        <v>30001</v>
      </c>
      <c r="B150" s="56" t="s">
        <v>190</v>
      </c>
      <c r="C150" s="10">
        <f>IFERROR(INDEX('حسابهای دریافتنی'!H:H,MATCH(Table217[[#This Row],[كد تفصيلي]],'حسابهای دریافتنی'!A:A,0)),0)</f>
        <v>119647176</v>
      </c>
      <c r="D150" s="11">
        <f>IFERROR(INDEX('درجریان وصول'!F:F,MATCH(Table217[[#This Row],[كد تفصيلي]],'درجریان وصول'!A:A,0)),0)</f>
        <v>0</v>
      </c>
      <c r="E150" s="11">
        <f>IFERROR(INDEX('چکهای دریافتنی'!F:F,MATCH(Table217[[#This Row],[كد تفصيلي]],'چکهای دریافتنی'!A:A,0)),0)</f>
        <v>0</v>
      </c>
      <c r="F150" s="11">
        <f>Table217[[#This Row],[حسابهای دریافتنی]]+Table217[[#This Row],[چکهای در جریان وصول]]+Table217[[#This Row],[چکهای نزد صندوق]]</f>
        <v>119647176</v>
      </c>
      <c r="G150" s="12">
        <f>IFERROR(INDEX('مانده سوفاله'!F:F,MATCH(Table217[[#This Row],[كد تفصيلي]],'مانده سوفاله'!A:A,0)),0)</f>
        <v>123</v>
      </c>
    </row>
    <row r="151" spans="1:7" customFormat="1" ht="24" customHeight="1" x14ac:dyDescent="0.35">
      <c r="A151" s="53">
        <v>30182</v>
      </c>
      <c r="B151" s="56" t="s">
        <v>342</v>
      </c>
      <c r="C151" s="10">
        <f>IFERROR(INDEX('حسابهای دریافتنی'!H:H,MATCH(Table217[[#This Row],[كد تفصيلي]],'حسابهای دریافتنی'!A:A,0)),0)</f>
        <v>-528256400</v>
      </c>
      <c r="D151" s="11">
        <f>IFERROR(INDEX('درجریان وصول'!F:F,MATCH(Table217[[#This Row],[كد تفصيلي]],'درجریان وصول'!A:A,0)),0)</f>
        <v>0</v>
      </c>
      <c r="E151" s="11">
        <f>IFERROR(INDEX('چکهای دریافتنی'!F:F,MATCH(Table217[[#This Row],[كد تفصيلي]],'چکهای دریافتنی'!A:A,0)),0)</f>
        <v>0</v>
      </c>
      <c r="F151" s="11">
        <f>Table217[[#This Row],[حسابهای دریافتنی]]+Table217[[#This Row],[چکهای در جریان وصول]]+Table217[[#This Row],[چکهای نزد صندوق]]</f>
        <v>-528256400</v>
      </c>
      <c r="G151" s="12">
        <f>IFERROR(INDEX('مانده سوفاله'!F:F,MATCH(Table217[[#This Row],[كد تفصيلي]],'مانده سوفاله'!A:A,0)),0)</f>
        <v>0</v>
      </c>
    </row>
    <row r="152" spans="1:7" customFormat="1" ht="24" customHeight="1" x14ac:dyDescent="0.35">
      <c r="A152" s="54">
        <v>50008</v>
      </c>
      <c r="B152" s="55" t="s">
        <v>146</v>
      </c>
      <c r="C152" s="10">
        <f>IFERROR(INDEX('حسابهای دریافتنی'!H:H,MATCH(Table217[[#This Row],[كد تفصيلي]],'حسابهای دریافتنی'!A:A,0)),0)</f>
        <v>-406230000</v>
      </c>
      <c r="D152" s="11">
        <f>IFERROR(INDEX('درجریان وصول'!F:F,MATCH(Table217[[#This Row],[كد تفصيلي]],'درجریان وصول'!A:A,0)),0)</f>
        <v>0</v>
      </c>
      <c r="E152" s="11">
        <f>IFERROR(INDEX('چکهای دریافتنی'!F:F,MATCH(Table217[[#This Row],[كد تفصيلي]],'چکهای دریافتنی'!A:A,0)),0)</f>
        <v>0</v>
      </c>
      <c r="F152" s="11">
        <f>Table217[[#This Row],[حسابهای دریافتنی]]+Table217[[#This Row],[چکهای در جریان وصول]]+Table217[[#This Row],[چکهای نزد صندوق]]</f>
        <v>-406230000</v>
      </c>
      <c r="G152" s="12">
        <f>IFERROR(INDEX('مانده سوفاله'!F:F,MATCH(Table217[[#This Row],[كد تفصيلي]],'مانده سوفاله'!A:A,0)),0)</f>
        <v>0</v>
      </c>
    </row>
    <row r="153" spans="1:7" customFormat="1" ht="24" customHeight="1" x14ac:dyDescent="0.35">
      <c r="A153" s="53">
        <v>30051</v>
      </c>
      <c r="B153" s="56" t="s">
        <v>98</v>
      </c>
      <c r="C153" s="10">
        <f>IFERROR(INDEX('حسابهای دریافتنی'!H:H,MATCH(Table217[[#This Row],[كد تفصيلي]],'حسابهای دریافتنی'!A:A,0)),0)</f>
        <v>-384000</v>
      </c>
      <c r="D153" s="11">
        <f>IFERROR(INDEX('درجریان وصول'!F:F,MATCH(Table217[[#This Row],[كد تفصيلي]],'درجریان وصول'!A:A,0)),0)</f>
        <v>0</v>
      </c>
      <c r="E153" s="11">
        <f>IFERROR(INDEX('چکهای دریافتنی'!F:F,MATCH(Table217[[#This Row],[كد تفصيلي]],'چکهای دریافتنی'!A:A,0)),0)</f>
        <v>0</v>
      </c>
      <c r="F153" s="11">
        <f>Table217[[#This Row],[حسابهای دریافتنی]]+Table217[[#This Row],[چکهای در جریان وصول]]+Table217[[#This Row],[چکهای نزد صندوق]]</f>
        <v>-384000</v>
      </c>
      <c r="G153" s="12">
        <f>IFERROR(INDEX('مانده سوفاله'!F:F,MATCH(Table217[[#This Row],[كد تفصيلي]],'مانده سوفاله'!A:A,0)),0)</f>
        <v>0</v>
      </c>
    </row>
    <row r="154" spans="1:7" customFormat="1" ht="24" customHeight="1" x14ac:dyDescent="0.35">
      <c r="A154" s="53">
        <v>10069</v>
      </c>
      <c r="B154" s="56" t="s">
        <v>204</v>
      </c>
      <c r="C154" s="10">
        <f>IFERROR(INDEX('حسابهای دریافتنی'!H:H,MATCH(Table217[[#This Row],[كد تفصيلي]],'حسابهای دریافتنی'!A:A,0)),0)</f>
        <v>952500</v>
      </c>
      <c r="D154" s="11">
        <f>IFERROR(INDEX('درجریان وصول'!F:F,MATCH(Table217[[#This Row],[كد تفصيلي]],'درجریان وصول'!A:A,0)),0)</f>
        <v>0</v>
      </c>
      <c r="E154" s="11">
        <f>IFERROR(INDEX('چکهای دریافتنی'!F:F,MATCH(Table217[[#This Row],[كد تفصيلي]],'چکهای دریافتنی'!A:A,0)),0)</f>
        <v>73000000</v>
      </c>
      <c r="F154" s="11">
        <f>Table217[[#This Row],[حسابهای دریافتنی]]+Table217[[#This Row],[چکهای در جریان وصول]]+Table217[[#This Row],[چکهای نزد صندوق]]</f>
        <v>73952500</v>
      </c>
      <c r="G154" s="12">
        <f>IFERROR(INDEX('مانده سوفاله'!F:F,MATCH(Table217[[#This Row],[كد تفصيلي]],'مانده سوفاله'!A:A,0)),0)</f>
        <v>339</v>
      </c>
    </row>
    <row r="155" spans="1:7" customFormat="1" ht="24" customHeight="1" x14ac:dyDescent="0.35">
      <c r="A155" s="53">
        <v>10136</v>
      </c>
      <c r="B155" s="56" t="s">
        <v>493</v>
      </c>
      <c r="C155" s="10">
        <f>IFERROR(INDEX('حسابهای دریافتنی'!H:H,MATCH(Table217[[#This Row],[كد تفصيلي]],'حسابهای دریافتنی'!A:A,0)),0)</f>
        <v>0</v>
      </c>
      <c r="D155" s="11">
        <f>IFERROR(INDEX('درجریان وصول'!F:F,MATCH(Table217[[#This Row],[كد تفصيلي]],'درجریان وصول'!A:A,0)),0)</f>
        <v>0</v>
      </c>
      <c r="E155" s="11">
        <f>IFERROR(INDEX('چکهای دریافتنی'!F:F,MATCH(Table217[[#This Row],[كد تفصيلي]],'چکهای دریافتنی'!A:A,0)),0)</f>
        <v>0</v>
      </c>
      <c r="F155" s="11">
        <f>Table217[[#This Row],[حسابهای دریافتنی]]+Table217[[#This Row],[چکهای در جریان وصول]]+Table217[[#This Row],[چکهای نزد صندوق]]</f>
        <v>0</v>
      </c>
      <c r="G155" s="12">
        <f>IFERROR(INDEX('مانده سوفاله'!F:F,MATCH(Table217[[#This Row],[كد تفصيلي]],'مانده سوفاله'!A:A,0)),0)</f>
        <v>0</v>
      </c>
    </row>
    <row r="156" spans="1:7" customFormat="1" ht="24" customHeight="1" x14ac:dyDescent="0.35">
      <c r="A156" s="54">
        <v>30040</v>
      </c>
      <c r="B156" s="55" t="s">
        <v>87</v>
      </c>
      <c r="C156" s="10">
        <f>IFERROR(INDEX('حسابهای دریافتنی'!H:H,MATCH(Table217[[#This Row],[كد تفصيلي]],'حسابهای دریافتنی'!A:A,0)),0)</f>
        <v>0</v>
      </c>
      <c r="D156" s="11">
        <f>IFERROR(INDEX('درجریان وصول'!F:F,MATCH(Table217[[#This Row],[كد تفصيلي]],'درجریان وصول'!A:A,0)),0)</f>
        <v>0</v>
      </c>
      <c r="E156" s="11">
        <f>IFERROR(INDEX('چکهای دریافتنی'!F:F,MATCH(Table217[[#This Row],[كد تفصيلي]],'چکهای دریافتنی'!A:A,0)),0)</f>
        <v>0</v>
      </c>
      <c r="F156" s="11">
        <f>Table217[[#This Row],[حسابهای دریافتنی]]+Table217[[#This Row],[چکهای در جریان وصول]]+Table217[[#This Row],[چکهای نزد صندوق]]</f>
        <v>0</v>
      </c>
      <c r="G156" s="12">
        <f>IFERROR(INDEX('مانده سوفاله'!F:F,MATCH(Table217[[#This Row],[كد تفصيلي]],'مانده سوفاله'!A:A,0)),0)</f>
        <v>0</v>
      </c>
    </row>
    <row r="157" spans="1:7" ht="24" customHeight="1" x14ac:dyDescent="0.35">
      <c r="A157" s="26">
        <v>10105</v>
      </c>
      <c r="B157" s="56" t="s">
        <v>294</v>
      </c>
      <c r="C157" s="10">
        <f>IFERROR(INDEX('حسابهای دریافتنی'!H:H,MATCH(Table217[[#This Row],[كد تفصيلي]],'حسابهای دریافتنی'!A:A,0)),0)</f>
        <v>7630000</v>
      </c>
      <c r="D157" s="11">
        <f>IFERROR(INDEX('درجریان وصول'!F:F,MATCH(Table217[[#This Row],[كد تفصيلي]],'درجریان وصول'!A:A,0)),0)</f>
        <v>0</v>
      </c>
      <c r="E157" s="11">
        <f>IFERROR(INDEX('چکهای دریافتنی'!F:F,MATCH(Table217[[#This Row],[كد تفصيلي]],'چکهای دریافتنی'!A:A,0)),0)</f>
        <v>0</v>
      </c>
      <c r="F157" s="11">
        <f>Table217[[#This Row],[حسابهای دریافتنی]]+Table217[[#This Row],[چکهای در جریان وصول]]+Table217[[#This Row],[چکهای نزد صندوق]]</f>
        <v>7630000</v>
      </c>
      <c r="G157" s="12">
        <f>IFERROR(INDEX('مانده سوفاله'!F:F,MATCH(Table217[[#This Row],[كد تفصيلي]],'مانده سوفاله'!A:A,0)),0)</f>
        <v>0</v>
      </c>
    </row>
    <row r="158" spans="1:7" ht="24" customHeight="1" x14ac:dyDescent="0.35">
      <c r="A158" s="26">
        <v>30189</v>
      </c>
      <c r="B158" s="56" t="s">
        <v>458</v>
      </c>
      <c r="C158" s="10">
        <f>IFERROR(INDEX('حسابهای دریافتنی'!H:H,MATCH(Table217[[#This Row],[كد تفصيلي]],'حسابهای دریافتنی'!A:A,0)),0)</f>
        <v>20776490</v>
      </c>
      <c r="D158" s="11">
        <f>IFERROR(INDEX('درجریان وصول'!F:F,MATCH(Table217[[#This Row],[كد تفصيلي]],'درجریان وصول'!A:A,0)),0)</f>
        <v>0</v>
      </c>
      <c r="E158" s="11">
        <f>IFERROR(INDEX('چکهای دریافتنی'!F:F,MATCH(Table217[[#This Row],[كد تفصيلي]],'چکهای دریافتنی'!A:A,0)),0)</f>
        <v>0</v>
      </c>
      <c r="F158" s="11">
        <f>Table217[[#This Row],[حسابهای دریافتنی]]+Table217[[#This Row],[چکهای در جریان وصول]]+Table217[[#This Row],[چکهای نزد صندوق]]</f>
        <v>20776490</v>
      </c>
      <c r="G158" s="12">
        <f>IFERROR(INDEX('مانده سوفاله'!F:F,MATCH(Table217[[#This Row],[كد تفصيلي]],'مانده سوفاله'!A:A,0)),0)</f>
        <v>0</v>
      </c>
    </row>
    <row r="159" spans="1:7" ht="24" customHeight="1" x14ac:dyDescent="0.35">
      <c r="A159" s="27">
        <v>10119</v>
      </c>
      <c r="B159" s="55" t="s">
        <v>333</v>
      </c>
      <c r="C159" s="10">
        <f>IFERROR(INDEX('حسابهای دریافتنی'!H:H,MATCH(Table217[[#This Row],[كد تفصيلي]],'حسابهای دریافتنی'!A:A,0)),0)</f>
        <v>-2592000</v>
      </c>
      <c r="D159" s="11">
        <f>IFERROR(INDEX('درجریان وصول'!F:F,MATCH(Table217[[#This Row],[كد تفصيلي]],'درجریان وصول'!A:A,0)),0)</f>
        <v>0</v>
      </c>
      <c r="E159" s="11">
        <f>IFERROR(INDEX('چکهای دریافتنی'!F:F,MATCH(Table217[[#This Row],[كد تفصيلي]],'چکهای دریافتنی'!A:A,0)),0)</f>
        <v>0</v>
      </c>
      <c r="F159" s="11">
        <f>Table217[[#This Row],[حسابهای دریافتنی]]+Table217[[#This Row],[چکهای در جریان وصول]]+Table217[[#This Row],[چکهای نزد صندوق]]</f>
        <v>-2592000</v>
      </c>
      <c r="G159" s="12">
        <f>IFERROR(INDEX('مانده سوفاله'!F:F,MATCH(Table217[[#This Row],[كد تفصيلي]],'مانده سوفاله'!A:A,0)),0)</f>
        <v>353</v>
      </c>
    </row>
    <row r="160" spans="1:7" ht="24" customHeight="1" x14ac:dyDescent="0.35">
      <c r="A160" s="27">
        <v>10092</v>
      </c>
      <c r="B160" s="55" t="s">
        <v>260</v>
      </c>
      <c r="C160" s="10">
        <f>IFERROR(INDEX('حسابهای دریافتنی'!H:H,MATCH(Table217[[#This Row],[كد تفصيلي]],'حسابهای دریافتنی'!A:A,0)),0)</f>
        <v>-1749946500</v>
      </c>
      <c r="D160" s="11">
        <f>IFERROR(INDEX('درجریان وصول'!F:F,MATCH(Table217[[#This Row],[كد تفصيلي]],'درجریان وصول'!A:A,0)),0)</f>
        <v>0</v>
      </c>
      <c r="E160" s="11">
        <f>IFERROR(INDEX('چکهای دریافتنی'!F:F,MATCH(Table217[[#This Row],[كد تفصيلي]],'چکهای دریافتنی'!A:A,0)),0)</f>
        <v>300000000</v>
      </c>
      <c r="F160" s="11">
        <f>Table217[[#This Row],[حسابهای دریافتنی]]+Table217[[#This Row],[چکهای در جریان وصول]]+Table217[[#This Row],[چکهای نزد صندوق]]</f>
        <v>-1449946500</v>
      </c>
      <c r="G160" s="12">
        <f>IFERROR(INDEX('مانده سوفاله'!F:F,MATCH(Table217[[#This Row],[كد تفصيلي]],'مانده سوفاله'!A:A,0)),0)</f>
        <v>0</v>
      </c>
    </row>
    <row r="161" spans="1:7" ht="24" customHeight="1" x14ac:dyDescent="0.35">
      <c r="A161" s="27">
        <v>10026</v>
      </c>
      <c r="B161" s="55" t="s">
        <v>32</v>
      </c>
      <c r="C161" s="10">
        <f>IFERROR(INDEX('حسابهای دریافتنی'!H:H,MATCH(Table217[[#This Row],[كد تفصيلي]],'حسابهای دریافتنی'!A:A,0)),0)</f>
        <v>3795031844</v>
      </c>
      <c r="D161" s="11">
        <f>IFERROR(INDEX('درجریان وصول'!F:F,MATCH(Table217[[#This Row],[كد تفصيلي]],'درجریان وصول'!A:A,0)),0)</f>
        <v>0</v>
      </c>
      <c r="E161" s="11">
        <f>IFERROR(INDEX('چکهای دریافتنی'!F:F,MATCH(Table217[[#This Row],[كد تفصيلي]],'چکهای دریافتنی'!A:A,0)),0)</f>
        <v>2690000000</v>
      </c>
      <c r="F161" s="11">
        <f>Table217[[#This Row],[حسابهای دریافتنی]]+Table217[[#This Row],[چکهای در جریان وصول]]+Table217[[#This Row],[چکهای نزد صندوق]]</f>
        <v>6485031844</v>
      </c>
      <c r="G161" s="12">
        <f>IFERROR(INDEX('مانده سوفاله'!F:F,MATCH(Table217[[#This Row],[كد تفصيلي]],'مانده سوفاله'!A:A,0)),0)</f>
        <v>-12543</v>
      </c>
    </row>
    <row r="162" spans="1:7" ht="24" customHeight="1" x14ac:dyDescent="0.35">
      <c r="A162" s="27">
        <v>30190</v>
      </c>
      <c r="B162" s="55" t="s">
        <v>459</v>
      </c>
      <c r="C162" s="10">
        <f>IFERROR(INDEX('حسابهای دریافتنی'!H:H,MATCH(Table217[[#This Row],[كد تفصيلي]],'حسابهای دریافتنی'!A:A,0)),0)</f>
        <v>328477520</v>
      </c>
      <c r="D162" s="11">
        <f>IFERROR(INDEX('درجریان وصول'!F:F,MATCH(Table217[[#This Row],[كد تفصيلي]],'درجریان وصول'!A:A,0)),0)</f>
        <v>0</v>
      </c>
      <c r="E162" s="11">
        <f>IFERROR(INDEX('چکهای دریافتنی'!F:F,MATCH(Table217[[#This Row],[كد تفصيلي]],'چکهای دریافتنی'!A:A,0)),0)</f>
        <v>0</v>
      </c>
      <c r="F162" s="11">
        <f>Table217[[#This Row],[حسابهای دریافتنی]]+Table217[[#This Row],[چکهای در جریان وصول]]+Table217[[#This Row],[چکهای نزد صندوق]]</f>
        <v>328477520</v>
      </c>
      <c r="G162" s="12">
        <f>IFERROR(INDEX('مانده سوفاله'!F:F,MATCH(Table217[[#This Row],[كد تفصيلي]],'مانده سوفاله'!A:A,0)),0)</f>
        <v>1790</v>
      </c>
    </row>
    <row r="163" spans="1:7" ht="24" customHeight="1" x14ac:dyDescent="0.35">
      <c r="A163" s="27">
        <v>30169</v>
      </c>
      <c r="B163" s="55" t="s">
        <v>318</v>
      </c>
      <c r="C163" s="10">
        <f>IFERROR(INDEX('حسابهای دریافتنی'!H:H,MATCH(Table217[[#This Row],[كد تفصيلي]],'حسابهای دریافتنی'!A:A,0)),0)</f>
        <v>-658993316</v>
      </c>
      <c r="D163" s="11">
        <f>IFERROR(INDEX('درجریان وصول'!F:F,MATCH(Table217[[#This Row],[كد تفصيلي]],'درجریان وصول'!A:A,0)),0)</f>
        <v>0</v>
      </c>
      <c r="E163" s="11">
        <f>IFERROR(INDEX('چکهای دریافتنی'!F:F,MATCH(Table217[[#This Row],[كد تفصيلي]],'چکهای دریافتنی'!A:A,0)),0)</f>
        <v>2085000000</v>
      </c>
      <c r="F163" s="11">
        <f>Table217[[#This Row],[حسابهای دریافتنی]]+Table217[[#This Row],[چکهای در جریان وصول]]+Table217[[#This Row],[چکهای نزد صندوق]]</f>
        <v>1426006684</v>
      </c>
      <c r="G163" s="12">
        <f>IFERROR(INDEX('مانده سوفاله'!F:F,MATCH(Table217[[#This Row],[كد تفصيلي]],'مانده سوفاله'!A:A,0)),0)</f>
        <v>0</v>
      </c>
    </row>
    <row r="164" spans="1:7" ht="24" customHeight="1" x14ac:dyDescent="0.35">
      <c r="A164" s="26">
        <v>30146</v>
      </c>
      <c r="B164" s="56" t="s">
        <v>266</v>
      </c>
      <c r="C164" s="10">
        <f>IFERROR(INDEX('حسابهای دریافتنی'!H:H,MATCH(Table217[[#This Row],[كد تفصيلي]],'حسابهای دریافتنی'!A:A,0)),0)</f>
        <v>-4146512500</v>
      </c>
      <c r="D164" s="11">
        <f>IFERROR(INDEX('درجریان وصول'!F:F,MATCH(Table217[[#This Row],[كد تفصيلي]],'درجریان وصول'!A:A,0)),0)</f>
        <v>0</v>
      </c>
      <c r="E164" s="11">
        <f>IFERROR(INDEX('چکهای دریافتنی'!F:F,MATCH(Table217[[#This Row],[كد تفصيلي]],'چکهای دریافتنی'!A:A,0)),0)</f>
        <v>0</v>
      </c>
      <c r="F164" s="11">
        <f>Table217[[#This Row],[حسابهای دریافتنی]]+Table217[[#This Row],[چکهای در جریان وصول]]+Table217[[#This Row],[چکهای نزد صندوق]]</f>
        <v>-4146512500</v>
      </c>
      <c r="G164" s="12">
        <f>IFERROR(INDEX('مانده سوفاله'!F:F,MATCH(Table217[[#This Row],[كد تفصيلي]],'مانده سوفاله'!A:A,0)),0)</f>
        <v>2823</v>
      </c>
    </row>
    <row r="165" spans="1:7" ht="24" customHeight="1" x14ac:dyDescent="0.35">
      <c r="A165" s="26">
        <v>10019</v>
      </c>
      <c r="B165" s="56" t="s">
        <v>26</v>
      </c>
      <c r="C165" s="10">
        <f>IFERROR(INDEX('حسابهای دریافتنی'!H:H,MATCH(Table217[[#This Row],[كد تفصيلي]],'حسابهای دریافتنی'!A:A,0)),0)</f>
        <v>0</v>
      </c>
      <c r="D165" s="11">
        <f>IFERROR(INDEX('درجریان وصول'!F:F,MATCH(Table217[[#This Row],[كد تفصيلي]],'درجریان وصول'!A:A,0)),0)</f>
        <v>0</v>
      </c>
      <c r="E165" s="11">
        <f>IFERROR(INDEX('چکهای دریافتنی'!F:F,MATCH(Table217[[#This Row],[كد تفصيلي]],'چکهای دریافتنی'!A:A,0)),0)</f>
        <v>0</v>
      </c>
      <c r="F165" s="11">
        <f>Table217[[#This Row],[حسابهای دریافتنی]]+Table217[[#This Row],[چکهای در جریان وصول]]+Table217[[#This Row],[چکهای نزد صندوق]]</f>
        <v>0</v>
      </c>
      <c r="G165" s="12">
        <f>IFERROR(INDEX('مانده سوفاله'!F:F,MATCH(Table217[[#This Row],[كد تفصيلي]],'مانده سوفاله'!A:A,0)),0)</f>
        <v>285</v>
      </c>
    </row>
    <row r="166" spans="1:7" ht="24" customHeight="1" x14ac:dyDescent="0.35">
      <c r="A166" s="27">
        <v>30006</v>
      </c>
      <c r="B166" s="55" t="s">
        <v>56</v>
      </c>
      <c r="C166" s="10">
        <f>IFERROR(INDEX('حسابهای دریافتنی'!H:H,MATCH(Table217[[#This Row],[كد تفصيلي]],'حسابهای دریافتنی'!A:A,0)),0)</f>
        <v>-162677545</v>
      </c>
      <c r="D166" s="11">
        <f>IFERROR(INDEX('درجریان وصول'!F:F,MATCH(Table217[[#This Row],[كد تفصيلي]],'درجریان وصول'!A:A,0)),0)</f>
        <v>0</v>
      </c>
      <c r="E166" s="11">
        <f>IFERROR(INDEX('چکهای دریافتنی'!F:F,MATCH(Table217[[#This Row],[كد تفصيلي]],'چکهای دریافتنی'!A:A,0)),0)</f>
        <v>0</v>
      </c>
      <c r="F166" s="11">
        <f>Table217[[#This Row],[حسابهای دریافتنی]]+Table217[[#This Row],[چکهای در جریان وصول]]+Table217[[#This Row],[چکهای نزد صندوق]]</f>
        <v>-162677545</v>
      </c>
      <c r="G166" s="12">
        <f>IFERROR(INDEX('مانده سوفاله'!F:F,MATCH(Table217[[#This Row],[كد تفصيلي]],'مانده سوفاله'!A:A,0)),0)</f>
        <v>-6</v>
      </c>
    </row>
    <row r="167" spans="1:7" ht="24" customHeight="1" x14ac:dyDescent="0.35">
      <c r="A167" s="26">
        <v>79120</v>
      </c>
      <c r="B167" s="56" t="s">
        <v>195</v>
      </c>
      <c r="C167" s="10">
        <f>IFERROR(INDEX('حسابهای دریافتنی'!H:H,MATCH(Table217[[#This Row],[كد تفصيلي]],'حسابهای دریافتنی'!A:A,0)),0)</f>
        <v>-15776160000</v>
      </c>
      <c r="D167" s="11">
        <f>IFERROR(INDEX('درجریان وصول'!F:F,MATCH(Table217[[#This Row],[كد تفصيلي]],'درجریان وصول'!A:A,0)),0)</f>
        <v>0</v>
      </c>
      <c r="E167" s="11">
        <f>IFERROR(INDEX('چکهای دریافتنی'!F:F,MATCH(Table217[[#This Row],[كد تفصيلي]],'چکهای دریافتنی'!A:A,0)),0)</f>
        <v>0</v>
      </c>
      <c r="F167" s="11">
        <f>Table217[[#This Row],[حسابهای دریافتنی]]+Table217[[#This Row],[چکهای در جریان وصول]]+Table217[[#This Row],[چکهای نزد صندوق]]</f>
        <v>-15776160000</v>
      </c>
      <c r="G167" s="12">
        <f>IFERROR(INDEX('مانده سوفاله'!F:F,MATCH(Table217[[#This Row],[كد تفصيلي]],'مانده سوفاله'!A:A,0)),0)</f>
        <v>0</v>
      </c>
    </row>
    <row r="168" spans="1:7" ht="24" customHeight="1" x14ac:dyDescent="0.35">
      <c r="A168" s="27">
        <v>79043</v>
      </c>
      <c r="B168" s="55" t="s">
        <v>156</v>
      </c>
      <c r="C168" s="10">
        <f>IFERROR(INDEX('حسابهای دریافتنی'!H:H,MATCH(Table217[[#This Row],[كد تفصيلي]],'حسابهای دریافتنی'!A:A,0)),0)</f>
        <v>-16110730000</v>
      </c>
      <c r="D168" s="11">
        <f>IFERROR(INDEX('درجریان وصول'!F:F,MATCH(Table217[[#This Row],[كد تفصيلي]],'درجریان وصول'!A:A,0)),0)</f>
        <v>0</v>
      </c>
      <c r="E168" s="11">
        <f>IFERROR(INDEX('چکهای دریافتنی'!F:F,MATCH(Table217[[#This Row],[كد تفصيلي]],'چکهای دریافتنی'!A:A,0)),0)</f>
        <v>0</v>
      </c>
      <c r="F168" s="11">
        <f>Table217[[#This Row],[حسابهای دریافتنی]]+Table217[[#This Row],[چکهای در جریان وصول]]+Table217[[#This Row],[چکهای نزد صندوق]]</f>
        <v>-16110730000</v>
      </c>
      <c r="G168" s="12">
        <f>IFERROR(INDEX('مانده سوفاله'!F:F,MATCH(Table217[[#This Row],[كد تفصيلي]],'مانده سوفاله'!A:A,0)),0)</f>
        <v>0</v>
      </c>
    </row>
    <row r="169" spans="1:7" ht="24" customHeight="1" x14ac:dyDescent="0.35">
      <c r="A169" s="26">
        <v>50005</v>
      </c>
      <c r="B169" s="56" t="s">
        <v>148</v>
      </c>
      <c r="C169" s="10">
        <f>IFERROR(INDEX('حسابهای دریافتنی'!H:H,MATCH(Table217[[#This Row],[كد تفصيلي]],'حسابهای دریافتنی'!A:A,0)),0)</f>
        <v>0</v>
      </c>
      <c r="D169" s="11">
        <f>IFERROR(INDEX('درجریان وصول'!F:F,MATCH(Table217[[#This Row],[كد تفصيلي]],'درجریان وصول'!A:A,0)),0)</f>
        <v>0</v>
      </c>
      <c r="E169" s="11">
        <f>IFERROR(INDEX('چکهای دریافتنی'!F:F,MATCH(Table217[[#This Row],[كد تفصيلي]],'چکهای دریافتنی'!A:A,0)),0)</f>
        <v>0</v>
      </c>
      <c r="F169" s="11">
        <f>Table217[[#This Row],[حسابهای دریافتنی]]+Table217[[#This Row],[چکهای در جریان وصول]]+Table217[[#This Row],[چکهای نزد صندوق]]</f>
        <v>0</v>
      </c>
      <c r="G169" s="12">
        <f>IFERROR(INDEX('مانده سوفاله'!F:F,MATCH(Table217[[#This Row],[كد تفصيلي]],'مانده سوفاله'!A:A,0)),0)</f>
        <v>0</v>
      </c>
    </row>
    <row r="170" spans="1:7" ht="24" customHeight="1" x14ac:dyDescent="0.35">
      <c r="A170" s="27">
        <v>30127</v>
      </c>
      <c r="B170" s="55" t="s">
        <v>163</v>
      </c>
      <c r="C170" s="10">
        <f>IFERROR(INDEX('حسابهای دریافتنی'!H:H,MATCH(Table217[[#This Row],[كد تفصيلي]],'حسابهای دریافتنی'!A:A,0)),0)</f>
        <v>31800110000</v>
      </c>
      <c r="D170" s="11">
        <f>IFERROR(INDEX('درجریان وصول'!F:F,MATCH(Table217[[#This Row],[كد تفصيلي]],'درجریان وصول'!A:A,0)),0)</f>
        <v>0</v>
      </c>
      <c r="E170" s="11">
        <f>IFERROR(INDEX('چکهای دریافتنی'!F:F,MATCH(Table217[[#This Row],[كد تفصيلي]],'چکهای دریافتنی'!A:A,0)),0)</f>
        <v>0</v>
      </c>
      <c r="F170" s="11">
        <f>Table217[[#This Row],[حسابهای دریافتنی]]+Table217[[#This Row],[چکهای در جریان وصول]]+Table217[[#This Row],[چکهای نزد صندوق]]</f>
        <v>31800110000</v>
      </c>
      <c r="G170" s="12">
        <f>IFERROR(INDEX('مانده سوفاله'!F:F,MATCH(Table217[[#This Row],[كد تفصيلي]],'مانده سوفاله'!A:A,0)),0)</f>
        <v>-18472</v>
      </c>
    </row>
    <row r="171" spans="1:7" ht="24" customHeight="1" x14ac:dyDescent="0.35">
      <c r="A171" s="36"/>
      <c r="B171" s="37"/>
      <c r="C171" s="38">
        <f>SUBTOTAL(109,Table217[حسابهای دریافتنی])</f>
        <v>57867012779</v>
      </c>
      <c r="D171" s="38">
        <f>SUBTOTAL(109,Table217[چکهای در جریان وصول])</f>
        <v>0</v>
      </c>
      <c r="E171" s="38">
        <f>SUBTOTAL(109,Table217[چکهای نزد صندوق])</f>
        <v>62507828942</v>
      </c>
      <c r="F171" s="38"/>
      <c r="G171" s="39">
        <f>SUBTOTAL(109,Table217[مانده سوفاله])</f>
        <v>-132142.5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73"/>
  <sheetViews>
    <sheetView rightToLeft="1" workbookViewId="0">
      <selection activeCell="A168" sqref="A168:XFD168"/>
    </sheetView>
  </sheetViews>
  <sheetFormatPr defaultColWidth="9.08984375" defaultRowHeight="24" customHeight="1" x14ac:dyDescent="0.35"/>
  <cols>
    <col min="1" max="1" width="14.36328125" style="5" customWidth="1"/>
    <col min="2" max="2" width="31.08984375" style="67" customWidth="1"/>
    <col min="3" max="4" width="20.2695312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0" customHeight="1" thickBot="1" x14ac:dyDescent="0.4">
      <c r="A1" s="97" t="s">
        <v>495</v>
      </c>
      <c r="B1" s="98"/>
      <c r="C1" s="98"/>
      <c r="D1" s="98"/>
      <c r="E1" s="98"/>
      <c r="F1" s="98"/>
      <c r="G1" s="99"/>
    </row>
    <row r="2" spans="1:7" s="2" customFormat="1" ht="50.2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" customHeight="1" x14ac:dyDescent="0.35">
      <c r="A3" s="26">
        <v>30009</v>
      </c>
      <c r="B3" s="68" t="s">
        <v>164</v>
      </c>
      <c r="C3" s="10">
        <f>IFERROR(INDEX('حسابهای دریافتنی'!H:H,MATCH(Table218[[#This Row],[كد تفصيلي]],'حسابهای دریافتنی'!A:A,0)),0)</f>
        <v>7853844277</v>
      </c>
      <c r="D3" s="11">
        <f>IFERROR(INDEX('درجریان وصول'!F:F,MATCH(Table218[[#This Row],[كد تفصيلي]],'درجریان وصول'!A:A,0)),0)</f>
        <v>0</v>
      </c>
      <c r="E3" s="11">
        <f>IFERROR(INDEX('چکهای دریافتنی'!F:F,MATCH(Table218[[#This Row],[كد تفصيلي]],'چکهای دریافتنی'!A:A,0)),0)</f>
        <v>6474835380</v>
      </c>
      <c r="F3" s="11">
        <f>Table218[[#This Row],[حسابهای دریافتنی]]+Table218[[#This Row],[چکهای در جریان وصول]]+Table218[[#This Row],[چکهای نزد صندوق]]</f>
        <v>14328679657</v>
      </c>
      <c r="G3" s="12">
        <f>IFERROR(INDEX('مانده سوفاله'!F:F,MATCH(Table218[[#This Row],[كد تفصيلي]],'مانده سوفاله'!A:A,0)),0)</f>
        <v>-11452</v>
      </c>
    </row>
    <row r="4" spans="1:7" ht="24" customHeight="1" x14ac:dyDescent="0.35">
      <c r="A4" s="27">
        <v>30127</v>
      </c>
      <c r="B4" s="69" t="s">
        <v>163</v>
      </c>
      <c r="C4" s="10">
        <f>IFERROR(INDEX('حسابهای دریافتنی'!H:H,MATCH(Table218[[#This Row],[كد تفصيلي]],'حسابهای دریافتنی'!A:A,0)),0)</f>
        <v>31800110000</v>
      </c>
      <c r="D4" s="11">
        <f>IFERROR(INDEX('درجریان وصول'!F:F,MATCH(Table218[[#This Row],[كد تفصيلي]],'درجریان وصول'!A:A,0)),0)</f>
        <v>0</v>
      </c>
      <c r="E4" s="11">
        <f>IFERROR(INDEX('چکهای دریافتنی'!F:F,MATCH(Table218[[#This Row],[كد تفصيلي]],'چکهای دریافتنی'!A:A,0)),0)</f>
        <v>0</v>
      </c>
      <c r="F4" s="11">
        <f>Table218[[#This Row],[حسابهای دریافتنی]]+Table218[[#This Row],[چکهای در جریان وصول]]+Table218[[#This Row],[چکهای نزد صندوق]]</f>
        <v>31800110000</v>
      </c>
      <c r="G4" s="12">
        <f>IFERROR(INDEX('مانده سوفاله'!F:F,MATCH(Table218[[#This Row],[كد تفصيلي]],'مانده سوفاله'!A:A,0)),0)</f>
        <v>-18472</v>
      </c>
    </row>
    <row r="5" spans="1:7" ht="24" customHeight="1" x14ac:dyDescent="0.35">
      <c r="A5" s="26">
        <v>10055</v>
      </c>
      <c r="B5" s="68" t="s">
        <v>162</v>
      </c>
      <c r="C5" s="10">
        <f>IFERROR(INDEX('حسابهای دریافتنی'!H:H,MATCH(Table218[[#This Row],[كد تفصيلي]],'حسابهای دریافتنی'!A:A,0)),0)</f>
        <v>10460111325</v>
      </c>
      <c r="D5" s="11">
        <f>IFERROR(INDEX('درجریان وصول'!F:F,MATCH(Table218[[#This Row],[كد تفصيلي]],'درجریان وصول'!A:A,0)),0)</f>
        <v>0</v>
      </c>
      <c r="E5" s="11">
        <f>IFERROR(INDEX('چکهای دریافتنی'!F:F,MATCH(Table218[[#This Row],[كد تفصيلي]],'چکهای دریافتنی'!A:A,0)),0)</f>
        <v>2783298655</v>
      </c>
      <c r="F5" s="11">
        <f>Table218[[#This Row],[حسابهای دریافتنی]]+Table218[[#This Row],[چکهای در جریان وصول]]+Table218[[#This Row],[چکهای نزد صندوق]]</f>
        <v>13243409980</v>
      </c>
      <c r="G5" s="12">
        <f>IFERROR(INDEX('مانده سوفاله'!F:F,MATCH(Table218[[#This Row],[كد تفصيلي]],'مانده سوفاله'!A:A,0)),0)</f>
        <v>-12714</v>
      </c>
    </row>
    <row r="6" spans="1:7" ht="24" customHeight="1" x14ac:dyDescent="0.35">
      <c r="A6" s="27">
        <v>30004</v>
      </c>
      <c r="B6" s="69" t="s">
        <v>54</v>
      </c>
      <c r="C6" s="10">
        <f>IFERROR(INDEX('حسابهای دریافتنی'!H:H,MATCH(Table218[[#This Row],[كد تفصيلي]],'حسابهای دریافتنی'!A:A,0)),0)</f>
        <v>7598548260</v>
      </c>
      <c r="D6" s="11">
        <f>IFERROR(INDEX('درجریان وصول'!F:F,MATCH(Table218[[#This Row],[كد تفصيلي]],'درجریان وصول'!A:A,0)),0)</f>
        <v>0</v>
      </c>
      <c r="E6" s="11">
        <f>IFERROR(INDEX('چکهای دریافتنی'!F:F,MATCH(Table218[[#This Row],[كد تفصيلي]],'چکهای دریافتنی'!A:A,0)),0)</f>
        <v>11698760000</v>
      </c>
      <c r="F6" s="11">
        <f>Table218[[#This Row],[حسابهای دریافتنی]]+Table218[[#This Row],[چکهای در جریان وصول]]+Table218[[#This Row],[چکهای نزد صندوق]]</f>
        <v>19297308260</v>
      </c>
      <c r="G6" s="12">
        <f>IFERROR(INDEX('مانده سوفاله'!F:F,MATCH(Table218[[#This Row],[كد تفصيلي]],'مانده سوفاله'!A:A,0)),0)</f>
        <v>-4237</v>
      </c>
    </row>
    <row r="7" spans="1:7" ht="24" customHeight="1" x14ac:dyDescent="0.35">
      <c r="A7" s="26">
        <v>10003</v>
      </c>
      <c r="B7" s="68" t="s">
        <v>10</v>
      </c>
      <c r="C7" s="10">
        <f>IFERROR(INDEX('حسابهای دریافتنی'!H:H,MATCH(Table218[[#This Row],[كد تفصيلي]],'حسابهای دریافتنی'!A:A,0)),0)</f>
        <v>10804267992</v>
      </c>
      <c r="D7" s="11">
        <f>IFERROR(INDEX('درجریان وصول'!F:F,MATCH(Table218[[#This Row],[كد تفصيلي]],'درجریان وصول'!A:A,0)),0)</f>
        <v>0</v>
      </c>
      <c r="E7" s="11">
        <f>IFERROR(INDEX('چکهای دریافتنی'!F:F,MATCH(Table218[[#This Row],[كد تفصيلي]],'چکهای دریافتنی'!A:A,0)),0)</f>
        <v>13698001280</v>
      </c>
      <c r="F7" s="11">
        <f>Table218[[#This Row],[حسابهای دریافتنی]]+Table218[[#This Row],[چکهای در جریان وصول]]+Table218[[#This Row],[چکهای نزد صندوق]]</f>
        <v>24502269272</v>
      </c>
      <c r="G7" s="12">
        <f>IFERROR(INDEX('مانده سوفاله'!F:F,MATCH(Table218[[#This Row],[كد تفصيلي]],'مانده سوفاله'!A:A,0)),0)</f>
        <v>-39886</v>
      </c>
    </row>
    <row r="8" spans="1:7" ht="24" customHeight="1" x14ac:dyDescent="0.35">
      <c r="A8" s="27">
        <v>30081</v>
      </c>
      <c r="B8" s="69" t="s">
        <v>126</v>
      </c>
      <c r="C8" s="10">
        <f>IFERROR(INDEX('حسابهای دریافتنی'!H:H,MATCH(Table218[[#This Row],[كد تفصيلي]],'حسابهای دریافتنی'!A:A,0)),0)</f>
        <v>1148992373</v>
      </c>
      <c r="D8" s="11">
        <f>IFERROR(INDEX('درجریان وصول'!F:F,MATCH(Table218[[#This Row],[كد تفصيلي]],'درجریان وصول'!A:A,0)),0)</f>
        <v>0</v>
      </c>
      <c r="E8" s="11">
        <f>IFERROR(INDEX('چکهای دریافتنی'!F:F,MATCH(Table218[[#This Row],[كد تفصيلي]],'چکهای دریافتنی'!A:A,0)),0)</f>
        <v>0</v>
      </c>
      <c r="F8" s="11">
        <f>Table218[[#This Row],[حسابهای دریافتنی]]+Table218[[#This Row],[چکهای در جریان وصول]]+Table218[[#This Row],[چکهای نزد صندوق]]</f>
        <v>1148992373</v>
      </c>
      <c r="G8" s="12">
        <f>IFERROR(INDEX('مانده سوفاله'!F:F,MATCH(Table218[[#This Row],[كد تفصيلي]],'مانده سوفاله'!A:A,0)),0)</f>
        <v>-6924</v>
      </c>
    </row>
    <row r="9" spans="1:7" ht="24" customHeight="1" x14ac:dyDescent="0.35">
      <c r="A9" s="26">
        <v>30058</v>
      </c>
      <c r="B9" s="68" t="s">
        <v>103</v>
      </c>
      <c r="C9" s="10">
        <f>IFERROR(INDEX('حسابهای دریافتنی'!H:H,MATCH(Table218[[#This Row],[كد تفصيلي]],'حسابهای دریافتنی'!A:A,0)),0)</f>
        <v>1700045560</v>
      </c>
      <c r="D9" s="11">
        <f>IFERROR(INDEX('درجریان وصول'!F:F,MATCH(Table218[[#This Row],[كد تفصيلي]],'درجریان وصول'!A:A,0)),0)</f>
        <v>0</v>
      </c>
      <c r="E9" s="11">
        <f>IFERROR(INDEX('چکهای دریافتنی'!F:F,MATCH(Table218[[#This Row],[كد تفصيلي]],'چکهای دریافتنی'!A:A,0)),0)</f>
        <v>0</v>
      </c>
      <c r="F9" s="11">
        <f>Table218[[#This Row],[حسابهای دریافتنی]]+Table218[[#This Row],[چکهای در جریان وصول]]+Table218[[#This Row],[چکهای نزد صندوق]]</f>
        <v>1700045560</v>
      </c>
      <c r="G9" s="12">
        <f>IFERROR(INDEX('مانده سوفاله'!F:F,MATCH(Table218[[#This Row],[كد تفصيلي]],'مانده سوفاله'!A:A,0)),0)</f>
        <v>-225</v>
      </c>
    </row>
    <row r="10" spans="1:7" ht="24" customHeight="1" x14ac:dyDescent="0.35">
      <c r="A10" s="27">
        <v>30099</v>
      </c>
      <c r="B10" s="69" t="s">
        <v>167</v>
      </c>
      <c r="C10" s="10">
        <f>IFERROR(INDEX('حسابهای دریافتنی'!H:H,MATCH(Table218[[#This Row],[كد تفصيلي]],'حسابهای دریافتنی'!A:A,0)),0)</f>
        <v>1398393484</v>
      </c>
      <c r="D10" s="11">
        <f>IFERROR(INDEX('درجریان وصول'!F:F,MATCH(Table218[[#This Row],[كد تفصيلي]],'درجریان وصول'!A:A,0)),0)</f>
        <v>0</v>
      </c>
      <c r="E10" s="11">
        <f>IFERROR(INDEX('چکهای دریافتنی'!F:F,MATCH(Table218[[#This Row],[كد تفصيلي]],'چکهای دریافتنی'!A:A,0)),0)</f>
        <v>583000000</v>
      </c>
      <c r="F10" s="11">
        <f>Table218[[#This Row],[حسابهای دریافتنی]]+Table218[[#This Row],[چکهای در جریان وصول]]+Table218[[#This Row],[چکهای نزد صندوق]]</f>
        <v>1981393484</v>
      </c>
      <c r="G10" s="12">
        <f>IFERROR(INDEX('مانده سوفاله'!F:F,MATCH(Table218[[#This Row],[كد تفصيلي]],'مانده سوفاله'!A:A,0)),0)</f>
        <v>-332</v>
      </c>
    </row>
    <row r="11" spans="1:7" ht="24" customHeight="1" x14ac:dyDescent="0.35">
      <c r="A11" s="27">
        <v>30022</v>
      </c>
      <c r="B11" s="69" t="s">
        <v>70</v>
      </c>
      <c r="C11" s="10">
        <f>IFERROR(INDEX('حسابهای دریافتنی'!H:H,MATCH(Table218[[#This Row],[كد تفصيلي]],'حسابهای دریافتنی'!A:A,0)),0)</f>
        <v>2933770530</v>
      </c>
      <c r="D11" s="11">
        <f>IFERROR(INDEX('درجریان وصول'!F:F,MATCH(Table218[[#This Row],[كد تفصيلي]],'درجریان وصول'!A:A,0)),0)</f>
        <v>0</v>
      </c>
      <c r="E11" s="11">
        <f>IFERROR(INDEX('چکهای دریافتنی'!F:F,MATCH(Table218[[#This Row],[كد تفصيلي]],'چکهای دریافتنی'!A:A,0)),0)</f>
        <v>0</v>
      </c>
      <c r="F11" s="11">
        <f>Table218[[#This Row],[حسابهای دریافتنی]]+Table218[[#This Row],[چکهای در جریان وصول]]+Table218[[#This Row],[چکهای نزد صندوق]]</f>
        <v>2933770530</v>
      </c>
      <c r="G11" s="12">
        <f>IFERROR(INDEX('مانده سوفاله'!F:F,MATCH(Table218[[#This Row],[كد تفصيلي]],'مانده سوفاله'!A:A,0)),0)</f>
        <v>-14747</v>
      </c>
    </row>
    <row r="12" spans="1:7" ht="24" customHeight="1" x14ac:dyDescent="0.35">
      <c r="A12" s="26">
        <v>30186</v>
      </c>
      <c r="B12" s="68" t="s">
        <v>367</v>
      </c>
      <c r="C12" s="10">
        <f>IFERROR(INDEX('حسابهای دریافتنی'!H:H,MATCH(Table218[[#This Row],[كد تفصيلي]],'حسابهای دریافتنی'!A:A,0)),0)</f>
        <v>986425000</v>
      </c>
      <c r="D12" s="11">
        <f>IFERROR(INDEX('درجریان وصول'!F:F,MATCH(Table218[[#This Row],[كد تفصيلي]],'درجریان وصول'!A:A,0)),0)</f>
        <v>0</v>
      </c>
      <c r="E12" s="11">
        <f>IFERROR(INDEX('چکهای دریافتنی'!F:F,MATCH(Table218[[#This Row],[كد تفصيلي]],'چکهای دریافتنی'!A:A,0)),0)</f>
        <v>5982430000</v>
      </c>
      <c r="F12" s="11">
        <f>Table218[[#This Row],[حسابهای دریافتنی]]+Table218[[#This Row],[چکهای در جریان وصول]]+Table218[[#This Row],[چکهای نزد صندوق]]</f>
        <v>6968855000</v>
      </c>
      <c r="G12" s="12">
        <f>IFERROR(INDEX('مانده سوفاله'!F:F,MATCH(Table218[[#This Row],[كد تفصيلي]],'مانده سوفاله'!A:A,0)),0)</f>
        <v>-7388</v>
      </c>
    </row>
    <row r="13" spans="1:7" ht="24" customHeight="1" x14ac:dyDescent="0.35">
      <c r="A13" s="26">
        <v>10057</v>
      </c>
      <c r="B13" s="68" t="s">
        <v>225</v>
      </c>
      <c r="C13" s="10">
        <f>IFERROR(INDEX('حسابهای دریافتنی'!H:H,MATCH(Table218[[#This Row],[كد تفصيلي]],'حسابهای دریافتنی'!A:A,0)),0)</f>
        <v>1390485500</v>
      </c>
      <c r="D13" s="11">
        <f>IFERROR(INDEX('درجریان وصول'!F:F,MATCH(Table218[[#This Row],[كد تفصيلي]],'درجریان وصول'!A:A,0)),0)</f>
        <v>0</v>
      </c>
      <c r="E13" s="11">
        <f>IFERROR(INDEX('چکهای دریافتنی'!F:F,MATCH(Table218[[#This Row],[كد تفصيلي]],'چکهای دریافتنی'!A:A,0)),0)</f>
        <v>0</v>
      </c>
      <c r="F13" s="11">
        <f>Table218[[#This Row],[حسابهای دریافتنی]]+Table218[[#This Row],[چکهای در جریان وصول]]+Table218[[#This Row],[چکهای نزد صندوق]]</f>
        <v>1390485500</v>
      </c>
      <c r="G13" s="12">
        <f>IFERROR(INDEX('مانده سوفاله'!F:F,MATCH(Table218[[#This Row],[كد تفصيلي]],'مانده سوفاله'!A:A,0)),0)</f>
        <v>-2044</v>
      </c>
    </row>
    <row r="14" spans="1:7" ht="24" customHeight="1" x14ac:dyDescent="0.35">
      <c r="A14" s="27">
        <v>50016</v>
      </c>
      <c r="B14" s="69" t="s">
        <v>160</v>
      </c>
      <c r="C14" s="10">
        <f>IFERROR(INDEX('حسابهای دریافتنی'!H:H,MATCH(Table218[[#This Row],[كد تفصيلي]],'حسابهای دریافتنی'!A:A,0)),0)</f>
        <v>6344545550</v>
      </c>
      <c r="D14" s="11">
        <f>IFERROR(INDEX('درجریان وصول'!F:F,MATCH(Table218[[#This Row],[كد تفصيلي]],'درجریان وصول'!A:A,0)),0)</f>
        <v>0</v>
      </c>
      <c r="E14" s="11">
        <f>IFERROR(INDEX('چکهای دریافتنی'!F:F,MATCH(Table218[[#This Row],[كد تفصيلي]],'چکهای دریافتنی'!A:A,0)),0)</f>
        <v>0</v>
      </c>
      <c r="F14" s="11">
        <f>Table218[[#This Row],[حسابهای دریافتنی]]+Table218[[#This Row],[چکهای در جریان وصول]]+Table218[[#This Row],[چکهای نزد صندوق]]</f>
        <v>6344545550</v>
      </c>
      <c r="G14" s="12">
        <f>IFERROR(INDEX('مانده سوفاله'!F:F,MATCH(Table218[[#This Row],[كد تفصيلي]],'مانده سوفاله'!A:A,0)),0)</f>
        <v>5508</v>
      </c>
    </row>
    <row r="15" spans="1:7" ht="24" customHeight="1" x14ac:dyDescent="0.35">
      <c r="A15" s="26">
        <v>30162</v>
      </c>
      <c r="B15" s="68" t="s">
        <v>301</v>
      </c>
      <c r="C15" s="10">
        <f>IFERROR(INDEX('حسابهای دریافتنی'!H:H,MATCH(Table218[[#This Row],[كد تفصيلي]],'حسابهای دریافتنی'!A:A,0)),0)</f>
        <v>204890235</v>
      </c>
      <c r="D15" s="11">
        <f>IFERROR(INDEX('درجریان وصول'!F:F,MATCH(Table218[[#This Row],[كد تفصيلي]],'درجریان وصول'!A:A,0)),0)</f>
        <v>0</v>
      </c>
      <c r="E15" s="11">
        <f>IFERROR(INDEX('چکهای دریافتنی'!F:F,MATCH(Table218[[#This Row],[كد تفصيلي]],'چکهای دریافتنی'!A:A,0)),0)</f>
        <v>0</v>
      </c>
      <c r="F15" s="11">
        <f>Table218[[#This Row],[حسابهای دریافتنی]]+Table218[[#This Row],[چکهای در جریان وصول]]+Table218[[#This Row],[چکهای نزد صندوق]]</f>
        <v>204890235</v>
      </c>
      <c r="G15" s="12">
        <f>IFERROR(INDEX('مانده سوفاله'!F:F,MATCH(Table218[[#This Row],[كد تفصيلي]],'مانده سوفاله'!A:A,0)),0)</f>
        <v>-251</v>
      </c>
    </row>
    <row r="16" spans="1:7" ht="24" customHeight="1" x14ac:dyDescent="0.35">
      <c r="A16" s="27">
        <v>10020</v>
      </c>
      <c r="B16" s="69" t="s">
        <v>27</v>
      </c>
      <c r="C16" s="10">
        <f>IFERROR(INDEX('حسابهای دریافتنی'!H:H,MATCH(Table218[[#This Row],[كد تفصيلي]],'حسابهای دریافتنی'!A:A,0)),0)</f>
        <v>57999963</v>
      </c>
      <c r="D16" s="11">
        <f>IFERROR(INDEX('درجریان وصول'!F:F,MATCH(Table218[[#This Row],[كد تفصيلي]],'درجریان وصول'!A:A,0)),0)</f>
        <v>0</v>
      </c>
      <c r="E16" s="11">
        <f>IFERROR(INDEX('چکهای دریافتنی'!F:F,MATCH(Table218[[#This Row],[كد تفصيلي]],'چکهای دریافتنی'!A:A,0)),0)</f>
        <v>728000000</v>
      </c>
      <c r="F16" s="11">
        <f>Table218[[#This Row],[حسابهای دریافتنی]]+Table218[[#This Row],[چکهای در جریان وصول]]+Table218[[#This Row],[چکهای نزد صندوق]]</f>
        <v>785999963</v>
      </c>
      <c r="G16" s="12">
        <f>IFERROR(INDEX('مانده سوفاله'!F:F,MATCH(Table218[[#This Row],[كد تفصيلي]],'مانده سوفاله'!A:A,0)),0)</f>
        <v>-1031</v>
      </c>
    </row>
    <row r="17" spans="1:7" ht="24" customHeight="1" x14ac:dyDescent="0.35">
      <c r="A17" s="26">
        <v>30191</v>
      </c>
      <c r="B17" s="68" t="s">
        <v>460</v>
      </c>
      <c r="C17" s="10">
        <f>IFERROR(INDEX('حسابهای دریافتنی'!H:H,MATCH(Table218[[#This Row],[كد تفصيلي]],'حسابهای دریافتنی'!A:A,0)),0)</f>
        <v>792933000</v>
      </c>
      <c r="D17" s="11">
        <f>IFERROR(INDEX('درجریان وصول'!F:F,MATCH(Table218[[#This Row],[كد تفصيلي]],'درجریان وصول'!A:A,0)),0)</f>
        <v>0</v>
      </c>
      <c r="E17" s="11">
        <f>IFERROR(INDEX('چکهای دریافتنی'!F:F,MATCH(Table218[[#This Row],[كد تفصيلي]],'چکهای دریافتنی'!A:A,0)),0)</f>
        <v>0</v>
      </c>
      <c r="F17" s="11">
        <f>Table218[[#This Row],[حسابهای دریافتنی]]+Table218[[#This Row],[چکهای در جریان وصول]]+Table218[[#This Row],[چکهای نزد صندوق]]</f>
        <v>792933000</v>
      </c>
      <c r="G17" s="12">
        <f>IFERROR(INDEX('مانده سوفاله'!F:F,MATCH(Table218[[#This Row],[كد تفصيلي]],'مانده سوفاله'!A:A,0)),0)</f>
        <v>134</v>
      </c>
    </row>
    <row r="18" spans="1:7" ht="24" customHeight="1" x14ac:dyDescent="0.35">
      <c r="A18" s="26">
        <v>10027</v>
      </c>
      <c r="B18" s="68" t="s">
        <v>33</v>
      </c>
      <c r="C18" s="10">
        <f>IFERROR(INDEX('حسابهای دریافتنی'!H:H,MATCH(Table218[[#This Row],[كد تفصيلي]],'حسابهای دریافتنی'!A:A,0)),0)</f>
        <v>33078340</v>
      </c>
      <c r="D18" s="11">
        <f>IFERROR(INDEX('درجریان وصول'!F:F,MATCH(Table218[[#This Row],[كد تفصيلي]],'درجریان وصول'!A:A,0)),0)</f>
        <v>0</v>
      </c>
      <c r="E18" s="11">
        <f>IFERROR(INDEX('چکهای دریافتنی'!F:F,MATCH(Table218[[#This Row],[كد تفصيلي]],'چکهای دریافتنی'!A:A,0)),0)</f>
        <v>1588359160</v>
      </c>
      <c r="F18" s="11">
        <f>Table218[[#This Row],[حسابهای دریافتنی]]+Table218[[#This Row],[چکهای در جریان وصول]]+Table218[[#This Row],[چکهای نزد صندوق]]</f>
        <v>1621437500</v>
      </c>
      <c r="G18" s="12">
        <f>IFERROR(INDEX('مانده سوفاله'!F:F,MATCH(Table218[[#This Row],[كد تفصيلي]],'مانده سوفاله'!A:A,0)),0)</f>
        <v>-647</v>
      </c>
    </row>
    <row r="19" spans="1:7" ht="24" customHeight="1" x14ac:dyDescent="0.35">
      <c r="A19" s="26">
        <v>50011</v>
      </c>
      <c r="B19" s="68" t="s">
        <v>147</v>
      </c>
      <c r="C19" s="10">
        <f>IFERROR(INDEX('حسابهای دریافتنی'!H:H,MATCH(Table218[[#This Row],[كد تفصيلي]],'حسابهای دریافتنی'!A:A,0)),0)</f>
        <v>832182413</v>
      </c>
      <c r="D19" s="11">
        <f>IFERROR(INDEX('درجریان وصول'!F:F,MATCH(Table218[[#This Row],[كد تفصيلي]],'درجریان وصول'!A:A,0)),0)</f>
        <v>0</v>
      </c>
      <c r="E19" s="11">
        <f>IFERROR(INDEX('چکهای دریافتنی'!F:F,MATCH(Table218[[#This Row],[كد تفصيلي]],'چکهای دریافتنی'!A:A,0)),0)</f>
        <v>0</v>
      </c>
      <c r="F19" s="11">
        <f>Table218[[#This Row],[حسابهای دریافتنی]]+Table218[[#This Row],[چکهای در جریان وصول]]+Table218[[#This Row],[چکهای نزد صندوق]]</f>
        <v>832182413</v>
      </c>
      <c r="G19" s="12">
        <f>IFERROR(INDEX('مانده سوفاله'!F:F,MATCH(Table218[[#This Row],[كد تفصيلي]],'مانده سوفاله'!A:A,0)),0)</f>
        <v>30</v>
      </c>
    </row>
    <row r="20" spans="1:7" ht="24" customHeight="1" x14ac:dyDescent="0.35">
      <c r="A20" s="26">
        <v>30003</v>
      </c>
      <c r="B20" s="68" t="s">
        <v>53</v>
      </c>
      <c r="C20" s="10">
        <f>IFERROR(INDEX('حسابهای دریافتنی'!H:H,MATCH(Table218[[#This Row],[كد تفصيلي]],'حسابهای دریافتنی'!A:A,0)),0)</f>
        <v>754765900</v>
      </c>
      <c r="D20" s="11">
        <f>IFERROR(INDEX('درجریان وصول'!F:F,MATCH(Table218[[#This Row],[كد تفصيلي]],'درجریان وصول'!A:A,0)),0)</f>
        <v>0</v>
      </c>
      <c r="E20" s="11">
        <f>IFERROR(INDEX('چکهای دریافتنی'!F:F,MATCH(Table218[[#This Row],[كد تفصيلي]],'چکهای دریافتنی'!A:A,0)),0)</f>
        <v>571000000</v>
      </c>
      <c r="F20" s="11">
        <f>Table218[[#This Row],[حسابهای دریافتنی]]+Table218[[#This Row],[چکهای در جریان وصول]]+Table218[[#This Row],[چکهای نزد صندوق]]</f>
        <v>1325765900</v>
      </c>
      <c r="G20" s="12">
        <f>IFERROR(INDEX('مانده سوفاله'!F:F,MATCH(Table218[[#This Row],[كد تفصيلي]],'مانده سوفاله'!A:A,0)),0)</f>
        <v>-3538</v>
      </c>
    </row>
    <row r="21" spans="1:7" ht="24" customHeight="1" x14ac:dyDescent="0.35">
      <c r="A21" s="26">
        <v>30140</v>
      </c>
      <c r="B21" s="68" t="s">
        <v>259</v>
      </c>
      <c r="C21" s="10">
        <f>IFERROR(INDEX('حسابهای دریافتنی'!H:H,MATCH(Table218[[#This Row],[كد تفصيلي]],'حسابهای دریافتنی'!A:A,0)),0)</f>
        <v>553728200</v>
      </c>
      <c r="D21" s="11">
        <f>IFERROR(INDEX('درجریان وصول'!F:F,MATCH(Table218[[#This Row],[كد تفصيلي]],'درجریان وصول'!A:A,0)),0)</f>
        <v>0</v>
      </c>
      <c r="E21" s="11">
        <f>IFERROR(INDEX('چکهای دریافتنی'!F:F,MATCH(Table218[[#This Row],[كد تفصيلي]],'چکهای دریافتنی'!A:A,0)),0)</f>
        <v>1030000000</v>
      </c>
      <c r="F21" s="11">
        <f>Table218[[#This Row],[حسابهای دریافتنی]]+Table218[[#This Row],[چکهای در جریان وصول]]+Table218[[#This Row],[چکهای نزد صندوق]]</f>
        <v>1583728200</v>
      </c>
      <c r="G21" s="12">
        <f>IFERROR(INDEX('مانده سوفاله'!F:F,MATCH(Table218[[#This Row],[كد تفصيلي]],'مانده سوفاله'!A:A,0)),0)</f>
        <v>-12630</v>
      </c>
    </row>
    <row r="22" spans="1:7" ht="24" customHeight="1" x14ac:dyDescent="0.35">
      <c r="A22" s="27">
        <v>10127</v>
      </c>
      <c r="B22" s="69" t="s">
        <v>371</v>
      </c>
      <c r="C22" s="10">
        <f>IFERROR(INDEX('حسابهای دریافتنی'!H:H,MATCH(Table218[[#This Row],[كد تفصيلي]],'حسابهای دریافتنی'!A:A,0)),0)</f>
        <v>803728000</v>
      </c>
      <c r="D22" s="11">
        <f>IFERROR(INDEX('درجریان وصول'!F:F,MATCH(Table218[[#This Row],[كد تفصيلي]],'درجریان وصول'!A:A,0)),0)</f>
        <v>0</v>
      </c>
      <c r="E22" s="11">
        <f>IFERROR(INDEX('چکهای دریافتنی'!F:F,MATCH(Table218[[#This Row],[كد تفصيلي]],'چکهای دریافتنی'!A:A,0)),0)</f>
        <v>0</v>
      </c>
      <c r="F22" s="11">
        <f>Table218[[#This Row],[حسابهای دریافتنی]]+Table218[[#This Row],[چکهای در جریان وصول]]+Table218[[#This Row],[چکهای نزد صندوق]]</f>
        <v>803728000</v>
      </c>
      <c r="G22" s="12">
        <f>IFERROR(INDEX('مانده سوفاله'!F:F,MATCH(Table218[[#This Row],[كد تفصيلي]],'مانده سوفاله'!A:A,0)),0)</f>
        <v>-1469</v>
      </c>
    </row>
    <row r="23" spans="1:7" ht="24" customHeight="1" x14ac:dyDescent="0.35">
      <c r="A23" s="27">
        <v>30190</v>
      </c>
      <c r="B23" s="69" t="s">
        <v>459</v>
      </c>
      <c r="C23" s="10">
        <f>IFERROR(INDEX('حسابهای دریافتنی'!H:H,MATCH(Table218[[#This Row],[كد تفصيلي]],'حسابهای دریافتنی'!A:A,0)),0)</f>
        <v>328477520</v>
      </c>
      <c r="D23" s="11">
        <f>IFERROR(INDEX('درجریان وصول'!F:F,MATCH(Table218[[#This Row],[كد تفصيلي]],'درجریان وصول'!A:A,0)),0)</f>
        <v>0</v>
      </c>
      <c r="E23" s="11">
        <f>IFERROR(INDEX('چکهای دریافتنی'!F:F,MATCH(Table218[[#This Row],[كد تفصيلي]],'چکهای دریافتنی'!A:A,0)),0)</f>
        <v>0</v>
      </c>
      <c r="F23" s="11">
        <f>Table218[[#This Row],[حسابهای دریافتنی]]+Table218[[#This Row],[چکهای در جریان وصول]]+Table218[[#This Row],[چکهای نزد صندوق]]</f>
        <v>328477520</v>
      </c>
      <c r="G23" s="12">
        <f>IFERROR(INDEX('مانده سوفاله'!F:F,MATCH(Table218[[#This Row],[كد تفصيلي]],'مانده سوفاله'!A:A,0)),0)</f>
        <v>1790</v>
      </c>
    </row>
    <row r="24" spans="1:7" ht="24" customHeight="1" x14ac:dyDescent="0.35">
      <c r="A24" s="27">
        <v>10008</v>
      </c>
      <c r="B24" s="69" t="s">
        <v>15</v>
      </c>
      <c r="C24" s="10">
        <f>IFERROR(INDEX('حسابهای دریافتنی'!H:H,MATCH(Table218[[#This Row],[كد تفصيلي]],'حسابهای دریافتنی'!A:A,0)),0)</f>
        <v>597342000</v>
      </c>
      <c r="D24" s="11">
        <f>IFERROR(INDEX('درجریان وصول'!F:F,MATCH(Table218[[#This Row],[كد تفصيلي]],'درجریان وصول'!A:A,0)),0)</f>
        <v>0</v>
      </c>
      <c r="E24" s="11">
        <f>IFERROR(INDEX('چکهای دریافتنی'!F:F,MATCH(Table218[[#This Row],[كد تفصيلي]],'چکهای دریافتنی'!A:A,0)),0)</f>
        <v>0</v>
      </c>
      <c r="F24" s="11">
        <f>Table218[[#This Row],[حسابهای دریافتنی]]+Table218[[#This Row],[چکهای در جریان وصول]]+Table218[[#This Row],[چکهای نزد صندوق]]</f>
        <v>597342000</v>
      </c>
      <c r="G24" s="12">
        <f>IFERROR(INDEX('مانده سوفاله'!F:F,MATCH(Table218[[#This Row],[كد تفصيلي]],'مانده سوفاله'!A:A,0)),0)</f>
        <v>-578</v>
      </c>
    </row>
    <row r="25" spans="1:7" ht="24" customHeight="1" x14ac:dyDescent="0.35">
      <c r="A25" s="26">
        <v>30070</v>
      </c>
      <c r="B25" s="68" t="s">
        <v>115</v>
      </c>
      <c r="C25" s="10">
        <f>IFERROR(INDEX('حسابهای دریافتنی'!H:H,MATCH(Table218[[#This Row],[كد تفصيلي]],'حسابهای دریافتنی'!A:A,0)),0)</f>
        <v>2651728820</v>
      </c>
      <c r="D25" s="11">
        <f>IFERROR(INDEX('درجریان وصول'!F:F,MATCH(Table218[[#This Row],[كد تفصيلي]],'درجریان وصول'!A:A,0)),0)</f>
        <v>0</v>
      </c>
      <c r="E25" s="11">
        <f>IFERROR(INDEX('چکهای دریافتنی'!F:F,MATCH(Table218[[#This Row],[كد تفصيلي]],'چکهای دریافتنی'!A:A,0)),0)</f>
        <v>3660000000</v>
      </c>
      <c r="F25" s="11">
        <f>Table218[[#This Row],[حسابهای دریافتنی]]+Table218[[#This Row],[چکهای در جریان وصول]]+Table218[[#This Row],[چکهای نزد صندوق]]</f>
        <v>6311728820</v>
      </c>
      <c r="G25" s="12">
        <f>IFERROR(INDEX('مانده سوفاله'!F:F,MATCH(Table218[[#This Row],[كد تفصيلي]],'مانده سوفاله'!A:A,0)),0)</f>
        <v>4378</v>
      </c>
    </row>
    <row r="26" spans="1:7" ht="24" customHeight="1" x14ac:dyDescent="0.35">
      <c r="A26" s="27">
        <v>30018</v>
      </c>
      <c r="B26" s="69" t="s">
        <v>66</v>
      </c>
      <c r="C26" s="10">
        <f>IFERROR(INDEX('حسابهای دریافتنی'!H:H,MATCH(Table218[[#This Row],[كد تفصيلي]],'حسابهای دریافتنی'!A:A,0)),0)</f>
        <v>1901077182</v>
      </c>
      <c r="D26" s="11">
        <f>IFERROR(INDEX('درجریان وصول'!F:F,MATCH(Table218[[#This Row],[كد تفصيلي]],'درجریان وصول'!A:A,0)),0)</f>
        <v>0</v>
      </c>
      <c r="E26" s="11">
        <f>IFERROR(INDEX('چکهای دریافتنی'!F:F,MATCH(Table218[[#This Row],[كد تفصيلي]],'چکهای دریافتنی'!A:A,0)),0)</f>
        <v>0</v>
      </c>
      <c r="F26" s="11">
        <f>Table218[[#This Row],[حسابهای دریافتنی]]+Table218[[#This Row],[چکهای در جریان وصول]]+Table218[[#This Row],[چکهای نزد صندوق]]</f>
        <v>1901077182</v>
      </c>
      <c r="G26" s="12">
        <f>IFERROR(INDEX('مانده سوفاله'!F:F,MATCH(Table218[[#This Row],[كد تفصيلي]],'مانده سوفاله'!A:A,0)),0)</f>
        <v>-3024</v>
      </c>
    </row>
    <row r="27" spans="1:7" ht="24" customHeight="1" x14ac:dyDescent="0.35">
      <c r="A27" s="27">
        <v>30020</v>
      </c>
      <c r="B27" s="69" t="s">
        <v>68</v>
      </c>
      <c r="C27" s="10">
        <f>IFERROR(INDEX('حسابهای دریافتنی'!H:H,MATCH(Table218[[#This Row],[كد تفصيلي]],'حسابهای دریافتنی'!A:A,0)),0)</f>
        <v>2253500</v>
      </c>
      <c r="D27" s="11">
        <f>IFERROR(INDEX('درجریان وصول'!F:F,MATCH(Table218[[#This Row],[كد تفصيلي]],'درجریان وصول'!A:A,0)),0)</f>
        <v>0</v>
      </c>
      <c r="E27" s="11">
        <f>IFERROR(INDEX('چکهای دریافتنی'!F:F,MATCH(Table218[[#This Row],[كد تفصيلي]],'چکهای دریافتنی'!A:A,0)),0)</f>
        <v>0</v>
      </c>
      <c r="F27" s="11">
        <f>Table218[[#This Row],[حسابهای دریافتنی]]+Table218[[#This Row],[چکهای در جریان وصول]]+Table218[[#This Row],[چکهای نزد صندوق]]</f>
        <v>2253500</v>
      </c>
      <c r="G27" s="12">
        <f>IFERROR(INDEX('مانده سوفاله'!F:F,MATCH(Table218[[#This Row],[كد تفصيلي]],'مانده سوفاله'!A:A,0)),0)</f>
        <v>4</v>
      </c>
    </row>
    <row r="28" spans="1:7" ht="24" customHeight="1" x14ac:dyDescent="0.35">
      <c r="A28" s="27">
        <v>30014</v>
      </c>
      <c r="B28" s="69" t="s">
        <v>63</v>
      </c>
      <c r="C28" s="10">
        <f>IFERROR(INDEX('حسابهای دریافتنی'!H:H,MATCH(Table218[[#This Row],[كد تفصيلي]],'حسابهای دریافتنی'!A:A,0)),0)</f>
        <v>1762223932</v>
      </c>
      <c r="D28" s="11">
        <f>IFERROR(INDEX('درجریان وصول'!F:F,MATCH(Table218[[#This Row],[كد تفصيلي]],'درجریان وصول'!A:A,0)),0)</f>
        <v>0</v>
      </c>
      <c r="E28" s="11">
        <f>IFERROR(INDEX('چکهای دریافتنی'!F:F,MATCH(Table218[[#This Row],[كد تفصيلي]],'چکهای دریافتنی'!A:A,0)),0)</f>
        <v>0</v>
      </c>
      <c r="F28" s="11">
        <f>Table218[[#This Row],[حسابهای دریافتنی]]+Table218[[#This Row],[چکهای در جریان وصول]]+Table218[[#This Row],[چکهای نزد صندوق]]</f>
        <v>1762223932</v>
      </c>
      <c r="G28" s="12">
        <f>IFERROR(INDEX('مانده سوفاله'!F:F,MATCH(Table218[[#This Row],[كد تفصيلي]],'مانده سوفاله'!A:A,0)),0)</f>
        <v>-1368</v>
      </c>
    </row>
    <row r="29" spans="1:7" ht="24" customHeight="1" x14ac:dyDescent="0.35">
      <c r="A29" s="27">
        <v>30069</v>
      </c>
      <c r="B29" s="69" t="s">
        <v>114</v>
      </c>
      <c r="C29" s="10">
        <f>IFERROR(INDEX('حسابهای دریافتنی'!H:H,MATCH(Table218[[#This Row],[كد تفصيلي]],'حسابهای دریافتنی'!A:A,0)),0)</f>
        <v>377909400</v>
      </c>
      <c r="D29" s="11">
        <f>IFERROR(INDEX('درجریان وصول'!F:F,MATCH(Table218[[#This Row],[كد تفصيلي]],'درجریان وصول'!A:A,0)),0)</f>
        <v>0</v>
      </c>
      <c r="E29" s="11">
        <f>IFERROR(INDEX('چکهای دریافتنی'!F:F,MATCH(Table218[[#This Row],[كد تفصيلي]],'چکهای دریافتنی'!A:A,0)),0)</f>
        <v>0</v>
      </c>
      <c r="F29" s="11">
        <f>Table218[[#This Row],[حسابهای دریافتنی]]+Table218[[#This Row],[چکهای در جریان وصول]]+Table218[[#This Row],[چکهای نزد صندوق]]</f>
        <v>377909400</v>
      </c>
      <c r="G29" s="12">
        <f>IFERROR(INDEX('مانده سوفاله'!F:F,MATCH(Table218[[#This Row],[كد تفصيلي]],'مانده سوفاله'!A:A,0)),0)</f>
        <v>66</v>
      </c>
    </row>
    <row r="30" spans="1:7" ht="24" customHeight="1" x14ac:dyDescent="0.35">
      <c r="A30" s="27">
        <v>10002</v>
      </c>
      <c r="B30" s="69" t="s">
        <v>9</v>
      </c>
      <c r="C30" s="10">
        <f>IFERROR(INDEX('حسابهای دریافتنی'!H:H,MATCH(Table218[[#This Row],[كد تفصيلي]],'حسابهای دریافتنی'!A:A,0)),0)</f>
        <v>-3600000000</v>
      </c>
      <c r="D30" s="11">
        <f>IFERROR(INDEX('درجریان وصول'!F:F,MATCH(Table218[[#This Row],[كد تفصيلي]],'درجریان وصول'!A:A,0)),0)</f>
        <v>0</v>
      </c>
      <c r="E30" s="11">
        <f>IFERROR(INDEX('چکهای دریافتنی'!F:F,MATCH(Table218[[#This Row],[كد تفصيلي]],'چکهای دریافتنی'!A:A,0)),0)</f>
        <v>0</v>
      </c>
      <c r="F30" s="11">
        <f>Table218[[#This Row],[حسابهای دریافتنی]]+Table218[[#This Row],[چکهای در جریان وصول]]+Table218[[#This Row],[چکهای نزد صندوق]]</f>
        <v>-3600000000</v>
      </c>
      <c r="G30" s="12">
        <f>IFERROR(INDEX('مانده سوفاله'!F:F,MATCH(Table218[[#This Row],[كد تفصيلي]],'مانده سوفاله'!A:A,0)),0)</f>
        <v>0</v>
      </c>
    </row>
    <row r="31" spans="1:7" ht="24" customHeight="1" x14ac:dyDescent="0.35">
      <c r="A31" s="27">
        <v>30055</v>
      </c>
      <c r="B31" s="69" t="s">
        <v>100</v>
      </c>
      <c r="C31" s="10">
        <f>IFERROR(INDEX('حسابهای دریافتنی'!H:H,MATCH(Table218[[#This Row],[كد تفصيلي]],'حسابهای دریافتنی'!A:A,0)),0)</f>
        <v>0</v>
      </c>
      <c r="D31" s="11">
        <f>IFERROR(INDEX('درجریان وصول'!F:F,MATCH(Table218[[#This Row],[كد تفصيلي]],'درجریان وصول'!A:A,0)),0)</f>
        <v>0</v>
      </c>
      <c r="E31" s="11">
        <f>IFERROR(INDEX('چکهای دریافتنی'!F:F,MATCH(Table218[[#This Row],[كد تفصيلي]],'چکهای دریافتنی'!A:A,0)),0)</f>
        <v>0</v>
      </c>
      <c r="F31" s="11">
        <f>Table218[[#This Row],[حسابهای دریافتنی]]+Table218[[#This Row],[چکهای در جریان وصول]]+Table218[[#This Row],[چکهای نزد صندوق]]</f>
        <v>0</v>
      </c>
      <c r="G31" s="12">
        <f>IFERROR(INDEX('مانده سوفاله'!F:F,MATCH(Table218[[#This Row],[كد تفصيلي]],'مانده سوفاله'!A:A,0)),0)</f>
        <v>48</v>
      </c>
    </row>
    <row r="32" spans="1:7" ht="24" customHeight="1" x14ac:dyDescent="0.35">
      <c r="A32" s="27">
        <v>10070</v>
      </c>
      <c r="B32" s="69" t="s">
        <v>230</v>
      </c>
      <c r="C32" s="10">
        <f>IFERROR(INDEX('حسابهای دریافتنی'!H:H,MATCH(Table218[[#This Row],[كد تفصيلي]],'حسابهای دریافتنی'!A:A,0)),0)</f>
        <v>508152500</v>
      </c>
      <c r="D32" s="11">
        <f>IFERROR(INDEX('درجریان وصول'!F:F,MATCH(Table218[[#This Row],[كد تفصيلي]],'درجریان وصول'!A:A,0)),0)</f>
        <v>0</v>
      </c>
      <c r="E32" s="11">
        <f>IFERROR(INDEX('چکهای دریافتنی'!F:F,MATCH(Table218[[#This Row],[كد تفصيلي]],'چکهای دریافتنی'!A:A,0)),0)</f>
        <v>570000000</v>
      </c>
      <c r="F32" s="11">
        <f>Table218[[#This Row],[حسابهای دریافتنی]]+Table218[[#This Row],[چکهای در جریان وصول]]+Table218[[#This Row],[چکهای نزد صندوق]]</f>
        <v>1078152500</v>
      </c>
      <c r="G32" s="12">
        <f>IFERROR(INDEX('مانده سوفاله'!F:F,MATCH(Table218[[#This Row],[كد تفصيلي]],'مانده سوفاله'!A:A,0)),0)</f>
        <v>-3170</v>
      </c>
    </row>
    <row r="33" spans="1:7" ht="24" customHeight="1" x14ac:dyDescent="0.35">
      <c r="A33" s="27">
        <v>10084</v>
      </c>
      <c r="B33" s="69" t="s">
        <v>217</v>
      </c>
      <c r="C33" s="10">
        <f>IFERROR(INDEX('حسابهای دریافتنی'!H:H,MATCH(Table218[[#This Row],[كد تفصيلي]],'حسابهای دریافتنی'!A:A,0)),0)</f>
        <v>358092810</v>
      </c>
      <c r="D33" s="11">
        <f>IFERROR(INDEX('درجریان وصول'!F:F,MATCH(Table218[[#This Row],[كد تفصيلي]],'درجریان وصول'!A:A,0)),0)</f>
        <v>0</v>
      </c>
      <c r="E33" s="11">
        <f>IFERROR(INDEX('چکهای دریافتنی'!F:F,MATCH(Table218[[#This Row],[كد تفصيلي]],'چکهای دریافتنی'!A:A,0)),0)</f>
        <v>870000000</v>
      </c>
      <c r="F33" s="11">
        <f>Table218[[#This Row],[حسابهای دریافتنی]]+Table218[[#This Row],[چکهای در جریان وصول]]+Table218[[#This Row],[چکهای نزد صندوق]]</f>
        <v>1228092810</v>
      </c>
      <c r="G33" s="12">
        <f>IFERROR(INDEX('مانده سوفاله'!F:F,MATCH(Table218[[#This Row],[كد تفصيلي]],'مانده سوفاله'!A:A,0)),0)</f>
        <v>-1656</v>
      </c>
    </row>
    <row r="34" spans="1:7" ht="24" customHeight="1" x14ac:dyDescent="0.35">
      <c r="A34" s="26">
        <v>30086</v>
      </c>
      <c r="B34" s="68" t="s">
        <v>131</v>
      </c>
      <c r="C34" s="10">
        <f>IFERROR(INDEX('حسابهای دریافتنی'!H:H,MATCH(Table218[[#This Row],[كد تفصيلي]],'حسابهای دریافتنی'!A:A,0)),0)</f>
        <v>187376603</v>
      </c>
      <c r="D34" s="11">
        <f>IFERROR(INDEX('درجریان وصول'!F:F,MATCH(Table218[[#This Row],[كد تفصيلي]],'درجریان وصول'!A:A,0)),0)</f>
        <v>0</v>
      </c>
      <c r="E34" s="11">
        <f>IFERROR(INDEX('چکهای دریافتنی'!F:F,MATCH(Table218[[#This Row],[كد تفصيلي]],'چکهای دریافتنی'!A:A,0)),0)</f>
        <v>0</v>
      </c>
      <c r="F34" s="11">
        <f>Table218[[#This Row],[حسابهای دریافتنی]]+Table218[[#This Row],[چکهای در جریان وصول]]+Table218[[#This Row],[چکهای نزد صندوق]]</f>
        <v>187376603</v>
      </c>
      <c r="G34" s="12">
        <f>IFERROR(INDEX('مانده سوفاله'!F:F,MATCH(Table218[[#This Row],[كد تفصيلي]],'مانده سوفاله'!A:A,0)),0)</f>
        <v>1549</v>
      </c>
    </row>
    <row r="35" spans="1:7" ht="24" customHeight="1" x14ac:dyDescent="0.35">
      <c r="A35" s="26">
        <v>30064</v>
      </c>
      <c r="B35" s="68" t="s">
        <v>109</v>
      </c>
      <c r="C35" s="10">
        <f>IFERROR(INDEX('حسابهای دریافتنی'!H:H,MATCH(Table218[[#This Row],[كد تفصيلي]],'حسابهای دریافتنی'!A:A,0)),0)</f>
        <v>-49679500</v>
      </c>
      <c r="D35" s="11">
        <f>IFERROR(INDEX('درجریان وصول'!F:F,MATCH(Table218[[#This Row],[كد تفصيلي]],'درجریان وصول'!A:A,0)),0)</f>
        <v>0</v>
      </c>
      <c r="E35" s="11">
        <f>IFERROR(INDEX('چکهای دریافتنی'!F:F,MATCH(Table218[[#This Row],[كد تفصيلي]],'چکهای دریافتنی'!A:A,0)),0)</f>
        <v>0</v>
      </c>
      <c r="F35" s="11">
        <f>Table218[[#This Row],[حسابهای دریافتنی]]+Table218[[#This Row],[چکهای در جریان وصول]]+Table218[[#This Row],[چکهای نزد صندوق]]</f>
        <v>-49679500</v>
      </c>
      <c r="G35" s="12">
        <f>IFERROR(INDEX('مانده سوفاله'!F:F,MATCH(Table218[[#This Row],[كد تفصيلي]],'مانده سوفاله'!A:A,0)),0)</f>
        <v>0</v>
      </c>
    </row>
    <row r="36" spans="1:7" ht="24" customHeight="1" x14ac:dyDescent="0.35">
      <c r="A36" s="26">
        <v>30001</v>
      </c>
      <c r="B36" s="68" t="s">
        <v>190</v>
      </c>
      <c r="C36" s="10">
        <f>IFERROR(INDEX('حسابهای دریافتنی'!H:H,MATCH(Table218[[#This Row],[كد تفصيلي]],'حسابهای دریافتنی'!A:A,0)),0)</f>
        <v>119647176</v>
      </c>
      <c r="D36" s="11">
        <f>IFERROR(INDEX('درجریان وصول'!F:F,MATCH(Table218[[#This Row],[كد تفصيلي]],'درجریان وصول'!A:A,0)),0)</f>
        <v>0</v>
      </c>
      <c r="E36" s="11">
        <f>IFERROR(INDEX('چکهای دریافتنی'!F:F,MATCH(Table218[[#This Row],[كد تفصيلي]],'چکهای دریافتنی'!A:A,0)),0)</f>
        <v>0</v>
      </c>
      <c r="F36" s="11">
        <f>Table218[[#This Row],[حسابهای دریافتنی]]+Table218[[#This Row],[چکهای در جریان وصول]]+Table218[[#This Row],[چکهای نزد صندوق]]</f>
        <v>119647176</v>
      </c>
      <c r="G36" s="12">
        <f>IFERROR(INDEX('مانده سوفاله'!F:F,MATCH(Table218[[#This Row],[كد تفصيلي]],'مانده سوفاله'!A:A,0)),0)</f>
        <v>123</v>
      </c>
    </row>
    <row r="37" spans="1:7" ht="24" customHeight="1" x14ac:dyDescent="0.35">
      <c r="A37" s="27">
        <v>30077</v>
      </c>
      <c r="B37" s="69" t="s">
        <v>122</v>
      </c>
      <c r="C37" s="10">
        <f>IFERROR(INDEX('حسابهای دریافتنی'!H:H,MATCH(Table218[[#This Row],[كد تفصيلي]],'حسابهای دریافتنی'!A:A,0)),0)</f>
        <v>360000</v>
      </c>
      <c r="D37" s="11">
        <f>IFERROR(INDEX('درجریان وصول'!F:F,MATCH(Table218[[#This Row],[كد تفصيلي]],'درجریان وصول'!A:A,0)),0)</f>
        <v>0</v>
      </c>
      <c r="E37" s="11">
        <f>IFERROR(INDEX('چکهای دریافتنی'!F:F,MATCH(Table218[[#This Row],[كد تفصيلي]],'چکهای دریافتنی'!A:A,0)),0)</f>
        <v>0</v>
      </c>
      <c r="F37" s="11">
        <f>Table218[[#This Row],[حسابهای دریافتنی]]+Table218[[#This Row],[چکهای در جریان وصول]]+Table218[[#This Row],[چکهای نزد صندوق]]</f>
        <v>360000</v>
      </c>
      <c r="G37" s="12">
        <f>IFERROR(INDEX('مانده سوفاله'!F:F,MATCH(Table218[[#This Row],[كد تفصيلي]],'مانده سوفاله'!A:A,0)),0)</f>
        <v>-32</v>
      </c>
    </row>
    <row r="38" spans="1:7" ht="24" customHeight="1" x14ac:dyDescent="0.35">
      <c r="A38" s="27">
        <v>30196</v>
      </c>
      <c r="B38" s="69" t="s">
        <v>481</v>
      </c>
      <c r="C38" s="10">
        <f>IFERROR(INDEX('حسابهای دریافتنی'!H:H,MATCH(Table218[[#This Row],[كد تفصيلي]],'حسابهای دریافتنی'!A:A,0)),0)</f>
        <v>3592950000</v>
      </c>
      <c r="D38" s="11">
        <f>IFERROR(INDEX('درجریان وصول'!F:F,MATCH(Table218[[#This Row],[كد تفصيلي]],'درجریان وصول'!A:A,0)),0)</f>
        <v>0</v>
      </c>
      <c r="E38" s="11">
        <f>IFERROR(INDEX('چکهای دریافتنی'!F:F,MATCH(Table218[[#This Row],[كد تفصيلي]],'چکهای دریافتنی'!A:A,0)),0)</f>
        <v>0</v>
      </c>
      <c r="F38" s="11">
        <f>Table218[[#This Row],[حسابهای دریافتنی]]+Table218[[#This Row],[چکهای در جریان وصول]]+Table218[[#This Row],[چکهای نزد صندوق]]</f>
        <v>3592950000</v>
      </c>
      <c r="G38" s="12">
        <f>IFERROR(INDEX('مانده سوفاله'!F:F,MATCH(Table218[[#This Row],[كد تفصيلي]],'مانده سوفاله'!A:A,0)),0)</f>
        <v>-8965</v>
      </c>
    </row>
    <row r="39" spans="1:7" ht="24" customHeight="1" x14ac:dyDescent="0.35">
      <c r="A39" s="27">
        <v>10096</v>
      </c>
      <c r="B39" s="69" t="s">
        <v>271</v>
      </c>
      <c r="C39" s="10">
        <f>IFERROR(INDEX('حسابهای دریافتنی'!H:H,MATCH(Table218[[#This Row],[كد تفصيلي]],'حسابهای دریافتنی'!A:A,0)),0)</f>
        <v>36455500</v>
      </c>
      <c r="D39" s="11">
        <f>IFERROR(INDEX('درجریان وصول'!F:F,MATCH(Table218[[#This Row],[كد تفصيلي]],'درجریان وصول'!A:A,0)),0)</f>
        <v>0</v>
      </c>
      <c r="E39" s="11">
        <f>IFERROR(INDEX('چکهای دریافتنی'!F:F,MATCH(Table218[[#This Row],[كد تفصيلي]],'چکهای دریافتنی'!A:A,0)),0)</f>
        <v>0</v>
      </c>
      <c r="F39" s="11">
        <f>Table218[[#This Row],[حسابهای دریافتنی]]+Table218[[#This Row],[چکهای در جریان وصول]]+Table218[[#This Row],[چکهای نزد صندوق]]</f>
        <v>36455500</v>
      </c>
      <c r="G39" s="12">
        <f>IFERROR(INDEX('مانده سوفاله'!F:F,MATCH(Table218[[#This Row],[كد تفصيلي]],'مانده سوفاله'!A:A,0)),0)</f>
        <v>0</v>
      </c>
    </row>
    <row r="40" spans="1:7" ht="24" customHeight="1" x14ac:dyDescent="0.35">
      <c r="A40" s="26">
        <v>30025</v>
      </c>
      <c r="B40" s="68" t="s">
        <v>73</v>
      </c>
      <c r="C40" s="10">
        <f>IFERROR(INDEX('حسابهای دریافتنی'!H:H,MATCH(Table218[[#This Row],[كد تفصيلي]],'حسابهای دریافتنی'!A:A,0)),0)</f>
        <v>35598920</v>
      </c>
      <c r="D40" s="11">
        <f>IFERROR(INDEX('درجریان وصول'!F:F,MATCH(Table218[[#This Row],[كد تفصيلي]],'درجریان وصول'!A:A,0)),0)</f>
        <v>0</v>
      </c>
      <c r="E40" s="11">
        <f>IFERROR(INDEX('چکهای دریافتنی'!F:F,MATCH(Table218[[#This Row],[كد تفصيلي]],'چکهای دریافتنی'!A:A,0)),0)</f>
        <v>0</v>
      </c>
      <c r="F40" s="11">
        <f>Table218[[#This Row],[حسابهای دریافتنی]]+Table218[[#This Row],[چکهای در جریان وصول]]+Table218[[#This Row],[چکهای نزد صندوق]]</f>
        <v>35598920</v>
      </c>
      <c r="G40" s="12">
        <f>IFERROR(INDEX('مانده سوفاله'!F:F,MATCH(Table218[[#This Row],[كد تفصيلي]],'مانده سوفاله'!A:A,0)),0)</f>
        <v>-165</v>
      </c>
    </row>
    <row r="41" spans="1:7" ht="24" customHeight="1" x14ac:dyDescent="0.35">
      <c r="A41" s="26">
        <v>30005</v>
      </c>
      <c r="B41" s="68" t="s">
        <v>55</v>
      </c>
      <c r="C41" s="10">
        <f>IFERROR(INDEX('حسابهای دریافتنی'!H:H,MATCH(Table218[[#This Row],[كد تفصيلي]],'حسابهای دریافتنی'!A:A,0)),0)</f>
        <v>35368209</v>
      </c>
      <c r="D41" s="11">
        <f>IFERROR(INDEX('درجریان وصول'!F:F,MATCH(Table218[[#This Row],[كد تفصيلي]],'درجریان وصول'!A:A,0)),0)</f>
        <v>0</v>
      </c>
      <c r="E41" s="11">
        <f>IFERROR(INDEX('چکهای دریافتنی'!F:F,MATCH(Table218[[#This Row],[كد تفصيلي]],'چکهای دریافتنی'!A:A,0)),0)</f>
        <v>0</v>
      </c>
      <c r="F41" s="11">
        <f>Table218[[#This Row],[حسابهای دریافتنی]]+Table218[[#This Row],[چکهای در جریان وصول]]+Table218[[#This Row],[چکهای نزد صندوق]]</f>
        <v>35368209</v>
      </c>
      <c r="G41" s="12">
        <f>IFERROR(INDEX('مانده سوفاله'!F:F,MATCH(Table218[[#This Row],[كد تفصيلي]],'مانده سوفاله'!A:A,0)),0)</f>
        <v>61</v>
      </c>
    </row>
    <row r="42" spans="1:7" ht="24" customHeight="1" x14ac:dyDescent="0.35">
      <c r="A42" s="26">
        <v>10097</v>
      </c>
      <c r="B42" s="68" t="s">
        <v>270</v>
      </c>
      <c r="C42" s="10">
        <f>IFERROR(INDEX('حسابهای دریافتنی'!H:H,MATCH(Table218[[#This Row],[كد تفصيلي]],'حسابهای دریافتنی'!A:A,0)),0)</f>
        <v>270642500</v>
      </c>
      <c r="D42" s="11">
        <f>IFERROR(INDEX('درجریان وصول'!F:F,MATCH(Table218[[#This Row],[كد تفصيلي]],'درجریان وصول'!A:A,0)),0)</f>
        <v>0</v>
      </c>
      <c r="E42" s="11">
        <f>IFERROR(INDEX('چکهای دریافتنی'!F:F,MATCH(Table218[[#This Row],[كد تفصيلي]],'چکهای دریافتنی'!A:A,0)),0)</f>
        <v>287000000</v>
      </c>
      <c r="F42" s="11">
        <f>Table218[[#This Row],[حسابهای دریافتنی]]+Table218[[#This Row],[چکهای در جریان وصول]]+Table218[[#This Row],[چکهای نزد صندوق]]</f>
        <v>557642500</v>
      </c>
      <c r="G42" s="12">
        <f>IFERROR(INDEX('مانده سوفاله'!F:F,MATCH(Table218[[#This Row],[كد تفصيلي]],'مانده سوفاله'!A:A,0)),0)</f>
        <v>0</v>
      </c>
    </row>
    <row r="43" spans="1:7" ht="24" customHeight="1" x14ac:dyDescent="0.35">
      <c r="A43" s="27">
        <v>30093</v>
      </c>
      <c r="B43" s="69" t="s">
        <v>151</v>
      </c>
      <c r="C43" s="10">
        <f>IFERROR(INDEX('حسابهای دریافتنی'!H:H,MATCH(Table218[[#This Row],[كد تفصيلي]],'حسابهای دریافتنی'!A:A,0)),0)</f>
        <v>0</v>
      </c>
      <c r="D43" s="11">
        <f>IFERROR(INDEX('درجریان وصول'!F:F,MATCH(Table218[[#This Row],[كد تفصيلي]],'درجریان وصول'!A:A,0)),0)</f>
        <v>0</v>
      </c>
      <c r="E43" s="11">
        <f>IFERROR(INDEX('چکهای دریافتنی'!F:F,MATCH(Table218[[#This Row],[كد تفصيلي]],'چکهای دریافتنی'!A:A,0)),0)</f>
        <v>0</v>
      </c>
      <c r="F43" s="11">
        <f>Table218[[#This Row],[حسابهای دریافتنی]]+Table218[[#This Row],[چکهای در جریان وصول]]+Table218[[#This Row],[چکهای نزد صندوق]]</f>
        <v>0</v>
      </c>
      <c r="G43" s="12">
        <v>77</v>
      </c>
    </row>
    <row r="44" spans="1:7" ht="24" customHeight="1" x14ac:dyDescent="0.35">
      <c r="A44" s="26">
        <v>10091</v>
      </c>
      <c r="B44" s="68" t="s">
        <v>258</v>
      </c>
      <c r="C44" s="10">
        <f>IFERROR(INDEX('حسابهای دریافتنی'!H:H,MATCH(Table218[[#This Row],[كد تفصيلي]],'حسابهای دریافتنی'!A:A,0)),0)</f>
        <v>59321500</v>
      </c>
      <c r="D44" s="11">
        <f>IFERROR(INDEX('درجریان وصول'!F:F,MATCH(Table218[[#This Row],[كد تفصيلي]],'درجریان وصول'!A:A,0)),0)</f>
        <v>0</v>
      </c>
      <c r="E44" s="11">
        <f>IFERROR(INDEX('چکهای دریافتنی'!F:F,MATCH(Table218[[#This Row],[كد تفصيلي]],'چکهای دریافتنی'!A:A,0)),0)</f>
        <v>0</v>
      </c>
      <c r="F44" s="11">
        <f>Table218[[#This Row],[حسابهای دریافتنی]]+Table218[[#This Row],[چکهای در جریان وصول]]+Table218[[#This Row],[چکهای نزد صندوق]]</f>
        <v>59321500</v>
      </c>
      <c r="G44" s="12">
        <f>IFERROR(INDEX('مانده سوفاله'!F:F,MATCH(Table218[[#This Row],[كد تفصيلي]],'مانده سوفاله'!A:A,0)),0)</f>
        <v>0</v>
      </c>
    </row>
    <row r="45" spans="1:7" ht="24" customHeight="1" x14ac:dyDescent="0.35">
      <c r="A45" s="27">
        <v>30008</v>
      </c>
      <c r="B45" s="69" t="s">
        <v>58</v>
      </c>
      <c r="C45" s="10">
        <f>IFERROR(INDEX('حسابهای دریافتنی'!H:H,MATCH(Table218[[#This Row],[كد تفصيلي]],'حسابهای دریافتنی'!A:A,0)),0)</f>
        <v>15520000</v>
      </c>
      <c r="D45" s="11">
        <f>IFERROR(INDEX('درجریان وصول'!F:F,MATCH(Table218[[#This Row],[كد تفصيلي]],'درجریان وصول'!A:A,0)),0)</f>
        <v>0</v>
      </c>
      <c r="E45" s="11">
        <f>IFERROR(INDEX('چکهای دریافتنی'!F:F,MATCH(Table218[[#This Row],[كد تفصيلي]],'چکهای دریافتنی'!A:A,0)),0)</f>
        <v>0</v>
      </c>
      <c r="F45" s="11">
        <f>Table218[[#This Row],[حسابهای دریافتنی]]+Table218[[#This Row],[چکهای در جریان وصول]]+Table218[[#This Row],[چکهای نزد صندوق]]</f>
        <v>15520000</v>
      </c>
      <c r="G45" s="12">
        <f>IFERROR(INDEX('مانده سوفاله'!F:F,MATCH(Table218[[#This Row],[كد تفصيلي]],'مانده سوفاله'!A:A,0)),0)</f>
        <v>0</v>
      </c>
    </row>
    <row r="46" spans="1:7" ht="24" customHeight="1" x14ac:dyDescent="0.35">
      <c r="A46" s="26">
        <v>10007</v>
      </c>
      <c r="B46" s="68" t="s">
        <v>14</v>
      </c>
      <c r="C46" s="10">
        <f>IFERROR(INDEX('حسابهای دریافتنی'!H:H,MATCH(Table218[[#This Row],[كد تفصيلي]],'حسابهای دریافتنی'!A:A,0)),0)</f>
        <v>12770000</v>
      </c>
      <c r="D46" s="11">
        <f>IFERROR(INDEX('درجریان وصول'!F:F,MATCH(Table218[[#This Row],[كد تفصيلي]],'درجریان وصول'!A:A,0)),0)</f>
        <v>0</v>
      </c>
      <c r="E46" s="11">
        <f>IFERROR(INDEX('چکهای دریافتنی'!F:F,MATCH(Table218[[#This Row],[كد تفصيلي]],'چکهای دریافتنی'!A:A,0)),0)</f>
        <v>0</v>
      </c>
      <c r="F46" s="11">
        <f>Table218[[#This Row],[حسابهای دریافتنی]]+Table218[[#This Row],[چکهای در جریان وصول]]+Table218[[#This Row],[چکهای نزد صندوق]]</f>
        <v>12770000</v>
      </c>
      <c r="G46" s="12">
        <f>IFERROR(INDEX('مانده سوفاله'!F:F,MATCH(Table218[[#This Row],[كد تفصيلي]],'مانده سوفاله'!A:A,0)),0)</f>
        <v>-52.5</v>
      </c>
    </row>
    <row r="47" spans="1:7" ht="24" customHeight="1" x14ac:dyDescent="0.35">
      <c r="A47" s="27">
        <v>30012</v>
      </c>
      <c r="B47" s="69" t="s">
        <v>61</v>
      </c>
      <c r="C47" s="10">
        <f>IFERROR(INDEX('حسابهای دریافتنی'!H:H,MATCH(Table218[[#This Row],[كد تفصيلي]],'حسابهای دریافتنی'!A:A,0)),0)</f>
        <v>-46099000</v>
      </c>
      <c r="D47" s="11">
        <f>IFERROR(INDEX('درجریان وصول'!F:F,MATCH(Table218[[#This Row],[كد تفصيلي]],'درجریان وصول'!A:A,0)),0)</f>
        <v>0</v>
      </c>
      <c r="E47" s="11">
        <f>IFERROR(INDEX('چکهای دریافتنی'!F:F,MATCH(Table218[[#This Row],[كد تفصيلي]],'چکهای دریافتنی'!A:A,0)),0)</f>
        <v>348650000</v>
      </c>
      <c r="F47" s="11">
        <f>Table218[[#This Row],[حسابهای دریافتنی]]+Table218[[#This Row],[چکهای در جریان وصول]]+Table218[[#This Row],[چکهای نزد صندوق]]</f>
        <v>302551000</v>
      </c>
      <c r="G47" s="12">
        <f>IFERROR(INDEX('مانده سوفاله'!F:F,MATCH(Table218[[#This Row],[كد تفصيلي]],'مانده سوفاله'!A:A,0)),0)</f>
        <v>141</v>
      </c>
    </row>
    <row r="48" spans="1:7" ht="24" customHeight="1" x14ac:dyDescent="0.35">
      <c r="A48" s="27">
        <v>30101</v>
      </c>
      <c r="B48" s="69" t="s">
        <v>196</v>
      </c>
      <c r="C48" s="10">
        <f>IFERROR(INDEX('حسابهای دریافتنی'!H:H,MATCH(Table218[[#This Row],[كد تفصيلي]],'حسابهای دریافتنی'!A:A,0)),0)</f>
        <v>203336095</v>
      </c>
      <c r="D48" s="11">
        <f>IFERROR(INDEX('درجریان وصول'!F:F,MATCH(Table218[[#This Row],[كد تفصيلي]],'درجریان وصول'!A:A,0)),0)</f>
        <v>0</v>
      </c>
      <c r="E48" s="11">
        <f>IFERROR(INDEX('چکهای دریافتنی'!F:F,MATCH(Table218[[#This Row],[كد تفصيلي]],'چکهای دریافتنی'!A:A,0)),0)</f>
        <v>0</v>
      </c>
      <c r="F48" s="11">
        <f>Table218[[#This Row],[حسابهای دریافتنی]]+Table218[[#This Row],[چکهای در جریان وصول]]+Table218[[#This Row],[چکهای نزد صندوق]]</f>
        <v>203336095</v>
      </c>
      <c r="G48" s="12">
        <f>IFERROR(INDEX('مانده سوفاله'!F:F,MATCH(Table218[[#This Row],[كد تفصيلي]],'مانده سوفاله'!A:A,0)),0)</f>
        <v>15</v>
      </c>
    </row>
    <row r="49" spans="1:7" ht="24" customHeight="1" x14ac:dyDescent="0.35">
      <c r="A49" s="27">
        <v>30137</v>
      </c>
      <c r="B49" s="69" t="s">
        <v>218</v>
      </c>
      <c r="C49" s="10">
        <f>IFERROR(INDEX('حسابهای دریافتنی'!H:H,MATCH(Table218[[#This Row],[كد تفصيلي]],'حسابهای دریافتنی'!A:A,0)),0)</f>
        <v>0</v>
      </c>
      <c r="D49" s="11">
        <f>IFERROR(INDEX('درجریان وصول'!F:F,MATCH(Table218[[#This Row],[كد تفصيلي]],'درجریان وصول'!A:A,0)),0)</f>
        <v>0</v>
      </c>
      <c r="E49" s="11">
        <f>IFERROR(INDEX('چکهای دریافتنی'!F:F,MATCH(Table218[[#This Row],[كد تفصيلي]],'چکهای دریافتنی'!A:A,0)),0)</f>
        <v>213182200</v>
      </c>
      <c r="F49" s="11">
        <f>Table218[[#This Row],[حسابهای دریافتنی]]+Table218[[#This Row],[چکهای در جریان وصول]]+Table218[[#This Row],[چکهای نزد صندوق]]</f>
        <v>213182200</v>
      </c>
      <c r="G49" s="12">
        <f>IFERROR(INDEX('مانده سوفاله'!F:F,MATCH(Table218[[#This Row],[كد تفصيلي]],'مانده سوفاله'!A:A,0)),0)</f>
        <v>0</v>
      </c>
    </row>
    <row r="50" spans="1:7" ht="24" customHeight="1" x14ac:dyDescent="0.35">
      <c r="A50" s="27">
        <v>30145</v>
      </c>
      <c r="B50" s="69" t="s">
        <v>265</v>
      </c>
      <c r="C50" s="10">
        <f>IFERROR(INDEX('حسابهای دریافتنی'!H:H,MATCH(Table218[[#This Row],[كد تفصيلي]],'حسابهای دریافتنی'!A:A,0)),0)</f>
        <v>6442500</v>
      </c>
      <c r="D50" s="11">
        <f>IFERROR(INDEX('درجریان وصول'!F:F,MATCH(Table218[[#This Row],[كد تفصيلي]],'درجریان وصول'!A:A,0)),0)</f>
        <v>0</v>
      </c>
      <c r="E50" s="11">
        <f>IFERROR(INDEX('چکهای دریافتنی'!F:F,MATCH(Table218[[#This Row],[كد تفصيلي]],'چکهای دریافتنی'!A:A,0)),0)</f>
        <v>0</v>
      </c>
      <c r="F50" s="11">
        <f>Table218[[#This Row],[حسابهای دریافتنی]]+Table218[[#This Row],[چکهای در جریان وصول]]+Table218[[#This Row],[چکهای نزد صندوق]]</f>
        <v>6442500</v>
      </c>
      <c r="G50" s="12">
        <f>IFERROR(INDEX('مانده سوفاله'!F:F,MATCH(Table218[[#This Row],[كد تفصيلي]],'مانده سوفاله'!A:A,0)),0)</f>
        <v>0</v>
      </c>
    </row>
    <row r="51" spans="1:7" ht="24" customHeight="1" x14ac:dyDescent="0.35">
      <c r="A51" s="26">
        <v>30047</v>
      </c>
      <c r="B51" s="68" t="s">
        <v>94</v>
      </c>
      <c r="C51" s="10">
        <f>IFERROR(INDEX('حسابهای دریافتنی'!H:H,MATCH(Table218[[#This Row],[كد تفصيلي]],'حسابهای دریافتنی'!A:A,0)),0)</f>
        <v>5794900</v>
      </c>
      <c r="D51" s="11">
        <f>IFERROR(INDEX('درجریان وصول'!F:F,MATCH(Table218[[#This Row],[كد تفصيلي]],'درجریان وصول'!A:A,0)),0)</f>
        <v>0</v>
      </c>
      <c r="E51" s="11">
        <f>IFERROR(INDEX('چکهای دریافتنی'!F:F,MATCH(Table218[[#This Row],[كد تفصيلي]],'چکهای دریافتنی'!A:A,0)),0)</f>
        <v>0</v>
      </c>
      <c r="F51" s="11">
        <f>Table218[[#This Row],[حسابهای دریافتنی]]+Table218[[#This Row],[چکهای در جریان وصول]]+Table218[[#This Row],[چکهای نزد صندوق]]</f>
        <v>5794900</v>
      </c>
      <c r="G51" s="12">
        <f>IFERROR(INDEX('مانده سوفاله'!F:F,MATCH(Table218[[#This Row],[كد تفصيلي]],'مانده سوفاله'!A:A,0)),0)</f>
        <v>-630</v>
      </c>
    </row>
    <row r="52" spans="1:7" ht="24" customHeight="1" x14ac:dyDescent="0.35">
      <c r="A52" s="26">
        <v>30011</v>
      </c>
      <c r="B52" s="68" t="s">
        <v>60</v>
      </c>
      <c r="C52" s="10">
        <f>IFERROR(INDEX('حسابهای دریافتنی'!H:H,MATCH(Table218[[#This Row],[كد تفصيلي]],'حسابهای دریافتنی'!A:A,0)),0)</f>
        <v>5595200</v>
      </c>
      <c r="D52" s="11">
        <f>IFERROR(INDEX('درجریان وصول'!F:F,MATCH(Table218[[#This Row],[كد تفصيلي]],'درجریان وصول'!A:A,0)),0)</f>
        <v>0</v>
      </c>
      <c r="E52" s="11">
        <f>IFERROR(INDEX('چکهای دریافتنی'!F:F,MATCH(Table218[[#This Row],[كد تفصيلي]],'چکهای دریافتنی'!A:A,0)),0)</f>
        <v>0</v>
      </c>
      <c r="F52" s="11">
        <f>Table218[[#This Row],[حسابهای دریافتنی]]+Table218[[#This Row],[چکهای در جریان وصول]]+Table218[[#This Row],[چکهای نزد صندوق]]</f>
        <v>5595200</v>
      </c>
      <c r="G52" s="12">
        <f>IFERROR(INDEX('مانده سوفاله'!F:F,MATCH(Table218[[#This Row],[كد تفصيلي]],'مانده سوفاله'!A:A,0)),0)</f>
        <v>-5</v>
      </c>
    </row>
    <row r="53" spans="1:7" ht="24" customHeight="1" x14ac:dyDescent="0.35">
      <c r="A53" s="27">
        <v>10080</v>
      </c>
      <c r="B53" s="69" t="s">
        <v>214</v>
      </c>
      <c r="C53" s="10">
        <f>IFERROR(INDEX('حسابهای دریافتنی'!H:H,MATCH(Table218[[#This Row],[كد تفصيلي]],'حسابهای دریافتنی'!A:A,0)),0)</f>
        <v>5395000</v>
      </c>
      <c r="D53" s="11">
        <f>IFERROR(INDEX('درجریان وصول'!F:F,MATCH(Table218[[#This Row],[كد تفصيلي]],'درجریان وصول'!A:A,0)),0)</f>
        <v>0</v>
      </c>
      <c r="E53" s="11">
        <f>IFERROR(INDEX('چکهای دریافتنی'!F:F,MATCH(Table218[[#This Row],[كد تفصيلي]],'چکهای دریافتنی'!A:A,0)),0)</f>
        <v>0</v>
      </c>
      <c r="F53" s="11">
        <f>Table218[[#This Row],[حسابهای دریافتنی]]+Table218[[#This Row],[چکهای در جریان وصول]]+Table218[[#This Row],[چکهای نزد صندوق]]</f>
        <v>5395000</v>
      </c>
      <c r="G53" s="12">
        <f>IFERROR(INDEX('مانده سوفاله'!F:F,MATCH(Table218[[#This Row],[كد تفصيلي]],'مانده سوفاله'!A:A,0)),0)</f>
        <v>0</v>
      </c>
    </row>
    <row r="54" spans="1:7" ht="24" customHeight="1" x14ac:dyDescent="0.35">
      <c r="A54" s="26">
        <v>30114</v>
      </c>
      <c r="B54" s="68" t="s">
        <v>175</v>
      </c>
      <c r="C54" s="10">
        <f>IFERROR(INDEX('حسابهای دریافتنی'!H:H,MATCH(Table218[[#This Row],[كد تفصيلي]],'حسابهای دریافتنی'!A:A,0)),0)</f>
        <v>5385600</v>
      </c>
      <c r="D54" s="11">
        <f>IFERROR(INDEX('درجریان وصول'!F:F,MATCH(Table218[[#This Row],[كد تفصيلي]],'درجریان وصول'!A:A,0)),0)</f>
        <v>0</v>
      </c>
      <c r="E54" s="11">
        <f>IFERROR(INDEX('چکهای دریافتنی'!F:F,MATCH(Table218[[#This Row],[كد تفصيلي]],'چکهای دریافتنی'!A:A,0)),0)</f>
        <v>0</v>
      </c>
      <c r="F54" s="11">
        <f>Table218[[#This Row],[حسابهای دریافتنی]]+Table218[[#This Row],[چکهای در جریان وصول]]+Table218[[#This Row],[چکهای نزد صندوق]]</f>
        <v>5385600</v>
      </c>
      <c r="G54" s="12">
        <f>IFERROR(INDEX('مانده سوفاله'!F:F,MATCH(Table218[[#This Row],[كد تفصيلي]],'مانده سوفاله'!A:A,0)),0)</f>
        <v>0</v>
      </c>
    </row>
    <row r="55" spans="1:7" ht="24" customHeight="1" x14ac:dyDescent="0.35">
      <c r="A55" s="27">
        <v>30123</v>
      </c>
      <c r="B55" s="69" t="s">
        <v>208</v>
      </c>
      <c r="C55" s="10">
        <f>IFERROR(INDEX('حسابهای دریافتنی'!H:H,MATCH(Table218[[#This Row],[كد تفصيلي]],'حسابهای دریافتنی'!A:A,0)),0)</f>
        <v>4138250</v>
      </c>
      <c r="D55" s="11">
        <f>IFERROR(INDEX('درجریان وصول'!F:F,MATCH(Table218[[#This Row],[كد تفصيلي]],'درجریان وصول'!A:A,0)),0)</f>
        <v>0</v>
      </c>
      <c r="E55" s="11">
        <f>IFERROR(INDEX('چکهای دریافتنی'!F:F,MATCH(Table218[[#This Row],[كد تفصيلي]],'چکهای دریافتنی'!A:A,0)),0)</f>
        <v>0</v>
      </c>
      <c r="F55" s="11">
        <f>Table218[[#This Row],[حسابهای دریافتنی]]+Table218[[#This Row],[چکهای در جریان وصول]]+Table218[[#This Row],[چکهای نزد صندوق]]</f>
        <v>4138250</v>
      </c>
      <c r="G55" s="12">
        <f>IFERROR(INDEX('مانده سوفاله'!F:F,MATCH(Table218[[#This Row],[كد تفصيلي]],'مانده سوفاله'!A:A,0)),0)</f>
        <v>-20</v>
      </c>
    </row>
    <row r="56" spans="1:7" ht="24" customHeight="1" x14ac:dyDescent="0.35">
      <c r="A56" s="26">
        <v>10116</v>
      </c>
      <c r="B56" s="68" t="s">
        <v>321</v>
      </c>
      <c r="C56" s="10">
        <f>IFERROR(INDEX('حسابهای دریافتنی'!H:H,MATCH(Table218[[#This Row],[كد تفصيلي]],'حسابهای دریافتنی'!A:A,0)),0)</f>
        <v>3892500</v>
      </c>
      <c r="D56" s="11">
        <f>IFERROR(INDEX('درجریان وصول'!F:F,MATCH(Table218[[#This Row],[كد تفصيلي]],'درجریان وصول'!A:A,0)),0)</f>
        <v>0</v>
      </c>
      <c r="E56" s="11">
        <f>IFERROR(INDEX('چکهای دریافتنی'!F:F,MATCH(Table218[[#This Row],[كد تفصيلي]],'چکهای دریافتنی'!A:A,0)),0)</f>
        <v>0</v>
      </c>
      <c r="F56" s="11">
        <f>Table218[[#This Row],[حسابهای دریافتنی]]+Table218[[#This Row],[چکهای در جریان وصول]]+Table218[[#This Row],[چکهای نزد صندوق]]</f>
        <v>3892500</v>
      </c>
      <c r="G56" s="12">
        <f>IFERROR(INDEX('مانده سوفاله'!F:F,MATCH(Table218[[#This Row],[كد تفصيلي]],'مانده سوفاله'!A:A,0)),0)</f>
        <v>0</v>
      </c>
    </row>
    <row r="57" spans="1:7" ht="24" customHeight="1" x14ac:dyDescent="0.35">
      <c r="A57" s="27">
        <v>10004</v>
      </c>
      <c r="B57" s="69" t="s">
        <v>11</v>
      </c>
      <c r="C57" s="10">
        <f>IFERROR(INDEX('حسابهای دریافتنی'!H:H,MATCH(Table218[[#This Row],[كد تفصيلي]],'حسابهای دریافتنی'!A:A,0)),0)</f>
        <v>853000</v>
      </c>
      <c r="D57" s="11">
        <f>IFERROR(INDEX('درجریان وصول'!F:F,MATCH(Table218[[#This Row],[كد تفصيلي]],'درجریان وصول'!A:A,0)),0)</f>
        <v>0</v>
      </c>
      <c r="E57" s="11">
        <f>IFERROR(INDEX('چکهای دریافتنی'!F:F,MATCH(Table218[[#This Row],[كد تفصيلي]],'چکهای دریافتنی'!A:A,0)),0)</f>
        <v>341000000</v>
      </c>
      <c r="F57" s="11">
        <f>Table218[[#This Row],[حسابهای دریافتنی]]+Table218[[#This Row],[چکهای در جریان وصول]]+Table218[[#This Row],[چکهای نزد صندوق]]</f>
        <v>341853000</v>
      </c>
      <c r="G57" s="12">
        <f>IFERROR(INDEX('مانده سوفاله'!F:F,MATCH(Table218[[#This Row],[كد تفصيلي]],'مانده سوفاله'!A:A,0)),0)</f>
        <v>-12</v>
      </c>
    </row>
    <row r="58" spans="1:7" ht="24" customHeight="1" x14ac:dyDescent="0.35">
      <c r="A58" s="26">
        <v>10101</v>
      </c>
      <c r="B58" s="68" t="s">
        <v>281</v>
      </c>
      <c r="C58" s="10">
        <f>IFERROR(INDEX('حسابهای دریافتنی'!H:H,MATCH(Table218[[#This Row],[كد تفصيلي]],'حسابهای دریافتنی'!A:A,0)),0)</f>
        <v>0</v>
      </c>
      <c r="D58" s="11">
        <f>IFERROR(INDEX('درجریان وصول'!F:F,MATCH(Table218[[#This Row],[كد تفصيلي]],'درجریان وصول'!A:A,0)),0)</f>
        <v>0</v>
      </c>
      <c r="E58" s="11">
        <f>IFERROR(INDEX('چکهای دریافتنی'!F:F,MATCH(Table218[[#This Row],[كد تفصيلي]],'چکهای دریافتنی'!A:A,0)),0)</f>
        <v>0</v>
      </c>
      <c r="F58" s="11">
        <f>Table218[[#This Row],[حسابهای دریافتنی]]+Table218[[#This Row],[چکهای در جریان وصول]]+Table218[[#This Row],[چکهای نزد صندوق]]</f>
        <v>0</v>
      </c>
      <c r="G58" s="12">
        <f>IFERROR(INDEX('مانده سوفاله'!F:F,MATCH(Table218[[#This Row],[كد تفصيلي]],'مانده سوفاله'!A:A,0)),0)</f>
        <v>0</v>
      </c>
    </row>
    <row r="59" spans="1:7" ht="24" customHeight="1" x14ac:dyDescent="0.35">
      <c r="A59" s="27">
        <v>10030</v>
      </c>
      <c r="B59" s="69" t="s">
        <v>36</v>
      </c>
      <c r="C59" s="10">
        <f>IFERROR(INDEX('حسابهای دریافتنی'!H:H,MATCH(Table218[[#This Row],[كد تفصيلي]],'حسابهای دریافتنی'!A:A,0)),0)</f>
        <v>3272000</v>
      </c>
      <c r="D59" s="11">
        <f>IFERROR(INDEX('درجریان وصول'!F:F,MATCH(Table218[[#This Row],[كد تفصيلي]],'درجریان وصول'!A:A,0)),0)</f>
        <v>0</v>
      </c>
      <c r="E59" s="11">
        <f>IFERROR(INDEX('چکهای دریافتنی'!F:F,MATCH(Table218[[#This Row],[كد تفصيلي]],'چکهای دریافتنی'!A:A,0)),0)</f>
        <v>0</v>
      </c>
      <c r="F59" s="11">
        <f>Table218[[#This Row],[حسابهای دریافتنی]]+Table218[[#This Row],[چکهای در جریان وصول]]+Table218[[#This Row],[چکهای نزد صندوق]]</f>
        <v>3272000</v>
      </c>
      <c r="G59" s="12">
        <f>IFERROR(INDEX('مانده سوفاله'!F:F,MATCH(Table218[[#This Row],[كد تفصيلي]],'مانده سوفاله'!A:A,0)),0)</f>
        <v>-222</v>
      </c>
    </row>
    <row r="60" spans="1:7" ht="24" customHeight="1" x14ac:dyDescent="0.35">
      <c r="A60" s="26">
        <v>30178</v>
      </c>
      <c r="B60" s="68" t="s">
        <v>335</v>
      </c>
      <c r="C60" s="10">
        <f>IFERROR(INDEX('حسابهای دریافتنی'!H:H,MATCH(Table218[[#This Row],[كد تفصيلي]],'حسابهای دریافتنی'!A:A,0)),0)</f>
        <v>3040000</v>
      </c>
      <c r="D60" s="11">
        <f>IFERROR(INDEX('درجریان وصول'!F:F,MATCH(Table218[[#This Row],[كد تفصيلي]],'درجریان وصول'!A:A,0)),0)</f>
        <v>0</v>
      </c>
      <c r="E60" s="11">
        <f>IFERROR(INDEX('چکهای دریافتنی'!F:F,MATCH(Table218[[#This Row],[كد تفصيلي]],'چکهای دریافتنی'!A:A,0)),0)</f>
        <v>0</v>
      </c>
      <c r="F60" s="11">
        <f>Table218[[#This Row],[حسابهای دریافتنی]]+Table218[[#This Row],[چکهای در جریان وصول]]+Table218[[#This Row],[چکهای نزد صندوق]]</f>
        <v>3040000</v>
      </c>
      <c r="G60" s="12">
        <f>IFERROR(INDEX('مانده سوفاله'!F:F,MATCH(Table218[[#This Row],[كد تفصيلي]],'مانده سوفاله'!A:A,0)),0)</f>
        <v>0</v>
      </c>
    </row>
    <row r="61" spans="1:7" ht="24" customHeight="1" x14ac:dyDescent="0.35">
      <c r="A61" s="26">
        <v>30084</v>
      </c>
      <c r="B61" s="68" t="s">
        <v>129</v>
      </c>
      <c r="C61" s="10">
        <f>IFERROR(INDEX('حسابهای دریافتنی'!H:H,MATCH(Table218[[#This Row],[كد تفصيلي]],'حسابهای دریافتنی'!A:A,0)),0)</f>
        <v>1220000</v>
      </c>
      <c r="D61" s="11">
        <f>IFERROR(INDEX('درجریان وصول'!F:F,MATCH(Table218[[#This Row],[كد تفصيلي]],'درجریان وصول'!A:A,0)),0)</f>
        <v>0</v>
      </c>
      <c r="E61" s="11">
        <f>IFERROR(INDEX('چکهای دریافتنی'!F:F,MATCH(Table218[[#This Row],[كد تفصيلي]],'چکهای دریافتنی'!A:A,0)),0)</f>
        <v>0</v>
      </c>
      <c r="F61" s="11">
        <f>Table218[[#This Row],[حسابهای دریافتنی]]+Table218[[#This Row],[چکهای در جریان وصول]]+Table218[[#This Row],[چکهای نزد صندوق]]</f>
        <v>1220000</v>
      </c>
      <c r="G61" s="12">
        <f>IFERROR(INDEX('مانده سوفاله'!F:F,MATCH(Table218[[#This Row],[كد تفصيلي]],'مانده سوفاله'!A:A,0)),0)</f>
        <v>0</v>
      </c>
    </row>
    <row r="62" spans="1:7" ht="24" customHeight="1" x14ac:dyDescent="0.35">
      <c r="A62" s="27">
        <v>79055</v>
      </c>
      <c r="B62" s="69" t="s">
        <v>297</v>
      </c>
      <c r="C62" s="10">
        <f>IFERROR(INDEX('حسابهای دریافتنی'!H:H,MATCH(Table218[[#This Row],[كد تفصيلي]],'حسابهای دریافتنی'!A:A,0)),0)</f>
        <v>896500</v>
      </c>
      <c r="D62" s="11">
        <f>IFERROR(INDEX('درجریان وصول'!F:F,MATCH(Table218[[#This Row],[كد تفصيلي]],'درجریان وصول'!A:A,0)),0)</f>
        <v>0</v>
      </c>
      <c r="E62" s="11">
        <f>IFERROR(INDEX('چکهای دریافتنی'!F:F,MATCH(Table218[[#This Row],[كد تفصيلي]],'چکهای دریافتنی'!A:A,0)),0)</f>
        <v>0</v>
      </c>
      <c r="F62" s="11">
        <f>Table218[[#This Row],[حسابهای دریافتنی]]+Table218[[#This Row],[چکهای در جریان وصول]]+Table218[[#This Row],[چکهای نزد صندوق]]</f>
        <v>896500</v>
      </c>
      <c r="G62" s="12">
        <f>IFERROR(INDEX('مانده سوفاله'!F:F,MATCH(Table218[[#This Row],[كد تفصيلي]],'مانده سوفاله'!A:A,0)),0)</f>
        <v>0</v>
      </c>
    </row>
    <row r="63" spans="1:7" ht="24" customHeight="1" x14ac:dyDescent="0.35">
      <c r="A63" s="27">
        <v>30030</v>
      </c>
      <c r="B63" s="69" t="s">
        <v>77</v>
      </c>
      <c r="C63" s="10">
        <f>IFERROR(INDEX('حسابهای دریافتنی'!H:H,MATCH(Table218[[#This Row],[كد تفصيلي]],'حسابهای دریافتنی'!A:A,0)),0)</f>
        <v>850500</v>
      </c>
      <c r="D63" s="11">
        <f>IFERROR(INDEX('درجریان وصول'!F:F,MATCH(Table218[[#This Row],[كد تفصيلي]],'درجریان وصول'!A:A,0)),0)</f>
        <v>0</v>
      </c>
      <c r="E63" s="11">
        <f>IFERROR(INDEX('چکهای دریافتنی'!F:F,MATCH(Table218[[#This Row],[كد تفصيلي]],'چکهای دریافتنی'!A:A,0)),0)</f>
        <v>0</v>
      </c>
      <c r="F63" s="11">
        <f>Table218[[#This Row],[حسابهای دریافتنی]]+Table218[[#This Row],[چکهای در جریان وصول]]+Table218[[#This Row],[چکهای نزد صندوق]]</f>
        <v>850500</v>
      </c>
      <c r="G63" s="12">
        <f>IFERROR(INDEX('مانده سوفاله'!F:F,MATCH(Table218[[#This Row],[كد تفصيلي]],'مانده سوفاله'!A:A,0)),0)</f>
        <v>-49</v>
      </c>
    </row>
    <row r="64" spans="1:7" ht="24" customHeight="1" x14ac:dyDescent="0.35">
      <c r="A64" s="27">
        <v>30129</v>
      </c>
      <c r="B64" s="69" t="s">
        <v>178</v>
      </c>
      <c r="C64" s="10">
        <f>IFERROR(INDEX('حسابهای دریافتنی'!H:H,MATCH(Table218[[#This Row],[كد تفصيلي]],'حسابهای دریافتنی'!A:A,0)),0)</f>
        <v>783000</v>
      </c>
      <c r="D64" s="11">
        <f>IFERROR(INDEX('درجریان وصول'!F:F,MATCH(Table218[[#This Row],[كد تفصيلي]],'درجریان وصول'!A:A,0)),0)</f>
        <v>0</v>
      </c>
      <c r="E64" s="11">
        <f>IFERROR(INDEX('چکهای دریافتنی'!F:F,MATCH(Table218[[#This Row],[كد تفصيلي]],'چکهای دریافتنی'!A:A,0)),0)</f>
        <v>0</v>
      </c>
      <c r="F64" s="11">
        <f>Table218[[#This Row],[حسابهای دریافتنی]]+Table218[[#This Row],[چکهای در جریان وصول]]+Table218[[#This Row],[چکهای نزد صندوق]]</f>
        <v>783000</v>
      </c>
      <c r="G64" s="12">
        <f>IFERROR(INDEX('مانده سوفاله'!F:F,MATCH(Table218[[#This Row],[كد تفصيلي]],'مانده سوفاله'!A:A,0)),0)</f>
        <v>0</v>
      </c>
    </row>
    <row r="65" spans="1:7" ht="24" customHeight="1" x14ac:dyDescent="0.35">
      <c r="A65" s="26">
        <v>30090</v>
      </c>
      <c r="B65" s="68" t="s">
        <v>144</v>
      </c>
      <c r="C65" s="10">
        <f>IFERROR(INDEX('حسابهای دریافتنی'!H:H,MATCH(Table218[[#This Row],[كد تفصيلي]],'حسابهای دریافتنی'!A:A,0)),0)</f>
        <v>640100</v>
      </c>
      <c r="D65" s="11">
        <f>IFERROR(INDEX('درجریان وصول'!F:F,MATCH(Table218[[#This Row],[كد تفصيلي]],'درجریان وصول'!A:A,0)),0)</f>
        <v>0</v>
      </c>
      <c r="E65" s="11">
        <f>IFERROR(INDEX('چکهای دریافتنی'!F:F,MATCH(Table218[[#This Row],[كد تفصيلي]],'چکهای دریافتنی'!A:A,0)),0)</f>
        <v>0</v>
      </c>
      <c r="F65" s="11">
        <f>Table218[[#This Row],[حسابهای دریافتنی]]+Table218[[#This Row],[چکهای در جریان وصول]]+Table218[[#This Row],[چکهای نزد صندوق]]</f>
        <v>640100</v>
      </c>
      <c r="G65" s="12">
        <f>IFERROR(INDEX('مانده سوفاله'!F:F,MATCH(Table218[[#This Row],[كد تفصيلي]],'مانده سوفاله'!A:A,0)),0)</f>
        <v>0</v>
      </c>
    </row>
    <row r="66" spans="1:7" ht="24" customHeight="1" x14ac:dyDescent="0.35">
      <c r="A66" s="27">
        <v>30109</v>
      </c>
      <c r="B66" s="69" t="s">
        <v>165</v>
      </c>
      <c r="C66" s="10">
        <f>IFERROR(INDEX('حسابهای دریافتنی'!H:H,MATCH(Table218[[#This Row],[كد تفصيلي]],'حسابهای دریافتنی'!A:A,0)),0)</f>
        <v>607300</v>
      </c>
      <c r="D66" s="11">
        <f>IFERROR(INDEX('درجریان وصول'!F:F,MATCH(Table218[[#This Row],[كد تفصيلي]],'درجریان وصول'!A:A,0)),0)</f>
        <v>0</v>
      </c>
      <c r="E66" s="11">
        <f>IFERROR(INDEX('چکهای دریافتنی'!F:F,MATCH(Table218[[#This Row],[كد تفصيلي]],'چکهای دریافتنی'!A:A,0)),0)</f>
        <v>0</v>
      </c>
      <c r="F66" s="11">
        <f>Table218[[#This Row],[حسابهای دریافتنی]]+Table218[[#This Row],[چکهای در جریان وصول]]+Table218[[#This Row],[چکهای نزد صندوق]]</f>
        <v>607300</v>
      </c>
      <c r="G66" s="12">
        <f>IFERROR(INDEX('مانده سوفاله'!F:F,MATCH(Table218[[#This Row],[كد تفصيلي]],'مانده سوفاله'!A:A,0)),0)</f>
        <v>0</v>
      </c>
    </row>
    <row r="67" spans="1:7" ht="24" customHeight="1" x14ac:dyDescent="0.35">
      <c r="A67" s="26">
        <v>10131</v>
      </c>
      <c r="B67" s="68" t="s">
        <v>457</v>
      </c>
      <c r="C67" s="10">
        <f>IFERROR(INDEX('حسابهای دریافتنی'!H:H,MATCH(Table218[[#This Row],[كد تفصيلي]],'حسابهای دریافتنی'!A:A,0)),0)</f>
        <v>-1194000</v>
      </c>
      <c r="D67" s="11">
        <f>IFERROR(INDEX('درجریان وصول'!F:F,MATCH(Table218[[#This Row],[كد تفصيلي]],'درجریان وصول'!A:A,0)),0)</f>
        <v>0</v>
      </c>
      <c r="E67" s="11">
        <f>IFERROR(INDEX('چکهای دریافتنی'!F:F,MATCH(Table218[[#This Row],[كد تفصيلي]],'چکهای دریافتنی'!A:A,0)),0)</f>
        <v>0</v>
      </c>
      <c r="F67" s="11">
        <f>Table218[[#This Row],[حسابهای دریافتنی]]+Table218[[#This Row],[چکهای در جریان وصول]]+Table218[[#This Row],[چکهای نزد صندوق]]</f>
        <v>-1194000</v>
      </c>
      <c r="G67" s="12">
        <f>IFERROR(INDEX('مانده سوفاله'!F:F,MATCH(Table218[[#This Row],[كد تفصيلي]],'مانده سوفاله'!A:A,0)),0)</f>
        <v>1</v>
      </c>
    </row>
    <row r="68" spans="1:7" ht="24" customHeight="1" x14ac:dyDescent="0.35">
      <c r="A68" s="27">
        <v>30010</v>
      </c>
      <c r="B68" s="69" t="s">
        <v>59</v>
      </c>
      <c r="C68" s="10">
        <f>IFERROR(INDEX('حسابهای دریافتنی'!H:H,MATCH(Table218[[#This Row],[كد تفصيلي]],'حسابهای دریافتنی'!A:A,0)),0)</f>
        <v>366215</v>
      </c>
      <c r="D68" s="11">
        <f>IFERROR(INDEX('درجریان وصول'!F:F,MATCH(Table218[[#This Row],[كد تفصيلي]],'درجریان وصول'!A:A,0)),0)</f>
        <v>0</v>
      </c>
      <c r="E68" s="11">
        <f>IFERROR(INDEX('چکهای دریافتنی'!F:F,MATCH(Table218[[#This Row],[كد تفصيلي]],'چکهای دریافتنی'!A:A,0)),0)</f>
        <v>0</v>
      </c>
      <c r="F68" s="11">
        <f>Table218[[#This Row],[حسابهای دریافتنی]]+Table218[[#This Row],[چکهای در جریان وصول]]+Table218[[#This Row],[چکهای نزد صندوق]]</f>
        <v>366215</v>
      </c>
      <c r="G68" s="12">
        <f>IFERROR(INDEX('مانده سوفاله'!F:F,MATCH(Table218[[#This Row],[كد تفصيلي]],'مانده سوفاله'!A:A,0)),0)</f>
        <v>8</v>
      </c>
    </row>
    <row r="69" spans="1:7" ht="24" customHeight="1" x14ac:dyDescent="0.35">
      <c r="A69" s="26">
        <v>30027</v>
      </c>
      <c r="B69" s="68" t="s">
        <v>75</v>
      </c>
      <c r="C69" s="10">
        <f>IFERROR(INDEX('حسابهای دریافتنی'!H:H,MATCH(Table218[[#This Row],[كد تفصيلي]],'حسابهای دریافتنی'!A:A,0)),0)</f>
        <v>326950</v>
      </c>
      <c r="D69" s="11">
        <f>IFERROR(INDEX('درجریان وصول'!F:F,MATCH(Table218[[#This Row],[كد تفصيلي]],'درجریان وصول'!A:A,0)),0)</f>
        <v>0</v>
      </c>
      <c r="E69" s="11">
        <f>IFERROR(INDEX('چکهای دریافتنی'!F:F,MATCH(Table218[[#This Row],[كد تفصيلي]],'چکهای دریافتنی'!A:A,0)),0)</f>
        <v>0</v>
      </c>
      <c r="F69" s="11">
        <f>Table218[[#This Row],[حسابهای دریافتنی]]+Table218[[#This Row],[چکهای در جریان وصول]]+Table218[[#This Row],[چکهای نزد صندوق]]</f>
        <v>326950</v>
      </c>
      <c r="G69" s="12">
        <f>IFERROR(INDEX('مانده سوفاله'!F:F,MATCH(Table218[[#This Row],[كد تفصيلي]],'مانده سوفاله'!A:A,0)),0)</f>
        <v>0</v>
      </c>
    </row>
    <row r="70" spans="1:7" ht="24" customHeight="1" x14ac:dyDescent="0.35">
      <c r="A70" s="27">
        <v>10092</v>
      </c>
      <c r="B70" s="69" t="s">
        <v>260</v>
      </c>
      <c r="C70" s="10">
        <f>IFERROR(INDEX('حسابهای دریافتنی'!H:H,MATCH(Table218[[#This Row],[كد تفصيلي]],'حسابهای دریافتنی'!A:A,0)),0)</f>
        <v>-1749946500</v>
      </c>
      <c r="D70" s="11">
        <f>IFERROR(INDEX('درجریان وصول'!F:F,MATCH(Table218[[#This Row],[كد تفصيلي]],'درجریان وصول'!A:A,0)),0)</f>
        <v>0</v>
      </c>
      <c r="E70" s="11">
        <f>IFERROR(INDEX('چکهای دریافتنی'!F:F,MATCH(Table218[[#This Row],[كد تفصيلي]],'چکهای دریافتنی'!A:A,0)),0)</f>
        <v>300000000</v>
      </c>
      <c r="F70" s="11">
        <f>Table218[[#This Row],[حسابهای دریافتنی]]+Table218[[#This Row],[چکهای در جریان وصول]]+Table218[[#This Row],[چکهای نزد صندوق]]</f>
        <v>-1449946500</v>
      </c>
      <c r="G70" s="12">
        <f>IFERROR(INDEX('مانده سوفاله'!F:F,MATCH(Table218[[#This Row],[كد تفصيلي]],'مانده سوفاله'!A:A,0)),0)</f>
        <v>0</v>
      </c>
    </row>
    <row r="71" spans="1:7" ht="24" customHeight="1" x14ac:dyDescent="0.35">
      <c r="A71" s="27">
        <v>30135</v>
      </c>
      <c r="B71" s="69" t="s">
        <v>179</v>
      </c>
      <c r="C71" s="10">
        <f>IFERROR(INDEX('حسابهای دریافتنی'!H:H,MATCH(Table218[[#This Row],[كد تفصيلي]],'حسابهای دریافتنی'!A:A,0)),0)</f>
        <v>195000</v>
      </c>
      <c r="D71" s="11">
        <f>IFERROR(INDEX('درجریان وصول'!F:F,MATCH(Table218[[#This Row],[كد تفصيلي]],'درجریان وصول'!A:A,0)),0)</f>
        <v>0</v>
      </c>
      <c r="E71" s="11">
        <f>IFERROR(INDEX('چکهای دریافتنی'!F:F,MATCH(Table218[[#This Row],[كد تفصيلي]],'چکهای دریافتنی'!A:A,0)),0)</f>
        <v>0</v>
      </c>
      <c r="F71" s="11">
        <f>Table218[[#This Row],[حسابهای دریافتنی]]+Table218[[#This Row],[چکهای در جریان وصول]]+Table218[[#This Row],[چکهای نزد صندوق]]</f>
        <v>195000</v>
      </c>
      <c r="G71" s="12">
        <f>IFERROR(INDEX('مانده سوفاله'!F:F,MATCH(Table218[[#This Row],[كد تفصيلي]],'مانده سوفاله'!A:A,0)),0)</f>
        <v>-5</v>
      </c>
    </row>
    <row r="72" spans="1:7" ht="24" customHeight="1" x14ac:dyDescent="0.35">
      <c r="A72" s="27">
        <v>10088</v>
      </c>
      <c r="B72" s="69" t="s">
        <v>254</v>
      </c>
      <c r="C72" s="10">
        <f>IFERROR(INDEX('حسابهای دریافتنی'!H:H,MATCH(Table218[[#This Row],[كد تفصيلي]],'حسابهای دریافتنی'!A:A,0)),0)</f>
        <v>113500</v>
      </c>
      <c r="D72" s="11">
        <f>IFERROR(INDEX('درجریان وصول'!F:F,MATCH(Table218[[#This Row],[كد تفصيلي]],'درجریان وصول'!A:A,0)),0)</f>
        <v>0</v>
      </c>
      <c r="E72" s="11">
        <f>IFERROR(INDEX('چکهای دریافتنی'!F:F,MATCH(Table218[[#This Row],[كد تفصيلي]],'چکهای دریافتنی'!A:A,0)),0)</f>
        <v>0</v>
      </c>
      <c r="F72" s="11">
        <f>Table218[[#This Row],[حسابهای دریافتنی]]+Table218[[#This Row],[چکهای در جریان وصول]]+Table218[[#This Row],[چکهای نزد صندوق]]</f>
        <v>113500</v>
      </c>
      <c r="G72" s="12">
        <f>IFERROR(INDEX('مانده سوفاله'!F:F,MATCH(Table218[[#This Row],[كد تفصيلي]],'مانده سوفاله'!A:A,0)),0)</f>
        <v>0</v>
      </c>
    </row>
    <row r="73" spans="1:7" ht="24" customHeight="1" x14ac:dyDescent="0.35">
      <c r="A73" s="26">
        <v>30124</v>
      </c>
      <c r="B73" s="68" t="s">
        <v>246</v>
      </c>
      <c r="C73" s="10">
        <f>IFERROR(INDEX('حسابهای دریافتنی'!H:H,MATCH(Table218[[#This Row],[كد تفصيلي]],'حسابهای دریافتنی'!A:A,0)),0)</f>
        <v>0</v>
      </c>
      <c r="D73" s="11">
        <f>IFERROR(INDEX('درجریان وصول'!F:F,MATCH(Table218[[#This Row],[كد تفصيلي]],'درجریان وصول'!A:A,0)),0)</f>
        <v>0</v>
      </c>
      <c r="E73" s="11">
        <f>IFERROR(INDEX('چکهای دریافتنی'!F:F,MATCH(Table218[[#This Row],[كد تفصيلي]],'چکهای دریافتنی'!A:A,0)),0)</f>
        <v>505676000</v>
      </c>
      <c r="F73" s="11">
        <f>Table218[[#This Row],[حسابهای دریافتنی]]+Table218[[#This Row],[چکهای در جریان وصول]]+Table218[[#This Row],[چکهای نزد صندوق]]</f>
        <v>505676000</v>
      </c>
      <c r="G73" s="12">
        <f>IFERROR(INDEX('مانده سوفاله'!F:F,MATCH(Table218[[#This Row],[كد تفصيلي]],'مانده سوفاله'!A:A,0)),0)</f>
        <v>1498</v>
      </c>
    </row>
    <row r="74" spans="1:7" ht="24" customHeight="1" x14ac:dyDescent="0.35">
      <c r="A74" s="27">
        <v>10133</v>
      </c>
      <c r="B74" s="69" t="s">
        <v>465</v>
      </c>
      <c r="C74" s="10">
        <f>IFERROR(INDEX('حسابهای دریافتنی'!H:H,MATCH(Table218[[#This Row],[كد تفصيلي]],'حسابهای دریافتنی'!A:A,0)),0)</f>
        <v>-1249039000</v>
      </c>
      <c r="D74" s="11">
        <f>IFERROR(INDEX('درجریان وصول'!F:F,MATCH(Table218[[#This Row],[كد تفصيلي]],'درجریان وصول'!A:A,0)),0)</f>
        <v>0</v>
      </c>
      <c r="E74" s="11">
        <f>IFERROR(INDEX('چکهای دریافتنی'!F:F,MATCH(Table218[[#This Row],[كد تفصيلي]],'چکهای دریافتنی'!A:A,0)),0)</f>
        <v>0</v>
      </c>
      <c r="F74" s="11">
        <f>Table218[[#This Row],[حسابهای دریافتنی]]+Table218[[#This Row],[چکهای در جریان وصول]]+Table218[[#This Row],[چکهای نزد صندوق]]</f>
        <v>-1249039000</v>
      </c>
      <c r="G74" s="12">
        <f>IFERROR(INDEX('مانده سوفاله'!F:F,MATCH(Table218[[#This Row],[كد تفصيلي]],'مانده سوفاله'!A:A,0)),0)</f>
        <v>0</v>
      </c>
    </row>
    <row r="75" spans="1:7" ht="24" customHeight="1" x14ac:dyDescent="0.35">
      <c r="A75" s="26">
        <v>30019</v>
      </c>
      <c r="B75" s="68" t="s">
        <v>67</v>
      </c>
      <c r="C75" s="10">
        <f>IFERROR(INDEX('حسابهای دریافتنی'!H:H,MATCH(Table218[[#This Row],[كد تفصيلي]],'حسابهای دریافتنی'!A:A,0)),0)</f>
        <v>823484840</v>
      </c>
      <c r="D75" s="11">
        <f>IFERROR(INDEX('درجریان وصول'!F:F,MATCH(Table218[[#This Row],[كد تفصيلي]],'درجریان وصول'!A:A,0)),0)</f>
        <v>0</v>
      </c>
      <c r="E75" s="11">
        <f>IFERROR(INDEX('چکهای دریافتنی'!F:F,MATCH(Table218[[#This Row],[كد تفصيلي]],'چکهای دریافتنی'!A:A,0)),0)</f>
        <v>0</v>
      </c>
      <c r="F75" s="11">
        <f>Table218[[#This Row],[حسابهای دریافتنی]]+Table218[[#This Row],[چکهای در جریان وصول]]+Table218[[#This Row],[چکهای نزد صندوق]]</f>
        <v>823484840</v>
      </c>
      <c r="G75" s="12">
        <f>IFERROR(INDEX('مانده سوفاله'!F:F,MATCH(Table218[[#This Row],[كد تفصيلي]],'مانده سوفاله'!A:A,0)),0)</f>
        <v>612</v>
      </c>
    </row>
    <row r="76" spans="1:7" ht="24" customHeight="1" x14ac:dyDescent="0.35">
      <c r="A76" s="27">
        <v>10010</v>
      </c>
      <c r="B76" s="69" t="s">
        <v>17</v>
      </c>
      <c r="C76" s="10">
        <f>IFERROR(INDEX('حسابهای دریافتنی'!H:H,MATCH(Table218[[#This Row],[كد تفصيلي]],'حسابهای دریافتنی'!A:A,0)),0)</f>
        <v>0</v>
      </c>
      <c r="D76" s="11">
        <f>IFERROR(INDEX('درجریان وصول'!F:F,MATCH(Table218[[#This Row],[كد تفصيلي]],'درجریان وصول'!A:A,0)),0)</f>
        <v>0</v>
      </c>
      <c r="E76" s="11">
        <f>IFERROR(INDEX('چکهای دریافتنی'!F:F,MATCH(Table218[[#This Row],[كد تفصيلي]],'چکهای دریافتنی'!A:A,0)),0)</f>
        <v>0</v>
      </c>
      <c r="F76" s="11">
        <f>Table218[[#This Row],[حسابهای دریافتنی]]+Table218[[#This Row],[چکهای در جریان وصول]]+Table218[[#This Row],[چکهای نزد صندوق]]</f>
        <v>0</v>
      </c>
      <c r="G76" s="12">
        <f>IFERROR(INDEX('مانده سوفاله'!F:F,MATCH(Table218[[#This Row],[كد تفصيلي]],'مانده سوفاله'!A:A,0)),0)</f>
        <v>8</v>
      </c>
    </row>
    <row r="77" spans="1:7" ht="24" customHeight="1" x14ac:dyDescent="0.35">
      <c r="A77" s="26">
        <v>10023</v>
      </c>
      <c r="B77" s="68" t="s">
        <v>155</v>
      </c>
      <c r="C77" s="10">
        <f>IFERROR(INDEX('حسابهای دریافتنی'!H:H,MATCH(Table218[[#This Row],[كد تفصيلي]],'حسابهای دریافتنی'!A:A,0)),0)</f>
        <v>0</v>
      </c>
      <c r="D77" s="11">
        <f>IFERROR(INDEX('درجریان وصول'!F:F,MATCH(Table218[[#This Row],[كد تفصيلي]],'درجریان وصول'!A:A,0)),0)</f>
        <v>0</v>
      </c>
      <c r="E77" s="11">
        <f>IFERROR(INDEX('چکهای دریافتنی'!F:F,MATCH(Table218[[#This Row],[كد تفصيلي]],'چکهای دریافتنی'!A:A,0)),0)</f>
        <v>0</v>
      </c>
      <c r="F77" s="11">
        <f>Table218[[#This Row],[حسابهای دریافتنی]]+Table218[[#This Row],[چکهای در جریان وصول]]+Table218[[#This Row],[چکهای نزد صندوق]]</f>
        <v>0</v>
      </c>
      <c r="G77" s="12">
        <f>IFERROR(INDEX('مانده سوفاله'!F:F,MATCH(Table218[[#This Row],[كد تفصيلي]],'مانده سوفاله'!A:A,0)),0)</f>
        <v>6</v>
      </c>
    </row>
    <row r="78" spans="1:7" ht="24" customHeight="1" x14ac:dyDescent="0.35">
      <c r="A78" s="26">
        <v>10039</v>
      </c>
      <c r="B78" s="68" t="s">
        <v>45</v>
      </c>
      <c r="C78" s="10">
        <f>IFERROR(INDEX('حسابهای دریافتنی'!H:H,MATCH(Table218[[#This Row],[كد تفصيلي]],'حسابهای دریافتنی'!A:A,0)),0)</f>
        <v>0</v>
      </c>
      <c r="D78" s="11">
        <f>IFERROR(INDEX('درجریان وصول'!F:F,MATCH(Table218[[#This Row],[كد تفصيلي]],'درجریان وصول'!A:A,0)),0)</f>
        <v>0</v>
      </c>
      <c r="E78" s="11">
        <f>IFERROR(INDEX('چکهای دریافتنی'!F:F,MATCH(Table218[[#This Row],[كد تفصيلي]],'چکهای دریافتنی'!A:A,0)),0)</f>
        <v>0</v>
      </c>
      <c r="F78" s="11">
        <f>Table218[[#This Row],[حسابهای دریافتنی]]+Table218[[#This Row],[چکهای در جریان وصول]]+Table218[[#This Row],[چکهای نزد صندوق]]</f>
        <v>0</v>
      </c>
      <c r="G78" s="12">
        <f>IFERROR(INDEX('مانده سوفاله'!F:F,MATCH(Table218[[#This Row],[كد تفصيلي]],'مانده سوفاله'!A:A,0)),0)</f>
        <v>4</v>
      </c>
    </row>
    <row r="79" spans="1:7" ht="24" customHeight="1" x14ac:dyDescent="0.35">
      <c r="A79" s="27">
        <v>10046</v>
      </c>
      <c r="B79" s="69" t="s">
        <v>51</v>
      </c>
      <c r="C79" s="10">
        <f>IFERROR(INDEX('حسابهای دریافتنی'!H:H,MATCH(Table218[[#This Row],[كد تفصيلي]],'حسابهای دریافتنی'!A:A,0)),0)</f>
        <v>0</v>
      </c>
      <c r="D79" s="11">
        <f>IFERROR(INDEX('درجریان وصول'!F:F,MATCH(Table218[[#This Row],[كد تفصيلي]],'درجریان وصول'!A:A,0)),0)</f>
        <v>0</v>
      </c>
      <c r="E79" s="11">
        <f>IFERROR(INDEX('چکهای دریافتنی'!F:F,MATCH(Table218[[#This Row],[كد تفصيلي]],'چکهای دریافتنی'!A:A,0)),0)</f>
        <v>0</v>
      </c>
      <c r="F79" s="11">
        <f>Table218[[#This Row],[حسابهای دریافتنی]]+Table218[[#This Row],[چکهای در جریان وصول]]+Table218[[#This Row],[چکهای نزد صندوق]]</f>
        <v>0</v>
      </c>
      <c r="G79" s="12">
        <f>IFERROR(INDEX('مانده سوفاله'!F:F,MATCH(Table218[[#This Row],[كد تفصيلي]],'مانده سوفاله'!A:A,0)),0)</f>
        <v>118</v>
      </c>
    </row>
    <row r="80" spans="1:7" ht="24" customHeight="1" x14ac:dyDescent="0.35">
      <c r="A80" s="54">
        <v>10048</v>
      </c>
      <c r="B80" s="69" t="s">
        <v>191</v>
      </c>
      <c r="C80" s="10">
        <f>IFERROR(INDEX('حسابهای دریافتنی'!H:H,MATCH(Table218[[#This Row],[كد تفصيلي]],'حسابهای دریافتنی'!A:A,0)),0)</f>
        <v>0</v>
      </c>
      <c r="D80" s="11">
        <f>IFERROR(INDEX('درجریان وصول'!F:F,MATCH(Table218[[#This Row],[كد تفصيلي]],'درجریان وصول'!A:A,0)),0)</f>
        <v>0</v>
      </c>
      <c r="E80" s="11">
        <f>IFERROR(INDEX('چکهای دریافتنی'!F:F,MATCH(Table218[[#This Row],[كد تفصيلي]],'چکهای دریافتنی'!A:A,0)),0)</f>
        <v>0</v>
      </c>
      <c r="F80" s="11">
        <f>Table218[[#This Row],[حسابهای دریافتنی]]+Table218[[#This Row],[چکهای در جریان وصول]]+Table218[[#This Row],[چکهای نزد صندوق]]</f>
        <v>0</v>
      </c>
      <c r="G80" s="12">
        <f>IFERROR(INDEX('مانده سوفاله'!F:F,MATCH(Table218[[#This Row],[كد تفصيلي]],'مانده سوفاله'!A:A,0)),0)</f>
        <v>-1097</v>
      </c>
    </row>
    <row r="81" spans="1:7" customFormat="1" ht="24" customHeight="1" x14ac:dyDescent="0.35">
      <c r="A81" s="53">
        <v>10065</v>
      </c>
      <c r="B81" s="68" t="s">
        <v>228</v>
      </c>
      <c r="C81" s="10">
        <f>IFERROR(INDEX('حسابهای دریافتنی'!H:H,MATCH(Table218[[#This Row],[كد تفصيلي]],'حسابهای دریافتنی'!A:A,0)),0)</f>
        <v>0</v>
      </c>
      <c r="D81" s="11">
        <f>IFERROR(INDEX('درجریان وصول'!F:F,MATCH(Table218[[#This Row],[كد تفصيلي]],'درجریان وصول'!A:A,0)),0)</f>
        <v>0</v>
      </c>
      <c r="E81" s="11">
        <f>IFERROR(INDEX('چکهای دریافتنی'!F:F,MATCH(Table218[[#This Row],[كد تفصيلي]],'چکهای دریافتنی'!A:A,0)),0)</f>
        <v>0</v>
      </c>
      <c r="F81" s="11">
        <f>Table218[[#This Row],[حسابهای دریافتنی]]+Table218[[#This Row],[چکهای در جریان وصول]]+Table218[[#This Row],[چکهای نزد صندوق]]</f>
        <v>0</v>
      </c>
      <c r="G81" s="12">
        <f>IFERROR(INDEX('مانده سوفاله'!F:F,MATCH(Table218[[#This Row],[كد تفصيلي]],'مانده سوفاله'!A:A,0)),0)</f>
        <v>127</v>
      </c>
    </row>
    <row r="82" spans="1:7" customFormat="1" ht="24" customHeight="1" x14ac:dyDescent="0.35">
      <c r="A82" s="54">
        <v>10076</v>
      </c>
      <c r="B82" s="69" t="s">
        <v>182</v>
      </c>
      <c r="C82" s="10">
        <f>IFERROR(INDEX('حسابهای دریافتنی'!H:H,MATCH(Table218[[#This Row],[كد تفصيلي]],'حسابهای دریافتنی'!A:A,0)),0)</f>
        <v>0</v>
      </c>
      <c r="D82" s="11">
        <f>IFERROR(INDEX('درجریان وصول'!F:F,MATCH(Table218[[#This Row],[كد تفصيلي]],'درجریان وصول'!A:A,0)),0)</f>
        <v>0</v>
      </c>
      <c r="E82" s="11">
        <f>IFERROR(INDEX('چکهای دریافتنی'!F:F,MATCH(Table218[[#This Row],[كد تفصيلي]],'چکهای دریافتنی'!A:A,0)),0)</f>
        <v>0</v>
      </c>
      <c r="F82" s="11">
        <f>Table218[[#This Row],[حسابهای دریافتنی]]+Table218[[#This Row],[چکهای در جریان وصول]]+Table218[[#This Row],[چکهای نزد صندوق]]</f>
        <v>0</v>
      </c>
      <c r="G82" s="12">
        <f>IFERROR(INDEX('مانده سوفاله'!F:F,MATCH(Table218[[#This Row],[كد تفصيلي]],'مانده سوفاله'!A:A,0)),0)</f>
        <v>-13</v>
      </c>
    </row>
    <row r="83" spans="1:7" ht="24" customHeight="1" x14ac:dyDescent="0.35">
      <c r="A83" s="27">
        <v>30065</v>
      </c>
      <c r="B83" s="69" t="s">
        <v>110</v>
      </c>
      <c r="C83" s="10">
        <f>IFERROR(INDEX('حسابهای دریافتنی'!H:H,MATCH(Table218[[#This Row],[كد تفصيلي]],'حسابهای دریافتنی'!A:A,0)),0)</f>
        <v>0</v>
      </c>
      <c r="D83" s="11">
        <f>IFERROR(INDEX('درجریان وصول'!F:F,MATCH(Table218[[#This Row],[كد تفصيلي]],'درجریان وصول'!A:A,0)),0)</f>
        <v>0</v>
      </c>
      <c r="E83" s="11">
        <f>IFERROR(INDEX('چکهای دریافتنی'!F:F,MATCH(Table218[[#This Row],[كد تفصيلي]],'چکهای دریافتنی'!A:A,0)),0)</f>
        <v>0</v>
      </c>
      <c r="F83" s="11">
        <f>Table218[[#This Row],[حسابهای دریافتنی]]+Table218[[#This Row],[چکهای در جریان وصول]]+Table218[[#This Row],[چکهای نزد صندوق]]</f>
        <v>0</v>
      </c>
      <c r="G83" s="12">
        <f>IFERROR(INDEX('مانده سوفاله'!F:F,MATCH(Table218[[#This Row],[كد تفصيلي]],'مانده سوفاله'!A:A,0)),0)</f>
        <v>33</v>
      </c>
    </row>
    <row r="84" spans="1:7" ht="24" customHeight="1" x14ac:dyDescent="0.35">
      <c r="A84" s="27">
        <v>30071</v>
      </c>
      <c r="B84" s="69" t="s">
        <v>116</v>
      </c>
      <c r="C84" s="10">
        <f>IFERROR(INDEX('حسابهای دریافتنی'!H:H,MATCH(Table218[[#This Row],[كد تفصيلي]],'حسابهای دریافتنی'!A:A,0)),0)</f>
        <v>0</v>
      </c>
      <c r="D84" s="11">
        <f>IFERROR(INDEX('درجریان وصول'!F:F,MATCH(Table218[[#This Row],[كد تفصيلي]],'درجریان وصول'!A:A,0)),0)</f>
        <v>0</v>
      </c>
      <c r="E84" s="11">
        <f>IFERROR(INDEX('چکهای دریافتنی'!F:F,MATCH(Table218[[#This Row],[كد تفصيلي]],'چکهای دریافتنی'!A:A,0)),0)</f>
        <v>0</v>
      </c>
      <c r="F84" s="11">
        <f>Table218[[#This Row],[حسابهای دریافتنی]]+Table218[[#This Row],[چکهای در جریان وصول]]+Table218[[#This Row],[چکهای نزد صندوق]]</f>
        <v>0</v>
      </c>
      <c r="G84" s="12">
        <f>IFERROR(INDEX('مانده سوفاله'!F:F,MATCH(Table218[[#This Row],[كد تفصيلي]],'مانده سوفاله'!A:A,0)),0)</f>
        <v>3</v>
      </c>
    </row>
    <row r="85" spans="1:7" ht="24" customHeight="1" x14ac:dyDescent="0.35">
      <c r="A85" s="27">
        <v>30079</v>
      </c>
      <c r="B85" s="69" t="s">
        <v>124</v>
      </c>
      <c r="C85" s="10">
        <f>IFERROR(INDEX('حسابهای دریافتنی'!H:H,MATCH(Table218[[#This Row],[كد تفصيلي]],'حسابهای دریافتنی'!A:A,0)),0)</f>
        <v>0</v>
      </c>
      <c r="D85" s="11">
        <f>IFERROR(INDEX('درجریان وصول'!F:F,MATCH(Table218[[#This Row],[كد تفصيلي]],'درجریان وصول'!A:A,0)),0)</f>
        <v>0</v>
      </c>
      <c r="E85" s="11">
        <f>IFERROR(INDEX('چکهای دریافتنی'!F:F,MATCH(Table218[[#This Row],[كد تفصيلي]],'چکهای دریافتنی'!A:A,0)),0)</f>
        <v>0</v>
      </c>
      <c r="F85" s="11">
        <f>Table218[[#This Row],[حسابهای دریافتنی]]+Table218[[#This Row],[چکهای در جریان وصول]]+Table218[[#This Row],[چکهای نزد صندوق]]</f>
        <v>0</v>
      </c>
      <c r="G85" s="12">
        <f>IFERROR(INDEX('مانده سوفاله'!F:F,MATCH(Table218[[#This Row],[كد تفصيلي]],'مانده سوفاله'!A:A,0)),0)</f>
        <v>-85</v>
      </c>
    </row>
    <row r="86" spans="1:7" ht="24" customHeight="1" x14ac:dyDescent="0.35">
      <c r="A86" s="27">
        <v>30097</v>
      </c>
      <c r="B86" s="69" t="s">
        <v>188</v>
      </c>
      <c r="C86" s="10">
        <f>IFERROR(INDEX('حسابهای دریافتنی'!H:H,MATCH(Table218[[#This Row],[كد تفصيلي]],'حسابهای دریافتنی'!A:A,0)),0)</f>
        <v>0</v>
      </c>
      <c r="D86" s="11">
        <f>IFERROR(INDEX('درجریان وصول'!F:F,MATCH(Table218[[#This Row],[كد تفصيلي]],'درجریان وصول'!A:A,0)),0)</f>
        <v>0</v>
      </c>
      <c r="E86" s="11">
        <f>IFERROR(INDEX('چکهای دریافتنی'!F:F,MATCH(Table218[[#This Row],[كد تفصيلي]],'چکهای دریافتنی'!A:A,0)),0)</f>
        <v>0</v>
      </c>
      <c r="F86" s="11">
        <f>Table218[[#This Row],[حسابهای دریافتنی]]+Table218[[#This Row],[چکهای در جریان وصول]]+Table218[[#This Row],[چکهای نزد صندوق]]</f>
        <v>0</v>
      </c>
      <c r="G86" s="12">
        <f>IFERROR(INDEX('مانده سوفاله'!F:F,MATCH(Table218[[#This Row],[كد تفصيلي]],'مانده سوفاله'!A:A,0)),0)</f>
        <v>-82</v>
      </c>
    </row>
    <row r="87" spans="1:7" ht="24" customHeight="1" x14ac:dyDescent="0.35">
      <c r="A87" s="26">
        <v>30118</v>
      </c>
      <c r="B87" s="68" t="s">
        <v>205</v>
      </c>
      <c r="C87" s="10">
        <f>IFERROR(INDEX('حسابهای دریافتنی'!H:H,MATCH(Table218[[#This Row],[كد تفصيلي]],'حسابهای دریافتنی'!A:A,0)),0)</f>
        <v>0</v>
      </c>
      <c r="D87" s="11">
        <f>IFERROR(INDEX('درجریان وصول'!F:F,MATCH(Table218[[#This Row],[كد تفصيلي]],'درجریان وصول'!A:A,0)),0)</f>
        <v>0</v>
      </c>
      <c r="E87" s="11">
        <f>IFERROR(INDEX('چکهای دریافتنی'!F:F,MATCH(Table218[[#This Row],[كد تفصيلي]],'چکهای دریافتنی'!A:A,0)),0)</f>
        <v>0</v>
      </c>
      <c r="F87" s="11">
        <f>Table218[[#This Row],[حسابهای دریافتنی]]+Table218[[#This Row],[چکهای در جریان وصول]]+Table218[[#This Row],[چکهای نزد صندوق]]</f>
        <v>0</v>
      </c>
      <c r="G87" s="12">
        <f>IFERROR(INDEX('مانده سوفاله'!F:F,MATCH(Table218[[#This Row],[كد تفصيلي]],'مانده سوفاله'!A:A,0)),0)</f>
        <v>-20</v>
      </c>
    </row>
    <row r="88" spans="1:7" ht="24" customHeight="1" x14ac:dyDescent="0.35">
      <c r="A88" s="27">
        <v>30141</v>
      </c>
      <c r="B88" s="69" t="s">
        <v>261</v>
      </c>
      <c r="C88" s="10">
        <f>IFERROR(INDEX('حسابهای دریافتنی'!H:H,MATCH(Table218[[#This Row],[كد تفصيلي]],'حسابهای دریافتنی'!A:A,0)),0)</f>
        <v>0</v>
      </c>
      <c r="D88" s="11">
        <f>IFERROR(INDEX('درجریان وصول'!F:F,MATCH(Table218[[#This Row],[كد تفصيلي]],'درجریان وصول'!A:A,0)),0)</f>
        <v>0</v>
      </c>
      <c r="E88" s="11">
        <f>IFERROR(INDEX('چکهای دریافتنی'!F:F,MATCH(Table218[[#This Row],[كد تفصيلي]],'چکهای دریافتنی'!A:A,0)),0)</f>
        <v>0</v>
      </c>
      <c r="F88" s="11">
        <f>Table218[[#This Row],[حسابهای دریافتنی]]+Table218[[#This Row],[چکهای در جریان وصول]]+Table218[[#This Row],[چکهای نزد صندوق]]</f>
        <v>0</v>
      </c>
      <c r="G88" s="12">
        <f>IFERROR(INDEX('مانده سوفاله'!F:F,MATCH(Table218[[#This Row],[كد تفصيلي]],'مانده سوفاله'!A:A,0)),0)</f>
        <v>-42</v>
      </c>
    </row>
    <row r="89" spans="1:7" ht="24" customHeight="1" x14ac:dyDescent="0.35">
      <c r="A89" s="26">
        <v>30142</v>
      </c>
      <c r="B89" s="68" t="s">
        <v>263</v>
      </c>
      <c r="C89" s="10">
        <f>IFERROR(INDEX('حسابهای دریافتنی'!H:H,MATCH(Table218[[#This Row],[كد تفصيلي]],'حسابهای دریافتنی'!A:A,0)),0)</f>
        <v>0</v>
      </c>
      <c r="D89" s="11">
        <f>IFERROR(INDEX('درجریان وصول'!F:F,MATCH(Table218[[#This Row],[كد تفصيلي]],'درجریان وصول'!A:A,0)),0)</f>
        <v>0</v>
      </c>
      <c r="E89" s="11">
        <f>IFERROR(INDEX('چکهای دریافتنی'!F:F,MATCH(Table218[[#This Row],[كد تفصيلي]],'چکهای دریافتنی'!A:A,0)),0)</f>
        <v>0</v>
      </c>
      <c r="F89" s="11">
        <f>Table218[[#This Row],[حسابهای دریافتنی]]+Table218[[#This Row],[چکهای در جریان وصول]]+Table218[[#This Row],[چکهای نزد صندوق]]</f>
        <v>0</v>
      </c>
      <c r="G89" s="12">
        <f>IFERROR(INDEX('مانده سوفاله'!F:F,MATCH(Table218[[#This Row],[كد تفصيلي]],'مانده سوفاله'!A:A,0)),0)</f>
        <v>13</v>
      </c>
    </row>
    <row r="90" spans="1:7" ht="24" customHeight="1" x14ac:dyDescent="0.35">
      <c r="A90" s="26">
        <v>30160</v>
      </c>
      <c r="B90" s="68" t="s">
        <v>296</v>
      </c>
      <c r="C90" s="10">
        <f>IFERROR(INDEX('حسابهای دریافتنی'!H:H,MATCH(Table218[[#This Row],[كد تفصيلي]],'حسابهای دریافتنی'!A:A,0)),0)</f>
        <v>0</v>
      </c>
      <c r="D90" s="11">
        <f>IFERROR(INDEX('درجریان وصول'!F:F,MATCH(Table218[[#This Row],[كد تفصيلي]],'درجریان وصول'!A:A,0)),0)</f>
        <v>0</v>
      </c>
      <c r="E90" s="11">
        <f>IFERROR(INDEX('چکهای دریافتنی'!F:F,MATCH(Table218[[#This Row],[كد تفصيلي]],'چکهای دریافتنی'!A:A,0)),0)</f>
        <v>0</v>
      </c>
      <c r="F90" s="11">
        <f>Table218[[#This Row],[حسابهای دریافتنی]]+Table218[[#This Row],[چکهای در جریان وصول]]+Table218[[#This Row],[چکهای نزد صندوق]]</f>
        <v>0</v>
      </c>
      <c r="G90" s="12">
        <f>IFERROR(INDEX('مانده سوفاله'!F:F,MATCH(Table218[[#This Row],[كد تفصيلي]],'مانده سوفاله'!A:A,0)),0)</f>
        <v>-425</v>
      </c>
    </row>
    <row r="91" spans="1:7" ht="24" customHeight="1" x14ac:dyDescent="0.35">
      <c r="A91" s="27">
        <v>79010</v>
      </c>
      <c r="B91" s="69" t="s">
        <v>176</v>
      </c>
      <c r="C91" s="10">
        <f>IFERROR(INDEX('حسابهای دریافتنی'!H:H,MATCH(Table218[[#This Row],[كد تفصيلي]],'حسابهای دریافتنی'!A:A,0)),0)</f>
        <v>0</v>
      </c>
      <c r="D91" s="11">
        <f>IFERROR(INDEX('درجریان وصول'!F:F,MATCH(Table218[[#This Row],[كد تفصيلي]],'درجریان وصول'!A:A,0)),0)</f>
        <v>0</v>
      </c>
      <c r="E91" s="11">
        <f>IFERROR(INDEX('چکهای دریافتنی'!F:F,MATCH(Table218[[#This Row],[كد تفصيلي]],'چکهای دریافتنی'!A:A,0)),0)</f>
        <v>0</v>
      </c>
      <c r="F91" s="11">
        <f>Table218[[#This Row],[حسابهای دریافتنی]]+Table218[[#This Row],[چکهای در جریان وصول]]+Table218[[#This Row],[چکهای نزد صندوق]]</f>
        <v>0</v>
      </c>
      <c r="G91" s="12">
        <f>IFERROR(INDEX('مانده سوفاله'!F:F,MATCH(Table218[[#This Row],[كد تفصيلي]],'مانده سوفاله'!A:A,0)),0)</f>
        <v>-110</v>
      </c>
    </row>
    <row r="92" spans="1:7" ht="24" customHeight="1" x14ac:dyDescent="0.35">
      <c r="A92" s="26">
        <v>30174</v>
      </c>
      <c r="B92" s="68" t="s">
        <v>327</v>
      </c>
      <c r="C92" s="10">
        <f>IFERROR(INDEX('حسابهای دریافتنی'!H:H,MATCH(Table218[[#This Row],[كد تفصيلي]],'حسابهای دریافتنی'!A:A,0)),0)</f>
        <v>-5000</v>
      </c>
      <c r="D92" s="11">
        <f>IFERROR(INDEX('درجریان وصول'!F:F,MATCH(Table218[[#This Row],[كد تفصيلي]],'درجریان وصول'!A:A,0)),0)</f>
        <v>0</v>
      </c>
      <c r="E92" s="11">
        <f>IFERROR(INDEX('چکهای دریافتنی'!F:F,MATCH(Table218[[#This Row],[كد تفصيلي]],'چکهای دریافتنی'!A:A,0)),0)</f>
        <v>0</v>
      </c>
      <c r="F92" s="11">
        <f>Table218[[#This Row],[حسابهای دریافتنی]]+Table218[[#This Row],[چکهای در جریان وصول]]+Table218[[#This Row],[چکهای نزد صندوق]]</f>
        <v>-5000</v>
      </c>
      <c r="G92" s="12">
        <f>IFERROR(INDEX('مانده سوفاله'!F:F,MATCH(Table218[[#This Row],[كد تفصيلي]],'مانده سوفاله'!A:A,0)),0)</f>
        <v>0</v>
      </c>
    </row>
    <row r="93" spans="1:7" ht="24" customHeight="1" x14ac:dyDescent="0.35">
      <c r="A93" s="27">
        <v>30026</v>
      </c>
      <c r="B93" s="69" t="s">
        <v>74</v>
      </c>
      <c r="C93" s="10">
        <f>IFERROR(INDEX('حسابهای دریافتنی'!H:H,MATCH(Table218[[#This Row],[كد تفصيلي]],'حسابهای دریافتنی'!A:A,0)),0)</f>
        <v>5689439</v>
      </c>
      <c r="D93" s="11">
        <f>IFERROR(INDEX('درجریان وصول'!F:F,MATCH(Table218[[#This Row],[كد تفصيلي]],'درجریان وصول'!A:A,0)),0)</f>
        <v>0</v>
      </c>
      <c r="E93" s="11">
        <f>IFERROR(INDEX('چکهای دریافتنی'!F:F,MATCH(Table218[[#This Row],[كد تفصيلي]],'چکهای دریافتنی'!A:A,0)),0)</f>
        <v>0</v>
      </c>
      <c r="F93" s="11">
        <f>Table218[[#This Row],[حسابهای دریافتنی]]+Table218[[#This Row],[چکهای در جریان وصول]]+Table218[[#This Row],[چکهای نزد صندوق]]</f>
        <v>5689439</v>
      </c>
      <c r="G93" s="12">
        <f>IFERROR(INDEX('مانده سوفاله'!F:F,MATCH(Table218[[#This Row],[كد تفصيلي]],'مانده سوفاله'!A:A,0)),0)</f>
        <v>764</v>
      </c>
    </row>
    <row r="94" spans="1:7" ht="24" customHeight="1" x14ac:dyDescent="0.35">
      <c r="A94" s="26">
        <v>30164</v>
      </c>
      <c r="B94" s="68" t="s">
        <v>304</v>
      </c>
      <c r="C94" s="10">
        <f>IFERROR(INDEX('حسابهای دریافتنی'!H:H,MATCH(Table218[[#This Row],[كد تفصيلي]],'حسابهای دریافتنی'!A:A,0)),0)</f>
        <v>184944000</v>
      </c>
      <c r="D94" s="11">
        <f>IFERROR(INDEX('درجریان وصول'!F:F,MATCH(Table218[[#This Row],[كد تفصيلي]],'درجریان وصول'!A:A,0)),0)</f>
        <v>0</v>
      </c>
      <c r="E94" s="11">
        <f>IFERROR(INDEX('چکهای دریافتنی'!F:F,MATCH(Table218[[#This Row],[كد تفصيلي]],'چکهای دریافتنی'!A:A,0)),0)</f>
        <v>0</v>
      </c>
      <c r="F94" s="11">
        <f>Table218[[#This Row],[حسابهای دریافتنی]]+Table218[[#This Row],[چکهای در جریان وصول]]+Table218[[#This Row],[چکهای نزد صندوق]]</f>
        <v>184944000</v>
      </c>
      <c r="G94" s="12">
        <f>IFERROR(INDEX('مانده سوفاله'!F:F,MATCH(Table218[[#This Row],[كد تفصيلي]],'مانده سوفاله'!A:A,0)),0)</f>
        <v>561</v>
      </c>
    </row>
    <row r="95" spans="1:7" ht="24" customHeight="1" x14ac:dyDescent="0.35">
      <c r="A95" s="27">
        <v>10109</v>
      </c>
      <c r="B95" s="69" t="s">
        <v>303</v>
      </c>
      <c r="C95" s="10">
        <f>IFERROR(INDEX('حسابهای دریافتنی'!H:H,MATCH(Table218[[#This Row],[كد تفصيلي]],'حسابهای دریافتنی'!A:A,0)),0)</f>
        <v>-1124737000</v>
      </c>
      <c r="D95" s="11">
        <f>IFERROR(INDEX('درجریان وصول'!F:F,MATCH(Table218[[#This Row],[كد تفصيلي]],'درجریان وصول'!A:A,0)),0)</f>
        <v>0</v>
      </c>
      <c r="E95" s="11">
        <f>IFERROR(INDEX('چکهای دریافتنی'!F:F,MATCH(Table218[[#This Row],[كد تفصيلي]],'چکهای دریافتنی'!A:A,0)),0)</f>
        <v>0</v>
      </c>
      <c r="F95" s="11">
        <f>Table218[[#This Row],[حسابهای دریافتنی]]+Table218[[#This Row],[چکهای در جریان وصول]]+Table218[[#This Row],[چکهای نزد صندوق]]</f>
        <v>-1124737000</v>
      </c>
      <c r="G95" s="12">
        <f>IFERROR(INDEX('مانده سوفاله'!F:F,MATCH(Table218[[#This Row],[كد تفصيلي]],'مانده سوفاله'!A:A,0)),0)</f>
        <v>-241</v>
      </c>
    </row>
    <row r="96" spans="1:7" ht="24" customHeight="1" x14ac:dyDescent="0.35">
      <c r="A96" s="26">
        <v>30021</v>
      </c>
      <c r="B96" s="68" t="s">
        <v>69</v>
      </c>
      <c r="C96" s="10">
        <f>IFERROR(INDEX('حسابهای دریافتنی'!H:H,MATCH(Table218[[#This Row],[كد تفصيلي]],'حسابهای دریافتنی'!A:A,0)),0)</f>
        <v>-122000</v>
      </c>
      <c r="D96" s="11">
        <f>IFERROR(INDEX('درجریان وصول'!F:F,MATCH(Table218[[#This Row],[كد تفصيلي]],'درجریان وصول'!A:A,0)),0)</f>
        <v>0</v>
      </c>
      <c r="E96" s="11">
        <f>IFERROR(INDEX('چکهای دریافتنی'!F:F,MATCH(Table218[[#This Row],[كد تفصيلي]],'چکهای دریافتنی'!A:A,0)),0)</f>
        <v>0</v>
      </c>
      <c r="F96" s="11">
        <f>Table218[[#This Row],[حسابهای دریافتنی]]+Table218[[#This Row],[چکهای در جریان وصول]]+Table218[[#This Row],[چکهای نزد صندوق]]</f>
        <v>-122000</v>
      </c>
      <c r="G96" s="12">
        <f>IFERROR(INDEX('مانده سوفاله'!F:F,MATCH(Table218[[#This Row],[كد تفصيلي]],'مانده سوفاله'!A:A,0)),0)</f>
        <v>0</v>
      </c>
    </row>
    <row r="97" spans="1:7" ht="24" customHeight="1" x14ac:dyDescent="0.35">
      <c r="A97" s="27">
        <v>10066</v>
      </c>
      <c r="B97" s="69" t="s">
        <v>262</v>
      </c>
      <c r="C97" s="10">
        <f>IFERROR(INDEX('حسابهای دریافتنی'!H:H,MATCH(Table218[[#This Row],[كد تفصيلي]],'حسابهای دریافتنی'!A:A,0)),0)</f>
        <v>-191500</v>
      </c>
      <c r="D97" s="11">
        <f>IFERROR(INDEX('درجریان وصول'!F:F,MATCH(Table218[[#This Row],[كد تفصيلي]],'درجریان وصول'!A:A,0)),0)</f>
        <v>0</v>
      </c>
      <c r="E97" s="11">
        <f>IFERROR(INDEX('چکهای دریافتنی'!F:F,MATCH(Table218[[#This Row],[كد تفصيلي]],'چکهای دریافتنی'!A:A,0)),0)</f>
        <v>0</v>
      </c>
      <c r="F97" s="11">
        <f>Table218[[#This Row],[حسابهای دریافتنی]]+Table218[[#This Row],[چکهای در جریان وصول]]+Table218[[#This Row],[چکهای نزد صندوق]]</f>
        <v>-191500</v>
      </c>
      <c r="G97" s="12">
        <f>IFERROR(INDEX('مانده سوفاله'!F:F,MATCH(Table218[[#This Row],[كد تفصيلي]],'مانده سوفاله'!A:A,0)),0)</f>
        <v>2</v>
      </c>
    </row>
    <row r="98" spans="1:7" ht="24" customHeight="1" x14ac:dyDescent="0.35">
      <c r="A98" s="27">
        <v>30167</v>
      </c>
      <c r="B98" s="69" t="s">
        <v>311</v>
      </c>
      <c r="C98" s="10">
        <f>IFERROR(INDEX('حسابهای دریافتنی'!H:H,MATCH(Table218[[#This Row],[كد تفصيلي]],'حسابهای دریافتنی'!A:A,0)),0)</f>
        <v>-221000</v>
      </c>
      <c r="D98" s="11">
        <f>IFERROR(INDEX('درجریان وصول'!F:F,MATCH(Table218[[#This Row],[كد تفصيلي]],'درجریان وصول'!A:A,0)),0)</f>
        <v>0</v>
      </c>
      <c r="E98" s="11">
        <f>IFERROR(INDEX('چکهای دریافتنی'!F:F,MATCH(Table218[[#This Row],[كد تفصيلي]],'چکهای دریافتنی'!A:A,0)),0)</f>
        <v>0</v>
      </c>
      <c r="F98" s="11">
        <f>Table218[[#This Row],[حسابهای دریافتنی]]+Table218[[#This Row],[چکهای در جریان وصول]]+Table218[[#This Row],[چکهای نزد صندوق]]</f>
        <v>-221000</v>
      </c>
      <c r="G98" s="12">
        <f>IFERROR(INDEX('مانده سوفاله'!F:F,MATCH(Table218[[#This Row],[كد تفصيلي]],'مانده سوفاله'!A:A,0)),0)</f>
        <v>6</v>
      </c>
    </row>
    <row r="99" spans="1:7" ht="24" customHeight="1" x14ac:dyDescent="0.35">
      <c r="A99" s="26">
        <v>10077</v>
      </c>
      <c r="B99" s="68" t="s">
        <v>210</v>
      </c>
      <c r="C99" s="10">
        <f>IFERROR(INDEX('حسابهای دریافتنی'!H:H,MATCH(Table218[[#This Row],[كد تفصيلي]],'حسابهای دریافتنی'!A:A,0)),0)</f>
        <v>-238500</v>
      </c>
      <c r="D99" s="11">
        <f>IFERROR(INDEX('درجریان وصول'!F:F,MATCH(Table218[[#This Row],[كد تفصيلي]],'درجریان وصول'!A:A,0)),0)</f>
        <v>0</v>
      </c>
      <c r="E99" s="11">
        <f>IFERROR(INDEX('چکهای دریافتنی'!F:F,MATCH(Table218[[#This Row],[كد تفصيلي]],'چکهای دریافتنی'!A:A,0)),0)</f>
        <v>0</v>
      </c>
      <c r="F99" s="11">
        <f>Table218[[#This Row],[حسابهای دریافتنی]]+Table218[[#This Row],[چکهای در جریان وصول]]+Table218[[#This Row],[چکهای نزد صندوق]]</f>
        <v>-238500</v>
      </c>
      <c r="G99" s="12">
        <f>IFERROR(INDEX('مانده سوفاله'!F:F,MATCH(Table218[[#This Row],[كد تفصيلي]],'مانده سوفاله'!A:A,0)),0)</f>
        <v>0</v>
      </c>
    </row>
    <row r="100" spans="1:7" ht="24" customHeight="1" x14ac:dyDescent="0.35">
      <c r="A100" s="27">
        <v>10012</v>
      </c>
      <c r="B100" s="69" t="s">
        <v>19</v>
      </c>
      <c r="C100" s="10">
        <f>IFERROR(INDEX('حسابهای دریافتنی'!H:H,MATCH(Table218[[#This Row],[كد تفصيلي]],'حسابهای دریافتنی'!A:A,0)),0)</f>
        <v>-244000</v>
      </c>
      <c r="D100" s="11">
        <f>IFERROR(INDEX('درجریان وصول'!F:F,MATCH(Table218[[#This Row],[كد تفصيلي]],'درجریان وصول'!A:A,0)),0)</f>
        <v>0</v>
      </c>
      <c r="E100" s="11">
        <f>IFERROR(INDEX('چکهای دریافتنی'!F:F,MATCH(Table218[[#This Row],[كد تفصيلي]],'چکهای دریافتنی'!A:A,0)),0)</f>
        <v>0</v>
      </c>
      <c r="F100" s="11">
        <f>Table218[[#This Row],[حسابهای دریافتنی]]+Table218[[#This Row],[چکهای در جریان وصول]]+Table218[[#This Row],[چکهای نزد صندوق]]</f>
        <v>-244000</v>
      </c>
      <c r="G100" s="12">
        <f>IFERROR(INDEX('مانده سوفاله'!F:F,MATCH(Table218[[#This Row],[كد تفصيلي]],'مانده سوفاله'!A:A,0)),0)</f>
        <v>0</v>
      </c>
    </row>
    <row r="101" spans="1:7" ht="24" customHeight="1" x14ac:dyDescent="0.35">
      <c r="A101" s="26">
        <v>30088</v>
      </c>
      <c r="B101" s="68" t="s">
        <v>142</v>
      </c>
      <c r="C101" s="10">
        <f>IFERROR(INDEX('حسابهای دریافتنی'!H:H,MATCH(Table218[[#This Row],[كد تفصيلي]],'حسابهای دریافتنی'!A:A,0)),0)</f>
        <v>-252000</v>
      </c>
      <c r="D101" s="11">
        <f>IFERROR(INDEX('درجریان وصول'!F:F,MATCH(Table218[[#This Row],[كد تفصيلي]],'درجریان وصول'!A:A,0)),0)</f>
        <v>0</v>
      </c>
      <c r="E101" s="11">
        <f>IFERROR(INDEX('چکهای دریافتنی'!F:F,MATCH(Table218[[#This Row],[كد تفصيلي]],'چکهای دریافتنی'!A:A,0)),0)</f>
        <v>0</v>
      </c>
      <c r="F101" s="11">
        <f>Table218[[#This Row],[حسابهای دریافتنی]]+Table218[[#This Row],[چکهای در جریان وصول]]+Table218[[#This Row],[چکهای نزد صندوق]]</f>
        <v>-252000</v>
      </c>
      <c r="G101" s="12">
        <f>IFERROR(INDEX('مانده سوفاله'!F:F,MATCH(Table218[[#This Row],[كد تفصيلي]],'مانده سوفاله'!A:A,0)),0)</f>
        <v>0</v>
      </c>
    </row>
    <row r="102" spans="1:7" ht="24" customHeight="1" x14ac:dyDescent="0.35">
      <c r="A102" s="26">
        <v>10045</v>
      </c>
      <c r="B102" s="68" t="s">
        <v>50</v>
      </c>
      <c r="C102" s="10">
        <f>IFERROR(INDEX('حسابهای دریافتنی'!H:H,MATCH(Table218[[#This Row],[كد تفصيلي]],'حسابهای دریافتنی'!A:A,0)),0)</f>
        <v>-383000</v>
      </c>
      <c r="D102" s="11">
        <f>IFERROR(INDEX('درجریان وصول'!F:F,MATCH(Table218[[#This Row],[كد تفصيلي]],'درجریان وصول'!A:A,0)),0)</f>
        <v>0</v>
      </c>
      <c r="E102" s="11">
        <f>IFERROR(INDEX('چکهای دریافتنی'!F:F,MATCH(Table218[[#This Row],[كد تفصيلي]],'چکهای دریافتنی'!A:A,0)),0)</f>
        <v>0</v>
      </c>
      <c r="F102" s="11">
        <f>Table218[[#This Row],[حسابهای دریافتنی]]+Table218[[#This Row],[چکهای در جریان وصول]]+Table218[[#This Row],[چکهای نزد صندوق]]</f>
        <v>-383000</v>
      </c>
      <c r="G102" s="12">
        <f>IFERROR(INDEX('مانده سوفاله'!F:F,MATCH(Table218[[#This Row],[كد تفصيلي]],'مانده سوفاله'!A:A,0)),0)</f>
        <v>-30</v>
      </c>
    </row>
    <row r="103" spans="1:7" ht="24" customHeight="1" x14ac:dyDescent="0.35">
      <c r="A103" s="26">
        <v>30051</v>
      </c>
      <c r="B103" s="68" t="s">
        <v>98</v>
      </c>
      <c r="C103" s="10">
        <f>IFERROR(INDEX('حسابهای دریافتنی'!H:H,MATCH(Table218[[#This Row],[كد تفصيلي]],'حسابهای دریافتنی'!A:A,0)),0)</f>
        <v>-384000</v>
      </c>
      <c r="D103" s="11">
        <f>IFERROR(INDEX('درجریان وصول'!F:F,MATCH(Table218[[#This Row],[كد تفصيلي]],'درجریان وصول'!A:A,0)),0)</f>
        <v>0</v>
      </c>
      <c r="E103" s="11">
        <f>IFERROR(INDEX('چکهای دریافتنی'!F:F,MATCH(Table218[[#This Row],[كد تفصيلي]],'چکهای دریافتنی'!A:A,0)),0)</f>
        <v>0</v>
      </c>
      <c r="F103" s="11">
        <f>Table218[[#This Row],[حسابهای دریافتنی]]+Table218[[#This Row],[چکهای در جریان وصول]]+Table218[[#This Row],[چکهای نزد صندوق]]</f>
        <v>-384000</v>
      </c>
      <c r="G103" s="12">
        <f>IFERROR(INDEX('مانده سوفاله'!F:F,MATCH(Table218[[#This Row],[كد تفصيلي]],'مانده سوفاله'!A:A,0)),0)</f>
        <v>0</v>
      </c>
    </row>
    <row r="104" spans="1:7" ht="24" customHeight="1" x14ac:dyDescent="0.35">
      <c r="A104" s="27">
        <v>30044</v>
      </c>
      <c r="B104" s="69" t="s">
        <v>91</v>
      </c>
      <c r="C104" s="10">
        <f>IFERROR(INDEX('حسابهای دریافتنی'!H:H,MATCH(Table218[[#This Row],[كد تفصيلي]],'حسابهای دریافتنی'!A:A,0)),0)</f>
        <v>-492500</v>
      </c>
      <c r="D104" s="11">
        <f>IFERROR(INDEX('درجریان وصول'!F:F,MATCH(Table218[[#This Row],[كد تفصيلي]],'درجریان وصول'!A:A,0)),0)</f>
        <v>0</v>
      </c>
      <c r="E104" s="11">
        <f>IFERROR(INDEX('چکهای دریافتنی'!F:F,MATCH(Table218[[#This Row],[كد تفصيلي]],'چکهای دریافتنی'!A:A,0)),0)</f>
        <v>0</v>
      </c>
      <c r="F104" s="11">
        <f>Table218[[#This Row],[حسابهای دریافتنی]]+Table218[[#This Row],[چکهای در جریان وصول]]+Table218[[#This Row],[چکهای نزد صندوق]]</f>
        <v>-492500</v>
      </c>
      <c r="G104" s="12">
        <f>IFERROR(INDEX('مانده سوفاله'!F:F,MATCH(Table218[[#This Row],[كد تفصيلي]],'مانده سوفاله'!A:A,0)),0)</f>
        <v>2</v>
      </c>
    </row>
    <row r="105" spans="1:7" ht="24" customHeight="1" x14ac:dyDescent="0.35">
      <c r="A105" s="26">
        <v>10095</v>
      </c>
      <c r="B105" s="68" t="s">
        <v>268</v>
      </c>
      <c r="C105" s="10">
        <f>IFERROR(INDEX('حسابهای دریافتنی'!H:H,MATCH(Table218[[#This Row],[كد تفصيلي]],'حسابهای دریافتنی'!A:A,0)),0)</f>
        <v>-496500</v>
      </c>
      <c r="D105" s="11">
        <f>IFERROR(INDEX('درجریان وصول'!F:F,MATCH(Table218[[#This Row],[كد تفصيلي]],'درجریان وصول'!A:A,0)),0)</f>
        <v>0</v>
      </c>
      <c r="E105" s="11">
        <f>IFERROR(INDEX('چکهای دریافتنی'!F:F,MATCH(Table218[[#This Row],[كد تفصيلي]],'چکهای دریافتنی'!A:A,0)),0)</f>
        <v>0</v>
      </c>
      <c r="F105" s="11">
        <f>Table218[[#This Row],[حسابهای دریافتنی]]+Table218[[#This Row],[چکهای در جریان وصول]]+Table218[[#This Row],[چکهای نزد صندوق]]</f>
        <v>-496500</v>
      </c>
      <c r="G105" s="12">
        <f>IFERROR(INDEX('مانده سوفاله'!F:F,MATCH(Table218[[#This Row],[كد تفصيلي]],'مانده سوفاله'!A:A,0)),0)</f>
        <v>0</v>
      </c>
    </row>
    <row r="106" spans="1:7" ht="24" customHeight="1" x14ac:dyDescent="0.35">
      <c r="A106" s="26">
        <v>10126</v>
      </c>
      <c r="B106" s="68" t="s">
        <v>370</v>
      </c>
      <c r="C106" s="10">
        <f>IFERROR(INDEX('حسابهای دریافتنی'!H:H,MATCH(Table218[[#This Row],[كد تفصيلي]],'حسابهای دریافتنی'!A:A,0)),0)</f>
        <v>12165000</v>
      </c>
      <c r="D106" s="11">
        <f>IFERROR(INDEX('درجریان وصول'!F:F,MATCH(Table218[[#This Row],[كد تفصيلي]],'درجریان وصول'!A:A,0)),0)</f>
        <v>0</v>
      </c>
      <c r="E106" s="11">
        <f>IFERROR(INDEX('چکهای دریافتنی'!F:F,MATCH(Table218[[#This Row],[كد تفصيلي]],'چکهای دریافتنی'!A:A,0)),0)</f>
        <v>0</v>
      </c>
      <c r="F106" s="11">
        <f>Table218[[#This Row],[حسابهای دریافتنی]]+Table218[[#This Row],[چکهای در جریان وصول]]+Table218[[#This Row],[چکهای نزد صندوق]]</f>
        <v>12165000</v>
      </c>
      <c r="G106" s="12">
        <f>IFERROR(INDEX('مانده سوفاله'!F:F,MATCH(Table218[[#This Row],[كد تفصيلي]],'مانده سوفاله'!A:A,0)),0)</f>
        <v>0</v>
      </c>
    </row>
    <row r="107" spans="1:7" ht="24" customHeight="1" x14ac:dyDescent="0.35">
      <c r="A107" s="27">
        <v>30052</v>
      </c>
      <c r="B107" s="69" t="s">
        <v>149</v>
      </c>
      <c r="C107" s="10">
        <f>IFERROR(INDEX('حسابهای دریافتنی'!H:H,MATCH(Table218[[#This Row],[كد تفصيلي]],'حسابهای دریافتنی'!A:A,0)),0)</f>
        <v>-539000</v>
      </c>
      <c r="D107" s="11">
        <f>IFERROR(INDEX('درجریان وصول'!F:F,MATCH(Table218[[#This Row],[كد تفصيلي]],'درجریان وصول'!A:A,0)),0)</f>
        <v>0</v>
      </c>
      <c r="E107" s="11">
        <f>IFERROR(INDEX('چکهای دریافتنی'!F:F,MATCH(Table218[[#This Row],[كد تفصيلي]],'چکهای دریافتنی'!A:A,0)),0)</f>
        <v>0</v>
      </c>
      <c r="F107" s="11">
        <f>Table218[[#This Row],[حسابهای دریافتنی]]+Table218[[#This Row],[چکهای در جریان وصول]]+Table218[[#This Row],[چکهای نزد صندوق]]</f>
        <v>-539000</v>
      </c>
      <c r="G107" s="12">
        <f>IFERROR(INDEX('مانده سوفاله'!F:F,MATCH(Table218[[#This Row],[كد تفصيلي]],'مانده سوفاله'!A:A,0)),0)</f>
        <v>0</v>
      </c>
    </row>
    <row r="108" spans="1:7" ht="24" customHeight="1" x14ac:dyDescent="0.35">
      <c r="A108" s="26">
        <v>10061</v>
      </c>
      <c r="B108" s="68" t="s">
        <v>194</v>
      </c>
      <c r="C108" s="10">
        <f>IFERROR(INDEX('حسابهای دریافتنی'!H:H,MATCH(Table218[[#This Row],[كد تفصيلي]],'حسابهای دریافتنی'!A:A,0)),0)</f>
        <v>-565500</v>
      </c>
      <c r="D108" s="11">
        <f>IFERROR(INDEX('درجریان وصول'!F:F,MATCH(Table218[[#This Row],[كد تفصيلي]],'درجریان وصول'!A:A,0)),0)</f>
        <v>0</v>
      </c>
      <c r="E108" s="11">
        <f>IFERROR(INDEX('چکهای دریافتنی'!F:F,MATCH(Table218[[#This Row],[كد تفصيلي]],'چکهای دریافتنی'!A:A,0)),0)</f>
        <v>0</v>
      </c>
      <c r="F108" s="11">
        <f>Table218[[#This Row],[حسابهای دریافتنی]]+Table218[[#This Row],[چکهای در جریان وصول]]+Table218[[#This Row],[چکهای نزد صندوق]]</f>
        <v>-565500</v>
      </c>
      <c r="G108" s="12">
        <f>IFERROR(INDEX('مانده سوفاله'!F:F,MATCH(Table218[[#This Row],[كد تفصيلي]],'مانده سوفاله'!A:A,0)),0)</f>
        <v>0</v>
      </c>
    </row>
    <row r="109" spans="1:7" ht="24" customHeight="1" x14ac:dyDescent="0.35">
      <c r="A109" s="26">
        <v>10118</v>
      </c>
      <c r="B109" s="68" t="s">
        <v>334</v>
      </c>
      <c r="C109" s="10">
        <f>IFERROR(INDEX('حسابهای دریافتنی'!H:H,MATCH(Table218[[#This Row],[كد تفصيلي]],'حسابهای دریافتنی'!A:A,0)),0)</f>
        <v>-587500</v>
      </c>
      <c r="D109" s="11">
        <f>IFERROR(INDEX('درجریان وصول'!F:F,MATCH(Table218[[#This Row],[كد تفصيلي]],'درجریان وصول'!A:A,0)),0)</f>
        <v>0</v>
      </c>
      <c r="E109" s="11">
        <f>IFERROR(INDEX('چکهای دریافتنی'!F:F,MATCH(Table218[[#This Row],[كد تفصيلي]],'چکهای دریافتنی'!A:A,0)),0)</f>
        <v>0</v>
      </c>
      <c r="F109" s="11">
        <f>Table218[[#This Row],[حسابهای دریافتنی]]+Table218[[#This Row],[چکهای در جریان وصول]]+Table218[[#This Row],[چکهای نزد صندوق]]</f>
        <v>-587500</v>
      </c>
      <c r="G109" s="12">
        <f>IFERROR(INDEX('مانده سوفاله'!F:F,MATCH(Table218[[#This Row],[كد تفصيلي]],'مانده سوفاله'!A:A,0)),0)</f>
        <v>0</v>
      </c>
    </row>
    <row r="110" spans="1:7" ht="24" customHeight="1" x14ac:dyDescent="0.35">
      <c r="A110" s="27">
        <v>10018</v>
      </c>
      <c r="B110" s="69" t="s">
        <v>25</v>
      </c>
      <c r="C110" s="10">
        <f>IFERROR(INDEX('حسابهای دریافتنی'!H:H,MATCH(Table218[[#This Row],[كد تفصيلي]],'حسابهای دریافتنی'!A:A,0)),0)</f>
        <v>95282000</v>
      </c>
      <c r="D110" s="11">
        <f>IFERROR(INDEX('درجریان وصول'!F:F,MATCH(Table218[[#This Row],[كد تفصيلي]],'درجریان وصول'!A:A,0)),0)</f>
        <v>0</v>
      </c>
      <c r="E110" s="11">
        <f>IFERROR(INDEX('چکهای دریافتنی'!F:F,MATCH(Table218[[#This Row],[كد تفصيلي]],'چکهای دریافتنی'!A:A,0)),0)</f>
        <v>0</v>
      </c>
      <c r="F110" s="11">
        <f>Table218[[#This Row],[حسابهای دریافتنی]]+Table218[[#This Row],[چکهای در جریان وصول]]+Table218[[#This Row],[چکهای نزد صندوق]]</f>
        <v>95282000</v>
      </c>
      <c r="G110" s="12">
        <f>IFERROR(INDEX('مانده سوفاله'!F:F,MATCH(Table218[[#This Row],[كد تفصيلي]],'مانده سوفاله'!A:A,0)),0)</f>
        <v>-32</v>
      </c>
    </row>
    <row r="111" spans="1:7" ht="24" customHeight="1" x14ac:dyDescent="0.35">
      <c r="A111" s="27">
        <v>10072</v>
      </c>
      <c r="B111" s="69" t="s">
        <v>177</v>
      </c>
      <c r="C111" s="10">
        <f>IFERROR(INDEX('حسابهای دریافتنی'!H:H,MATCH(Table218[[#This Row],[كد تفصيلي]],'حسابهای دریافتنی'!A:A,0)),0)</f>
        <v>55880</v>
      </c>
      <c r="D111" s="11">
        <f>IFERROR(INDEX('درجریان وصول'!F:F,MATCH(Table218[[#This Row],[كد تفصيلي]],'درجریان وصول'!A:A,0)),0)</f>
        <v>0</v>
      </c>
      <c r="E111" s="11">
        <f>IFERROR(INDEX('چکهای دریافتنی'!F:F,MATCH(Table218[[#This Row],[كد تفصيلي]],'چکهای دریافتنی'!A:A,0)),0)</f>
        <v>427700000</v>
      </c>
      <c r="F111" s="11">
        <f>Table218[[#This Row],[حسابهای دریافتنی]]+Table218[[#This Row],[چکهای در جریان وصول]]+Table218[[#This Row],[چکهای نزد صندوق]]</f>
        <v>427755880</v>
      </c>
      <c r="G111" s="12">
        <f>IFERROR(INDEX('مانده سوفاله'!F:F,MATCH(Table218[[#This Row],[كد تفصيلي]],'مانده سوفاله'!A:A,0)),0)</f>
        <v>0</v>
      </c>
    </row>
    <row r="112" spans="1:7" ht="24" customHeight="1" x14ac:dyDescent="0.35">
      <c r="A112" s="26">
        <v>30112</v>
      </c>
      <c r="B112" s="68" t="s">
        <v>201</v>
      </c>
      <c r="C112" s="10">
        <f>IFERROR(INDEX('حسابهای دریافتنی'!H:H,MATCH(Table218[[#This Row],[كد تفصيلي]],'حسابهای دریافتنی'!A:A,0)),0)</f>
        <v>-720500</v>
      </c>
      <c r="D112" s="11">
        <f>IFERROR(INDEX('درجریان وصول'!F:F,MATCH(Table218[[#This Row],[كد تفصيلي]],'درجریان وصول'!A:A,0)),0)</f>
        <v>0</v>
      </c>
      <c r="E112" s="11">
        <f>IFERROR(INDEX('چکهای دریافتنی'!F:F,MATCH(Table218[[#This Row],[كد تفصيلي]],'چکهای دریافتنی'!A:A,0)),0)</f>
        <v>0</v>
      </c>
      <c r="F112" s="11">
        <f>Table218[[#This Row],[حسابهای دریافتنی]]+Table218[[#This Row],[چکهای در جریان وصول]]+Table218[[#This Row],[چکهای نزد صندوق]]</f>
        <v>-720500</v>
      </c>
      <c r="G112" s="12">
        <f>IFERROR(INDEX('مانده سوفاله'!F:F,MATCH(Table218[[#This Row],[كد تفصيلي]],'مانده سوفاله'!A:A,0)),0)</f>
        <v>36</v>
      </c>
    </row>
    <row r="113" spans="1:7" ht="24" customHeight="1" x14ac:dyDescent="0.35">
      <c r="A113" s="26">
        <v>10013</v>
      </c>
      <c r="B113" s="68" t="s">
        <v>20</v>
      </c>
      <c r="C113" s="10">
        <f>IFERROR(INDEX('حسابهای دریافتنی'!H:H,MATCH(Table218[[#This Row],[كد تفصيلي]],'حسابهای دریافتنی'!A:A,0)),0)</f>
        <v>-915000</v>
      </c>
      <c r="D113" s="11">
        <f>IFERROR(INDEX('درجریان وصول'!F:F,MATCH(Table218[[#This Row],[كد تفصيلي]],'درجریان وصول'!A:A,0)),0)</f>
        <v>0</v>
      </c>
      <c r="E113" s="11">
        <f>IFERROR(INDEX('چکهای دریافتنی'!F:F,MATCH(Table218[[#This Row],[كد تفصيلي]],'چکهای دریافتنی'!A:A,0)),0)</f>
        <v>0</v>
      </c>
      <c r="F113" s="11">
        <f>Table218[[#This Row],[حسابهای دریافتنی]]+Table218[[#This Row],[چکهای در جریان وصول]]+Table218[[#This Row],[چکهای نزد صندوق]]</f>
        <v>-915000</v>
      </c>
      <c r="G113" s="12">
        <f>IFERROR(INDEX('مانده سوفاله'!F:F,MATCH(Table218[[#This Row],[كد تفصيلي]],'مانده سوفاله'!A:A,0)),0)</f>
        <v>0</v>
      </c>
    </row>
    <row r="114" spans="1:7" ht="24" customHeight="1" x14ac:dyDescent="0.35">
      <c r="A114" s="26">
        <v>10128</v>
      </c>
      <c r="B114" s="68" t="s">
        <v>372</v>
      </c>
      <c r="C114" s="10">
        <f>IFERROR(INDEX('حسابهای دریافتنی'!H:H,MATCH(Table218[[#This Row],[كد تفصيلي]],'حسابهای دریافتنی'!A:A,0)),0)</f>
        <v>-45000</v>
      </c>
      <c r="D114" s="11">
        <f>IFERROR(INDEX('درجریان وصول'!F:F,MATCH(Table218[[#This Row],[كد تفصيلي]],'درجریان وصول'!A:A,0)),0)</f>
        <v>0</v>
      </c>
      <c r="E114" s="11">
        <f>IFERROR(INDEX('چکهای دریافتنی'!F:F,MATCH(Table218[[#This Row],[كد تفصيلي]],'چکهای دریافتنی'!A:A,0)),0)</f>
        <v>0</v>
      </c>
      <c r="F114" s="11">
        <f>Table218[[#This Row],[حسابهای دریافتنی]]+Table218[[#This Row],[چکهای در جریان وصول]]+Table218[[#This Row],[چکهای نزد صندوق]]</f>
        <v>-45000</v>
      </c>
      <c r="G114" s="12">
        <f>IFERROR(INDEX('مانده سوفاله'!F:F,MATCH(Table218[[#This Row],[كد تفصيلي]],'مانده سوفاله'!A:A,0)),0)</f>
        <v>6</v>
      </c>
    </row>
    <row r="115" spans="1:7" ht="24" customHeight="1" x14ac:dyDescent="0.35">
      <c r="A115" s="27">
        <v>10042</v>
      </c>
      <c r="B115" s="69" t="s">
        <v>47</v>
      </c>
      <c r="C115" s="10">
        <f>IFERROR(INDEX('حسابهای دریافتنی'!H:H,MATCH(Table218[[#This Row],[كد تفصيلي]],'حسابهای دریافتنی'!A:A,0)),0)</f>
        <v>-1120000</v>
      </c>
      <c r="D115" s="11">
        <f>IFERROR(INDEX('درجریان وصول'!F:F,MATCH(Table218[[#This Row],[كد تفصيلي]],'درجریان وصول'!A:A,0)),0)</f>
        <v>0</v>
      </c>
      <c r="E115" s="11">
        <f>IFERROR(INDEX('چکهای دریافتنی'!F:F,MATCH(Table218[[#This Row],[كد تفصيلي]],'چکهای دریافتنی'!A:A,0)),0)</f>
        <v>0</v>
      </c>
      <c r="F115" s="11">
        <f>Table218[[#This Row],[حسابهای دریافتنی]]+Table218[[#This Row],[چکهای در جریان وصول]]+Table218[[#This Row],[چکهای نزد صندوق]]</f>
        <v>-1120000</v>
      </c>
      <c r="G115" s="12">
        <f>IFERROR(INDEX('مانده سوفاله'!F:F,MATCH(Table218[[#This Row],[كد تفصيلي]],'مانده سوفاله'!A:A,0)),0)</f>
        <v>2</v>
      </c>
    </row>
    <row r="116" spans="1:7" ht="24" customHeight="1" x14ac:dyDescent="0.35">
      <c r="A116" s="27">
        <v>30032</v>
      </c>
      <c r="B116" s="69" t="s">
        <v>79</v>
      </c>
      <c r="C116" s="10">
        <f>IFERROR(INDEX('حسابهای دریافتنی'!H:H,MATCH(Table218[[#This Row],[كد تفصيلي]],'حسابهای دریافتنی'!A:A,0)),0)</f>
        <v>-1347000</v>
      </c>
      <c r="D116" s="11">
        <f>IFERROR(INDEX('درجریان وصول'!F:F,MATCH(Table218[[#This Row],[كد تفصيلي]],'درجریان وصول'!A:A,0)),0)</f>
        <v>0</v>
      </c>
      <c r="E116" s="11">
        <f>IFERROR(INDEX('چکهای دریافتنی'!F:F,MATCH(Table218[[#This Row],[كد تفصيلي]],'چکهای دریافتنی'!A:A,0)),0)</f>
        <v>0</v>
      </c>
      <c r="F116" s="11">
        <f>Table218[[#This Row],[حسابهای دریافتنی]]+Table218[[#This Row],[چکهای در جریان وصول]]+Table218[[#This Row],[چکهای نزد صندوق]]</f>
        <v>-1347000</v>
      </c>
      <c r="G116" s="12">
        <f>IFERROR(INDEX('مانده سوفاله'!F:F,MATCH(Table218[[#This Row],[كد تفصيلي]],'مانده سوفاله'!A:A,0)),0)</f>
        <v>0</v>
      </c>
    </row>
    <row r="117" spans="1:7" ht="24" customHeight="1" x14ac:dyDescent="0.35">
      <c r="A117" s="27">
        <v>30171</v>
      </c>
      <c r="B117" s="69" t="s">
        <v>322</v>
      </c>
      <c r="C117" s="10">
        <f>IFERROR(INDEX('حسابهای دریافتنی'!H:H,MATCH(Table218[[#This Row],[كد تفصيلي]],'حسابهای دریافتنی'!A:A,0)),0)</f>
        <v>-1500000</v>
      </c>
      <c r="D117" s="11">
        <f>IFERROR(INDEX('درجریان وصول'!F:F,MATCH(Table218[[#This Row],[كد تفصيلي]],'درجریان وصول'!A:A,0)),0)</f>
        <v>0</v>
      </c>
      <c r="E117" s="11">
        <f>IFERROR(INDEX('چکهای دریافتنی'!F:F,MATCH(Table218[[#This Row],[كد تفصيلي]],'چکهای دریافتنی'!A:A,0)),0)</f>
        <v>0</v>
      </c>
      <c r="F117" s="11">
        <f>Table218[[#This Row],[حسابهای دریافتنی]]+Table218[[#This Row],[چکهای در جریان وصول]]+Table218[[#This Row],[چکهای نزد صندوق]]</f>
        <v>-1500000</v>
      </c>
      <c r="G117" s="12">
        <f>IFERROR(INDEX('مانده سوفاله'!F:F,MATCH(Table218[[#This Row],[كد تفصيلي]],'مانده سوفاله'!A:A,0)),0)</f>
        <v>0</v>
      </c>
    </row>
    <row r="118" spans="1:7" ht="24" customHeight="1" x14ac:dyDescent="0.35">
      <c r="A118" s="26">
        <v>10103</v>
      </c>
      <c r="B118" s="68" t="s">
        <v>283</v>
      </c>
      <c r="C118" s="10">
        <f>IFERROR(INDEX('حسابهای دریافتنی'!H:H,MATCH(Table218[[#This Row],[كد تفصيلي]],'حسابهای دریافتنی'!A:A,0)),0)</f>
        <v>-1580000</v>
      </c>
      <c r="D118" s="11">
        <f>IFERROR(INDEX('درجریان وصول'!F:F,MATCH(Table218[[#This Row],[كد تفصيلي]],'درجریان وصول'!A:A,0)),0)</f>
        <v>0</v>
      </c>
      <c r="E118" s="11">
        <f>IFERROR(INDEX('چکهای دریافتنی'!F:F,MATCH(Table218[[#This Row],[كد تفصيلي]],'چکهای دریافتنی'!A:A,0)),0)</f>
        <v>0</v>
      </c>
      <c r="F118" s="11">
        <f>Table218[[#This Row],[حسابهای دریافتنی]]+Table218[[#This Row],[چکهای در جریان وصول]]+Table218[[#This Row],[چکهای نزد صندوق]]</f>
        <v>-1580000</v>
      </c>
      <c r="G118" s="12">
        <f>IFERROR(INDEX('مانده سوفاله'!F:F,MATCH(Table218[[#This Row],[كد تفصيلي]],'مانده سوفاله'!A:A,0)),0)</f>
        <v>0</v>
      </c>
    </row>
    <row r="119" spans="1:7" ht="24" customHeight="1" x14ac:dyDescent="0.35">
      <c r="A119" s="27">
        <v>10125</v>
      </c>
      <c r="B119" s="69" t="s">
        <v>345</v>
      </c>
      <c r="C119" s="10">
        <f>IFERROR(INDEX('حسابهای دریافتنی'!H:H,MATCH(Table218[[#This Row],[كد تفصيلي]],'حسابهای دریافتنی'!A:A,0)),0)</f>
        <v>-1650000</v>
      </c>
      <c r="D119" s="11">
        <f>IFERROR(INDEX('درجریان وصول'!F:F,MATCH(Table218[[#This Row],[كد تفصيلي]],'درجریان وصول'!A:A,0)),0)</f>
        <v>0</v>
      </c>
      <c r="E119" s="11">
        <f>IFERROR(INDEX('چکهای دریافتنی'!F:F,MATCH(Table218[[#This Row],[كد تفصيلي]],'چکهای دریافتنی'!A:A,0)),0)</f>
        <v>0</v>
      </c>
      <c r="F119" s="11">
        <f>Table218[[#This Row],[حسابهای دریافتنی]]+Table218[[#This Row],[چکهای در جریان وصول]]+Table218[[#This Row],[چکهای نزد صندوق]]</f>
        <v>-1650000</v>
      </c>
      <c r="G119" s="12">
        <f>IFERROR(INDEX('مانده سوفاله'!F:F,MATCH(Table218[[#This Row],[كد تفصيلي]],'مانده سوفاله'!A:A,0)),0)</f>
        <v>0</v>
      </c>
    </row>
    <row r="120" spans="1:7" ht="24" customHeight="1" x14ac:dyDescent="0.35">
      <c r="A120" s="26">
        <v>10110</v>
      </c>
      <c r="B120" s="68" t="s">
        <v>306</v>
      </c>
      <c r="C120" s="10">
        <f>IFERROR(INDEX('حسابهای دریافتنی'!H:H,MATCH(Table218[[#This Row],[كد تفصيلي]],'حسابهای دریافتنی'!A:A,0)),0)</f>
        <v>-1817500</v>
      </c>
      <c r="D120" s="11">
        <f>IFERROR(INDEX('درجریان وصول'!F:F,MATCH(Table218[[#This Row],[كد تفصيلي]],'درجریان وصول'!A:A,0)),0)</f>
        <v>0</v>
      </c>
      <c r="E120" s="11">
        <f>IFERROR(INDEX('چکهای دریافتنی'!F:F,MATCH(Table218[[#This Row],[كد تفصيلي]],'چکهای دریافتنی'!A:A,0)),0)</f>
        <v>0</v>
      </c>
      <c r="F120" s="11">
        <f>Table218[[#This Row],[حسابهای دریافتنی]]+Table218[[#This Row],[چکهای در جریان وصول]]+Table218[[#This Row],[چکهای نزد صندوق]]</f>
        <v>-1817500</v>
      </c>
      <c r="G120" s="12">
        <f>IFERROR(INDEX('مانده سوفاله'!F:F,MATCH(Table218[[#This Row],[كد تفصيلي]],'مانده سوفاله'!A:A,0)),0)</f>
        <v>7</v>
      </c>
    </row>
    <row r="121" spans="1:7" ht="24" customHeight="1" x14ac:dyDescent="0.35">
      <c r="A121" s="27">
        <v>30103</v>
      </c>
      <c r="B121" s="69" t="s">
        <v>240</v>
      </c>
      <c r="C121" s="10">
        <f>IFERROR(INDEX('حسابهای دریافتنی'!H:H,MATCH(Table218[[#This Row],[كد تفصيلي]],'حسابهای دریافتنی'!A:A,0)),0)</f>
        <v>-1820000</v>
      </c>
      <c r="D121" s="11">
        <f>IFERROR(INDEX('درجریان وصول'!F:F,MATCH(Table218[[#This Row],[كد تفصيلي]],'درجریان وصول'!A:A,0)),0)</f>
        <v>0</v>
      </c>
      <c r="E121" s="11">
        <f>IFERROR(INDEX('چکهای دریافتنی'!F:F,MATCH(Table218[[#This Row],[كد تفصيلي]],'چکهای دریافتنی'!A:A,0)),0)</f>
        <v>0</v>
      </c>
      <c r="F121" s="11">
        <f>Table218[[#This Row],[حسابهای دریافتنی]]+Table218[[#This Row],[چکهای در جریان وصول]]+Table218[[#This Row],[چکهای نزد صندوق]]</f>
        <v>-1820000</v>
      </c>
      <c r="G121" s="12">
        <f>IFERROR(INDEX('مانده سوفاله'!F:F,MATCH(Table218[[#This Row],[كد تفصيلي]],'مانده سوفاله'!A:A,0)),0)</f>
        <v>0</v>
      </c>
    </row>
    <row r="122" spans="1:7" ht="24" customHeight="1" x14ac:dyDescent="0.35">
      <c r="A122" s="26">
        <v>30128</v>
      </c>
      <c r="B122" s="68" t="s">
        <v>212</v>
      </c>
      <c r="C122" s="10">
        <f>IFERROR(INDEX('حسابهای دریافتنی'!H:H,MATCH(Table218[[#This Row],[كد تفصيلي]],'حسابهای دریافتنی'!A:A,0)),0)</f>
        <v>-2451320</v>
      </c>
      <c r="D122" s="11">
        <f>IFERROR(INDEX('درجریان وصول'!F:F,MATCH(Table218[[#This Row],[كد تفصيلي]],'درجریان وصول'!A:A,0)),0)</f>
        <v>0</v>
      </c>
      <c r="E122" s="11">
        <f>IFERROR(INDEX('چکهای دریافتنی'!F:F,MATCH(Table218[[#This Row],[كد تفصيلي]],'چکهای دریافتنی'!A:A,0)),0)</f>
        <v>0</v>
      </c>
      <c r="F122" s="11">
        <f>Table218[[#This Row],[حسابهای دریافتنی]]+Table218[[#This Row],[چکهای در جریان وصول]]+Table218[[#This Row],[چکهای نزد صندوق]]</f>
        <v>-2451320</v>
      </c>
      <c r="G122" s="12">
        <f>IFERROR(INDEX('مانده سوفاله'!F:F,MATCH(Table218[[#This Row],[كد تفصيلي]],'مانده سوفاله'!A:A,0)),0)</f>
        <v>0</v>
      </c>
    </row>
    <row r="123" spans="1:7" ht="24" customHeight="1" x14ac:dyDescent="0.35">
      <c r="A123" s="26">
        <v>30013</v>
      </c>
      <c r="B123" s="68" t="s">
        <v>62</v>
      </c>
      <c r="C123" s="10">
        <f>IFERROR(INDEX('حسابهای دریافتنی'!H:H,MATCH(Table218[[#This Row],[كد تفصيلي]],'حسابهای دریافتنی'!A:A,0)),0)</f>
        <v>-2744620</v>
      </c>
      <c r="D123" s="11">
        <f>IFERROR(INDEX('درجریان وصول'!F:F,MATCH(Table218[[#This Row],[كد تفصيلي]],'درجریان وصول'!A:A,0)),0)</f>
        <v>0</v>
      </c>
      <c r="E123" s="11">
        <f>IFERROR(INDEX('چکهای دریافتنی'!F:F,MATCH(Table218[[#This Row],[كد تفصيلي]],'چکهای دریافتنی'!A:A,0)),0)</f>
        <v>0</v>
      </c>
      <c r="F123" s="11">
        <f>Table218[[#This Row],[حسابهای دریافتنی]]+Table218[[#This Row],[چکهای در جریان وصول]]+Table218[[#This Row],[چکهای نزد صندوق]]</f>
        <v>-2744620</v>
      </c>
      <c r="G123" s="12">
        <f>IFERROR(INDEX('مانده سوفاله'!F:F,MATCH(Table218[[#This Row],[كد تفصيلي]],'مانده سوفاله'!A:A,0)),0)</f>
        <v>0</v>
      </c>
    </row>
    <row r="124" spans="1:7" ht="24" customHeight="1" x14ac:dyDescent="0.35">
      <c r="A124" s="26">
        <v>30015</v>
      </c>
      <c r="B124" s="68" t="s">
        <v>64</v>
      </c>
      <c r="C124" s="10">
        <f>IFERROR(INDEX('حسابهای دریافتنی'!H:H,MATCH(Table218[[#This Row],[كد تفصيلي]],'حسابهای دریافتنی'!A:A,0)),0)</f>
        <v>-3105895</v>
      </c>
      <c r="D124" s="11">
        <f>IFERROR(INDEX('درجریان وصول'!F:F,MATCH(Table218[[#This Row],[كد تفصيلي]],'درجریان وصول'!A:A,0)),0)</f>
        <v>0</v>
      </c>
      <c r="E124" s="11">
        <f>IFERROR(INDEX('چکهای دریافتنی'!F:F,MATCH(Table218[[#This Row],[كد تفصيلي]],'چکهای دریافتنی'!A:A,0)),0)</f>
        <v>0</v>
      </c>
      <c r="F124" s="11">
        <f>Table218[[#This Row],[حسابهای دریافتنی]]+Table218[[#This Row],[چکهای در جریان وصول]]+Table218[[#This Row],[چکهای نزد صندوق]]</f>
        <v>-3105895</v>
      </c>
      <c r="G124" s="12">
        <f>IFERROR(INDEX('مانده سوفاله'!F:F,MATCH(Table218[[#This Row],[كد تفصيلي]],'مانده سوفاله'!A:A,0)),0)</f>
        <v>0</v>
      </c>
    </row>
    <row r="125" spans="1:7" ht="24" customHeight="1" x14ac:dyDescent="0.35">
      <c r="A125" s="26">
        <v>30110</v>
      </c>
      <c r="B125" s="68" t="s">
        <v>200</v>
      </c>
      <c r="C125" s="10">
        <f>IFERROR(INDEX('حسابهای دریافتنی'!H:H,MATCH(Table218[[#This Row],[كد تفصيلي]],'حسابهای دریافتنی'!A:A,0)),0)</f>
        <v>-3492360</v>
      </c>
      <c r="D125" s="11">
        <f>IFERROR(INDEX('درجریان وصول'!F:F,MATCH(Table218[[#This Row],[كد تفصيلي]],'درجریان وصول'!A:A,0)),0)</f>
        <v>0</v>
      </c>
      <c r="E125" s="11">
        <f>IFERROR(INDEX('چکهای دریافتنی'!F:F,MATCH(Table218[[#This Row],[كد تفصيلي]],'چکهای دریافتنی'!A:A,0)),0)</f>
        <v>0</v>
      </c>
      <c r="F125" s="11">
        <f>Table218[[#This Row],[حسابهای دریافتنی]]+Table218[[#This Row],[چکهای در جریان وصول]]+Table218[[#This Row],[چکهای نزد صندوق]]</f>
        <v>-3492360</v>
      </c>
      <c r="G125" s="12">
        <f>IFERROR(INDEX('مانده سوفاله'!F:F,MATCH(Table218[[#This Row],[كد تفصيلي]],'مانده سوفاله'!A:A,0)),0)</f>
        <v>0</v>
      </c>
    </row>
    <row r="126" spans="1:7" ht="24" customHeight="1" x14ac:dyDescent="0.35">
      <c r="A126" s="26">
        <v>10049</v>
      </c>
      <c r="B126" s="68" t="s">
        <v>157</v>
      </c>
      <c r="C126" s="10">
        <f>IFERROR(INDEX('حسابهای دریافتنی'!H:H,MATCH(Table218[[#This Row],[كد تفصيلي]],'حسابهای دریافتنی'!A:A,0)),0)</f>
        <v>-32909500</v>
      </c>
      <c r="D126" s="11">
        <f>IFERROR(INDEX('درجریان وصول'!F:F,MATCH(Table218[[#This Row],[كد تفصيلي]],'درجریان وصول'!A:A,0)),0)</f>
        <v>0</v>
      </c>
      <c r="E126" s="11">
        <f>IFERROR(INDEX('چکهای دریافتنی'!F:F,MATCH(Table218[[#This Row],[كد تفصيلي]],'چکهای دریافتنی'!A:A,0)),0)</f>
        <v>0</v>
      </c>
      <c r="F126" s="11">
        <f>Table218[[#This Row],[حسابهای دریافتنی]]+Table218[[#This Row],[چکهای در جریان وصول]]+Table218[[#This Row],[چکهای نزد صندوق]]</f>
        <v>-32909500</v>
      </c>
      <c r="G126" s="12">
        <f>IFERROR(INDEX('مانده سوفاله'!F:F,MATCH(Table218[[#This Row],[كد تفصيلي]],'مانده سوفاله'!A:A,0)),0)</f>
        <v>0</v>
      </c>
    </row>
    <row r="127" spans="1:7" ht="24" customHeight="1" x14ac:dyDescent="0.35">
      <c r="A127" s="26">
        <v>10015</v>
      </c>
      <c r="B127" s="68" t="s">
        <v>22</v>
      </c>
      <c r="C127" s="10">
        <f>IFERROR(INDEX('حسابهای دریافتنی'!H:H,MATCH(Table218[[#This Row],[كد تفصيلي]],'حسابهای دریافتنی'!A:A,0)),0)</f>
        <v>-4735000</v>
      </c>
      <c r="D127" s="11">
        <f>IFERROR(INDEX('درجریان وصول'!F:F,MATCH(Table218[[#This Row],[كد تفصيلي]],'درجریان وصول'!A:A,0)),0)</f>
        <v>0</v>
      </c>
      <c r="E127" s="11">
        <f>IFERROR(INDEX('چکهای دریافتنی'!F:F,MATCH(Table218[[#This Row],[كد تفصيلي]],'چکهای دریافتنی'!A:A,0)),0)</f>
        <v>0</v>
      </c>
      <c r="F127" s="11">
        <f>Table218[[#This Row],[حسابهای دریافتنی]]+Table218[[#This Row],[چکهای در جریان وصول]]+Table218[[#This Row],[چکهای نزد صندوق]]</f>
        <v>-4735000</v>
      </c>
      <c r="G127" s="12">
        <f>IFERROR(INDEX('مانده سوفاله'!F:F,MATCH(Table218[[#This Row],[كد تفصيلي]],'مانده سوفاله'!A:A,0)),0)</f>
        <v>12</v>
      </c>
    </row>
    <row r="128" spans="1:7" ht="24" customHeight="1" x14ac:dyDescent="0.35">
      <c r="A128" s="26">
        <v>30023</v>
      </c>
      <c r="B128" s="68" t="s">
        <v>71</v>
      </c>
      <c r="C128" s="10">
        <f>IFERROR(INDEX('حسابهای دریافتنی'!H:H,MATCH(Table218[[#This Row],[كد تفصيلي]],'حسابهای دریافتنی'!A:A,0)),0)</f>
        <v>-5793600</v>
      </c>
      <c r="D128" s="11">
        <f>IFERROR(INDEX('درجریان وصول'!F:F,MATCH(Table218[[#This Row],[كد تفصيلي]],'درجریان وصول'!A:A,0)),0)</f>
        <v>0</v>
      </c>
      <c r="E128" s="11">
        <f>IFERROR(INDEX('چکهای دریافتنی'!F:F,MATCH(Table218[[#This Row],[كد تفصيلي]],'چکهای دریافتنی'!A:A,0)),0)</f>
        <v>0</v>
      </c>
      <c r="F128" s="11">
        <f>Table218[[#This Row],[حسابهای دریافتنی]]+Table218[[#This Row],[چکهای در جریان وصول]]+Table218[[#This Row],[چکهای نزد صندوق]]</f>
        <v>-5793600</v>
      </c>
      <c r="G128" s="12">
        <f>IFERROR(INDEX('مانده سوفاله'!F:F,MATCH(Table218[[#This Row],[كد تفصيلي]],'مانده سوفاله'!A:A,0)),0)</f>
        <v>0</v>
      </c>
    </row>
    <row r="129" spans="1:7" ht="24" customHeight="1" x14ac:dyDescent="0.35">
      <c r="A129" s="26">
        <v>30176</v>
      </c>
      <c r="B129" s="68" t="s">
        <v>332</v>
      </c>
      <c r="C129" s="10">
        <f>IFERROR(INDEX('حسابهای دریافتنی'!H:H,MATCH(Table218[[#This Row],[كد تفصيلي]],'حسابهای دریافتنی'!A:A,0)),0)</f>
        <v>-7540075</v>
      </c>
      <c r="D129" s="11">
        <f>IFERROR(INDEX('درجریان وصول'!F:F,MATCH(Table218[[#This Row],[كد تفصيلي]],'درجریان وصول'!A:A,0)),0)</f>
        <v>0</v>
      </c>
      <c r="E129" s="11">
        <f>IFERROR(INDEX('چکهای دریافتنی'!F:F,MATCH(Table218[[#This Row],[كد تفصيلي]],'چکهای دریافتنی'!A:A,0)),0)</f>
        <v>0</v>
      </c>
      <c r="F129" s="11">
        <f>Table218[[#This Row],[حسابهای دریافتنی]]+Table218[[#This Row],[چکهای در جریان وصول]]+Table218[[#This Row],[چکهای نزد صندوق]]</f>
        <v>-7540075</v>
      </c>
      <c r="G129" s="12">
        <f>IFERROR(INDEX('مانده سوفاله'!F:F,MATCH(Table218[[#This Row],[كد تفصيلي]],'مانده سوفاله'!A:A,0)),0)</f>
        <v>0</v>
      </c>
    </row>
    <row r="130" spans="1:7" ht="24" customHeight="1" x14ac:dyDescent="0.35">
      <c r="A130" s="26">
        <v>10106</v>
      </c>
      <c r="B130" s="68" t="s">
        <v>298</v>
      </c>
      <c r="C130" s="10">
        <f>IFERROR(INDEX('حسابهای دریافتنی'!H:H,MATCH(Table218[[#This Row],[كد تفصيلي]],'حسابهای دریافتنی'!A:A,0)),0)</f>
        <v>-9134000</v>
      </c>
      <c r="D130" s="11">
        <f>IFERROR(INDEX('درجریان وصول'!F:F,MATCH(Table218[[#This Row],[كد تفصيلي]],'درجریان وصول'!A:A,0)),0)</f>
        <v>0</v>
      </c>
      <c r="E130" s="11">
        <f>IFERROR(INDEX('چکهای دریافتنی'!F:F,MATCH(Table218[[#This Row],[كد تفصيلي]],'چکهای دریافتنی'!A:A,0)),0)</f>
        <v>0</v>
      </c>
      <c r="F130" s="11">
        <f>Table218[[#This Row],[حسابهای دریافتنی]]+Table218[[#This Row],[چکهای در جریان وصول]]+Table218[[#This Row],[چکهای نزد صندوق]]</f>
        <v>-9134000</v>
      </c>
      <c r="G130" s="12">
        <f>IFERROR(INDEX('مانده سوفاله'!F:F,MATCH(Table218[[#This Row],[كد تفصيلي]],'مانده سوفاله'!A:A,0)),0)</f>
        <v>0</v>
      </c>
    </row>
    <row r="131" spans="1:7" ht="24" customHeight="1" x14ac:dyDescent="0.35">
      <c r="A131" s="27">
        <v>30189</v>
      </c>
      <c r="B131" s="69" t="s">
        <v>458</v>
      </c>
      <c r="C131" s="10">
        <f>IFERROR(INDEX('حسابهای دریافتنی'!H:H,MATCH(Table218[[#This Row],[كد تفصيلي]],'حسابهای دریافتنی'!A:A,0)),0)</f>
        <v>20776490</v>
      </c>
      <c r="D131" s="11">
        <f>IFERROR(INDEX('درجریان وصول'!F:F,MATCH(Table218[[#This Row],[كد تفصيلي]],'درجریان وصول'!A:A,0)),0)</f>
        <v>0</v>
      </c>
      <c r="E131" s="11">
        <f>IFERROR(INDEX('چکهای دریافتنی'!F:F,MATCH(Table218[[#This Row],[كد تفصيلي]],'چکهای دریافتنی'!A:A,0)),0)</f>
        <v>0</v>
      </c>
      <c r="F131" s="11">
        <f>Table218[[#This Row],[حسابهای دریافتنی]]+Table218[[#This Row],[چکهای در جریان وصول]]+Table218[[#This Row],[چکهای نزد صندوق]]</f>
        <v>20776490</v>
      </c>
      <c r="G131" s="12">
        <f>IFERROR(INDEX('مانده سوفاله'!F:F,MATCH(Table218[[#This Row],[كد تفصيلي]],'مانده سوفاله'!A:A,0)),0)</f>
        <v>0</v>
      </c>
    </row>
    <row r="132" spans="1:7" ht="24" customHeight="1" x14ac:dyDescent="0.35">
      <c r="A132" s="27">
        <v>10102</v>
      </c>
      <c r="B132" s="69" t="s">
        <v>282</v>
      </c>
      <c r="C132" s="10">
        <f>IFERROR(INDEX('حسابهای دریافتنی'!H:H,MATCH(Table218[[#This Row],[كد تفصيلي]],'حسابهای دریافتنی'!A:A,0)),0)</f>
        <v>-10374000</v>
      </c>
      <c r="D132" s="11">
        <f>IFERROR(INDEX('درجریان وصول'!F:F,MATCH(Table218[[#This Row],[كد تفصيلي]],'درجریان وصول'!A:A,0)),0)</f>
        <v>0</v>
      </c>
      <c r="E132" s="11">
        <f>IFERROR(INDEX('چکهای دریافتنی'!F:F,MATCH(Table218[[#This Row],[كد تفصيلي]],'چکهای دریافتنی'!A:A,0)),0)</f>
        <v>0</v>
      </c>
      <c r="F132" s="11">
        <f>Table218[[#This Row],[حسابهای دریافتنی]]+Table218[[#This Row],[چکهای در جریان وصول]]+Table218[[#This Row],[چکهای نزد صندوق]]</f>
        <v>-10374000</v>
      </c>
      <c r="G132" s="12">
        <f>IFERROR(INDEX('مانده سوفاله'!F:F,MATCH(Table218[[#This Row],[كد تفصيلي]],'مانده سوفاله'!A:A,0)),0)</f>
        <v>0</v>
      </c>
    </row>
    <row r="133" spans="1:7" customFormat="1" ht="24" customHeight="1" x14ac:dyDescent="0.35">
      <c r="A133" s="54">
        <v>10104</v>
      </c>
      <c r="B133" s="69" t="s">
        <v>293</v>
      </c>
      <c r="C133" s="10">
        <f>IFERROR(INDEX('حسابهای دریافتنی'!H:H,MATCH(Table218[[#This Row],[كد تفصيلي]],'حسابهای دریافتنی'!A:A,0)),0)</f>
        <v>0</v>
      </c>
      <c r="D133" s="11">
        <f>IFERROR(INDEX('درجریان وصول'!F:F,MATCH(Table218[[#This Row],[كد تفصيلي]],'درجریان وصول'!A:A,0)),0)</f>
        <v>0</v>
      </c>
      <c r="E133" s="11">
        <f>IFERROR(INDEX('چکهای دریافتنی'!F:F,MATCH(Table218[[#This Row],[كد تفصيلي]],'چکهای دریافتنی'!A:A,0)),0)</f>
        <v>0</v>
      </c>
      <c r="F133" s="11">
        <f>Table218[[#This Row],[حسابهای دریافتنی]]+Table218[[#This Row],[چکهای در جریان وصول]]+Table218[[#This Row],[چکهای نزد صندوق]]</f>
        <v>0</v>
      </c>
      <c r="G133" s="12">
        <f>IFERROR(INDEX('مانده سوفاله'!F:F,MATCH(Table218[[#This Row],[كد تفصيلي]],'مانده سوفاله'!A:A,0)),0)</f>
        <v>4065</v>
      </c>
    </row>
    <row r="134" spans="1:7" customFormat="1" ht="24" customHeight="1" x14ac:dyDescent="0.35">
      <c r="A134" s="53">
        <v>10105</v>
      </c>
      <c r="B134" s="68" t="s">
        <v>294</v>
      </c>
      <c r="C134" s="10">
        <f>IFERROR(INDEX('حسابهای دریافتنی'!H:H,MATCH(Table218[[#This Row],[كد تفصيلي]],'حسابهای دریافتنی'!A:A,0)),0)</f>
        <v>7630000</v>
      </c>
      <c r="D134" s="11">
        <f>IFERROR(INDEX('درجریان وصول'!F:F,MATCH(Table218[[#This Row],[كد تفصيلي]],'درجریان وصول'!A:A,0)),0)</f>
        <v>0</v>
      </c>
      <c r="E134" s="11">
        <f>IFERROR(INDEX('چکهای دریافتنی'!F:F,MATCH(Table218[[#This Row],[كد تفصيلي]],'چکهای دریافتنی'!A:A,0)),0)</f>
        <v>0</v>
      </c>
      <c r="F134" s="11">
        <f>Table218[[#This Row],[حسابهای دریافتنی]]+Table218[[#This Row],[چکهای در جریان وصول]]+Table218[[#This Row],[چکهای نزد صندوق]]</f>
        <v>7630000</v>
      </c>
      <c r="G134" s="12">
        <f>IFERROR(INDEX('مانده سوفاله'!F:F,MATCH(Table218[[#This Row],[كد تفصيلي]],'مانده سوفاله'!A:A,0)),0)</f>
        <v>0</v>
      </c>
    </row>
    <row r="135" spans="1:7" customFormat="1" ht="24" customHeight="1" x14ac:dyDescent="0.35">
      <c r="A135" s="54">
        <v>10058</v>
      </c>
      <c r="B135" s="69" t="s">
        <v>173</v>
      </c>
      <c r="C135" s="10">
        <f>IFERROR(INDEX('حسابهای دریافتنی'!H:H,MATCH(Table218[[#This Row],[كد تفصيلي]],'حسابهای دریافتنی'!A:A,0)),0)</f>
        <v>-13650000</v>
      </c>
      <c r="D135" s="11">
        <f>IFERROR(INDEX('درجریان وصول'!F:F,MATCH(Table218[[#This Row],[كد تفصيلي]],'درجریان وصول'!A:A,0)),0)</f>
        <v>0</v>
      </c>
      <c r="E135" s="11">
        <f>IFERROR(INDEX('چکهای دریافتنی'!F:F,MATCH(Table218[[#This Row],[كد تفصيلي]],'چکهای دریافتنی'!A:A,0)),0)</f>
        <v>0</v>
      </c>
      <c r="F135" s="11">
        <f>Table218[[#This Row],[حسابهای دریافتنی]]+Table218[[#This Row],[چکهای در جریان وصول]]+Table218[[#This Row],[چکهای نزد صندوق]]</f>
        <v>-13650000</v>
      </c>
      <c r="G135" s="12">
        <f>IFERROR(INDEX('مانده سوفاله'!F:F,MATCH(Table218[[#This Row],[كد تفصيلي]],'مانده سوفاله'!A:A,0)),0)</f>
        <v>0</v>
      </c>
    </row>
    <row r="136" spans="1:7" customFormat="1" ht="24" customHeight="1" x14ac:dyDescent="0.35">
      <c r="A136" s="53">
        <v>30082</v>
      </c>
      <c r="B136" s="68" t="s">
        <v>127</v>
      </c>
      <c r="C136" s="10">
        <f>IFERROR(INDEX('حسابهای دریافتنی'!H:H,MATCH(Table218[[#This Row],[كد تفصيلي]],'حسابهای دریافتنی'!A:A,0)),0)</f>
        <v>-15037000</v>
      </c>
      <c r="D136" s="11">
        <f>IFERROR(INDEX('درجریان وصول'!F:F,MATCH(Table218[[#This Row],[كد تفصيلي]],'درجریان وصول'!A:A,0)),0)</f>
        <v>0</v>
      </c>
      <c r="E136" s="11">
        <f>IFERROR(INDEX('چکهای دریافتنی'!F:F,MATCH(Table218[[#This Row],[كد تفصيلي]],'چکهای دریافتنی'!A:A,0)),0)</f>
        <v>0</v>
      </c>
      <c r="F136" s="11">
        <f>Table218[[#This Row],[حسابهای دریافتنی]]+Table218[[#This Row],[چکهای در جریان وصول]]+Table218[[#This Row],[چکهای نزد صندوق]]</f>
        <v>-15037000</v>
      </c>
      <c r="G136" s="12">
        <f>IFERROR(INDEX('مانده سوفاله'!F:F,MATCH(Table218[[#This Row],[كد تفصيلي]],'مانده سوفاله'!A:A,0)),0)</f>
        <v>-16</v>
      </c>
    </row>
    <row r="137" spans="1:7" customFormat="1" ht="24" customHeight="1" x14ac:dyDescent="0.35">
      <c r="A137" s="54">
        <v>30034</v>
      </c>
      <c r="B137" s="69" t="s">
        <v>81</v>
      </c>
      <c r="C137" s="10">
        <f>IFERROR(INDEX('حسابهای دریافتنی'!H:H,MATCH(Table218[[#This Row],[كد تفصيلي]],'حسابهای دریافتنی'!A:A,0)),0)</f>
        <v>388329200</v>
      </c>
      <c r="D137" s="11">
        <f>IFERROR(INDEX('درجریان وصول'!F:F,MATCH(Table218[[#This Row],[كد تفصيلي]],'درجریان وصول'!A:A,0)),0)</f>
        <v>0</v>
      </c>
      <c r="E137" s="11">
        <f>IFERROR(INDEX('چکهای دریافتنی'!F:F,MATCH(Table218[[#This Row],[كد تفصيلي]],'چکهای دریافتنی'!A:A,0)),0)</f>
        <v>0</v>
      </c>
      <c r="F137" s="11">
        <f>Table218[[#This Row],[حسابهای دریافتنی]]+Table218[[#This Row],[چکهای در جریان وصول]]+Table218[[#This Row],[چکهای نزد صندوق]]</f>
        <v>388329200</v>
      </c>
      <c r="G137" s="12">
        <f>IFERROR(INDEX('مانده سوفاله'!F:F,MATCH(Table218[[#This Row],[كد تفصيلي]],'مانده سوفاله'!A:A,0)),0)</f>
        <v>2886</v>
      </c>
    </row>
    <row r="138" spans="1:7" customFormat="1" ht="24" customHeight="1" x14ac:dyDescent="0.35">
      <c r="A138" s="54">
        <v>30042</v>
      </c>
      <c r="B138" s="69" t="s">
        <v>89</v>
      </c>
      <c r="C138" s="10">
        <f>IFERROR(INDEX('حسابهای دریافتنی'!H:H,MATCH(Table218[[#This Row],[كد تفصيلي]],'حسابهای دریافتنی'!A:A,0)),0)</f>
        <v>-18303540</v>
      </c>
      <c r="D138" s="11">
        <f>IFERROR(INDEX('درجریان وصول'!F:F,MATCH(Table218[[#This Row],[كد تفصيلي]],'درجریان وصول'!A:A,0)),0)</f>
        <v>0</v>
      </c>
      <c r="E138" s="11">
        <f>IFERROR(INDEX('چکهای دریافتنی'!F:F,MATCH(Table218[[#This Row],[كد تفصيلي]],'چکهای دریافتنی'!A:A,0)),0)</f>
        <v>0</v>
      </c>
      <c r="F138" s="11">
        <f>Table218[[#This Row],[حسابهای دریافتنی]]+Table218[[#This Row],[چکهای در جریان وصول]]+Table218[[#This Row],[چکهای نزد صندوق]]</f>
        <v>-18303540</v>
      </c>
      <c r="G138" s="12">
        <f>IFERROR(INDEX('مانده سوفاله'!F:F,MATCH(Table218[[#This Row],[كد تفصيلي]],'مانده سوفاله'!A:A,0)),0)</f>
        <v>0</v>
      </c>
    </row>
    <row r="139" spans="1:7" customFormat="1" ht="24" customHeight="1" x14ac:dyDescent="0.35">
      <c r="A139" s="54">
        <v>30155</v>
      </c>
      <c r="B139" s="69" t="s">
        <v>289</v>
      </c>
      <c r="C139" s="10">
        <f>IFERROR(INDEX('حسابهای دریافتنی'!H:H,MATCH(Table218[[#This Row],[كد تفصيلي]],'حسابهای دریافتنی'!A:A,0)),0)</f>
        <v>-454985417</v>
      </c>
      <c r="D139" s="11">
        <f>IFERROR(INDEX('درجریان وصول'!F:F,MATCH(Table218[[#This Row],[كد تفصيلي]],'درجریان وصول'!A:A,0)),0)</f>
        <v>0</v>
      </c>
      <c r="E139" s="11">
        <f>IFERROR(INDEX('چکهای دریافتنی'!F:F,MATCH(Table218[[#This Row],[كد تفصيلي]],'چکهای دریافتنی'!A:A,0)),0)</f>
        <v>1379936267</v>
      </c>
      <c r="F139" s="11">
        <f>Table218[[#This Row],[حسابهای دریافتنی]]+Table218[[#This Row],[چکهای در جریان وصول]]+Table218[[#This Row],[چکهای نزد صندوق]]</f>
        <v>924950850</v>
      </c>
      <c r="G139" s="12">
        <f>IFERROR(INDEX('مانده سوفاله'!F:F,MATCH(Table218[[#This Row],[كد تفصيلي]],'مانده سوفاله'!A:A,0)),0)</f>
        <v>0</v>
      </c>
    </row>
    <row r="140" spans="1:7" customFormat="1" ht="24" customHeight="1" x14ac:dyDescent="0.35">
      <c r="A140" s="54">
        <v>30028</v>
      </c>
      <c r="B140" s="69" t="s">
        <v>76</v>
      </c>
      <c r="C140" s="10">
        <f>IFERROR(INDEX('حسابهای دریافتنی'!H:H,MATCH(Table218[[#This Row],[كد تفصيلي]],'حسابهای دریافتنی'!A:A,0)),0)</f>
        <v>-23665000</v>
      </c>
      <c r="D140" s="11">
        <f>IFERROR(INDEX('درجریان وصول'!F:F,MATCH(Table218[[#This Row],[كد تفصيلي]],'درجریان وصول'!A:A,0)),0)</f>
        <v>0</v>
      </c>
      <c r="E140" s="11">
        <f>IFERROR(INDEX('چکهای دریافتنی'!F:F,MATCH(Table218[[#This Row],[كد تفصيلي]],'چکهای دریافتنی'!A:A,0)),0)</f>
        <v>0</v>
      </c>
      <c r="F140" s="11">
        <f>Table218[[#This Row],[حسابهای دریافتنی]]+Table218[[#This Row],[چکهای در جریان وصول]]+Table218[[#This Row],[چکهای نزد صندوق]]</f>
        <v>-23665000</v>
      </c>
      <c r="G140" s="12">
        <f>IFERROR(INDEX('مانده سوفاله'!F:F,MATCH(Table218[[#This Row],[كد تفصيلي]],'مانده سوفاله'!A:A,0)),0)</f>
        <v>0</v>
      </c>
    </row>
    <row r="141" spans="1:7" customFormat="1" ht="24" customHeight="1" x14ac:dyDescent="0.35">
      <c r="A141" s="53">
        <v>30072</v>
      </c>
      <c r="B141" s="68" t="s">
        <v>117</v>
      </c>
      <c r="C141" s="10">
        <f>IFERROR(INDEX('حسابهای دریافتنی'!H:H,MATCH(Table218[[#This Row],[كد تفصيلي]],'حسابهای دریافتنی'!A:A,0)),0)</f>
        <v>-30178900</v>
      </c>
      <c r="D141" s="11">
        <f>IFERROR(INDEX('درجریان وصول'!F:F,MATCH(Table218[[#This Row],[كد تفصيلي]],'درجریان وصول'!A:A,0)),0)</f>
        <v>0</v>
      </c>
      <c r="E141" s="11">
        <f>IFERROR(INDEX('چکهای دریافتنی'!F:F,MATCH(Table218[[#This Row],[كد تفصيلي]],'چکهای دریافتنی'!A:A,0)),0)</f>
        <v>0</v>
      </c>
      <c r="F141" s="11">
        <f>Table218[[#This Row],[حسابهای دریافتنی]]+Table218[[#This Row],[چکهای در جریان وصول]]+Table218[[#This Row],[چکهای نزد صندوق]]</f>
        <v>-30178900</v>
      </c>
      <c r="G141" s="12">
        <f>IFERROR(INDEX('مانده سوفاله'!F:F,MATCH(Table218[[#This Row],[كد تفصيلي]],'مانده سوفاله'!A:A,0)),0)</f>
        <v>-79</v>
      </c>
    </row>
    <row r="142" spans="1:7" customFormat="1" ht="24" customHeight="1" x14ac:dyDescent="0.35">
      <c r="A142" s="54">
        <v>10123</v>
      </c>
      <c r="B142" s="69" t="s">
        <v>340</v>
      </c>
      <c r="C142" s="10">
        <f>IFERROR(INDEX('حسابهای دریافتنی'!H:H,MATCH(Table218[[#This Row],[كد تفصيلي]],'حسابهای دریافتنی'!A:A,0)),0)</f>
        <v>-50813000</v>
      </c>
      <c r="D142" s="11">
        <f>IFERROR(INDEX('درجریان وصول'!F:F,MATCH(Table218[[#This Row],[كد تفصيلي]],'درجریان وصول'!A:A,0)),0)</f>
        <v>0</v>
      </c>
      <c r="E142" s="11">
        <f>IFERROR(INDEX('چکهای دریافتنی'!F:F,MATCH(Table218[[#This Row],[كد تفصيلي]],'چکهای دریافتنی'!A:A,0)),0)</f>
        <v>0</v>
      </c>
      <c r="F142" s="11">
        <f>Table218[[#This Row],[حسابهای دریافتنی]]+Table218[[#This Row],[چکهای در جریان وصول]]+Table218[[#This Row],[چکهای نزد صندوق]]</f>
        <v>-50813000</v>
      </c>
      <c r="G142" s="12">
        <f>IFERROR(INDEX('مانده سوفاله'!F:F,MATCH(Table218[[#This Row],[كد تفصيلي]],'مانده سوفاله'!A:A,0)),0)</f>
        <v>0</v>
      </c>
    </row>
    <row r="143" spans="1:7" customFormat="1" ht="24" customHeight="1" x14ac:dyDescent="0.35">
      <c r="A143" s="54">
        <v>30000</v>
      </c>
      <c r="B143" s="69" t="s">
        <v>189</v>
      </c>
      <c r="C143" s="10">
        <f>IFERROR(INDEX('حسابهای دریافتنی'!H:H,MATCH(Table218[[#This Row],[كد تفصيلي]],'حسابهای دریافتنی'!A:A,0)),0)</f>
        <v>-55440000</v>
      </c>
      <c r="D143" s="11">
        <f>IFERROR(INDEX('درجریان وصول'!F:F,MATCH(Table218[[#This Row],[كد تفصيلي]],'درجریان وصول'!A:A,0)),0)</f>
        <v>0</v>
      </c>
      <c r="E143" s="11">
        <f>IFERROR(INDEX('چکهای دریافتنی'!F:F,MATCH(Table218[[#This Row],[كد تفصيلي]],'چکهای دریافتنی'!A:A,0)),0)</f>
        <v>0</v>
      </c>
      <c r="F143" s="11">
        <f>Table218[[#This Row],[حسابهای دریافتنی]]+Table218[[#This Row],[چکهای در جریان وصول]]+Table218[[#This Row],[چکهای نزد صندوق]]</f>
        <v>-55440000</v>
      </c>
      <c r="G143" s="12">
        <f>IFERROR(INDEX('مانده سوفاله'!F:F,MATCH(Table218[[#This Row],[كد تفصيلي]],'مانده سوفاله'!A:A,0)),0)</f>
        <v>0</v>
      </c>
    </row>
    <row r="144" spans="1:7" customFormat="1" ht="24" customHeight="1" x14ac:dyDescent="0.35">
      <c r="A144" s="54">
        <v>30133</v>
      </c>
      <c r="B144" s="69" t="s">
        <v>251</v>
      </c>
      <c r="C144" s="10">
        <f>IFERROR(INDEX('حسابهای دریافتنی'!H:H,MATCH(Table218[[#This Row],[كد تفصيلي]],'حسابهای دریافتنی'!A:A,0)),0)</f>
        <v>-66889500</v>
      </c>
      <c r="D144" s="11">
        <f>IFERROR(INDEX('درجریان وصول'!F:F,MATCH(Table218[[#This Row],[كد تفصيلي]],'درجریان وصول'!A:A,0)),0)</f>
        <v>0</v>
      </c>
      <c r="E144" s="11">
        <f>IFERROR(INDEX('چکهای دریافتنی'!F:F,MATCH(Table218[[#This Row],[كد تفصيلي]],'چکهای دریافتنی'!A:A,0)),0)</f>
        <v>0</v>
      </c>
      <c r="F144" s="11">
        <f>Table218[[#This Row],[حسابهای دریافتنی]]+Table218[[#This Row],[چکهای در جریان وصول]]+Table218[[#This Row],[چکهای نزد صندوق]]</f>
        <v>-66889500</v>
      </c>
      <c r="G144" s="12">
        <f>IFERROR(INDEX('مانده سوفاله'!F:F,MATCH(Table218[[#This Row],[كد تفصيلي]],'مانده سوفاله'!A:A,0)),0)</f>
        <v>0</v>
      </c>
    </row>
    <row r="145" spans="1:7" customFormat="1" ht="24" customHeight="1" x14ac:dyDescent="0.35">
      <c r="A145" s="53">
        <v>10136</v>
      </c>
      <c r="B145" s="68" t="s">
        <v>496</v>
      </c>
      <c r="C145" s="10">
        <f>IFERROR(INDEX('حسابهای دریافتنی'!H:H,MATCH(Table218[[#This Row],[كد تفصيلي]],'حسابهای دریافتنی'!A:A,0)),0)</f>
        <v>0</v>
      </c>
      <c r="D145" s="11">
        <f>IFERROR(INDEX('درجریان وصول'!F:F,MATCH(Table218[[#This Row],[كد تفصيلي]],'درجریان وصول'!A:A,0)),0)</f>
        <v>0</v>
      </c>
      <c r="E145" s="11">
        <f>IFERROR(INDEX('چکهای دریافتنی'!F:F,MATCH(Table218[[#This Row],[كد تفصيلي]],'چکهای دریافتنی'!A:A,0)),0)</f>
        <v>0</v>
      </c>
      <c r="F145" s="11">
        <f>Table218[[#This Row],[حسابهای دریافتنی]]+Table218[[#This Row],[چکهای در جریان وصول]]+Table218[[#This Row],[چکهای نزد صندوق]]</f>
        <v>0</v>
      </c>
      <c r="G145" s="12">
        <f>IFERROR(INDEX('مانده سوفاله'!F:F,MATCH(Table218[[#This Row],[كد تفصيلي]],'مانده سوفاله'!A:A,0)),0)</f>
        <v>0</v>
      </c>
    </row>
    <row r="146" spans="1:7" customFormat="1" ht="24" customHeight="1" x14ac:dyDescent="0.35">
      <c r="A146" s="53">
        <v>10089</v>
      </c>
      <c r="B146" s="68" t="s">
        <v>255</v>
      </c>
      <c r="C146" s="10">
        <f>IFERROR(INDEX('حسابهای دریافتنی'!H:H,MATCH(Table218[[#This Row],[كد تفصيلي]],'حسابهای دریافتنی'!A:A,0)),0)</f>
        <v>-143944000</v>
      </c>
      <c r="D146" s="11">
        <f>IFERROR(INDEX('درجریان وصول'!F:F,MATCH(Table218[[#This Row],[كد تفصيلي]],'درجریان وصول'!A:A,0)),0)</f>
        <v>0</v>
      </c>
      <c r="E146" s="11">
        <f>IFERROR(INDEX('چکهای دریافتنی'!F:F,MATCH(Table218[[#This Row],[كد تفصيلي]],'چکهای دریافتنی'!A:A,0)),0)</f>
        <v>0</v>
      </c>
      <c r="F146" s="11">
        <f>Table218[[#This Row],[حسابهای دریافتنی]]+Table218[[#This Row],[چکهای در جریان وصول]]+Table218[[#This Row],[چکهای نزد صندوق]]</f>
        <v>-143944000</v>
      </c>
      <c r="G146" s="12">
        <f>IFERROR(INDEX('مانده سوفاله'!F:F,MATCH(Table218[[#This Row],[كد تفصيلي]],'مانده سوفاله'!A:A,0)),0)</f>
        <v>-948</v>
      </c>
    </row>
    <row r="147" spans="1:7" customFormat="1" ht="24" customHeight="1" x14ac:dyDescent="0.35">
      <c r="A147" s="53">
        <v>30017</v>
      </c>
      <c r="B147" s="68" t="s">
        <v>65</v>
      </c>
      <c r="C147" s="10">
        <f>IFERROR(INDEX('حسابهای دریافتنی'!H:H,MATCH(Table218[[#This Row],[كد تفصيلي]],'حسابهای دریافتنی'!A:A,0)),0)</f>
        <v>905000830</v>
      </c>
      <c r="D147" s="11">
        <f>IFERROR(INDEX('درجریان وصول'!F:F,MATCH(Table218[[#This Row],[كد تفصيلي]],'درجریان وصول'!A:A,0)),0)</f>
        <v>0</v>
      </c>
      <c r="E147" s="11">
        <f>IFERROR(INDEX('چکهای دریافتنی'!F:F,MATCH(Table218[[#This Row],[كد تفصيلي]],'چکهای دریافتنی'!A:A,0)),0)</f>
        <v>0</v>
      </c>
      <c r="F147" s="11">
        <f>Table218[[#This Row],[حسابهای دریافتنی]]+Table218[[#This Row],[چکهای در جریان وصول]]+Table218[[#This Row],[چکهای نزد صندوق]]</f>
        <v>905000830</v>
      </c>
      <c r="G147" s="12">
        <f>IFERROR(INDEX('مانده سوفاله'!F:F,MATCH(Table218[[#This Row],[كد تفصيلي]],'مانده سوفاله'!A:A,0)),0)</f>
        <v>-2186</v>
      </c>
    </row>
    <row r="148" spans="1:7" customFormat="1" ht="24" customHeight="1" x14ac:dyDescent="0.35">
      <c r="A148" s="54">
        <v>30016</v>
      </c>
      <c r="B148" s="69" t="s">
        <v>253</v>
      </c>
      <c r="C148" s="10">
        <f>IFERROR(INDEX('حسابهای دریافتنی'!H:H,MATCH(Table218[[#This Row],[كد تفصيلي]],'حسابهای دریافتنی'!A:A,0)),0)</f>
        <v>0</v>
      </c>
      <c r="D148" s="11">
        <f>IFERROR(INDEX('درجریان وصول'!F:F,MATCH(Table218[[#This Row],[كد تفصيلي]],'درجریان وصول'!A:A,0)),0)</f>
        <v>0</v>
      </c>
      <c r="E148" s="11">
        <f>IFERROR(INDEX('چکهای دریافتنی'!F:F,MATCH(Table218[[#This Row],[كد تفصيلي]],'چکهای دریافتنی'!A:A,0)),0)</f>
        <v>0</v>
      </c>
      <c r="F148" s="11">
        <f>Table218[[#This Row],[حسابهای دریافتنی]]+Table218[[#This Row],[چکهای در جریان وصول]]+Table218[[#This Row],[چکهای نزد صندوق]]</f>
        <v>0</v>
      </c>
      <c r="G148" s="12">
        <f>IFERROR(INDEX('مانده سوفاله'!F:F,MATCH(Table218[[#This Row],[كد تفصيلي]],'مانده سوفاله'!A:A,0)),0)</f>
        <v>0</v>
      </c>
    </row>
    <row r="149" spans="1:7" customFormat="1" ht="24" customHeight="1" x14ac:dyDescent="0.35">
      <c r="A149" s="53">
        <v>30066</v>
      </c>
      <c r="B149" s="68" t="s">
        <v>111</v>
      </c>
      <c r="C149" s="10">
        <f>IFERROR(INDEX('حسابهای دریافتنی'!H:H,MATCH(Table218[[#This Row],[كد تفصيلي]],'حسابهای دریافتنی'!A:A,0)),0)</f>
        <v>6484147500</v>
      </c>
      <c r="D149" s="11">
        <f>IFERROR(INDEX('درجریان وصول'!F:F,MATCH(Table218[[#This Row],[كد تفصيلي]],'درجریان وصول'!A:A,0)),0)</f>
        <v>0</v>
      </c>
      <c r="E149" s="11">
        <f>IFERROR(INDEX('چکهای دریافتنی'!F:F,MATCH(Table218[[#This Row],[كد تفصيلي]],'چکهای دریافتنی'!A:A,0)),0)</f>
        <v>0</v>
      </c>
      <c r="F149" s="11">
        <f>Table218[[#This Row],[حسابهای دریافتنی]]+Table218[[#This Row],[چکهای در جریان وصول]]+Table218[[#This Row],[چکهای نزد صندوق]]</f>
        <v>6484147500</v>
      </c>
      <c r="G149" s="12">
        <f>IFERROR(INDEX('مانده سوفاله'!F:F,MATCH(Table218[[#This Row],[كد تفصيلي]],'مانده سوفاله'!A:A,0)),0)</f>
        <v>-1320</v>
      </c>
    </row>
    <row r="150" spans="1:7" customFormat="1" ht="24" customHeight="1" x14ac:dyDescent="0.35">
      <c r="A150" s="53">
        <v>10009</v>
      </c>
      <c r="B150" s="68" t="s">
        <v>16</v>
      </c>
      <c r="C150" s="10">
        <f>IFERROR(INDEX('حسابهای دریافتنی'!H:H,MATCH(Table218[[#This Row],[كد تفصيلي]],'حسابهای دریافتنی'!A:A,0)),0)</f>
        <v>-4260580000</v>
      </c>
      <c r="D150" s="11">
        <f>IFERROR(INDEX('درجریان وصول'!F:F,MATCH(Table218[[#This Row],[كد تفصيلي]],'درجریان وصول'!A:A,0)),0)</f>
        <v>0</v>
      </c>
      <c r="E150" s="11">
        <f>IFERROR(INDEX('چکهای دریافتنی'!F:F,MATCH(Table218[[#This Row],[كد تفصيلي]],'چکهای دریافتنی'!A:A,0)),0)</f>
        <v>1600000000</v>
      </c>
      <c r="F150" s="11">
        <f>Table218[[#This Row],[حسابهای دریافتنی]]+Table218[[#This Row],[چکهای در جریان وصول]]+Table218[[#This Row],[چکهای نزد صندوق]]</f>
        <v>-2660580000</v>
      </c>
      <c r="G150" s="12">
        <f>IFERROR(INDEX('مانده سوفاله'!F:F,MATCH(Table218[[#This Row],[كد تفصيلي]],'مانده سوفاله'!A:A,0)),0)</f>
        <v>9952</v>
      </c>
    </row>
    <row r="151" spans="1:7" customFormat="1" ht="24" customHeight="1" x14ac:dyDescent="0.35">
      <c r="A151" s="53">
        <v>10079</v>
      </c>
      <c r="B151" s="68" t="s">
        <v>174</v>
      </c>
      <c r="C151" s="10">
        <f>IFERROR(INDEX('حسابهای دریافتنی'!H:H,MATCH(Table218[[#This Row],[كد تفصيلي]],'حسابهای دریافتنی'!A:A,0)),0)</f>
        <v>-226593500</v>
      </c>
      <c r="D151" s="11">
        <f>IFERROR(INDEX('درجریان وصول'!F:F,MATCH(Table218[[#This Row],[كد تفصيلي]],'درجریان وصول'!A:A,0)),0)</f>
        <v>0</v>
      </c>
      <c r="E151" s="11">
        <f>IFERROR(INDEX('چکهای دریافتنی'!F:F,MATCH(Table218[[#This Row],[كد تفصيلي]],'چکهای دریافتنی'!A:A,0)),0)</f>
        <v>0</v>
      </c>
      <c r="F151" s="11">
        <f>Table218[[#This Row],[حسابهای دریافتنی]]+Table218[[#This Row],[چکهای در جریان وصول]]+Table218[[#This Row],[چکهای نزد صندوق]]</f>
        <v>-226593500</v>
      </c>
      <c r="G151" s="12">
        <f>IFERROR(INDEX('مانده سوفاله'!F:F,MATCH(Table218[[#This Row],[كد تفصيلي]],'مانده سوفاله'!A:A,0)),0)</f>
        <v>0</v>
      </c>
    </row>
    <row r="152" spans="1:7" customFormat="1" ht="24" customHeight="1" x14ac:dyDescent="0.35">
      <c r="A152" s="53">
        <v>10019</v>
      </c>
      <c r="B152" s="68" t="s">
        <v>26</v>
      </c>
      <c r="C152" s="10">
        <f>IFERROR(INDEX('حسابهای دریافتنی'!H:H,MATCH(Table218[[#This Row],[كد تفصيلي]],'حسابهای دریافتنی'!A:A,0)),0)</f>
        <v>0</v>
      </c>
      <c r="D152" s="11">
        <f>IFERROR(INDEX('درجریان وصول'!F:F,MATCH(Table218[[#This Row],[كد تفصيلي]],'درجریان وصول'!A:A,0)),0)</f>
        <v>0</v>
      </c>
      <c r="E152" s="11">
        <f>IFERROR(INDEX('چکهای دریافتنی'!F:F,MATCH(Table218[[#This Row],[كد تفصيلي]],'چکهای دریافتنی'!A:A,0)),0)</f>
        <v>0</v>
      </c>
      <c r="F152" s="11">
        <f>Table218[[#This Row],[حسابهای دریافتنی]]+Table218[[#This Row],[چکهای در جریان وصول]]+Table218[[#This Row],[چکهای نزد صندوق]]</f>
        <v>0</v>
      </c>
      <c r="G152" s="12">
        <f>IFERROR(INDEX('مانده سوفاله'!F:F,MATCH(Table218[[#This Row],[كد تفصيلي]],'مانده سوفاله'!A:A,0)),0)</f>
        <v>285</v>
      </c>
    </row>
    <row r="153" spans="1:7" customFormat="1" ht="24" customHeight="1" x14ac:dyDescent="0.35">
      <c r="A153" s="53">
        <v>30198</v>
      </c>
      <c r="B153" s="68" t="s">
        <v>497</v>
      </c>
      <c r="C153" s="10">
        <f>IFERROR(INDEX('حسابهای دریافتنی'!H:H,MATCH(Table218[[#This Row],[كد تفصيلي]],'حسابهای دریافتنی'!A:A,0)),0)</f>
        <v>0</v>
      </c>
      <c r="D153" s="11">
        <f>IFERROR(INDEX('درجریان وصول'!F:F,MATCH(Table218[[#This Row],[كد تفصيلي]],'درجریان وصول'!A:A,0)),0)</f>
        <v>0</v>
      </c>
      <c r="E153" s="11">
        <f>IFERROR(INDEX('چکهای دریافتنی'!F:F,MATCH(Table218[[#This Row],[كد تفصيلي]],'چکهای دریافتنی'!A:A,0)),0)</f>
        <v>0</v>
      </c>
      <c r="F153" s="11">
        <f>Table218[[#This Row],[حسابهای دریافتنی]]+Table218[[#This Row],[چکهای در جریان وصول]]+Table218[[#This Row],[چکهای نزد صندوق]]</f>
        <v>0</v>
      </c>
      <c r="G153" s="12">
        <f>IFERROR(INDEX('مانده سوفاله'!F:F,MATCH(Table218[[#This Row],[كد تفصيلي]],'مانده سوفاله'!A:A,0)),0)</f>
        <v>0</v>
      </c>
    </row>
    <row r="154" spans="1:7" customFormat="1" ht="24" customHeight="1" x14ac:dyDescent="0.35">
      <c r="A154" s="53">
        <v>10093</v>
      </c>
      <c r="B154" s="68" t="s">
        <v>264</v>
      </c>
      <c r="C154" s="10">
        <f>IFERROR(INDEX('حسابهای دریافتنی'!H:H,MATCH(Table218[[#This Row],[كد تفصيلي]],'حسابهای دریافتنی'!A:A,0)),0)</f>
        <v>-2214000</v>
      </c>
      <c r="D154" s="11">
        <f>IFERROR(INDEX('درجریان وصول'!F:F,MATCH(Table218[[#This Row],[كد تفصيلي]],'درجریان وصول'!A:A,0)),0)</f>
        <v>0</v>
      </c>
      <c r="E154" s="11">
        <f>IFERROR(INDEX('چکهای دریافتنی'!F:F,MATCH(Table218[[#This Row],[كد تفصيلي]],'چکهای دریافتنی'!A:A,0)),0)</f>
        <v>0</v>
      </c>
      <c r="F154" s="11">
        <f>Table218[[#This Row],[حسابهای دریافتنی]]+Table218[[#This Row],[چکهای در جریان وصول]]+Table218[[#This Row],[چکهای نزد صندوق]]</f>
        <v>-2214000</v>
      </c>
      <c r="G154" s="12">
        <f>IFERROR(INDEX('مانده سوفاله'!F:F,MATCH(Table218[[#This Row],[كد تفصيلي]],'مانده سوفاله'!A:A,0)),0)</f>
        <v>0</v>
      </c>
    </row>
    <row r="155" spans="1:7" customFormat="1" ht="24" customHeight="1" x14ac:dyDescent="0.35">
      <c r="A155" s="54">
        <v>10056</v>
      </c>
      <c r="B155" s="69" t="s">
        <v>166</v>
      </c>
      <c r="C155" s="10">
        <f>IFERROR(INDEX('حسابهای دریافتنی'!H:H,MATCH(Table218[[#This Row],[كد تفصيلي]],'حسابهای دریافتنی'!A:A,0)),0)</f>
        <v>812653500</v>
      </c>
      <c r="D155" s="11">
        <f>IFERROR(INDEX('درجریان وصول'!F:F,MATCH(Table218[[#This Row],[كد تفصيلي]],'درجریان وصول'!A:A,0)),0)</f>
        <v>0</v>
      </c>
      <c r="E155" s="11">
        <f>IFERROR(INDEX('چکهای دریافتنی'!F:F,MATCH(Table218[[#This Row],[كد تفصيلي]],'چکهای دریافتنی'!A:A,0)),0)</f>
        <v>0</v>
      </c>
      <c r="F155" s="11">
        <f>Table218[[#This Row],[حسابهای دریافتنی]]+Table218[[#This Row],[چکهای در جریان وصول]]+Table218[[#This Row],[چکهای نزد صندوق]]</f>
        <v>812653500</v>
      </c>
      <c r="G155" s="12">
        <f>IFERROR(INDEX('مانده سوفاله'!F:F,MATCH(Table218[[#This Row],[كد تفصيلي]],'مانده سوفاله'!A:A,0)),0)</f>
        <v>0</v>
      </c>
    </row>
    <row r="156" spans="1:7" customFormat="1" ht="24" customHeight="1" x14ac:dyDescent="0.35">
      <c r="A156" s="53">
        <v>30156</v>
      </c>
      <c r="B156" s="68" t="s">
        <v>290</v>
      </c>
      <c r="C156" s="10">
        <f>IFERROR(INDEX('حسابهای دریافتنی'!H:H,MATCH(Table218[[#This Row],[كد تفصيلي]],'حسابهای دریافتنی'!A:A,0)),0)</f>
        <v>-180917500</v>
      </c>
      <c r="D156" s="11">
        <f>IFERROR(INDEX('درجریان وصول'!F:F,MATCH(Table218[[#This Row],[كد تفصيلي]],'درجریان وصول'!A:A,0)),0)</f>
        <v>0</v>
      </c>
      <c r="E156" s="11">
        <f>IFERROR(INDEX('چکهای دریافتنی'!F:F,MATCH(Table218[[#This Row],[كد تفصيلي]],'چکهای دریافتنی'!A:A,0)),0)</f>
        <v>0</v>
      </c>
      <c r="F156" s="11">
        <f>Table218[[#This Row],[حسابهای دریافتنی]]+Table218[[#This Row],[چکهای در جریان وصول]]+Table218[[#This Row],[چکهای نزد صندوق]]</f>
        <v>-180917500</v>
      </c>
      <c r="G156" s="12">
        <f>IFERROR(INDEX('مانده سوفاله'!F:F,MATCH(Table218[[#This Row],[كد تفصيلي]],'مانده سوفاله'!A:A,0)),0)</f>
        <v>0</v>
      </c>
    </row>
    <row r="157" spans="1:7" customFormat="1" ht="24" customHeight="1" x14ac:dyDescent="0.35">
      <c r="A157" s="53">
        <v>10029</v>
      </c>
      <c r="B157" s="68" t="s">
        <v>35</v>
      </c>
      <c r="C157" s="10">
        <f>IFERROR(INDEX('حسابهای دریافتنی'!H:H,MATCH(Table218[[#This Row],[كد تفصيلي]],'حسابهای دریافتنی'!A:A,0)),0)</f>
        <v>-1038298620</v>
      </c>
      <c r="D157" s="11">
        <f>IFERROR(INDEX('درجریان وصول'!F:F,MATCH(Table218[[#This Row],[كد تفصيلي]],'درجریان وصول'!A:A,0)),0)</f>
        <v>0</v>
      </c>
      <c r="E157" s="11">
        <f>IFERROR(INDEX('چکهای دریافتنی'!F:F,MATCH(Table218[[#This Row],[كد تفصيلي]],'چکهای دریافتنی'!A:A,0)),0)</f>
        <v>2019000000</v>
      </c>
      <c r="F157" s="11">
        <f>Table218[[#This Row],[حسابهای دریافتنی]]+Table218[[#This Row],[چکهای در جریان وصول]]+Table218[[#This Row],[چکهای نزد صندوق]]</f>
        <v>980701380</v>
      </c>
      <c r="G157" s="12">
        <f>IFERROR(INDEX('مانده سوفاله'!F:F,MATCH(Table218[[#This Row],[كد تفصيلي]],'مانده سوفاله'!A:A,0)),0)</f>
        <v>6603</v>
      </c>
    </row>
    <row r="158" spans="1:7" customFormat="1" ht="24" customHeight="1" x14ac:dyDescent="0.35">
      <c r="A158" s="53">
        <v>30182</v>
      </c>
      <c r="B158" s="68" t="s">
        <v>342</v>
      </c>
      <c r="C158" s="10">
        <f>IFERROR(INDEX('حسابهای دریافتنی'!H:H,MATCH(Table218[[#This Row],[كد تفصيلي]],'حسابهای دریافتنی'!A:A,0)),0)</f>
        <v>-528256400</v>
      </c>
      <c r="D158" s="11">
        <f>IFERROR(INDEX('درجریان وصول'!F:F,MATCH(Table218[[#This Row],[كد تفصيلي]],'درجریان وصول'!A:A,0)),0)</f>
        <v>0</v>
      </c>
      <c r="E158" s="11">
        <f>IFERROR(INDEX('چکهای دریافتنی'!F:F,MATCH(Table218[[#This Row],[كد تفصيلي]],'چکهای دریافتنی'!A:A,0)),0)</f>
        <v>0</v>
      </c>
      <c r="F158" s="11">
        <f>Table218[[#This Row],[حسابهای دریافتنی]]+Table218[[#This Row],[چکهای در جریان وصول]]+Table218[[#This Row],[چکهای نزد صندوق]]</f>
        <v>-528256400</v>
      </c>
      <c r="G158" s="12">
        <f>IFERROR(INDEX('مانده سوفاله'!F:F,MATCH(Table218[[#This Row],[كد تفصيلي]],'مانده سوفاله'!A:A,0)),0)</f>
        <v>0</v>
      </c>
    </row>
    <row r="159" spans="1:7" ht="24" customHeight="1" x14ac:dyDescent="0.35">
      <c r="A159" s="27">
        <v>50008</v>
      </c>
      <c r="B159" s="69" t="s">
        <v>146</v>
      </c>
      <c r="C159" s="10">
        <f>IFERROR(INDEX('حسابهای دریافتنی'!H:H,MATCH(Table218[[#This Row],[كد تفصيلي]],'حسابهای دریافتنی'!A:A,0)),0)</f>
        <v>-406230000</v>
      </c>
      <c r="D159" s="11">
        <f>IFERROR(INDEX('درجریان وصول'!F:F,MATCH(Table218[[#This Row],[كد تفصيلي]],'درجریان وصول'!A:A,0)),0)</f>
        <v>0</v>
      </c>
      <c r="E159" s="11">
        <f>IFERROR(INDEX('چکهای دریافتنی'!F:F,MATCH(Table218[[#This Row],[كد تفصيلي]],'چکهای دریافتنی'!A:A,0)),0)</f>
        <v>0</v>
      </c>
      <c r="F159" s="11">
        <f>Table218[[#This Row],[حسابهای دریافتنی]]+Table218[[#This Row],[چکهای در جریان وصول]]+Table218[[#This Row],[چکهای نزد صندوق]]</f>
        <v>-406230000</v>
      </c>
      <c r="G159" s="12">
        <f>IFERROR(INDEX('مانده سوفاله'!F:F,MATCH(Table218[[#This Row],[كد تفصيلي]],'مانده سوفاله'!A:A,0)),0)</f>
        <v>0</v>
      </c>
    </row>
    <row r="160" spans="1:7" ht="24" customHeight="1" x14ac:dyDescent="0.35">
      <c r="A160" s="26">
        <v>10069</v>
      </c>
      <c r="B160" s="68" t="s">
        <v>204</v>
      </c>
      <c r="C160" s="10">
        <f>IFERROR(INDEX('حسابهای دریافتنی'!H:H,MATCH(Table218[[#This Row],[كد تفصيلي]],'حسابهای دریافتنی'!A:A,0)),0)</f>
        <v>952500</v>
      </c>
      <c r="D160" s="11">
        <f>IFERROR(INDEX('درجریان وصول'!F:F,MATCH(Table218[[#This Row],[كد تفصيلي]],'درجریان وصول'!A:A,0)),0)</f>
        <v>0</v>
      </c>
      <c r="E160" s="11">
        <f>IFERROR(INDEX('چکهای دریافتنی'!F:F,MATCH(Table218[[#This Row],[كد تفصيلي]],'چکهای دریافتنی'!A:A,0)),0)</f>
        <v>73000000</v>
      </c>
      <c r="F160" s="11">
        <f>Table218[[#This Row],[حسابهای دریافتنی]]+Table218[[#This Row],[چکهای در جریان وصول]]+Table218[[#This Row],[چکهای نزد صندوق]]</f>
        <v>73952500</v>
      </c>
      <c r="G160" s="12">
        <f>IFERROR(INDEX('مانده سوفاله'!F:F,MATCH(Table218[[#This Row],[كد تفصيلي]],'مانده سوفاله'!A:A,0)),0)</f>
        <v>339</v>
      </c>
    </row>
    <row r="161" spans="1:7" ht="24" customHeight="1" x14ac:dyDescent="0.35">
      <c r="A161" s="27">
        <v>30040</v>
      </c>
      <c r="B161" s="69" t="s">
        <v>87</v>
      </c>
      <c r="C161" s="10">
        <f>IFERROR(INDEX('حسابهای دریافتنی'!H:H,MATCH(Table218[[#This Row],[كد تفصيلي]],'حسابهای دریافتنی'!A:A,0)),0)</f>
        <v>0</v>
      </c>
      <c r="D161" s="11">
        <f>IFERROR(INDEX('درجریان وصول'!F:F,MATCH(Table218[[#This Row],[كد تفصيلي]],'درجریان وصول'!A:A,0)),0)</f>
        <v>0</v>
      </c>
      <c r="E161" s="11">
        <f>IFERROR(INDEX('چکهای دریافتنی'!F:F,MATCH(Table218[[#This Row],[كد تفصيلي]],'چکهای دریافتنی'!A:A,0)),0)</f>
        <v>0</v>
      </c>
      <c r="F161" s="11">
        <f>Table218[[#This Row],[حسابهای دریافتنی]]+Table218[[#This Row],[چکهای در جریان وصول]]+Table218[[#This Row],[چکهای نزد صندوق]]</f>
        <v>0</v>
      </c>
      <c r="G161" s="12">
        <f>IFERROR(INDEX('مانده سوفاله'!F:F,MATCH(Table218[[#This Row],[كد تفصيلي]],'مانده سوفاله'!A:A,0)),0)</f>
        <v>0</v>
      </c>
    </row>
    <row r="162" spans="1:7" ht="24" customHeight="1" x14ac:dyDescent="0.35">
      <c r="A162" s="27">
        <v>10119</v>
      </c>
      <c r="B162" s="69" t="s">
        <v>333</v>
      </c>
      <c r="C162" s="10">
        <f>IFERROR(INDEX('حسابهای دریافتنی'!H:H,MATCH(Table218[[#This Row],[كد تفصيلي]],'حسابهای دریافتنی'!A:A,0)),0)</f>
        <v>-2592000</v>
      </c>
      <c r="D162" s="11">
        <f>IFERROR(INDEX('درجریان وصول'!F:F,MATCH(Table218[[#This Row],[كد تفصيلي]],'درجریان وصول'!A:A,0)),0)</f>
        <v>0</v>
      </c>
      <c r="E162" s="11">
        <f>IFERROR(INDEX('چکهای دریافتنی'!F:F,MATCH(Table218[[#This Row],[كد تفصيلي]],'چکهای دریافتنی'!A:A,0)),0)</f>
        <v>0</v>
      </c>
      <c r="F162" s="11">
        <f>Table218[[#This Row],[حسابهای دریافتنی]]+Table218[[#This Row],[چکهای در جریان وصول]]+Table218[[#This Row],[چکهای نزد صندوق]]</f>
        <v>-2592000</v>
      </c>
      <c r="G162" s="12">
        <f>IFERROR(INDEX('مانده سوفاله'!F:F,MATCH(Table218[[#This Row],[كد تفصيلي]],'مانده سوفاله'!A:A,0)),0)</f>
        <v>353</v>
      </c>
    </row>
    <row r="163" spans="1:7" ht="24" customHeight="1" x14ac:dyDescent="0.35">
      <c r="A163" s="27">
        <v>30131</v>
      </c>
      <c r="B163" s="69" t="s">
        <v>213</v>
      </c>
      <c r="C163" s="10">
        <f>IFERROR(INDEX('حسابهای دریافتنی'!H:H,MATCH(Table218[[#This Row],[كد تفصيلي]],'حسابهای دریافتنی'!A:A,0)),0)</f>
        <v>-6228486500</v>
      </c>
      <c r="D163" s="11">
        <f>IFERROR(INDEX('درجریان وصول'!F:F,MATCH(Table218[[#This Row],[كد تفصيلي]],'درجریان وصول'!A:A,0)),0)</f>
        <v>0</v>
      </c>
      <c r="E163" s="11">
        <f>IFERROR(INDEX('چکهای دریافتنی'!F:F,MATCH(Table218[[#This Row],[كد تفصيلي]],'چکهای دریافتنی'!A:A,0)),0)</f>
        <v>0</v>
      </c>
      <c r="F163" s="11">
        <f>Table218[[#This Row],[حسابهای دریافتنی]]+Table218[[#This Row],[چکهای در جریان وصول]]+Table218[[#This Row],[چکهای نزد صندوق]]</f>
        <v>-6228486500</v>
      </c>
      <c r="G163" s="12">
        <f>IFERROR(INDEX('مانده سوفاله'!F:F,MATCH(Table218[[#This Row],[كد تفصيلي]],'مانده سوفاله'!A:A,0)),0)</f>
        <v>222</v>
      </c>
    </row>
    <row r="164" spans="1:7" ht="24" customHeight="1" x14ac:dyDescent="0.35">
      <c r="A164" s="27">
        <v>30169</v>
      </c>
      <c r="B164" s="69" t="s">
        <v>318</v>
      </c>
      <c r="C164" s="10">
        <f>IFERROR(INDEX('حسابهای دریافتنی'!H:H,MATCH(Table218[[#This Row],[كد تفصيلي]],'حسابهای دریافتنی'!A:A,0)),0)</f>
        <v>-658993316</v>
      </c>
      <c r="D164" s="11">
        <f>IFERROR(INDEX('درجریان وصول'!F:F,MATCH(Table218[[#This Row],[كد تفصيلي]],'درجریان وصول'!A:A,0)),0)</f>
        <v>0</v>
      </c>
      <c r="E164" s="11">
        <f>IFERROR(INDEX('چکهای دریافتنی'!F:F,MATCH(Table218[[#This Row],[كد تفصيلي]],'چکهای دریافتنی'!A:A,0)),0)</f>
        <v>2085000000</v>
      </c>
      <c r="F164" s="11">
        <f>Table218[[#This Row],[حسابهای دریافتنی]]+Table218[[#This Row],[چکهای در جریان وصول]]+Table218[[#This Row],[چکهای نزد صندوق]]</f>
        <v>1426006684</v>
      </c>
      <c r="G164" s="12">
        <f>IFERROR(INDEX('مانده سوفاله'!F:F,MATCH(Table218[[#This Row],[كد تفصيلي]],'مانده سوفاله'!A:A,0)),0)</f>
        <v>0</v>
      </c>
    </row>
    <row r="165" spans="1:7" ht="24" customHeight="1" x14ac:dyDescent="0.35">
      <c r="A165" s="26">
        <v>79120</v>
      </c>
      <c r="B165" s="68" t="s">
        <v>195</v>
      </c>
      <c r="C165" s="10">
        <f>IFERROR(INDEX('حسابهای دریافتنی'!H:H,MATCH(Table218[[#This Row],[كد تفصيلي]],'حسابهای دریافتنی'!A:A,0)),0)</f>
        <v>-15776160000</v>
      </c>
      <c r="D165" s="11">
        <f>IFERROR(INDEX('درجریان وصول'!F:F,MATCH(Table218[[#This Row],[كد تفصيلي]],'درجریان وصول'!A:A,0)),0)</f>
        <v>0</v>
      </c>
      <c r="E165" s="11">
        <f>IFERROR(INDEX('چکهای دریافتنی'!F:F,MATCH(Table218[[#This Row],[كد تفصيلي]],'چکهای دریافتنی'!A:A,0)),0)</f>
        <v>0</v>
      </c>
      <c r="F165" s="11">
        <f>Table218[[#This Row],[حسابهای دریافتنی]]+Table218[[#This Row],[چکهای در جریان وصول]]+Table218[[#This Row],[چکهای نزد صندوق]]</f>
        <v>-15776160000</v>
      </c>
      <c r="G165" s="12">
        <f>IFERROR(INDEX('مانده سوفاله'!F:F,MATCH(Table218[[#This Row],[كد تفصيلي]],'مانده سوفاله'!A:A,0)),0)</f>
        <v>0</v>
      </c>
    </row>
    <row r="166" spans="1:7" ht="24" customHeight="1" x14ac:dyDescent="0.35">
      <c r="A166" s="27">
        <v>30006</v>
      </c>
      <c r="B166" s="69" t="s">
        <v>56</v>
      </c>
      <c r="C166" s="10">
        <f>IFERROR(INDEX('حسابهای دریافتنی'!H:H,MATCH(Table218[[#This Row],[كد تفصيلي]],'حسابهای دریافتنی'!A:A,0)),0)</f>
        <v>-162677545</v>
      </c>
      <c r="D166" s="11">
        <f>IFERROR(INDEX('درجریان وصول'!F:F,MATCH(Table218[[#This Row],[كد تفصيلي]],'درجریان وصول'!A:A,0)),0)</f>
        <v>0</v>
      </c>
      <c r="E166" s="11">
        <f>IFERROR(INDEX('چکهای دریافتنی'!F:F,MATCH(Table218[[#This Row],[كد تفصيلي]],'چکهای دریافتنی'!A:A,0)),0)</f>
        <v>0</v>
      </c>
      <c r="F166" s="11">
        <f>Table218[[#This Row],[حسابهای دریافتنی]]+Table218[[#This Row],[چکهای در جریان وصول]]+Table218[[#This Row],[چکهای نزد صندوق]]</f>
        <v>-162677545</v>
      </c>
      <c r="G166" s="12">
        <f>IFERROR(INDEX('مانده سوفاله'!F:F,MATCH(Table218[[#This Row],[كد تفصيلي]],'مانده سوفاله'!A:A,0)),0)</f>
        <v>-6</v>
      </c>
    </row>
    <row r="167" spans="1:7" ht="24" customHeight="1" x14ac:dyDescent="0.35">
      <c r="A167" s="26">
        <v>30184</v>
      </c>
      <c r="B167" s="68" t="s">
        <v>368</v>
      </c>
      <c r="C167" s="10">
        <f>IFERROR(INDEX('حسابهای دریافتنی'!H:H,MATCH(Table218[[#This Row],[كد تفصيلي]],'حسابهای دریافتنی'!A:A,0)),0)</f>
        <v>904890480</v>
      </c>
      <c r="D167" s="11">
        <f>IFERROR(INDEX('درجریان وصول'!F:F,MATCH(Table218[[#This Row],[كد تفصيلي]],'درجریان وصول'!A:A,0)),0)</f>
        <v>0</v>
      </c>
      <c r="E167" s="11">
        <f>IFERROR(INDEX('چکهای دریافتنی'!F:F,MATCH(Table218[[#This Row],[كد تفصيلي]],'چکهای دریافتنی'!A:A,0)),0)</f>
        <v>0</v>
      </c>
      <c r="F167" s="11">
        <f>Table218[[#This Row],[حسابهای دریافتنی]]+Table218[[#This Row],[چکهای در جریان وصول]]+Table218[[#This Row],[چکهای نزد صندوق]]</f>
        <v>904890480</v>
      </c>
      <c r="G167" s="12">
        <f>IFERROR(INDEX('مانده سوفاله'!F:F,MATCH(Table218[[#This Row],[كد تفصيلي]],'مانده سوفاله'!A:A,0)),0)</f>
        <v>-100</v>
      </c>
    </row>
    <row r="168" spans="1:7" ht="24" customHeight="1" x14ac:dyDescent="0.35">
      <c r="A168" s="26">
        <v>30146</v>
      </c>
      <c r="B168" s="68" t="s">
        <v>266</v>
      </c>
      <c r="C168" s="10">
        <f>IFERROR(INDEX('حسابهای دریافتنی'!H:H,MATCH(Table218[[#This Row],[كد تفصيلي]],'حسابهای دریافتنی'!A:A,0)),0)</f>
        <v>-4146512500</v>
      </c>
      <c r="D168" s="11">
        <f>IFERROR(INDEX('درجریان وصول'!F:F,MATCH(Table218[[#This Row],[كد تفصيلي]],'درجریان وصول'!A:A,0)),0)</f>
        <v>0</v>
      </c>
      <c r="E168" s="11">
        <f>IFERROR(INDEX('چکهای دریافتنی'!F:F,MATCH(Table218[[#This Row],[كد تفصيلي]],'چکهای دریافتنی'!A:A,0)),0)</f>
        <v>0</v>
      </c>
      <c r="F168" s="11">
        <f>Table218[[#This Row],[حسابهای دریافتنی]]+Table218[[#This Row],[چکهای در جریان وصول]]+Table218[[#This Row],[چکهای نزد صندوق]]</f>
        <v>-4146512500</v>
      </c>
      <c r="G168" s="12">
        <f>IFERROR(INDEX('مانده سوفاله'!F:F,MATCH(Table218[[#This Row],[كد تفصيلي]],'مانده سوفاله'!A:A,0)),0)</f>
        <v>2823</v>
      </c>
    </row>
    <row r="169" spans="1:7" ht="24" customHeight="1" x14ac:dyDescent="0.35">
      <c r="A169" s="27">
        <v>10026</v>
      </c>
      <c r="B169" s="69" t="s">
        <v>32</v>
      </c>
      <c r="C169" s="10">
        <f>IFERROR(INDEX('حسابهای دریافتنی'!H:H,MATCH(Table218[[#This Row],[كد تفصيلي]],'حسابهای دریافتنی'!A:A,0)),0)</f>
        <v>3795031844</v>
      </c>
      <c r="D169" s="11">
        <f>IFERROR(INDEX('درجریان وصول'!F:F,MATCH(Table218[[#This Row],[كد تفصيلي]],'درجریان وصول'!A:A,0)),0)</f>
        <v>0</v>
      </c>
      <c r="E169" s="11">
        <f>IFERROR(INDEX('چکهای دریافتنی'!F:F,MATCH(Table218[[#This Row],[كد تفصيلي]],'چکهای دریافتنی'!A:A,0)),0)</f>
        <v>2690000000</v>
      </c>
      <c r="F169" s="11">
        <f>Table218[[#This Row],[حسابهای دریافتنی]]+Table218[[#This Row],[چکهای در جریان وصول]]+Table218[[#This Row],[چکهای نزد صندوق]]</f>
        <v>6485031844</v>
      </c>
      <c r="G169" s="12">
        <f>IFERROR(INDEX('مانده سوفاله'!F:F,MATCH(Table218[[#This Row],[كد تفصيلي]],'مانده سوفاله'!A:A,0)),0)</f>
        <v>-12543</v>
      </c>
    </row>
    <row r="170" spans="1:7" ht="24" customHeight="1" x14ac:dyDescent="0.35">
      <c r="A170" s="27">
        <v>79043</v>
      </c>
      <c r="B170" s="69" t="s">
        <v>156</v>
      </c>
      <c r="C170" s="10">
        <f>IFERROR(INDEX('حسابهای دریافتنی'!H:H,MATCH(Table218[[#This Row],[كد تفصيلي]],'حسابهای دریافتنی'!A:A,0)),0)</f>
        <v>-16110730000</v>
      </c>
      <c r="D170" s="11">
        <f>IFERROR(INDEX('درجریان وصول'!F:F,MATCH(Table218[[#This Row],[كد تفصيلي]],'درجریان وصول'!A:A,0)),0)</f>
        <v>0</v>
      </c>
      <c r="E170" s="11">
        <f>IFERROR(INDEX('چکهای دریافتنی'!F:F,MATCH(Table218[[#This Row],[كد تفصيلي]],'چکهای دریافتنی'!A:A,0)),0)</f>
        <v>0</v>
      </c>
      <c r="F170" s="11">
        <f>Table218[[#This Row],[حسابهای دریافتنی]]+Table218[[#This Row],[چکهای در جریان وصول]]+Table218[[#This Row],[چکهای نزد صندوق]]</f>
        <v>-16110730000</v>
      </c>
      <c r="G170" s="12">
        <f>IFERROR(INDEX('مانده سوفاله'!F:F,MATCH(Table218[[#This Row],[كد تفصيلي]],'مانده سوفاله'!A:A,0)),0)</f>
        <v>0</v>
      </c>
    </row>
    <row r="171" spans="1:7" ht="24" customHeight="1" x14ac:dyDescent="0.35">
      <c r="A171" s="27">
        <v>30187</v>
      </c>
      <c r="B171" s="69" t="s">
        <v>369</v>
      </c>
      <c r="C171" s="10">
        <f>IFERROR(INDEX('حسابهای دریافتنی'!H:H,MATCH(Table218[[#This Row],[كد تفصيلي]],'حسابهای دریافتنی'!A:A,0)),0)</f>
        <v>337825500</v>
      </c>
      <c r="D171" s="11">
        <f>IFERROR(INDEX('درجریان وصول'!F:F,MATCH(Table218[[#This Row],[كد تفصيلي]],'درجریان وصول'!A:A,0)),0)</f>
        <v>0</v>
      </c>
      <c r="E171" s="11">
        <f>IFERROR(INDEX('چکهای دریافتنی'!F:F,MATCH(Table218[[#This Row],[كد تفصيلي]],'چکهای دریافتنی'!A:A,0)),0)</f>
        <v>0</v>
      </c>
      <c r="F171" s="11">
        <f>Table218[[#This Row],[حسابهای دریافتنی]]+Table218[[#This Row],[چکهای در جریان وصول]]+Table218[[#This Row],[چکهای نزد صندوق]]</f>
        <v>337825500</v>
      </c>
      <c r="G171" s="12">
        <f>IFERROR(INDEX('مانده سوفاله'!F:F,MATCH(Table218[[#This Row],[كد تفصيلي]],'مانده سوفاله'!A:A,0)),0)</f>
        <v>-108</v>
      </c>
    </row>
    <row r="172" spans="1:7" ht="24" customHeight="1" x14ac:dyDescent="0.35">
      <c r="A172" s="26">
        <v>50005</v>
      </c>
      <c r="B172" s="68" t="s">
        <v>148</v>
      </c>
      <c r="C172" s="10">
        <f>IFERROR(INDEX('حسابهای دریافتنی'!H:H,MATCH(Table218[[#This Row],[كد تفصيلي]],'حسابهای دریافتنی'!A:A,0)),0)</f>
        <v>0</v>
      </c>
      <c r="D172" s="11">
        <f>IFERROR(INDEX('درجریان وصول'!F:F,MATCH(Table218[[#This Row],[كد تفصيلي]],'درجریان وصول'!A:A,0)),0)</f>
        <v>0</v>
      </c>
      <c r="E172" s="11">
        <f>IFERROR(INDEX('چکهای دریافتنی'!F:F,MATCH(Table218[[#This Row],[كد تفصيلي]],'چکهای دریافتنی'!A:A,0)),0)</f>
        <v>0</v>
      </c>
      <c r="F172" s="11">
        <f>Table218[[#This Row],[حسابهای دریافتنی]]+Table218[[#This Row],[چکهای در جریان وصول]]+Table218[[#This Row],[چکهای نزد صندوق]]</f>
        <v>0</v>
      </c>
      <c r="G172" s="12">
        <f>IFERROR(INDEX('مانده سوفاله'!F:F,MATCH(Table218[[#This Row],[كد تفصيلي]],'مانده سوفاله'!A:A,0)),0)</f>
        <v>0</v>
      </c>
    </row>
    <row r="173" spans="1:7" ht="24" customHeight="1" x14ac:dyDescent="0.35">
      <c r="A173" s="36"/>
      <c r="B173" s="66"/>
      <c r="C173" s="38">
        <f>SUBTOTAL(109,Table218[حسابهای دریافتنی])</f>
        <v>57815756479</v>
      </c>
      <c r="D173" s="38">
        <f>SUBTOTAL(109,Table218[چکهای در جریان وصول])</f>
        <v>0</v>
      </c>
      <c r="E173" s="38">
        <f>SUBTOTAL(109,Table218[چکهای نزد صندوق])</f>
        <v>62507828942</v>
      </c>
      <c r="F173" s="38"/>
      <c r="G173" s="39">
        <f>SUBTOTAL(109,Table218[مانده سوفاله])</f>
        <v>-132142.5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78"/>
  <sheetViews>
    <sheetView rightToLeft="1" topLeftCell="A165" workbookViewId="0">
      <selection activeCell="B177" sqref="B177"/>
    </sheetView>
  </sheetViews>
  <sheetFormatPr defaultColWidth="9.08984375" defaultRowHeight="26.25" customHeight="1" x14ac:dyDescent="0.35"/>
  <cols>
    <col min="1" max="1" width="14.36328125" style="5" customWidth="1"/>
    <col min="2" max="2" width="38" style="67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9" customHeight="1" thickBot="1" x14ac:dyDescent="0.4">
      <c r="A1" s="97" t="s">
        <v>498</v>
      </c>
      <c r="B1" s="98"/>
      <c r="C1" s="98"/>
      <c r="D1" s="98"/>
      <c r="E1" s="98"/>
      <c r="F1" s="98"/>
      <c r="G1" s="99"/>
    </row>
    <row r="2" spans="1:7" s="2" customFormat="1" ht="54.7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6.25" customHeight="1" x14ac:dyDescent="0.35">
      <c r="A3" s="26">
        <v>30009</v>
      </c>
      <c r="B3" s="68" t="s">
        <v>164</v>
      </c>
      <c r="C3" s="10">
        <f>IFERROR(INDEX('حسابهای دریافتنی'!H:H,MATCH(Table219[[#This Row],[كد تفصيلي]],'حسابهای دریافتنی'!A:A,0)),0)</f>
        <v>7853844277</v>
      </c>
      <c r="D3" s="11">
        <f>IFERROR(INDEX('درجریان وصول'!F:F,MATCH(Table219[[#This Row],[كد تفصيلي]],'درجریان وصول'!A:A,0)),0)</f>
        <v>0</v>
      </c>
      <c r="E3" s="11">
        <f>IFERROR(INDEX('چکهای دریافتنی'!F:F,MATCH(Table219[[#This Row],[كد تفصيلي]],'چکهای دریافتنی'!A:A,0)),0)</f>
        <v>6474835380</v>
      </c>
      <c r="F3" s="11">
        <f>Table219[[#This Row],[حسابهای دریافتنی]]+Table219[[#This Row],[چکهای در جریان وصول]]+Table219[[#This Row],[چکهای نزد صندوق]]</f>
        <v>14328679657</v>
      </c>
      <c r="G3" s="12">
        <f>IFERROR(INDEX('مانده سوفاله'!F:F,MATCH(Table219[[#This Row],[كد تفصيلي]],'مانده سوفاله'!A:A,0)),0)</f>
        <v>-11452</v>
      </c>
    </row>
    <row r="4" spans="1:7" ht="26.25" customHeight="1" x14ac:dyDescent="0.35">
      <c r="A4" s="26">
        <v>10055</v>
      </c>
      <c r="B4" s="68" t="s">
        <v>162</v>
      </c>
      <c r="C4" s="10">
        <f>IFERROR(INDEX('حسابهای دریافتنی'!H:H,MATCH(Table219[[#This Row],[كد تفصيلي]],'حسابهای دریافتنی'!A:A,0)),0)</f>
        <v>10460111325</v>
      </c>
      <c r="D4" s="11">
        <f>IFERROR(INDEX('درجریان وصول'!F:F,MATCH(Table219[[#This Row],[كد تفصيلي]],'درجریان وصول'!A:A,0)),0)</f>
        <v>0</v>
      </c>
      <c r="E4" s="11">
        <f>IFERROR(INDEX('چکهای دریافتنی'!F:F,MATCH(Table219[[#This Row],[كد تفصيلي]],'چکهای دریافتنی'!A:A,0)),0)</f>
        <v>2783298655</v>
      </c>
      <c r="F4" s="11">
        <f>Table219[[#This Row],[حسابهای دریافتنی]]+Table219[[#This Row],[چکهای در جریان وصول]]+Table219[[#This Row],[چکهای نزد صندوق]]</f>
        <v>13243409980</v>
      </c>
      <c r="G4" s="12">
        <f>IFERROR(INDEX('مانده سوفاله'!F:F,MATCH(Table219[[#This Row],[كد تفصيلي]],'مانده سوفاله'!A:A,0)),0)</f>
        <v>-12714</v>
      </c>
    </row>
    <row r="5" spans="1:7" ht="26.25" customHeight="1" x14ac:dyDescent="0.35">
      <c r="A5" s="27">
        <v>10026</v>
      </c>
      <c r="B5" s="69" t="s">
        <v>32</v>
      </c>
      <c r="C5" s="10">
        <f>IFERROR(INDEX('حسابهای دریافتنی'!H:H,MATCH(Table219[[#This Row],[كد تفصيلي]],'حسابهای دریافتنی'!A:A,0)),0)</f>
        <v>3795031844</v>
      </c>
      <c r="D5" s="11">
        <f>IFERROR(INDEX('درجریان وصول'!F:F,MATCH(Table219[[#This Row],[كد تفصيلي]],'درجریان وصول'!A:A,0)),0)</f>
        <v>0</v>
      </c>
      <c r="E5" s="11">
        <f>IFERROR(INDEX('چکهای دریافتنی'!F:F,MATCH(Table219[[#This Row],[كد تفصيلي]],'چکهای دریافتنی'!A:A,0)),0)</f>
        <v>2690000000</v>
      </c>
      <c r="F5" s="11">
        <f>Table219[[#This Row],[حسابهای دریافتنی]]+Table219[[#This Row],[چکهای در جریان وصول]]+Table219[[#This Row],[چکهای نزد صندوق]]</f>
        <v>6485031844</v>
      </c>
      <c r="G5" s="12">
        <f>IFERROR(INDEX('مانده سوفاله'!F:F,MATCH(Table219[[#This Row],[كد تفصيلي]],'مانده سوفاله'!A:A,0)),0)</f>
        <v>-12543</v>
      </c>
    </row>
    <row r="6" spans="1:7" ht="26.25" customHeight="1" x14ac:dyDescent="0.35">
      <c r="A6" s="26">
        <v>10003</v>
      </c>
      <c r="B6" s="68" t="s">
        <v>10</v>
      </c>
      <c r="C6" s="10">
        <f>IFERROR(INDEX('حسابهای دریافتنی'!H:H,MATCH(Table219[[#This Row],[كد تفصيلي]],'حسابهای دریافتنی'!A:A,0)),0)</f>
        <v>10804267992</v>
      </c>
      <c r="D6" s="11">
        <f>IFERROR(INDEX('درجریان وصول'!F:F,MATCH(Table219[[#This Row],[كد تفصيلي]],'درجریان وصول'!A:A,0)),0)</f>
        <v>0</v>
      </c>
      <c r="E6" s="11">
        <f>IFERROR(INDEX('چکهای دریافتنی'!F:F,MATCH(Table219[[#This Row],[كد تفصيلي]],'چکهای دریافتنی'!A:A,0)),0)</f>
        <v>13698001280</v>
      </c>
      <c r="F6" s="11">
        <f>Table219[[#This Row],[حسابهای دریافتنی]]+Table219[[#This Row],[چکهای در جریان وصول]]+Table219[[#This Row],[چکهای نزد صندوق]]</f>
        <v>24502269272</v>
      </c>
      <c r="G6" s="12">
        <f>IFERROR(INDEX('مانده سوفاله'!F:F,MATCH(Table219[[#This Row],[كد تفصيلي]],'مانده سوفاله'!A:A,0)),0)</f>
        <v>-39886</v>
      </c>
    </row>
    <row r="7" spans="1:7" ht="26.25" customHeight="1" x14ac:dyDescent="0.35">
      <c r="A7" s="27">
        <v>30081</v>
      </c>
      <c r="B7" s="69" t="s">
        <v>126</v>
      </c>
      <c r="C7" s="10">
        <f>IFERROR(INDEX('حسابهای دریافتنی'!H:H,MATCH(Table219[[#This Row],[كد تفصيلي]],'حسابهای دریافتنی'!A:A,0)),0)</f>
        <v>1148992373</v>
      </c>
      <c r="D7" s="11">
        <f>IFERROR(INDEX('درجریان وصول'!F:F,MATCH(Table219[[#This Row],[كد تفصيلي]],'درجریان وصول'!A:A,0)),0)</f>
        <v>0</v>
      </c>
      <c r="E7" s="11">
        <f>IFERROR(INDEX('چکهای دریافتنی'!F:F,MATCH(Table219[[#This Row],[كد تفصيلي]],'چکهای دریافتنی'!A:A,0)),0)</f>
        <v>0</v>
      </c>
      <c r="F7" s="11">
        <f>Table219[[#This Row],[حسابهای دریافتنی]]+Table219[[#This Row],[چکهای در جریان وصول]]+Table219[[#This Row],[چکهای نزد صندوق]]</f>
        <v>1148992373</v>
      </c>
      <c r="G7" s="12">
        <f>IFERROR(INDEX('مانده سوفاله'!F:F,MATCH(Table219[[#This Row],[كد تفصيلي]],'مانده سوفاله'!A:A,0)),0)</f>
        <v>-6924</v>
      </c>
    </row>
    <row r="8" spans="1:7" ht="26.25" customHeight="1" x14ac:dyDescent="0.35">
      <c r="A8" s="27">
        <v>30127</v>
      </c>
      <c r="B8" s="69" t="s">
        <v>163</v>
      </c>
      <c r="C8" s="10">
        <f>IFERROR(INDEX('حسابهای دریافتنی'!H:H,MATCH(Table219[[#This Row],[كد تفصيلي]],'حسابهای دریافتنی'!A:A,0)),0)</f>
        <v>31800110000</v>
      </c>
      <c r="D8" s="11">
        <f>IFERROR(INDEX('درجریان وصول'!F:F,MATCH(Table219[[#This Row],[كد تفصيلي]],'درجریان وصول'!A:A,0)),0)</f>
        <v>0</v>
      </c>
      <c r="E8" s="11">
        <f>IFERROR(INDEX('چکهای دریافتنی'!F:F,MATCH(Table219[[#This Row],[كد تفصيلي]],'چکهای دریافتنی'!A:A,0)),0)</f>
        <v>0</v>
      </c>
      <c r="F8" s="11">
        <f>Table219[[#This Row],[حسابهای دریافتنی]]+Table219[[#This Row],[چکهای در جریان وصول]]+Table219[[#This Row],[چکهای نزد صندوق]]</f>
        <v>31800110000</v>
      </c>
      <c r="G8" s="12">
        <f>IFERROR(INDEX('مانده سوفاله'!F:F,MATCH(Table219[[#This Row],[كد تفصيلي]],'مانده سوفاله'!A:A,0)),0)</f>
        <v>-18472</v>
      </c>
    </row>
    <row r="9" spans="1:7" ht="26.25" customHeight="1" x14ac:dyDescent="0.35">
      <c r="A9" s="27">
        <v>10056</v>
      </c>
      <c r="B9" s="69" t="s">
        <v>166</v>
      </c>
      <c r="C9" s="10">
        <f>IFERROR(INDEX('حسابهای دریافتنی'!H:H,MATCH(Table219[[#This Row],[كد تفصيلي]],'حسابهای دریافتنی'!A:A,0)),0)</f>
        <v>812653500</v>
      </c>
      <c r="D9" s="11">
        <f>IFERROR(INDEX('درجریان وصول'!F:F,MATCH(Table219[[#This Row],[كد تفصيلي]],'درجریان وصول'!A:A,0)),0)</f>
        <v>0</v>
      </c>
      <c r="E9" s="11">
        <f>IFERROR(INDEX('چکهای دریافتنی'!F:F,MATCH(Table219[[#This Row],[كد تفصيلي]],'چکهای دریافتنی'!A:A,0)),0)</f>
        <v>0</v>
      </c>
      <c r="F9" s="11">
        <f>Table219[[#This Row],[حسابهای دریافتنی]]+Table219[[#This Row],[چکهای در جریان وصول]]+Table219[[#This Row],[چکهای نزد صندوق]]</f>
        <v>812653500</v>
      </c>
      <c r="G9" s="12">
        <f>IFERROR(INDEX('مانده سوفاله'!F:F,MATCH(Table219[[#This Row],[كد تفصيلي]],'مانده سوفاله'!A:A,0)),0)</f>
        <v>0</v>
      </c>
    </row>
    <row r="10" spans="1:7" ht="26.25" customHeight="1" x14ac:dyDescent="0.35">
      <c r="A10" s="27">
        <v>30004</v>
      </c>
      <c r="B10" s="69" t="s">
        <v>54</v>
      </c>
      <c r="C10" s="10">
        <f>IFERROR(INDEX('حسابهای دریافتنی'!H:H,MATCH(Table219[[#This Row],[كد تفصيلي]],'حسابهای دریافتنی'!A:A,0)),0)</f>
        <v>7598548260</v>
      </c>
      <c r="D10" s="11">
        <f>IFERROR(INDEX('درجریان وصول'!F:F,MATCH(Table219[[#This Row],[كد تفصيلي]],'درجریان وصول'!A:A,0)),0)</f>
        <v>0</v>
      </c>
      <c r="E10" s="11">
        <f>IFERROR(INDEX('چکهای دریافتنی'!F:F,MATCH(Table219[[#This Row],[كد تفصيلي]],'چکهای دریافتنی'!A:A,0)),0)</f>
        <v>11698760000</v>
      </c>
      <c r="F10" s="11">
        <f>Table219[[#This Row],[حسابهای دریافتنی]]+Table219[[#This Row],[چکهای در جریان وصول]]+Table219[[#This Row],[چکهای نزد صندوق]]</f>
        <v>19297308260</v>
      </c>
      <c r="G10" s="12">
        <f>IFERROR(INDEX('مانده سوفاله'!F:F,MATCH(Table219[[#This Row],[كد تفصيلي]],'مانده سوفاله'!A:A,0)),0)</f>
        <v>-4237</v>
      </c>
    </row>
    <row r="11" spans="1:7" ht="26.25" customHeight="1" x14ac:dyDescent="0.35">
      <c r="A11" s="27">
        <v>50016</v>
      </c>
      <c r="B11" s="69" t="s">
        <v>160</v>
      </c>
      <c r="C11" s="10">
        <f>IFERROR(INDEX('حسابهای دریافتنی'!H:H,MATCH(Table219[[#This Row],[كد تفصيلي]],'حسابهای دریافتنی'!A:A,0)),0)</f>
        <v>6344545550</v>
      </c>
      <c r="D11" s="11">
        <f>IFERROR(INDEX('درجریان وصول'!F:F,MATCH(Table219[[#This Row],[كد تفصيلي]],'درجریان وصول'!A:A,0)),0)</f>
        <v>0</v>
      </c>
      <c r="E11" s="11">
        <f>IFERROR(INDEX('چکهای دریافتنی'!F:F,MATCH(Table219[[#This Row],[كد تفصيلي]],'چکهای دریافتنی'!A:A,0)),0)</f>
        <v>0</v>
      </c>
      <c r="F11" s="11">
        <f>Table219[[#This Row],[حسابهای دریافتنی]]+Table219[[#This Row],[چکهای در جریان وصول]]+Table219[[#This Row],[چکهای نزد صندوق]]</f>
        <v>6344545550</v>
      </c>
      <c r="G11" s="12">
        <f>IFERROR(INDEX('مانده سوفاله'!F:F,MATCH(Table219[[#This Row],[كد تفصيلي]],'مانده سوفاله'!A:A,0)),0)</f>
        <v>5508</v>
      </c>
    </row>
    <row r="12" spans="1:7" ht="26.25" customHeight="1" x14ac:dyDescent="0.35">
      <c r="A12" s="27">
        <v>30022</v>
      </c>
      <c r="B12" s="69" t="s">
        <v>70</v>
      </c>
      <c r="C12" s="10">
        <f>IFERROR(INDEX('حسابهای دریافتنی'!H:H,MATCH(Table219[[#This Row],[كد تفصيلي]],'حسابهای دریافتنی'!A:A,0)),0)</f>
        <v>2933770530</v>
      </c>
      <c r="D12" s="11">
        <f>IFERROR(INDEX('درجریان وصول'!F:F,MATCH(Table219[[#This Row],[كد تفصيلي]],'درجریان وصول'!A:A,0)),0)</f>
        <v>0</v>
      </c>
      <c r="E12" s="11">
        <f>IFERROR(INDEX('چکهای دریافتنی'!F:F,MATCH(Table219[[#This Row],[كد تفصيلي]],'چکهای دریافتنی'!A:A,0)),0)</f>
        <v>0</v>
      </c>
      <c r="F12" s="11">
        <f>Table219[[#This Row],[حسابهای دریافتنی]]+Table219[[#This Row],[چکهای در جریان وصول]]+Table219[[#This Row],[چکهای نزد صندوق]]</f>
        <v>2933770530</v>
      </c>
      <c r="G12" s="12">
        <f>IFERROR(INDEX('مانده سوفاله'!F:F,MATCH(Table219[[#This Row],[كد تفصيلي]],'مانده سوفاله'!A:A,0)),0)</f>
        <v>-14747</v>
      </c>
    </row>
    <row r="13" spans="1:7" ht="26.25" customHeight="1" x14ac:dyDescent="0.35">
      <c r="A13" s="26">
        <v>10057</v>
      </c>
      <c r="B13" s="68" t="s">
        <v>225</v>
      </c>
      <c r="C13" s="10">
        <f>IFERROR(INDEX('حسابهای دریافتنی'!H:H,MATCH(Table219[[#This Row],[كد تفصيلي]],'حسابهای دریافتنی'!A:A,0)),0)</f>
        <v>1390485500</v>
      </c>
      <c r="D13" s="11">
        <f>IFERROR(INDEX('درجریان وصول'!F:F,MATCH(Table219[[#This Row],[كد تفصيلي]],'درجریان وصول'!A:A,0)),0)</f>
        <v>0</v>
      </c>
      <c r="E13" s="11">
        <f>IFERROR(INDEX('چکهای دریافتنی'!F:F,MATCH(Table219[[#This Row],[كد تفصيلي]],'چکهای دریافتنی'!A:A,0)),0)</f>
        <v>0</v>
      </c>
      <c r="F13" s="11">
        <f>Table219[[#This Row],[حسابهای دریافتنی]]+Table219[[#This Row],[چکهای در جریان وصول]]+Table219[[#This Row],[چکهای نزد صندوق]]</f>
        <v>1390485500</v>
      </c>
      <c r="G13" s="12">
        <f>IFERROR(INDEX('مانده سوفاله'!F:F,MATCH(Table219[[#This Row],[كد تفصيلي]],'مانده سوفاله'!A:A,0)),0)</f>
        <v>-2044</v>
      </c>
    </row>
    <row r="14" spans="1:7" ht="26.25" customHeight="1" x14ac:dyDescent="0.35">
      <c r="A14" s="27">
        <v>30099</v>
      </c>
      <c r="B14" s="69" t="s">
        <v>167</v>
      </c>
      <c r="C14" s="10">
        <f>IFERROR(INDEX('حسابهای دریافتنی'!H:H,MATCH(Table219[[#This Row],[كد تفصيلي]],'حسابهای دریافتنی'!A:A,0)),0)</f>
        <v>1398393484</v>
      </c>
      <c r="D14" s="11">
        <f>IFERROR(INDEX('درجریان وصول'!F:F,MATCH(Table219[[#This Row],[كد تفصيلي]],'درجریان وصول'!A:A,0)),0)</f>
        <v>0</v>
      </c>
      <c r="E14" s="11">
        <f>IFERROR(INDEX('چکهای دریافتنی'!F:F,MATCH(Table219[[#This Row],[كد تفصيلي]],'چکهای دریافتنی'!A:A,0)),0)</f>
        <v>583000000</v>
      </c>
      <c r="F14" s="11">
        <f>Table219[[#This Row],[حسابهای دریافتنی]]+Table219[[#This Row],[چکهای در جریان وصول]]+Table219[[#This Row],[چکهای نزد صندوق]]</f>
        <v>1981393484</v>
      </c>
      <c r="G14" s="12">
        <f>IFERROR(INDEX('مانده سوفاله'!F:F,MATCH(Table219[[#This Row],[كد تفصيلي]],'مانده سوفاله'!A:A,0)),0)</f>
        <v>-332</v>
      </c>
    </row>
    <row r="15" spans="1:7" ht="26.25" customHeight="1" x14ac:dyDescent="0.35">
      <c r="A15" s="26">
        <v>30058</v>
      </c>
      <c r="B15" s="68" t="s">
        <v>103</v>
      </c>
      <c r="C15" s="10">
        <f>IFERROR(INDEX('حسابهای دریافتنی'!H:H,MATCH(Table219[[#This Row],[كد تفصيلي]],'حسابهای دریافتنی'!A:A,0)),0)</f>
        <v>1700045560</v>
      </c>
      <c r="D15" s="11">
        <f>IFERROR(INDEX('درجریان وصول'!F:F,MATCH(Table219[[#This Row],[كد تفصيلي]],'درجریان وصول'!A:A,0)),0)</f>
        <v>0</v>
      </c>
      <c r="E15" s="11">
        <f>IFERROR(INDEX('چکهای دریافتنی'!F:F,MATCH(Table219[[#This Row],[كد تفصيلي]],'چکهای دریافتنی'!A:A,0)),0)</f>
        <v>0</v>
      </c>
      <c r="F15" s="11">
        <f>Table219[[#This Row],[حسابهای دریافتنی]]+Table219[[#This Row],[چکهای در جریان وصول]]+Table219[[#This Row],[چکهای نزد صندوق]]</f>
        <v>1700045560</v>
      </c>
      <c r="G15" s="12">
        <f>IFERROR(INDEX('مانده سوفاله'!F:F,MATCH(Table219[[#This Row],[كد تفصيلي]],'مانده سوفاله'!A:A,0)),0)</f>
        <v>-225</v>
      </c>
    </row>
    <row r="16" spans="1:7" ht="26.25" customHeight="1" x14ac:dyDescent="0.35">
      <c r="A16" s="26">
        <v>10097</v>
      </c>
      <c r="B16" s="68" t="s">
        <v>270</v>
      </c>
      <c r="C16" s="10">
        <f>IFERROR(INDEX('حسابهای دریافتنی'!H:H,MATCH(Table219[[#This Row],[كد تفصيلي]],'حسابهای دریافتنی'!A:A,0)),0)</f>
        <v>270642500</v>
      </c>
      <c r="D16" s="11">
        <f>IFERROR(INDEX('درجریان وصول'!F:F,MATCH(Table219[[#This Row],[كد تفصيلي]],'درجریان وصول'!A:A,0)),0)</f>
        <v>0</v>
      </c>
      <c r="E16" s="11">
        <f>IFERROR(INDEX('چکهای دریافتنی'!F:F,MATCH(Table219[[#This Row],[كد تفصيلي]],'چکهای دریافتنی'!A:A,0)),0)</f>
        <v>287000000</v>
      </c>
      <c r="F16" s="11">
        <f>Table219[[#This Row],[حسابهای دریافتنی]]+Table219[[#This Row],[چکهای در جریان وصول]]+Table219[[#This Row],[چکهای نزد صندوق]]</f>
        <v>557642500</v>
      </c>
      <c r="G16" s="12">
        <f>IFERROR(INDEX('مانده سوفاله'!F:F,MATCH(Table219[[#This Row],[كد تفصيلي]],'مانده سوفاله'!A:A,0)),0)</f>
        <v>0</v>
      </c>
    </row>
    <row r="17" spans="1:7" ht="26.25" customHeight="1" x14ac:dyDescent="0.35">
      <c r="A17" s="27">
        <v>30191</v>
      </c>
      <c r="B17" s="69" t="s">
        <v>460</v>
      </c>
      <c r="C17" s="10">
        <f>IFERROR(INDEX('حسابهای دریافتنی'!H:H,MATCH(Table219[[#This Row],[كد تفصيلي]],'حسابهای دریافتنی'!A:A,0)),0)</f>
        <v>792933000</v>
      </c>
      <c r="D17" s="11">
        <f>IFERROR(INDEX('درجریان وصول'!F:F,MATCH(Table219[[#This Row],[كد تفصيلي]],'درجریان وصول'!A:A,0)),0)</f>
        <v>0</v>
      </c>
      <c r="E17" s="11">
        <f>IFERROR(INDEX('چکهای دریافتنی'!F:F,MATCH(Table219[[#This Row],[كد تفصيلي]],'چکهای دریافتنی'!A:A,0)),0)</f>
        <v>0</v>
      </c>
      <c r="F17" s="11">
        <f>Table219[[#This Row],[حسابهای دریافتنی]]+Table219[[#This Row],[چکهای در جریان وصول]]+Table219[[#This Row],[چکهای نزد صندوق]]</f>
        <v>792933000</v>
      </c>
      <c r="G17" s="12">
        <f>IFERROR(INDEX('مانده سوفاله'!F:F,MATCH(Table219[[#This Row],[كد تفصيلي]],'مانده سوفاله'!A:A,0)),0)</f>
        <v>134</v>
      </c>
    </row>
    <row r="18" spans="1:7" ht="26.25" customHeight="1" x14ac:dyDescent="0.35">
      <c r="A18" s="27">
        <v>10133</v>
      </c>
      <c r="B18" s="69" t="s">
        <v>465</v>
      </c>
      <c r="C18" s="10">
        <f>IFERROR(INDEX('حسابهای دریافتنی'!H:H,MATCH(Table219[[#This Row],[كد تفصيلي]],'حسابهای دریافتنی'!A:A,0)),0)</f>
        <v>-1249039000</v>
      </c>
      <c r="D18" s="11">
        <f>IFERROR(INDEX('درجریان وصول'!F:F,MATCH(Table219[[#This Row],[كد تفصيلي]],'درجریان وصول'!A:A,0)),0)</f>
        <v>0</v>
      </c>
      <c r="E18" s="11">
        <f>IFERROR(INDEX('چکهای دریافتنی'!F:F,MATCH(Table219[[#This Row],[كد تفصيلي]],'چکهای دریافتنی'!A:A,0)),0)</f>
        <v>0</v>
      </c>
      <c r="F18" s="11">
        <f>Table219[[#This Row],[حسابهای دریافتنی]]+Table219[[#This Row],[چکهای در جریان وصول]]+Table219[[#This Row],[چکهای نزد صندوق]]</f>
        <v>-1249039000</v>
      </c>
      <c r="G18" s="12">
        <f>IFERROR(INDEX('مانده سوفاله'!F:F,MATCH(Table219[[#This Row],[كد تفصيلي]],'مانده سوفاله'!A:A,0)),0)</f>
        <v>0</v>
      </c>
    </row>
    <row r="19" spans="1:7" ht="26.25" customHeight="1" x14ac:dyDescent="0.35">
      <c r="A19" s="26">
        <v>10027</v>
      </c>
      <c r="B19" s="68" t="s">
        <v>33</v>
      </c>
      <c r="C19" s="10">
        <f>IFERROR(INDEX('حسابهای دریافتنی'!H:H,MATCH(Table219[[#This Row],[كد تفصيلي]],'حسابهای دریافتنی'!A:A,0)),0)</f>
        <v>33078340</v>
      </c>
      <c r="D19" s="11">
        <f>IFERROR(INDEX('درجریان وصول'!F:F,MATCH(Table219[[#This Row],[كد تفصيلي]],'درجریان وصول'!A:A,0)),0)</f>
        <v>0</v>
      </c>
      <c r="E19" s="11">
        <f>IFERROR(INDEX('چکهای دریافتنی'!F:F,MATCH(Table219[[#This Row],[كد تفصيلي]],'چکهای دریافتنی'!A:A,0)),0)</f>
        <v>1588359160</v>
      </c>
      <c r="F19" s="11">
        <f>Table219[[#This Row],[حسابهای دریافتنی]]+Table219[[#This Row],[چکهای در جریان وصول]]+Table219[[#This Row],[چکهای نزد صندوق]]</f>
        <v>1621437500</v>
      </c>
      <c r="G19" s="12">
        <f>IFERROR(INDEX('مانده سوفاله'!F:F,MATCH(Table219[[#This Row],[كد تفصيلي]],'مانده سوفاله'!A:A,0)),0)</f>
        <v>-647</v>
      </c>
    </row>
    <row r="20" spans="1:7" ht="26.25" customHeight="1" x14ac:dyDescent="0.35">
      <c r="A20" s="27">
        <v>30014</v>
      </c>
      <c r="B20" s="69" t="s">
        <v>63</v>
      </c>
      <c r="C20" s="10">
        <f>IFERROR(INDEX('حسابهای دریافتنی'!H:H,MATCH(Table219[[#This Row],[كد تفصيلي]],'حسابهای دریافتنی'!A:A,0)),0)</f>
        <v>1762223932</v>
      </c>
      <c r="D20" s="11">
        <f>IFERROR(INDEX('درجریان وصول'!F:F,MATCH(Table219[[#This Row],[كد تفصيلي]],'درجریان وصول'!A:A,0)),0)</f>
        <v>0</v>
      </c>
      <c r="E20" s="11">
        <f>IFERROR(INDEX('چکهای دریافتنی'!F:F,MATCH(Table219[[#This Row],[كد تفصيلي]],'چکهای دریافتنی'!A:A,0)),0)</f>
        <v>0</v>
      </c>
      <c r="F20" s="11">
        <f>Table219[[#This Row],[حسابهای دریافتنی]]+Table219[[#This Row],[چکهای در جریان وصول]]+Table219[[#This Row],[چکهای نزد صندوق]]</f>
        <v>1762223932</v>
      </c>
      <c r="G20" s="12">
        <f>IFERROR(INDEX('مانده سوفاله'!F:F,MATCH(Table219[[#This Row],[كد تفصيلي]],'مانده سوفاله'!A:A,0)),0)</f>
        <v>-1368</v>
      </c>
    </row>
    <row r="21" spans="1:7" ht="26.25" customHeight="1" x14ac:dyDescent="0.35">
      <c r="A21" s="27">
        <v>10070</v>
      </c>
      <c r="B21" s="69" t="s">
        <v>230</v>
      </c>
      <c r="C21" s="10">
        <f>IFERROR(INDEX('حسابهای دریافتنی'!H:H,MATCH(Table219[[#This Row],[كد تفصيلي]],'حسابهای دریافتنی'!A:A,0)),0)</f>
        <v>508152500</v>
      </c>
      <c r="D21" s="11">
        <f>IFERROR(INDEX('درجریان وصول'!F:F,MATCH(Table219[[#This Row],[كد تفصيلي]],'درجریان وصول'!A:A,0)),0)</f>
        <v>0</v>
      </c>
      <c r="E21" s="11">
        <f>IFERROR(INDEX('چکهای دریافتنی'!F:F,MATCH(Table219[[#This Row],[كد تفصيلي]],'چکهای دریافتنی'!A:A,0)),0)</f>
        <v>570000000</v>
      </c>
      <c r="F21" s="11">
        <f>Table219[[#This Row],[حسابهای دریافتنی]]+Table219[[#This Row],[چکهای در جریان وصول]]+Table219[[#This Row],[چکهای نزد صندوق]]</f>
        <v>1078152500</v>
      </c>
      <c r="G21" s="12">
        <f>IFERROR(INDEX('مانده سوفاله'!F:F,MATCH(Table219[[#This Row],[كد تفصيلي]],'مانده سوفاله'!A:A,0)),0)</f>
        <v>-3170</v>
      </c>
    </row>
    <row r="22" spans="1:7" ht="26.25" customHeight="1" x14ac:dyDescent="0.35">
      <c r="A22" s="26">
        <v>50011</v>
      </c>
      <c r="B22" s="68" t="s">
        <v>147</v>
      </c>
      <c r="C22" s="10">
        <f>IFERROR(INDEX('حسابهای دریافتنی'!H:H,MATCH(Table219[[#This Row],[كد تفصيلي]],'حسابهای دریافتنی'!A:A,0)),0)</f>
        <v>832182413</v>
      </c>
      <c r="D22" s="11">
        <f>IFERROR(INDEX('درجریان وصول'!F:F,MATCH(Table219[[#This Row],[كد تفصيلي]],'درجریان وصول'!A:A,0)),0)</f>
        <v>0</v>
      </c>
      <c r="E22" s="11">
        <f>IFERROR(INDEX('چکهای دریافتنی'!F:F,MATCH(Table219[[#This Row],[كد تفصيلي]],'چکهای دریافتنی'!A:A,0)),0)</f>
        <v>0</v>
      </c>
      <c r="F22" s="11">
        <f>Table219[[#This Row],[حسابهای دریافتنی]]+Table219[[#This Row],[چکهای در جریان وصول]]+Table219[[#This Row],[چکهای نزد صندوق]]</f>
        <v>832182413</v>
      </c>
      <c r="G22" s="12">
        <f>IFERROR(INDEX('مانده سوفاله'!F:F,MATCH(Table219[[#This Row],[كد تفصيلي]],'مانده سوفاله'!A:A,0)),0)</f>
        <v>30</v>
      </c>
    </row>
    <row r="23" spans="1:7" ht="26.25" customHeight="1" x14ac:dyDescent="0.35">
      <c r="A23" s="27">
        <v>10072</v>
      </c>
      <c r="B23" s="69" t="s">
        <v>177</v>
      </c>
      <c r="C23" s="10">
        <f>IFERROR(INDEX('حسابهای دریافتنی'!H:H,MATCH(Table219[[#This Row],[كد تفصيلي]],'حسابهای دریافتنی'!A:A,0)),0)</f>
        <v>55880</v>
      </c>
      <c r="D23" s="11">
        <f>IFERROR(INDEX('درجریان وصول'!F:F,MATCH(Table219[[#This Row],[كد تفصيلي]],'درجریان وصول'!A:A,0)),0)</f>
        <v>0</v>
      </c>
      <c r="E23" s="11">
        <f>IFERROR(INDEX('چکهای دریافتنی'!F:F,MATCH(Table219[[#This Row],[كد تفصيلي]],'چکهای دریافتنی'!A:A,0)),0)</f>
        <v>427700000</v>
      </c>
      <c r="F23" s="11">
        <f>Table219[[#This Row],[حسابهای دریافتنی]]+Table219[[#This Row],[چکهای در جریان وصول]]+Table219[[#This Row],[چکهای نزد صندوق]]</f>
        <v>427755880</v>
      </c>
      <c r="G23" s="12">
        <f>IFERROR(INDEX('مانده سوفاله'!F:F,MATCH(Table219[[#This Row],[كد تفصيلي]],'مانده سوفاله'!A:A,0)),0)</f>
        <v>0</v>
      </c>
    </row>
    <row r="24" spans="1:7" ht="26.25" customHeight="1" x14ac:dyDescent="0.35">
      <c r="A24" s="27">
        <v>30006</v>
      </c>
      <c r="B24" s="69" t="s">
        <v>56</v>
      </c>
      <c r="C24" s="10">
        <f>IFERROR(INDEX('حسابهای دریافتنی'!H:H,MATCH(Table219[[#This Row],[كد تفصيلي]],'حسابهای دریافتنی'!A:A,0)),0)</f>
        <v>-162677545</v>
      </c>
      <c r="D24" s="11">
        <f>IFERROR(INDEX('درجریان وصول'!F:F,MATCH(Table219[[#This Row],[كد تفصيلي]],'درجریان وصول'!A:A,0)),0)</f>
        <v>0</v>
      </c>
      <c r="E24" s="11">
        <f>IFERROR(INDEX('چکهای دریافتنی'!F:F,MATCH(Table219[[#This Row],[كد تفصيلي]],'چکهای دریافتنی'!A:A,0)),0)</f>
        <v>0</v>
      </c>
      <c r="F24" s="11">
        <f>Table219[[#This Row],[حسابهای دریافتنی]]+Table219[[#This Row],[چکهای در جریان وصول]]+Table219[[#This Row],[چکهای نزد صندوق]]</f>
        <v>-162677545</v>
      </c>
      <c r="G24" s="12">
        <f>IFERROR(INDEX('مانده سوفاله'!F:F,MATCH(Table219[[#This Row],[كد تفصيلي]],'مانده سوفاله'!A:A,0)),0)</f>
        <v>-6</v>
      </c>
    </row>
    <row r="25" spans="1:7" ht="26.25" customHeight="1" x14ac:dyDescent="0.35">
      <c r="A25" s="26">
        <v>30140</v>
      </c>
      <c r="B25" s="68" t="s">
        <v>259</v>
      </c>
      <c r="C25" s="10">
        <f>IFERROR(INDEX('حسابهای دریافتنی'!H:H,MATCH(Table219[[#This Row],[كد تفصيلي]],'حسابهای دریافتنی'!A:A,0)),0)</f>
        <v>553728200</v>
      </c>
      <c r="D25" s="11">
        <f>IFERROR(INDEX('درجریان وصول'!F:F,MATCH(Table219[[#This Row],[كد تفصيلي]],'درجریان وصول'!A:A,0)),0)</f>
        <v>0</v>
      </c>
      <c r="E25" s="11">
        <f>IFERROR(INDEX('چکهای دریافتنی'!F:F,MATCH(Table219[[#This Row],[كد تفصيلي]],'چکهای دریافتنی'!A:A,0)),0)</f>
        <v>1030000000</v>
      </c>
      <c r="F25" s="11">
        <f>Table219[[#This Row],[حسابهای دریافتنی]]+Table219[[#This Row],[چکهای در جریان وصول]]+Table219[[#This Row],[چکهای نزد صندوق]]</f>
        <v>1583728200</v>
      </c>
      <c r="G25" s="12">
        <f>IFERROR(INDEX('مانده سوفاله'!F:F,MATCH(Table219[[#This Row],[كد تفصيلي]],'مانده سوفاله'!A:A,0)),0)</f>
        <v>-12630</v>
      </c>
    </row>
    <row r="26" spans="1:7" ht="26.25" customHeight="1" x14ac:dyDescent="0.35">
      <c r="A26" s="27">
        <v>10127</v>
      </c>
      <c r="B26" s="69" t="s">
        <v>371</v>
      </c>
      <c r="C26" s="10">
        <f>IFERROR(INDEX('حسابهای دریافتنی'!H:H,MATCH(Table219[[#This Row],[كد تفصيلي]],'حسابهای دریافتنی'!A:A,0)),0)</f>
        <v>803728000</v>
      </c>
      <c r="D26" s="11">
        <f>IFERROR(INDEX('درجریان وصول'!F:F,MATCH(Table219[[#This Row],[كد تفصيلي]],'درجریان وصول'!A:A,0)),0)</f>
        <v>0</v>
      </c>
      <c r="E26" s="11">
        <f>IFERROR(INDEX('چکهای دریافتنی'!F:F,MATCH(Table219[[#This Row],[كد تفصيلي]],'چکهای دریافتنی'!A:A,0)),0)</f>
        <v>0</v>
      </c>
      <c r="F26" s="11">
        <f>Table219[[#This Row],[حسابهای دریافتنی]]+Table219[[#This Row],[چکهای در جریان وصول]]+Table219[[#This Row],[چکهای نزد صندوق]]</f>
        <v>803728000</v>
      </c>
      <c r="G26" s="12">
        <f>IFERROR(INDEX('مانده سوفاله'!F:F,MATCH(Table219[[#This Row],[كد تفصيلي]],'مانده سوفاله'!A:A,0)),0)</f>
        <v>-1469</v>
      </c>
    </row>
    <row r="27" spans="1:7" ht="26.25" customHeight="1" x14ac:dyDescent="0.35">
      <c r="A27" s="26">
        <v>30190</v>
      </c>
      <c r="B27" s="68" t="s">
        <v>459</v>
      </c>
      <c r="C27" s="10">
        <f>IFERROR(INDEX('حسابهای دریافتنی'!H:H,MATCH(Table219[[#This Row],[كد تفصيلي]],'حسابهای دریافتنی'!A:A,0)),0)</f>
        <v>328477520</v>
      </c>
      <c r="D27" s="11">
        <f>IFERROR(INDEX('درجریان وصول'!F:F,MATCH(Table219[[#This Row],[كد تفصيلي]],'درجریان وصول'!A:A,0)),0)</f>
        <v>0</v>
      </c>
      <c r="E27" s="11">
        <f>IFERROR(INDEX('چکهای دریافتنی'!F:F,MATCH(Table219[[#This Row],[كد تفصيلي]],'چکهای دریافتنی'!A:A,0)),0)</f>
        <v>0</v>
      </c>
      <c r="F27" s="11">
        <f>Table219[[#This Row],[حسابهای دریافتنی]]+Table219[[#This Row],[چکهای در جریان وصول]]+Table219[[#This Row],[چکهای نزد صندوق]]</f>
        <v>328477520</v>
      </c>
      <c r="G27" s="12">
        <f>IFERROR(INDEX('مانده سوفاله'!F:F,MATCH(Table219[[#This Row],[كد تفصيلي]],'مانده سوفاله'!A:A,0)),0)</f>
        <v>1790</v>
      </c>
    </row>
    <row r="28" spans="1:7" ht="26.25" customHeight="1" x14ac:dyDescent="0.35">
      <c r="A28" s="27">
        <v>10008</v>
      </c>
      <c r="B28" s="69" t="s">
        <v>15</v>
      </c>
      <c r="C28" s="10">
        <f>IFERROR(INDEX('حسابهای دریافتنی'!H:H,MATCH(Table219[[#This Row],[كد تفصيلي]],'حسابهای دریافتنی'!A:A,0)),0)</f>
        <v>597342000</v>
      </c>
      <c r="D28" s="11">
        <f>IFERROR(INDEX('درجریان وصول'!F:F,MATCH(Table219[[#This Row],[كد تفصيلي]],'درجریان وصول'!A:A,0)),0)</f>
        <v>0</v>
      </c>
      <c r="E28" s="11">
        <f>IFERROR(INDEX('چکهای دریافتنی'!F:F,MATCH(Table219[[#This Row],[كد تفصيلي]],'چکهای دریافتنی'!A:A,0)),0)</f>
        <v>0</v>
      </c>
      <c r="F28" s="11">
        <f>Table219[[#This Row],[حسابهای دریافتنی]]+Table219[[#This Row],[چکهای در جریان وصول]]+Table219[[#This Row],[چکهای نزد صندوق]]</f>
        <v>597342000</v>
      </c>
      <c r="G28" s="12">
        <f>IFERROR(INDEX('مانده سوفاله'!F:F,MATCH(Table219[[#This Row],[كد تفصيلي]],'مانده سوفاله'!A:A,0)),0)</f>
        <v>-578</v>
      </c>
    </row>
    <row r="29" spans="1:7" ht="26.25" customHeight="1" x14ac:dyDescent="0.35">
      <c r="A29" s="26">
        <v>30070</v>
      </c>
      <c r="B29" s="68" t="s">
        <v>115</v>
      </c>
      <c r="C29" s="10">
        <f>IFERROR(INDEX('حسابهای دریافتنی'!H:H,MATCH(Table219[[#This Row],[كد تفصيلي]],'حسابهای دریافتنی'!A:A,0)),0)</f>
        <v>2651728820</v>
      </c>
      <c r="D29" s="11">
        <f>IFERROR(INDEX('درجریان وصول'!F:F,MATCH(Table219[[#This Row],[كد تفصيلي]],'درجریان وصول'!A:A,0)),0)</f>
        <v>0</v>
      </c>
      <c r="E29" s="11">
        <f>IFERROR(INDEX('چکهای دریافتنی'!F:F,MATCH(Table219[[#This Row],[كد تفصيلي]],'چکهای دریافتنی'!A:A,0)),0)</f>
        <v>3660000000</v>
      </c>
      <c r="F29" s="11">
        <f>Table219[[#This Row],[حسابهای دریافتنی]]+Table219[[#This Row],[چکهای در جریان وصول]]+Table219[[#This Row],[چکهای نزد صندوق]]</f>
        <v>6311728820</v>
      </c>
      <c r="G29" s="12">
        <f>IFERROR(INDEX('مانده سوفاله'!F:F,MATCH(Table219[[#This Row],[كد تفصيلي]],'مانده سوفاله'!A:A,0)),0)</f>
        <v>4378</v>
      </c>
    </row>
    <row r="30" spans="1:7" ht="26.25" customHeight="1" x14ac:dyDescent="0.35">
      <c r="A30" s="26">
        <v>30146</v>
      </c>
      <c r="B30" s="68" t="s">
        <v>266</v>
      </c>
      <c r="C30" s="10">
        <f>IFERROR(INDEX('حسابهای دریافتنی'!H:H,MATCH(Table219[[#This Row],[كد تفصيلي]],'حسابهای دریافتنی'!A:A,0)),0)</f>
        <v>-4146512500</v>
      </c>
      <c r="D30" s="11">
        <f>IFERROR(INDEX('درجریان وصول'!F:F,MATCH(Table219[[#This Row],[كد تفصيلي]],'درجریان وصول'!A:A,0)),0)</f>
        <v>0</v>
      </c>
      <c r="E30" s="11">
        <f>IFERROR(INDEX('چکهای دریافتنی'!F:F,MATCH(Table219[[#This Row],[كد تفصيلي]],'چکهای دریافتنی'!A:A,0)),0)</f>
        <v>0</v>
      </c>
      <c r="F30" s="11">
        <f>Table219[[#This Row],[حسابهای دریافتنی]]+Table219[[#This Row],[چکهای در جریان وصول]]+Table219[[#This Row],[چکهای نزد صندوق]]</f>
        <v>-4146512500</v>
      </c>
      <c r="G30" s="12">
        <f>IFERROR(INDEX('مانده سوفاله'!F:F,MATCH(Table219[[#This Row],[كد تفصيلي]],'مانده سوفاله'!A:A,0)),0)</f>
        <v>2823</v>
      </c>
    </row>
    <row r="31" spans="1:7" ht="26.25" customHeight="1" x14ac:dyDescent="0.35">
      <c r="A31" s="27">
        <v>30018</v>
      </c>
      <c r="B31" s="69" t="s">
        <v>66</v>
      </c>
      <c r="C31" s="10">
        <f>IFERROR(INDEX('حسابهای دریافتنی'!H:H,MATCH(Table219[[#This Row],[كد تفصيلي]],'حسابهای دریافتنی'!A:A,0)),0)</f>
        <v>1901077182</v>
      </c>
      <c r="D31" s="11">
        <f>IFERROR(INDEX('درجریان وصول'!F:F,MATCH(Table219[[#This Row],[كد تفصيلي]],'درجریان وصول'!A:A,0)),0)</f>
        <v>0</v>
      </c>
      <c r="E31" s="11">
        <f>IFERROR(INDEX('چکهای دریافتنی'!F:F,MATCH(Table219[[#This Row],[كد تفصيلي]],'چکهای دریافتنی'!A:A,0)),0)</f>
        <v>0</v>
      </c>
      <c r="F31" s="11">
        <f>Table219[[#This Row],[حسابهای دریافتنی]]+Table219[[#This Row],[چکهای در جریان وصول]]+Table219[[#This Row],[چکهای نزد صندوق]]</f>
        <v>1901077182</v>
      </c>
      <c r="G31" s="12">
        <f>IFERROR(INDEX('مانده سوفاله'!F:F,MATCH(Table219[[#This Row],[كد تفصيلي]],'مانده سوفاله'!A:A,0)),0)</f>
        <v>-3024</v>
      </c>
    </row>
    <row r="32" spans="1:7" ht="26.25" customHeight="1" x14ac:dyDescent="0.35">
      <c r="A32" s="27">
        <v>30020</v>
      </c>
      <c r="B32" s="69" t="s">
        <v>68</v>
      </c>
      <c r="C32" s="10">
        <f>IFERROR(INDEX('حسابهای دریافتنی'!H:H,MATCH(Table219[[#This Row],[كد تفصيلي]],'حسابهای دریافتنی'!A:A,0)),0)</f>
        <v>2253500</v>
      </c>
      <c r="D32" s="11">
        <f>IFERROR(INDEX('درجریان وصول'!F:F,MATCH(Table219[[#This Row],[كد تفصيلي]],'درجریان وصول'!A:A,0)),0)</f>
        <v>0</v>
      </c>
      <c r="E32" s="11">
        <f>IFERROR(INDEX('چکهای دریافتنی'!F:F,MATCH(Table219[[#This Row],[كد تفصيلي]],'چکهای دریافتنی'!A:A,0)),0)</f>
        <v>0</v>
      </c>
      <c r="F32" s="11">
        <f>Table219[[#This Row],[حسابهای دریافتنی]]+Table219[[#This Row],[چکهای در جریان وصول]]+Table219[[#This Row],[چکهای نزد صندوق]]</f>
        <v>2253500</v>
      </c>
      <c r="G32" s="12">
        <f>IFERROR(INDEX('مانده سوفاله'!F:F,MATCH(Table219[[#This Row],[كد تفصيلي]],'مانده سوفاله'!A:A,0)),0)</f>
        <v>4</v>
      </c>
    </row>
    <row r="33" spans="1:7" ht="26.25" customHeight="1" x14ac:dyDescent="0.35">
      <c r="A33" s="26">
        <v>30186</v>
      </c>
      <c r="B33" s="68" t="s">
        <v>367</v>
      </c>
      <c r="C33" s="10">
        <f>IFERROR(INDEX('حسابهای دریافتنی'!H:H,MATCH(Table219[[#This Row],[كد تفصيلي]],'حسابهای دریافتنی'!A:A,0)),0)</f>
        <v>986425000</v>
      </c>
      <c r="D33" s="11">
        <f>IFERROR(INDEX('درجریان وصول'!F:F,MATCH(Table219[[#This Row],[كد تفصيلي]],'درجریان وصول'!A:A,0)),0)</f>
        <v>0</v>
      </c>
      <c r="E33" s="11">
        <f>IFERROR(INDEX('چکهای دریافتنی'!F:F,MATCH(Table219[[#This Row],[كد تفصيلي]],'چکهای دریافتنی'!A:A,0)),0)</f>
        <v>5982430000</v>
      </c>
      <c r="F33" s="11">
        <f>Table219[[#This Row],[حسابهای دریافتنی]]+Table219[[#This Row],[چکهای در جریان وصول]]+Table219[[#This Row],[چکهای نزد صندوق]]</f>
        <v>6968855000</v>
      </c>
      <c r="G33" s="12">
        <f>IFERROR(INDEX('مانده سوفاله'!F:F,MATCH(Table219[[#This Row],[كد تفصيلي]],'مانده سوفاله'!A:A,0)),0)</f>
        <v>-7388</v>
      </c>
    </row>
    <row r="34" spans="1:7" ht="26.25" customHeight="1" x14ac:dyDescent="0.35">
      <c r="A34" s="27">
        <v>30069</v>
      </c>
      <c r="B34" s="69" t="s">
        <v>114</v>
      </c>
      <c r="C34" s="10">
        <f>IFERROR(INDEX('حسابهای دریافتنی'!H:H,MATCH(Table219[[#This Row],[كد تفصيلي]],'حسابهای دریافتنی'!A:A,0)),0)</f>
        <v>377909400</v>
      </c>
      <c r="D34" s="11">
        <f>IFERROR(INDEX('درجریان وصول'!F:F,MATCH(Table219[[#This Row],[كد تفصيلي]],'درجریان وصول'!A:A,0)),0)</f>
        <v>0</v>
      </c>
      <c r="E34" s="11">
        <f>IFERROR(INDEX('چکهای دریافتنی'!F:F,MATCH(Table219[[#This Row],[كد تفصيلي]],'چکهای دریافتنی'!A:A,0)),0)</f>
        <v>0</v>
      </c>
      <c r="F34" s="11">
        <f>Table219[[#This Row],[حسابهای دریافتنی]]+Table219[[#This Row],[چکهای در جریان وصول]]+Table219[[#This Row],[چکهای نزد صندوق]]</f>
        <v>377909400</v>
      </c>
      <c r="G34" s="12">
        <f>IFERROR(INDEX('مانده سوفاله'!F:F,MATCH(Table219[[#This Row],[كد تفصيلي]],'مانده سوفاله'!A:A,0)),0)</f>
        <v>66</v>
      </c>
    </row>
    <row r="35" spans="1:7" ht="26.25" customHeight="1" x14ac:dyDescent="0.35">
      <c r="A35" s="27">
        <v>10002</v>
      </c>
      <c r="B35" s="69" t="s">
        <v>9</v>
      </c>
      <c r="C35" s="10">
        <f>IFERROR(INDEX('حسابهای دریافتنی'!H:H,MATCH(Table219[[#This Row],[كد تفصيلي]],'حسابهای دریافتنی'!A:A,0)),0)</f>
        <v>-3600000000</v>
      </c>
      <c r="D35" s="11">
        <f>IFERROR(INDEX('درجریان وصول'!F:F,MATCH(Table219[[#This Row],[كد تفصيلي]],'درجریان وصول'!A:A,0)),0)</f>
        <v>0</v>
      </c>
      <c r="E35" s="11">
        <f>IFERROR(INDEX('چکهای دریافتنی'!F:F,MATCH(Table219[[#This Row],[كد تفصيلي]],'چکهای دریافتنی'!A:A,0)),0)</f>
        <v>0</v>
      </c>
      <c r="F35" s="11">
        <f>Table219[[#This Row],[حسابهای دریافتنی]]+Table219[[#This Row],[چکهای در جریان وصول]]+Table219[[#This Row],[چکهای نزد صندوق]]</f>
        <v>-3600000000</v>
      </c>
      <c r="G35" s="12">
        <f>IFERROR(INDEX('مانده سوفاله'!F:F,MATCH(Table219[[#This Row],[كد تفصيلي]],'مانده سوفاله'!A:A,0)),0)</f>
        <v>0</v>
      </c>
    </row>
    <row r="36" spans="1:7" ht="26.25" customHeight="1" x14ac:dyDescent="0.35">
      <c r="A36" s="27">
        <v>30055</v>
      </c>
      <c r="B36" s="69" t="s">
        <v>100</v>
      </c>
      <c r="C36" s="10">
        <f>IFERROR(INDEX('حسابهای دریافتنی'!H:H,MATCH(Table219[[#This Row],[كد تفصيلي]],'حسابهای دریافتنی'!A:A,0)),0)</f>
        <v>0</v>
      </c>
      <c r="D36" s="11">
        <f>IFERROR(INDEX('درجریان وصول'!F:F,MATCH(Table219[[#This Row],[كد تفصيلي]],'درجریان وصول'!A:A,0)),0)</f>
        <v>0</v>
      </c>
      <c r="E36" s="11">
        <f>IFERROR(INDEX('چکهای دریافتنی'!F:F,MATCH(Table219[[#This Row],[كد تفصيلي]],'چکهای دریافتنی'!A:A,0)),0)</f>
        <v>0</v>
      </c>
      <c r="F36" s="11">
        <f>Table219[[#This Row],[حسابهای دریافتنی]]+Table219[[#This Row],[چکهای در جریان وصول]]+Table219[[#This Row],[چکهای نزد صندوق]]</f>
        <v>0</v>
      </c>
      <c r="G36" s="12">
        <f>IFERROR(INDEX('مانده سوفاله'!F:F,MATCH(Table219[[#This Row],[كد تفصيلي]],'مانده سوفاله'!A:A,0)),0)</f>
        <v>48</v>
      </c>
    </row>
    <row r="37" spans="1:7" ht="26.25" customHeight="1" x14ac:dyDescent="0.35">
      <c r="A37" s="27">
        <v>10020</v>
      </c>
      <c r="B37" s="69" t="s">
        <v>27</v>
      </c>
      <c r="C37" s="10">
        <f>IFERROR(INDEX('حسابهای دریافتنی'!H:H,MATCH(Table219[[#This Row],[كد تفصيلي]],'حسابهای دریافتنی'!A:A,0)),0)</f>
        <v>57999963</v>
      </c>
      <c r="D37" s="11">
        <f>IFERROR(INDEX('درجریان وصول'!F:F,MATCH(Table219[[#This Row],[كد تفصيلي]],'درجریان وصول'!A:A,0)),0)</f>
        <v>0</v>
      </c>
      <c r="E37" s="11">
        <f>IFERROR(INDEX('چکهای دریافتنی'!F:F,MATCH(Table219[[#This Row],[كد تفصيلي]],'چکهای دریافتنی'!A:A,0)),0)</f>
        <v>728000000</v>
      </c>
      <c r="F37" s="11">
        <f>Table219[[#This Row],[حسابهای دریافتنی]]+Table219[[#This Row],[چکهای در جریان وصول]]+Table219[[#This Row],[چکهای نزد صندوق]]</f>
        <v>785999963</v>
      </c>
      <c r="G37" s="12">
        <f>IFERROR(INDEX('مانده سوفاله'!F:F,MATCH(Table219[[#This Row],[كد تفصيلي]],'مانده سوفاله'!A:A,0)),0)</f>
        <v>-1031</v>
      </c>
    </row>
    <row r="38" spans="1:7" ht="26.25" customHeight="1" x14ac:dyDescent="0.35">
      <c r="A38" s="27">
        <v>30169</v>
      </c>
      <c r="B38" s="69" t="s">
        <v>318</v>
      </c>
      <c r="C38" s="10">
        <f>IFERROR(INDEX('حسابهای دریافتنی'!H:H,MATCH(Table219[[#This Row],[كد تفصيلي]],'حسابهای دریافتنی'!A:A,0)),0)</f>
        <v>-658993316</v>
      </c>
      <c r="D38" s="11">
        <f>IFERROR(INDEX('درجریان وصول'!F:F,MATCH(Table219[[#This Row],[كد تفصيلي]],'درجریان وصول'!A:A,0)),0)</f>
        <v>0</v>
      </c>
      <c r="E38" s="11">
        <f>IFERROR(INDEX('چکهای دریافتنی'!F:F,MATCH(Table219[[#This Row],[كد تفصيلي]],'چکهای دریافتنی'!A:A,0)),0)</f>
        <v>2085000000</v>
      </c>
      <c r="F38" s="11">
        <f>Table219[[#This Row],[حسابهای دریافتنی]]+Table219[[#This Row],[چکهای در جریان وصول]]+Table219[[#This Row],[چکهای نزد صندوق]]</f>
        <v>1426006684</v>
      </c>
      <c r="G38" s="12">
        <f>IFERROR(INDEX('مانده سوفاله'!F:F,MATCH(Table219[[#This Row],[كد تفصيلي]],'مانده سوفاله'!A:A,0)),0)</f>
        <v>0</v>
      </c>
    </row>
    <row r="39" spans="1:7" ht="26.25" customHeight="1" x14ac:dyDescent="0.35">
      <c r="A39" s="26">
        <v>30162</v>
      </c>
      <c r="B39" s="68" t="s">
        <v>301</v>
      </c>
      <c r="C39" s="10">
        <f>IFERROR(INDEX('حسابهای دریافتنی'!H:H,MATCH(Table219[[#This Row],[كد تفصيلي]],'حسابهای دریافتنی'!A:A,0)),0)</f>
        <v>204890235</v>
      </c>
      <c r="D39" s="11">
        <f>IFERROR(INDEX('درجریان وصول'!F:F,MATCH(Table219[[#This Row],[كد تفصيلي]],'درجریان وصول'!A:A,0)),0)</f>
        <v>0</v>
      </c>
      <c r="E39" s="11">
        <f>IFERROR(INDEX('چکهای دریافتنی'!F:F,MATCH(Table219[[#This Row],[كد تفصيلي]],'چکهای دریافتنی'!A:A,0)),0)</f>
        <v>0</v>
      </c>
      <c r="F39" s="11">
        <f>Table219[[#This Row],[حسابهای دریافتنی]]+Table219[[#This Row],[چکهای در جریان وصول]]+Table219[[#This Row],[چکهای نزد صندوق]]</f>
        <v>204890235</v>
      </c>
      <c r="G39" s="12">
        <f>IFERROR(INDEX('مانده سوفاله'!F:F,MATCH(Table219[[#This Row],[كد تفصيلي]],'مانده سوفاله'!A:A,0)),0)</f>
        <v>-251</v>
      </c>
    </row>
    <row r="40" spans="1:7" ht="26.25" customHeight="1" x14ac:dyDescent="0.35">
      <c r="A40" s="26">
        <v>30086</v>
      </c>
      <c r="B40" s="68" t="s">
        <v>131</v>
      </c>
      <c r="C40" s="10">
        <f>IFERROR(INDEX('حسابهای دریافتنی'!H:H,MATCH(Table219[[#This Row],[كد تفصيلي]],'حسابهای دریافتنی'!A:A,0)),0)</f>
        <v>187376603</v>
      </c>
      <c r="D40" s="11">
        <f>IFERROR(INDEX('درجریان وصول'!F:F,MATCH(Table219[[#This Row],[كد تفصيلي]],'درجریان وصول'!A:A,0)),0)</f>
        <v>0</v>
      </c>
      <c r="E40" s="11">
        <f>IFERROR(INDEX('چکهای دریافتنی'!F:F,MATCH(Table219[[#This Row],[كد تفصيلي]],'چکهای دریافتنی'!A:A,0)),0)</f>
        <v>0</v>
      </c>
      <c r="F40" s="11">
        <f>Table219[[#This Row],[حسابهای دریافتنی]]+Table219[[#This Row],[چکهای در جریان وصول]]+Table219[[#This Row],[چکهای نزد صندوق]]</f>
        <v>187376603</v>
      </c>
      <c r="G40" s="12">
        <f>IFERROR(INDEX('مانده سوفاله'!F:F,MATCH(Table219[[#This Row],[كد تفصيلي]],'مانده سوفاله'!A:A,0)),0)</f>
        <v>1549</v>
      </c>
    </row>
    <row r="41" spans="1:7" ht="26.25" customHeight="1" x14ac:dyDescent="0.35">
      <c r="A41" s="26">
        <v>30001</v>
      </c>
      <c r="B41" s="68" t="s">
        <v>190</v>
      </c>
      <c r="C41" s="10">
        <f>IFERROR(INDEX('حسابهای دریافتنی'!H:H,MATCH(Table219[[#This Row],[كد تفصيلي]],'حسابهای دریافتنی'!A:A,0)),0)</f>
        <v>119647176</v>
      </c>
      <c r="D41" s="11">
        <f>IFERROR(INDEX('درجریان وصول'!F:F,MATCH(Table219[[#This Row],[كد تفصيلي]],'درجریان وصول'!A:A,0)),0)</f>
        <v>0</v>
      </c>
      <c r="E41" s="11">
        <f>IFERROR(INDEX('چکهای دریافتنی'!F:F,MATCH(Table219[[#This Row],[كد تفصيلي]],'چکهای دریافتنی'!A:A,0)),0)</f>
        <v>0</v>
      </c>
      <c r="F41" s="11">
        <f>Table219[[#This Row],[حسابهای دریافتنی]]+Table219[[#This Row],[چکهای در جریان وصول]]+Table219[[#This Row],[چکهای نزد صندوق]]</f>
        <v>119647176</v>
      </c>
      <c r="G41" s="12">
        <f>IFERROR(INDEX('مانده سوفاله'!F:F,MATCH(Table219[[#This Row],[كد تفصيلي]],'مانده سوفاله'!A:A,0)),0)</f>
        <v>123</v>
      </c>
    </row>
    <row r="42" spans="1:7" ht="26.25" customHeight="1" x14ac:dyDescent="0.35">
      <c r="A42" s="27">
        <v>30077</v>
      </c>
      <c r="B42" s="69" t="s">
        <v>122</v>
      </c>
      <c r="C42" s="10">
        <f>IFERROR(INDEX('حسابهای دریافتنی'!H:H,MATCH(Table219[[#This Row],[كد تفصيلي]],'حسابهای دریافتنی'!A:A,0)),0)</f>
        <v>360000</v>
      </c>
      <c r="D42" s="11">
        <f>IFERROR(INDEX('درجریان وصول'!F:F,MATCH(Table219[[#This Row],[كد تفصيلي]],'درجریان وصول'!A:A,0)),0)</f>
        <v>0</v>
      </c>
      <c r="E42" s="11">
        <f>IFERROR(INDEX('چکهای دریافتنی'!F:F,MATCH(Table219[[#This Row],[كد تفصيلي]],'چکهای دریافتنی'!A:A,0)),0)</f>
        <v>0</v>
      </c>
      <c r="F42" s="11">
        <f>Table219[[#This Row],[حسابهای دریافتنی]]+Table219[[#This Row],[چکهای در جریان وصول]]+Table219[[#This Row],[چکهای نزد صندوق]]</f>
        <v>360000</v>
      </c>
      <c r="G42" s="12">
        <f>IFERROR(INDEX('مانده سوفاله'!F:F,MATCH(Table219[[#This Row],[كد تفصيلي]],'مانده سوفاله'!A:A,0)),0)</f>
        <v>-32</v>
      </c>
    </row>
    <row r="43" spans="1:7" ht="26.25" customHeight="1" x14ac:dyDescent="0.35">
      <c r="A43" s="26">
        <v>30003</v>
      </c>
      <c r="B43" s="68" t="s">
        <v>53</v>
      </c>
      <c r="C43" s="10">
        <f>IFERROR(INDEX('حسابهای دریافتنی'!H:H,MATCH(Table219[[#This Row],[كد تفصيلي]],'حسابهای دریافتنی'!A:A,0)),0)</f>
        <v>754765900</v>
      </c>
      <c r="D43" s="11">
        <f>IFERROR(INDEX('درجریان وصول'!F:F,MATCH(Table219[[#This Row],[كد تفصيلي]],'درجریان وصول'!A:A,0)),0)</f>
        <v>0</v>
      </c>
      <c r="E43" s="11">
        <f>IFERROR(INDEX('چکهای دریافتنی'!F:F,MATCH(Table219[[#This Row],[كد تفصيلي]],'چکهای دریافتنی'!A:A,0)),0)</f>
        <v>571000000</v>
      </c>
      <c r="F43" s="11">
        <f>Table219[[#This Row],[حسابهای دریافتنی]]+Table219[[#This Row],[چکهای در جریان وصول]]+Table219[[#This Row],[چکهای نزد صندوق]]</f>
        <v>1325765900</v>
      </c>
      <c r="G43" s="12">
        <f>IFERROR(INDEX('مانده سوفاله'!F:F,MATCH(Table219[[#This Row],[كد تفصيلي]],'مانده سوفاله'!A:A,0)),0)</f>
        <v>-3538</v>
      </c>
    </row>
    <row r="44" spans="1:7" ht="26.25" customHeight="1" x14ac:dyDescent="0.35">
      <c r="A44" s="26">
        <v>30196</v>
      </c>
      <c r="B44" s="68" t="s">
        <v>481</v>
      </c>
      <c r="C44" s="10">
        <f>IFERROR(INDEX('حسابهای دریافتنی'!H:H,MATCH(Table219[[#This Row],[كد تفصيلي]],'حسابهای دریافتنی'!A:A,0)),0)</f>
        <v>3592950000</v>
      </c>
      <c r="D44" s="11">
        <f>IFERROR(INDEX('درجریان وصول'!F:F,MATCH(Table219[[#This Row],[كد تفصيلي]],'درجریان وصول'!A:A,0)),0)</f>
        <v>0</v>
      </c>
      <c r="E44" s="11">
        <f>IFERROR(INDEX('چکهای دریافتنی'!F:F,MATCH(Table219[[#This Row],[كد تفصيلي]],'چکهای دریافتنی'!A:A,0)),0)</f>
        <v>0</v>
      </c>
      <c r="F44" s="11">
        <f>Table219[[#This Row],[حسابهای دریافتنی]]+Table219[[#This Row],[چکهای در جریان وصول]]+Table219[[#This Row],[چکهای نزد صندوق]]</f>
        <v>3592950000</v>
      </c>
      <c r="G44" s="12">
        <f>IFERROR(INDEX('مانده سوفاله'!F:F,MATCH(Table219[[#This Row],[كد تفصيلي]],'مانده سوفاله'!A:A,0)),0)</f>
        <v>-8965</v>
      </c>
    </row>
    <row r="45" spans="1:7" ht="26.25" customHeight="1" x14ac:dyDescent="0.35">
      <c r="A45" s="27">
        <v>10096</v>
      </c>
      <c r="B45" s="69" t="s">
        <v>271</v>
      </c>
      <c r="C45" s="10">
        <f>IFERROR(INDEX('حسابهای دریافتنی'!H:H,MATCH(Table219[[#This Row],[كد تفصيلي]],'حسابهای دریافتنی'!A:A,0)),0)</f>
        <v>36455500</v>
      </c>
      <c r="D45" s="11">
        <f>IFERROR(INDEX('درجریان وصول'!F:F,MATCH(Table219[[#This Row],[كد تفصيلي]],'درجریان وصول'!A:A,0)),0)</f>
        <v>0</v>
      </c>
      <c r="E45" s="11">
        <f>IFERROR(INDEX('چکهای دریافتنی'!F:F,MATCH(Table219[[#This Row],[كد تفصيلي]],'چکهای دریافتنی'!A:A,0)),0)</f>
        <v>0</v>
      </c>
      <c r="F45" s="11">
        <f>Table219[[#This Row],[حسابهای دریافتنی]]+Table219[[#This Row],[چکهای در جریان وصول]]+Table219[[#This Row],[چکهای نزد صندوق]]</f>
        <v>36455500</v>
      </c>
      <c r="G45" s="12">
        <f>IFERROR(INDEX('مانده سوفاله'!F:F,MATCH(Table219[[#This Row],[كد تفصيلي]],'مانده سوفاله'!A:A,0)),0)</f>
        <v>0</v>
      </c>
    </row>
    <row r="46" spans="1:7" ht="26.25" customHeight="1" x14ac:dyDescent="0.35">
      <c r="A46" s="26">
        <v>30025</v>
      </c>
      <c r="B46" s="68" t="s">
        <v>73</v>
      </c>
      <c r="C46" s="10">
        <f>IFERROR(INDEX('حسابهای دریافتنی'!H:H,MATCH(Table219[[#This Row],[كد تفصيلي]],'حسابهای دریافتنی'!A:A,0)),0)</f>
        <v>35598920</v>
      </c>
      <c r="D46" s="11">
        <f>IFERROR(INDEX('درجریان وصول'!F:F,MATCH(Table219[[#This Row],[كد تفصيلي]],'درجریان وصول'!A:A,0)),0)</f>
        <v>0</v>
      </c>
      <c r="E46" s="11">
        <f>IFERROR(INDEX('چکهای دریافتنی'!F:F,MATCH(Table219[[#This Row],[كد تفصيلي]],'چکهای دریافتنی'!A:A,0)),0)</f>
        <v>0</v>
      </c>
      <c r="F46" s="11">
        <f>Table219[[#This Row],[حسابهای دریافتنی]]+Table219[[#This Row],[چکهای در جریان وصول]]+Table219[[#This Row],[چکهای نزد صندوق]]</f>
        <v>35598920</v>
      </c>
      <c r="G46" s="12">
        <f>IFERROR(INDEX('مانده سوفاله'!F:F,MATCH(Table219[[#This Row],[كد تفصيلي]],'مانده سوفاله'!A:A,0)),0)</f>
        <v>-165</v>
      </c>
    </row>
    <row r="47" spans="1:7" ht="26.25" customHeight="1" x14ac:dyDescent="0.35">
      <c r="A47" s="26">
        <v>30005</v>
      </c>
      <c r="B47" s="68" t="s">
        <v>55</v>
      </c>
      <c r="C47" s="10">
        <f>IFERROR(INDEX('حسابهای دریافتنی'!H:H,MATCH(Table219[[#This Row],[كد تفصيلي]],'حسابهای دریافتنی'!A:A,0)),0)</f>
        <v>35368209</v>
      </c>
      <c r="D47" s="11">
        <f>IFERROR(INDEX('درجریان وصول'!F:F,MATCH(Table219[[#This Row],[كد تفصيلي]],'درجریان وصول'!A:A,0)),0)</f>
        <v>0</v>
      </c>
      <c r="E47" s="11">
        <f>IFERROR(INDEX('چکهای دریافتنی'!F:F,MATCH(Table219[[#This Row],[كد تفصيلي]],'چکهای دریافتنی'!A:A,0)),0)</f>
        <v>0</v>
      </c>
      <c r="F47" s="11">
        <f>Table219[[#This Row],[حسابهای دریافتنی]]+Table219[[#This Row],[چکهای در جریان وصول]]+Table219[[#This Row],[چکهای نزد صندوق]]</f>
        <v>35368209</v>
      </c>
      <c r="G47" s="12">
        <f>IFERROR(INDEX('مانده سوفاله'!F:F,MATCH(Table219[[#This Row],[كد تفصيلي]],'مانده سوفاله'!A:A,0)),0)</f>
        <v>61</v>
      </c>
    </row>
    <row r="48" spans="1:7" ht="26.25" customHeight="1" x14ac:dyDescent="0.35">
      <c r="A48" s="27">
        <v>30093</v>
      </c>
      <c r="B48" s="69" t="s">
        <v>151</v>
      </c>
      <c r="C48" s="10">
        <f>IFERROR(INDEX('حسابهای دریافتنی'!H:H,MATCH(Table219[[#This Row],[كد تفصيلي]],'حسابهای دریافتنی'!A:A,0)),0)</f>
        <v>0</v>
      </c>
      <c r="D48" s="11">
        <f>IFERROR(INDEX('درجریان وصول'!F:F,MATCH(Table219[[#This Row],[كد تفصيلي]],'درجریان وصول'!A:A,0)),0)</f>
        <v>0</v>
      </c>
      <c r="E48" s="11">
        <f>IFERROR(INDEX('چکهای دریافتنی'!F:F,MATCH(Table219[[#This Row],[كد تفصيلي]],'چکهای دریافتنی'!A:A,0)),0)</f>
        <v>0</v>
      </c>
      <c r="F48" s="11">
        <f>Table219[[#This Row],[حسابهای دریافتنی]]+Table219[[#This Row],[چکهای در جریان وصول]]+Table219[[#This Row],[چکهای نزد صندوق]]</f>
        <v>0</v>
      </c>
      <c r="G48" s="12">
        <v>77</v>
      </c>
    </row>
    <row r="49" spans="1:7" ht="26.25" customHeight="1" x14ac:dyDescent="0.35">
      <c r="A49" s="26">
        <v>10091</v>
      </c>
      <c r="B49" s="68" t="s">
        <v>258</v>
      </c>
      <c r="C49" s="10">
        <f>IFERROR(INDEX('حسابهای دریافتنی'!H:H,MATCH(Table219[[#This Row],[كد تفصيلي]],'حسابهای دریافتنی'!A:A,0)),0)</f>
        <v>59321500</v>
      </c>
      <c r="D49" s="11">
        <f>IFERROR(INDEX('درجریان وصول'!F:F,MATCH(Table219[[#This Row],[كد تفصيلي]],'درجریان وصول'!A:A,0)),0)</f>
        <v>0</v>
      </c>
      <c r="E49" s="11">
        <f>IFERROR(INDEX('چکهای دریافتنی'!F:F,MATCH(Table219[[#This Row],[كد تفصيلي]],'چکهای دریافتنی'!A:A,0)),0)</f>
        <v>0</v>
      </c>
      <c r="F49" s="11">
        <f>Table219[[#This Row],[حسابهای دریافتنی]]+Table219[[#This Row],[چکهای در جریان وصول]]+Table219[[#This Row],[چکهای نزد صندوق]]</f>
        <v>59321500</v>
      </c>
      <c r="G49" s="12">
        <f>IFERROR(INDEX('مانده سوفاله'!F:F,MATCH(Table219[[#This Row],[كد تفصيلي]],'مانده سوفاله'!A:A,0)),0)</f>
        <v>0</v>
      </c>
    </row>
    <row r="50" spans="1:7" ht="26.25" customHeight="1" x14ac:dyDescent="0.35">
      <c r="A50" s="70">
        <v>30008</v>
      </c>
      <c r="B50" s="69" t="s">
        <v>58</v>
      </c>
      <c r="C50" s="10">
        <f>IFERROR(INDEX('حسابهای دریافتنی'!H:H,MATCH(Table219[[#This Row],[كد تفصيلي]],'حسابهای دریافتنی'!A:A,0)),0)</f>
        <v>15520000</v>
      </c>
      <c r="D50" s="11">
        <f>IFERROR(INDEX('درجریان وصول'!F:F,MATCH(Table219[[#This Row],[كد تفصيلي]],'درجریان وصول'!A:A,0)),0)</f>
        <v>0</v>
      </c>
      <c r="E50" s="11">
        <f>IFERROR(INDEX('چکهای دریافتنی'!F:F,MATCH(Table219[[#This Row],[كد تفصيلي]],'چکهای دریافتنی'!A:A,0)),0)</f>
        <v>0</v>
      </c>
      <c r="F50" s="11">
        <f>Table219[[#This Row],[حسابهای دریافتنی]]+Table219[[#This Row],[چکهای در جریان وصول]]+Table219[[#This Row],[چکهای نزد صندوق]]</f>
        <v>15520000</v>
      </c>
      <c r="G50" s="71">
        <f>IFERROR(INDEX('مانده سوفاله'!F:F,MATCH(Table219[[#This Row],[كد تفصيلي]],'مانده سوفاله'!A:A,0)),0)</f>
        <v>0</v>
      </c>
    </row>
    <row r="51" spans="1:7" ht="26.25" customHeight="1" x14ac:dyDescent="0.35">
      <c r="A51" s="26">
        <v>10007</v>
      </c>
      <c r="B51" s="68" t="s">
        <v>14</v>
      </c>
      <c r="C51" s="10">
        <f>IFERROR(INDEX('حسابهای دریافتنی'!H:H,MATCH(Table219[[#This Row],[كد تفصيلي]],'حسابهای دریافتنی'!A:A,0)),0)</f>
        <v>12770000</v>
      </c>
      <c r="D51" s="11">
        <f>IFERROR(INDEX('درجریان وصول'!F:F,MATCH(Table219[[#This Row],[كد تفصيلي]],'درجریان وصول'!A:A,0)),0)</f>
        <v>0</v>
      </c>
      <c r="E51" s="11">
        <f>IFERROR(INDEX('چکهای دریافتنی'!F:F,MATCH(Table219[[#This Row],[كد تفصيلي]],'چکهای دریافتنی'!A:A,0)),0)</f>
        <v>0</v>
      </c>
      <c r="F51" s="11">
        <f>Table219[[#This Row],[حسابهای دریافتنی]]+Table219[[#This Row],[چکهای در جریان وصول]]+Table219[[#This Row],[چکهای نزد صندوق]]</f>
        <v>12770000</v>
      </c>
      <c r="G51" s="12">
        <f>IFERROR(INDEX('مانده سوفاله'!F:F,MATCH(Table219[[#This Row],[كد تفصيلي]],'مانده سوفاله'!A:A,0)),0)</f>
        <v>-52.5</v>
      </c>
    </row>
    <row r="52" spans="1:7" ht="26.25" customHeight="1" x14ac:dyDescent="0.35">
      <c r="A52" s="27">
        <v>30101</v>
      </c>
      <c r="B52" s="69" t="s">
        <v>196</v>
      </c>
      <c r="C52" s="10">
        <f>IFERROR(INDEX('حسابهای دریافتنی'!H:H,MATCH(Table219[[#This Row],[كد تفصيلي]],'حسابهای دریافتنی'!A:A,0)),0)</f>
        <v>203336095</v>
      </c>
      <c r="D52" s="11">
        <f>IFERROR(INDEX('درجریان وصول'!F:F,MATCH(Table219[[#This Row],[كد تفصيلي]],'درجریان وصول'!A:A,0)),0)</f>
        <v>0</v>
      </c>
      <c r="E52" s="11">
        <f>IFERROR(INDEX('چکهای دریافتنی'!F:F,MATCH(Table219[[#This Row],[كد تفصيلي]],'چکهای دریافتنی'!A:A,0)),0)</f>
        <v>0</v>
      </c>
      <c r="F52" s="11">
        <f>Table219[[#This Row],[حسابهای دریافتنی]]+Table219[[#This Row],[چکهای در جریان وصول]]+Table219[[#This Row],[چکهای نزد صندوق]]</f>
        <v>203336095</v>
      </c>
      <c r="G52" s="12">
        <f>IFERROR(INDEX('مانده سوفاله'!F:F,MATCH(Table219[[#This Row],[كد تفصيلي]],'مانده سوفاله'!A:A,0)),0)</f>
        <v>15</v>
      </c>
    </row>
    <row r="53" spans="1:7" ht="26.25" customHeight="1" x14ac:dyDescent="0.35">
      <c r="A53" s="27">
        <v>30012</v>
      </c>
      <c r="B53" s="69" t="s">
        <v>61</v>
      </c>
      <c r="C53" s="10">
        <f>IFERROR(INDEX('حسابهای دریافتنی'!H:H,MATCH(Table219[[#This Row],[كد تفصيلي]],'حسابهای دریافتنی'!A:A,0)),0)</f>
        <v>-46099000</v>
      </c>
      <c r="D53" s="11">
        <f>IFERROR(INDEX('درجریان وصول'!F:F,MATCH(Table219[[#This Row],[كد تفصيلي]],'درجریان وصول'!A:A,0)),0)</f>
        <v>0</v>
      </c>
      <c r="E53" s="11">
        <f>IFERROR(INDEX('چکهای دریافتنی'!F:F,MATCH(Table219[[#This Row],[كد تفصيلي]],'چکهای دریافتنی'!A:A,0)),0)</f>
        <v>348650000</v>
      </c>
      <c r="F53" s="11">
        <f>Table219[[#This Row],[حسابهای دریافتنی]]+Table219[[#This Row],[چکهای در جریان وصول]]+Table219[[#This Row],[چکهای نزد صندوق]]</f>
        <v>302551000</v>
      </c>
      <c r="G53" s="12">
        <f>IFERROR(INDEX('مانده سوفاله'!F:F,MATCH(Table219[[#This Row],[كد تفصيلي]],'مانده سوفاله'!A:A,0)),0)</f>
        <v>141</v>
      </c>
    </row>
    <row r="54" spans="1:7" ht="26.25" customHeight="1" x14ac:dyDescent="0.35">
      <c r="A54" s="27">
        <v>30137</v>
      </c>
      <c r="B54" s="69" t="s">
        <v>218</v>
      </c>
      <c r="C54" s="10">
        <f>IFERROR(INDEX('حسابهای دریافتنی'!H:H,MATCH(Table219[[#This Row],[كد تفصيلي]],'حسابهای دریافتنی'!A:A,0)),0)</f>
        <v>0</v>
      </c>
      <c r="D54" s="11">
        <f>IFERROR(INDEX('درجریان وصول'!F:F,MATCH(Table219[[#This Row],[كد تفصيلي]],'درجریان وصول'!A:A,0)),0)</f>
        <v>0</v>
      </c>
      <c r="E54" s="11">
        <f>IFERROR(INDEX('چکهای دریافتنی'!F:F,MATCH(Table219[[#This Row],[كد تفصيلي]],'چکهای دریافتنی'!A:A,0)),0)</f>
        <v>213182200</v>
      </c>
      <c r="F54" s="11">
        <f>Table219[[#This Row],[حسابهای دریافتنی]]+Table219[[#This Row],[چکهای در جریان وصول]]+Table219[[#This Row],[چکهای نزد صندوق]]</f>
        <v>213182200</v>
      </c>
      <c r="G54" s="12">
        <f>IFERROR(INDEX('مانده سوفاله'!F:F,MATCH(Table219[[#This Row],[كد تفصيلي]],'مانده سوفاله'!A:A,0)),0)</f>
        <v>0</v>
      </c>
    </row>
    <row r="55" spans="1:7" ht="26.25" customHeight="1" x14ac:dyDescent="0.35">
      <c r="A55" s="27">
        <v>30145</v>
      </c>
      <c r="B55" s="69" t="s">
        <v>265</v>
      </c>
      <c r="C55" s="10">
        <f>IFERROR(INDEX('حسابهای دریافتنی'!H:H,MATCH(Table219[[#This Row],[كد تفصيلي]],'حسابهای دریافتنی'!A:A,0)),0)</f>
        <v>6442500</v>
      </c>
      <c r="D55" s="11">
        <f>IFERROR(INDEX('درجریان وصول'!F:F,MATCH(Table219[[#This Row],[كد تفصيلي]],'درجریان وصول'!A:A,0)),0)</f>
        <v>0</v>
      </c>
      <c r="E55" s="11">
        <f>IFERROR(INDEX('چکهای دریافتنی'!F:F,MATCH(Table219[[#This Row],[كد تفصيلي]],'چکهای دریافتنی'!A:A,0)),0)</f>
        <v>0</v>
      </c>
      <c r="F55" s="11">
        <f>Table219[[#This Row],[حسابهای دریافتنی]]+Table219[[#This Row],[چکهای در جریان وصول]]+Table219[[#This Row],[چکهای نزد صندوق]]</f>
        <v>6442500</v>
      </c>
      <c r="G55" s="12">
        <f>IFERROR(INDEX('مانده سوفاله'!F:F,MATCH(Table219[[#This Row],[كد تفصيلي]],'مانده سوفاله'!A:A,0)),0)</f>
        <v>0</v>
      </c>
    </row>
    <row r="56" spans="1:7" ht="26.25" customHeight="1" x14ac:dyDescent="0.35">
      <c r="A56" s="26">
        <v>30047</v>
      </c>
      <c r="B56" s="68" t="s">
        <v>94</v>
      </c>
      <c r="C56" s="10">
        <f>IFERROR(INDEX('حسابهای دریافتنی'!H:H,MATCH(Table219[[#This Row],[كد تفصيلي]],'حسابهای دریافتنی'!A:A,0)),0)</f>
        <v>5794900</v>
      </c>
      <c r="D56" s="11">
        <f>IFERROR(INDEX('درجریان وصول'!F:F,MATCH(Table219[[#This Row],[كد تفصيلي]],'درجریان وصول'!A:A,0)),0)</f>
        <v>0</v>
      </c>
      <c r="E56" s="11">
        <f>IFERROR(INDEX('چکهای دریافتنی'!F:F,MATCH(Table219[[#This Row],[كد تفصيلي]],'چکهای دریافتنی'!A:A,0)),0)</f>
        <v>0</v>
      </c>
      <c r="F56" s="11">
        <f>Table219[[#This Row],[حسابهای دریافتنی]]+Table219[[#This Row],[چکهای در جریان وصول]]+Table219[[#This Row],[چکهای نزد صندوق]]</f>
        <v>5794900</v>
      </c>
      <c r="G56" s="12">
        <f>IFERROR(INDEX('مانده سوفاله'!F:F,MATCH(Table219[[#This Row],[كد تفصيلي]],'مانده سوفاله'!A:A,0)),0)</f>
        <v>-630</v>
      </c>
    </row>
    <row r="57" spans="1:7" ht="26.25" customHeight="1" x14ac:dyDescent="0.35">
      <c r="A57" s="26">
        <v>30011</v>
      </c>
      <c r="B57" s="68" t="s">
        <v>60</v>
      </c>
      <c r="C57" s="10">
        <f>IFERROR(INDEX('حسابهای دریافتنی'!H:H,MATCH(Table219[[#This Row],[كد تفصيلي]],'حسابهای دریافتنی'!A:A,0)),0)</f>
        <v>5595200</v>
      </c>
      <c r="D57" s="11">
        <f>IFERROR(INDEX('درجریان وصول'!F:F,MATCH(Table219[[#This Row],[كد تفصيلي]],'درجریان وصول'!A:A,0)),0)</f>
        <v>0</v>
      </c>
      <c r="E57" s="11">
        <f>IFERROR(INDEX('چکهای دریافتنی'!F:F,MATCH(Table219[[#This Row],[كد تفصيلي]],'چکهای دریافتنی'!A:A,0)),0)</f>
        <v>0</v>
      </c>
      <c r="F57" s="11">
        <f>Table219[[#This Row],[حسابهای دریافتنی]]+Table219[[#This Row],[چکهای در جریان وصول]]+Table219[[#This Row],[چکهای نزد صندوق]]</f>
        <v>5595200</v>
      </c>
      <c r="G57" s="12">
        <f>IFERROR(INDEX('مانده سوفاله'!F:F,MATCH(Table219[[#This Row],[كد تفصيلي]],'مانده سوفاله'!A:A,0)),0)</f>
        <v>-5</v>
      </c>
    </row>
    <row r="58" spans="1:7" ht="26.25" customHeight="1" x14ac:dyDescent="0.35">
      <c r="A58" s="27">
        <v>10080</v>
      </c>
      <c r="B58" s="69" t="s">
        <v>214</v>
      </c>
      <c r="C58" s="10">
        <f>IFERROR(INDEX('حسابهای دریافتنی'!H:H,MATCH(Table219[[#This Row],[كد تفصيلي]],'حسابهای دریافتنی'!A:A,0)),0)</f>
        <v>5395000</v>
      </c>
      <c r="D58" s="11">
        <f>IFERROR(INDEX('درجریان وصول'!F:F,MATCH(Table219[[#This Row],[كد تفصيلي]],'درجریان وصول'!A:A,0)),0)</f>
        <v>0</v>
      </c>
      <c r="E58" s="11">
        <f>IFERROR(INDEX('چکهای دریافتنی'!F:F,MATCH(Table219[[#This Row],[كد تفصيلي]],'چکهای دریافتنی'!A:A,0)),0)</f>
        <v>0</v>
      </c>
      <c r="F58" s="11">
        <f>Table219[[#This Row],[حسابهای دریافتنی]]+Table219[[#This Row],[چکهای در جریان وصول]]+Table219[[#This Row],[چکهای نزد صندوق]]</f>
        <v>5395000</v>
      </c>
      <c r="G58" s="12">
        <f>IFERROR(INDEX('مانده سوفاله'!F:F,MATCH(Table219[[#This Row],[كد تفصيلي]],'مانده سوفاله'!A:A,0)),0)</f>
        <v>0</v>
      </c>
    </row>
    <row r="59" spans="1:7" ht="26.25" customHeight="1" x14ac:dyDescent="0.35">
      <c r="A59" s="26">
        <v>30114</v>
      </c>
      <c r="B59" s="68" t="s">
        <v>175</v>
      </c>
      <c r="C59" s="10">
        <f>IFERROR(INDEX('حسابهای دریافتنی'!H:H,MATCH(Table219[[#This Row],[كد تفصيلي]],'حسابهای دریافتنی'!A:A,0)),0)</f>
        <v>5385600</v>
      </c>
      <c r="D59" s="11">
        <f>IFERROR(INDEX('درجریان وصول'!F:F,MATCH(Table219[[#This Row],[كد تفصيلي]],'درجریان وصول'!A:A,0)),0)</f>
        <v>0</v>
      </c>
      <c r="E59" s="11">
        <f>IFERROR(INDEX('چکهای دریافتنی'!F:F,MATCH(Table219[[#This Row],[كد تفصيلي]],'چکهای دریافتنی'!A:A,0)),0)</f>
        <v>0</v>
      </c>
      <c r="F59" s="11">
        <f>Table219[[#This Row],[حسابهای دریافتنی]]+Table219[[#This Row],[چکهای در جریان وصول]]+Table219[[#This Row],[چکهای نزد صندوق]]</f>
        <v>5385600</v>
      </c>
      <c r="G59" s="12">
        <f>IFERROR(INDEX('مانده سوفاله'!F:F,MATCH(Table219[[#This Row],[كد تفصيلي]],'مانده سوفاله'!A:A,0)),0)</f>
        <v>0</v>
      </c>
    </row>
    <row r="60" spans="1:7" ht="26.25" customHeight="1" x14ac:dyDescent="0.35">
      <c r="A60" s="27">
        <v>30123</v>
      </c>
      <c r="B60" s="69" t="s">
        <v>208</v>
      </c>
      <c r="C60" s="10">
        <f>IFERROR(INDEX('حسابهای دریافتنی'!H:H,MATCH(Table219[[#This Row],[كد تفصيلي]],'حسابهای دریافتنی'!A:A,0)),0)</f>
        <v>4138250</v>
      </c>
      <c r="D60" s="11">
        <f>IFERROR(INDEX('درجریان وصول'!F:F,MATCH(Table219[[#This Row],[كد تفصيلي]],'درجریان وصول'!A:A,0)),0)</f>
        <v>0</v>
      </c>
      <c r="E60" s="11">
        <f>IFERROR(INDEX('چکهای دریافتنی'!F:F,MATCH(Table219[[#This Row],[كد تفصيلي]],'چکهای دریافتنی'!A:A,0)),0)</f>
        <v>0</v>
      </c>
      <c r="F60" s="11">
        <f>Table219[[#This Row],[حسابهای دریافتنی]]+Table219[[#This Row],[چکهای در جریان وصول]]+Table219[[#This Row],[چکهای نزد صندوق]]</f>
        <v>4138250</v>
      </c>
      <c r="G60" s="12">
        <f>IFERROR(INDEX('مانده سوفاله'!F:F,MATCH(Table219[[#This Row],[كد تفصيلي]],'مانده سوفاله'!A:A,0)),0)</f>
        <v>-20</v>
      </c>
    </row>
    <row r="61" spans="1:7" ht="26.25" customHeight="1" x14ac:dyDescent="0.35">
      <c r="A61" s="26">
        <v>10116</v>
      </c>
      <c r="B61" s="68" t="s">
        <v>321</v>
      </c>
      <c r="C61" s="10">
        <f>IFERROR(INDEX('حسابهای دریافتنی'!H:H,MATCH(Table219[[#This Row],[كد تفصيلي]],'حسابهای دریافتنی'!A:A,0)),0)</f>
        <v>3892500</v>
      </c>
      <c r="D61" s="11">
        <f>IFERROR(INDEX('درجریان وصول'!F:F,MATCH(Table219[[#This Row],[كد تفصيلي]],'درجریان وصول'!A:A,0)),0)</f>
        <v>0</v>
      </c>
      <c r="E61" s="11">
        <f>IFERROR(INDEX('چکهای دریافتنی'!F:F,MATCH(Table219[[#This Row],[كد تفصيلي]],'چکهای دریافتنی'!A:A,0)),0)</f>
        <v>0</v>
      </c>
      <c r="F61" s="11">
        <f>Table219[[#This Row],[حسابهای دریافتنی]]+Table219[[#This Row],[چکهای در جریان وصول]]+Table219[[#This Row],[چکهای نزد صندوق]]</f>
        <v>3892500</v>
      </c>
      <c r="G61" s="12">
        <f>IFERROR(INDEX('مانده سوفاله'!F:F,MATCH(Table219[[#This Row],[كد تفصيلي]],'مانده سوفاله'!A:A,0)),0)</f>
        <v>0</v>
      </c>
    </row>
    <row r="62" spans="1:7" ht="26.25" customHeight="1" x14ac:dyDescent="0.35">
      <c r="A62" s="27">
        <v>10004</v>
      </c>
      <c r="B62" s="69" t="s">
        <v>11</v>
      </c>
      <c r="C62" s="10">
        <f>IFERROR(INDEX('حسابهای دریافتنی'!H:H,MATCH(Table219[[#This Row],[كد تفصيلي]],'حسابهای دریافتنی'!A:A,0)),0)</f>
        <v>853000</v>
      </c>
      <c r="D62" s="11">
        <f>IFERROR(INDEX('درجریان وصول'!F:F,MATCH(Table219[[#This Row],[كد تفصيلي]],'درجریان وصول'!A:A,0)),0)</f>
        <v>0</v>
      </c>
      <c r="E62" s="11">
        <f>IFERROR(INDEX('چکهای دریافتنی'!F:F,MATCH(Table219[[#This Row],[كد تفصيلي]],'چکهای دریافتنی'!A:A,0)),0)</f>
        <v>341000000</v>
      </c>
      <c r="F62" s="11">
        <f>Table219[[#This Row],[حسابهای دریافتنی]]+Table219[[#This Row],[چکهای در جریان وصول]]+Table219[[#This Row],[چکهای نزد صندوق]]</f>
        <v>341853000</v>
      </c>
      <c r="G62" s="12">
        <f>IFERROR(INDEX('مانده سوفاله'!F:F,MATCH(Table219[[#This Row],[كد تفصيلي]],'مانده سوفاله'!A:A,0)),0)</f>
        <v>-12</v>
      </c>
    </row>
    <row r="63" spans="1:7" ht="26.25" customHeight="1" x14ac:dyDescent="0.35">
      <c r="A63" s="26">
        <v>10101</v>
      </c>
      <c r="B63" s="68" t="s">
        <v>281</v>
      </c>
      <c r="C63" s="10">
        <f>IFERROR(INDEX('حسابهای دریافتنی'!H:H,MATCH(Table219[[#This Row],[كد تفصيلي]],'حسابهای دریافتنی'!A:A,0)),0)</f>
        <v>0</v>
      </c>
      <c r="D63" s="11">
        <f>IFERROR(INDEX('درجریان وصول'!F:F,MATCH(Table219[[#This Row],[كد تفصيلي]],'درجریان وصول'!A:A,0)),0)</f>
        <v>0</v>
      </c>
      <c r="E63" s="11">
        <f>IFERROR(INDEX('چکهای دریافتنی'!F:F,MATCH(Table219[[#This Row],[كد تفصيلي]],'چکهای دریافتنی'!A:A,0)),0)</f>
        <v>0</v>
      </c>
      <c r="F63" s="11">
        <f>Table219[[#This Row],[حسابهای دریافتنی]]+Table219[[#This Row],[چکهای در جریان وصول]]+Table219[[#This Row],[چکهای نزد صندوق]]</f>
        <v>0</v>
      </c>
      <c r="G63" s="12">
        <f>IFERROR(INDEX('مانده سوفاله'!F:F,MATCH(Table219[[#This Row],[كد تفصيلي]],'مانده سوفاله'!A:A,0)),0)</f>
        <v>0</v>
      </c>
    </row>
    <row r="64" spans="1:7" ht="26.25" customHeight="1" x14ac:dyDescent="0.35">
      <c r="A64" s="27">
        <v>10030</v>
      </c>
      <c r="B64" s="69" t="s">
        <v>36</v>
      </c>
      <c r="C64" s="10">
        <f>IFERROR(INDEX('حسابهای دریافتنی'!H:H,MATCH(Table219[[#This Row],[كد تفصيلي]],'حسابهای دریافتنی'!A:A,0)),0)</f>
        <v>3272000</v>
      </c>
      <c r="D64" s="11">
        <f>IFERROR(INDEX('درجریان وصول'!F:F,MATCH(Table219[[#This Row],[كد تفصيلي]],'درجریان وصول'!A:A,0)),0)</f>
        <v>0</v>
      </c>
      <c r="E64" s="11">
        <f>IFERROR(INDEX('چکهای دریافتنی'!F:F,MATCH(Table219[[#This Row],[كد تفصيلي]],'چکهای دریافتنی'!A:A,0)),0)</f>
        <v>0</v>
      </c>
      <c r="F64" s="11">
        <f>Table219[[#This Row],[حسابهای دریافتنی]]+Table219[[#This Row],[چکهای در جریان وصول]]+Table219[[#This Row],[چکهای نزد صندوق]]</f>
        <v>3272000</v>
      </c>
      <c r="G64" s="12">
        <f>IFERROR(INDEX('مانده سوفاله'!F:F,MATCH(Table219[[#This Row],[كد تفصيلي]],'مانده سوفاله'!A:A,0)),0)</f>
        <v>-222</v>
      </c>
    </row>
    <row r="65" spans="1:7" ht="26.25" customHeight="1" x14ac:dyDescent="0.35">
      <c r="A65" s="26">
        <v>30178</v>
      </c>
      <c r="B65" s="68" t="s">
        <v>335</v>
      </c>
      <c r="C65" s="10">
        <f>IFERROR(INDEX('حسابهای دریافتنی'!H:H,MATCH(Table219[[#This Row],[كد تفصيلي]],'حسابهای دریافتنی'!A:A,0)),0)</f>
        <v>3040000</v>
      </c>
      <c r="D65" s="11">
        <f>IFERROR(INDEX('درجریان وصول'!F:F,MATCH(Table219[[#This Row],[كد تفصيلي]],'درجریان وصول'!A:A,0)),0)</f>
        <v>0</v>
      </c>
      <c r="E65" s="11">
        <f>IFERROR(INDEX('چکهای دریافتنی'!F:F,MATCH(Table219[[#This Row],[كد تفصيلي]],'چکهای دریافتنی'!A:A,0)),0)</f>
        <v>0</v>
      </c>
      <c r="F65" s="11">
        <f>Table219[[#This Row],[حسابهای دریافتنی]]+Table219[[#This Row],[چکهای در جریان وصول]]+Table219[[#This Row],[چکهای نزد صندوق]]</f>
        <v>3040000</v>
      </c>
      <c r="G65" s="12">
        <f>IFERROR(INDEX('مانده سوفاله'!F:F,MATCH(Table219[[#This Row],[كد تفصيلي]],'مانده سوفاله'!A:A,0)),0)</f>
        <v>0</v>
      </c>
    </row>
    <row r="66" spans="1:7" ht="26.25" customHeight="1" x14ac:dyDescent="0.35">
      <c r="A66" s="27">
        <v>10084</v>
      </c>
      <c r="B66" s="69" t="s">
        <v>217</v>
      </c>
      <c r="C66" s="10">
        <f>IFERROR(INDEX('حسابهای دریافتنی'!H:H,MATCH(Table219[[#This Row],[كد تفصيلي]],'حسابهای دریافتنی'!A:A,0)),0)</f>
        <v>358092810</v>
      </c>
      <c r="D66" s="11">
        <f>IFERROR(INDEX('درجریان وصول'!F:F,MATCH(Table219[[#This Row],[كد تفصيلي]],'درجریان وصول'!A:A,0)),0)</f>
        <v>0</v>
      </c>
      <c r="E66" s="11">
        <f>IFERROR(INDEX('چکهای دریافتنی'!F:F,MATCH(Table219[[#This Row],[كد تفصيلي]],'چکهای دریافتنی'!A:A,0)),0)</f>
        <v>870000000</v>
      </c>
      <c r="F66" s="11">
        <f>Table219[[#This Row],[حسابهای دریافتنی]]+Table219[[#This Row],[چکهای در جریان وصول]]+Table219[[#This Row],[چکهای نزد صندوق]]</f>
        <v>1228092810</v>
      </c>
      <c r="G66" s="12">
        <f>IFERROR(INDEX('مانده سوفاله'!F:F,MATCH(Table219[[#This Row],[كد تفصيلي]],'مانده سوفاله'!A:A,0)),0)</f>
        <v>-1656</v>
      </c>
    </row>
    <row r="67" spans="1:7" ht="26.25" customHeight="1" x14ac:dyDescent="0.35">
      <c r="A67" s="26">
        <v>30084</v>
      </c>
      <c r="B67" s="68" t="s">
        <v>129</v>
      </c>
      <c r="C67" s="10">
        <f>IFERROR(INDEX('حسابهای دریافتنی'!H:H,MATCH(Table219[[#This Row],[كد تفصيلي]],'حسابهای دریافتنی'!A:A,0)),0)</f>
        <v>1220000</v>
      </c>
      <c r="D67" s="11">
        <f>IFERROR(INDEX('درجریان وصول'!F:F,MATCH(Table219[[#This Row],[كد تفصيلي]],'درجریان وصول'!A:A,0)),0)</f>
        <v>0</v>
      </c>
      <c r="E67" s="11">
        <f>IFERROR(INDEX('چکهای دریافتنی'!F:F,MATCH(Table219[[#This Row],[كد تفصيلي]],'چکهای دریافتنی'!A:A,0)),0)</f>
        <v>0</v>
      </c>
      <c r="F67" s="11">
        <f>Table219[[#This Row],[حسابهای دریافتنی]]+Table219[[#This Row],[چکهای در جریان وصول]]+Table219[[#This Row],[چکهای نزد صندوق]]</f>
        <v>1220000</v>
      </c>
      <c r="G67" s="12">
        <f>IFERROR(INDEX('مانده سوفاله'!F:F,MATCH(Table219[[#This Row],[كد تفصيلي]],'مانده سوفاله'!A:A,0)),0)</f>
        <v>0</v>
      </c>
    </row>
    <row r="68" spans="1:7" ht="26.25" customHeight="1" x14ac:dyDescent="0.35">
      <c r="A68" s="27">
        <v>79055</v>
      </c>
      <c r="B68" s="69" t="s">
        <v>297</v>
      </c>
      <c r="C68" s="10">
        <f>IFERROR(INDEX('حسابهای دریافتنی'!H:H,MATCH(Table219[[#This Row],[كد تفصيلي]],'حسابهای دریافتنی'!A:A,0)),0)</f>
        <v>896500</v>
      </c>
      <c r="D68" s="11">
        <f>IFERROR(INDEX('درجریان وصول'!F:F,MATCH(Table219[[#This Row],[كد تفصيلي]],'درجریان وصول'!A:A,0)),0)</f>
        <v>0</v>
      </c>
      <c r="E68" s="11">
        <f>IFERROR(INDEX('چکهای دریافتنی'!F:F,MATCH(Table219[[#This Row],[كد تفصيلي]],'چکهای دریافتنی'!A:A,0)),0)</f>
        <v>0</v>
      </c>
      <c r="F68" s="11">
        <f>Table219[[#This Row],[حسابهای دریافتنی]]+Table219[[#This Row],[چکهای در جریان وصول]]+Table219[[#This Row],[چکهای نزد صندوق]]</f>
        <v>896500</v>
      </c>
      <c r="G68" s="12">
        <f>IFERROR(INDEX('مانده سوفاله'!F:F,MATCH(Table219[[#This Row],[كد تفصيلي]],'مانده سوفاله'!A:A,0)),0)</f>
        <v>0</v>
      </c>
    </row>
    <row r="69" spans="1:7" ht="26.25" customHeight="1" x14ac:dyDescent="0.35">
      <c r="A69" s="27">
        <v>30030</v>
      </c>
      <c r="B69" s="69" t="s">
        <v>77</v>
      </c>
      <c r="C69" s="10">
        <f>IFERROR(INDEX('حسابهای دریافتنی'!H:H,MATCH(Table219[[#This Row],[كد تفصيلي]],'حسابهای دریافتنی'!A:A,0)),0)</f>
        <v>850500</v>
      </c>
      <c r="D69" s="11">
        <f>IFERROR(INDEX('درجریان وصول'!F:F,MATCH(Table219[[#This Row],[كد تفصيلي]],'درجریان وصول'!A:A,0)),0)</f>
        <v>0</v>
      </c>
      <c r="E69" s="11">
        <f>IFERROR(INDEX('چکهای دریافتنی'!F:F,MATCH(Table219[[#This Row],[كد تفصيلي]],'چکهای دریافتنی'!A:A,0)),0)</f>
        <v>0</v>
      </c>
      <c r="F69" s="11">
        <f>Table219[[#This Row],[حسابهای دریافتنی]]+Table219[[#This Row],[چکهای در جریان وصول]]+Table219[[#This Row],[چکهای نزد صندوق]]</f>
        <v>850500</v>
      </c>
      <c r="G69" s="12">
        <f>IFERROR(INDEX('مانده سوفاله'!F:F,MATCH(Table219[[#This Row],[كد تفصيلي]],'مانده سوفاله'!A:A,0)),0)</f>
        <v>-49</v>
      </c>
    </row>
    <row r="70" spans="1:7" ht="26.25" customHeight="1" x14ac:dyDescent="0.35">
      <c r="A70" s="27">
        <v>30129</v>
      </c>
      <c r="B70" s="69" t="s">
        <v>178</v>
      </c>
      <c r="C70" s="10">
        <f>IFERROR(INDEX('حسابهای دریافتنی'!H:H,MATCH(Table219[[#This Row],[كد تفصيلي]],'حسابهای دریافتنی'!A:A,0)),0)</f>
        <v>783000</v>
      </c>
      <c r="D70" s="11">
        <f>IFERROR(INDEX('درجریان وصول'!F:F,MATCH(Table219[[#This Row],[كد تفصيلي]],'درجریان وصول'!A:A,0)),0)</f>
        <v>0</v>
      </c>
      <c r="E70" s="11">
        <f>IFERROR(INDEX('چکهای دریافتنی'!F:F,MATCH(Table219[[#This Row],[كد تفصيلي]],'چکهای دریافتنی'!A:A,0)),0)</f>
        <v>0</v>
      </c>
      <c r="F70" s="11">
        <f>Table219[[#This Row],[حسابهای دریافتنی]]+Table219[[#This Row],[چکهای در جریان وصول]]+Table219[[#This Row],[چکهای نزد صندوق]]</f>
        <v>783000</v>
      </c>
      <c r="G70" s="12">
        <f>IFERROR(INDEX('مانده سوفاله'!F:F,MATCH(Table219[[#This Row],[كد تفصيلي]],'مانده سوفاله'!A:A,0)),0)</f>
        <v>0</v>
      </c>
    </row>
    <row r="71" spans="1:7" ht="26.25" customHeight="1" x14ac:dyDescent="0.35">
      <c r="A71" s="26">
        <v>30090</v>
      </c>
      <c r="B71" s="68" t="s">
        <v>144</v>
      </c>
      <c r="C71" s="10">
        <f>IFERROR(INDEX('حسابهای دریافتنی'!H:H,MATCH(Table219[[#This Row],[كد تفصيلي]],'حسابهای دریافتنی'!A:A,0)),0)</f>
        <v>640100</v>
      </c>
      <c r="D71" s="11">
        <f>IFERROR(INDEX('درجریان وصول'!F:F,MATCH(Table219[[#This Row],[كد تفصيلي]],'درجریان وصول'!A:A,0)),0)</f>
        <v>0</v>
      </c>
      <c r="E71" s="11">
        <f>IFERROR(INDEX('چکهای دریافتنی'!F:F,MATCH(Table219[[#This Row],[كد تفصيلي]],'چکهای دریافتنی'!A:A,0)),0)</f>
        <v>0</v>
      </c>
      <c r="F71" s="11">
        <f>Table219[[#This Row],[حسابهای دریافتنی]]+Table219[[#This Row],[چکهای در جریان وصول]]+Table219[[#This Row],[چکهای نزد صندوق]]</f>
        <v>640100</v>
      </c>
      <c r="G71" s="12">
        <f>IFERROR(INDEX('مانده سوفاله'!F:F,MATCH(Table219[[#This Row],[كد تفصيلي]],'مانده سوفاله'!A:A,0)),0)</f>
        <v>0</v>
      </c>
    </row>
    <row r="72" spans="1:7" ht="26.25" customHeight="1" x14ac:dyDescent="0.35">
      <c r="A72" s="27">
        <v>30109</v>
      </c>
      <c r="B72" s="69" t="s">
        <v>165</v>
      </c>
      <c r="C72" s="10">
        <f>IFERROR(INDEX('حسابهای دریافتنی'!H:H,MATCH(Table219[[#This Row],[كد تفصيلي]],'حسابهای دریافتنی'!A:A,0)),0)</f>
        <v>607300</v>
      </c>
      <c r="D72" s="11">
        <f>IFERROR(INDEX('درجریان وصول'!F:F,MATCH(Table219[[#This Row],[كد تفصيلي]],'درجریان وصول'!A:A,0)),0)</f>
        <v>0</v>
      </c>
      <c r="E72" s="11">
        <f>IFERROR(INDEX('چکهای دریافتنی'!F:F,MATCH(Table219[[#This Row],[كد تفصيلي]],'چکهای دریافتنی'!A:A,0)),0)</f>
        <v>0</v>
      </c>
      <c r="F72" s="11">
        <f>Table219[[#This Row],[حسابهای دریافتنی]]+Table219[[#This Row],[چکهای در جریان وصول]]+Table219[[#This Row],[چکهای نزد صندوق]]</f>
        <v>607300</v>
      </c>
      <c r="G72" s="12">
        <f>IFERROR(INDEX('مانده سوفاله'!F:F,MATCH(Table219[[#This Row],[كد تفصيلي]],'مانده سوفاله'!A:A,0)),0)</f>
        <v>0</v>
      </c>
    </row>
    <row r="73" spans="1:7" ht="26.25" customHeight="1" x14ac:dyDescent="0.35">
      <c r="A73" s="26">
        <v>10131</v>
      </c>
      <c r="B73" s="68" t="s">
        <v>457</v>
      </c>
      <c r="C73" s="10">
        <f>IFERROR(INDEX('حسابهای دریافتنی'!H:H,MATCH(Table219[[#This Row],[كد تفصيلي]],'حسابهای دریافتنی'!A:A,0)),0)</f>
        <v>-1194000</v>
      </c>
      <c r="D73" s="11">
        <f>IFERROR(INDEX('درجریان وصول'!F:F,MATCH(Table219[[#This Row],[كد تفصيلي]],'درجریان وصول'!A:A,0)),0)</f>
        <v>0</v>
      </c>
      <c r="E73" s="11">
        <f>IFERROR(INDEX('چکهای دریافتنی'!F:F,MATCH(Table219[[#This Row],[كد تفصيلي]],'چکهای دریافتنی'!A:A,0)),0)</f>
        <v>0</v>
      </c>
      <c r="F73" s="11">
        <f>Table219[[#This Row],[حسابهای دریافتنی]]+Table219[[#This Row],[چکهای در جریان وصول]]+Table219[[#This Row],[چکهای نزد صندوق]]</f>
        <v>-1194000</v>
      </c>
      <c r="G73" s="12">
        <f>IFERROR(INDEX('مانده سوفاله'!F:F,MATCH(Table219[[#This Row],[كد تفصيلي]],'مانده سوفاله'!A:A,0)),0)</f>
        <v>1</v>
      </c>
    </row>
    <row r="74" spans="1:7" ht="26.25" customHeight="1" x14ac:dyDescent="0.35">
      <c r="A74" s="27">
        <v>30010</v>
      </c>
      <c r="B74" s="69" t="s">
        <v>59</v>
      </c>
      <c r="C74" s="10">
        <f>IFERROR(INDEX('حسابهای دریافتنی'!H:H,MATCH(Table219[[#This Row],[كد تفصيلي]],'حسابهای دریافتنی'!A:A,0)),0)</f>
        <v>366215</v>
      </c>
      <c r="D74" s="11">
        <f>IFERROR(INDEX('درجریان وصول'!F:F,MATCH(Table219[[#This Row],[كد تفصيلي]],'درجریان وصول'!A:A,0)),0)</f>
        <v>0</v>
      </c>
      <c r="E74" s="11">
        <f>IFERROR(INDEX('چکهای دریافتنی'!F:F,MATCH(Table219[[#This Row],[كد تفصيلي]],'چکهای دریافتنی'!A:A,0)),0)</f>
        <v>0</v>
      </c>
      <c r="F74" s="11">
        <f>Table219[[#This Row],[حسابهای دریافتنی]]+Table219[[#This Row],[چکهای در جریان وصول]]+Table219[[#This Row],[چکهای نزد صندوق]]</f>
        <v>366215</v>
      </c>
      <c r="G74" s="12">
        <f>IFERROR(INDEX('مانده سوفاله'!F:F,MATCH(Table219[[#This Row],[كد تفصيلي]],'مانده سوفاله'!A:A,0)),0)</f>
        <v>8</v>
      </c>
    </row>
    <row r="75" spans="1:7" ht="26.25" customHeight="1" x14ac:dyDescent="0.35">
      <c r="A75" s="27">
        <v>10119</v>
      </c>
      <c r="B75" s="69" t="s">
        <v>333</v>
      </c>
      <c r="C75" s="10">
        <f>IFERROR(INDEX('حسابهای دریافتنی'!H:H,MATCH(Table219[[#This Row],[كد تفصيلي]],'حسابهای دریافتنی'!A:A,0)),0)</f>
        <v>-2592000</v>
      </c>
      <c r="D75" s="11">
        <f>IFERROR(INDEX('درجریان وصول'!F:F,MATCH(Table219[[#This Row],[كد تفصيلي]],'درجریان وصول'!A:A,0)),0)</f>
        <v>0</v>
      </c>
      <c r="E75" s="11">
        <f>IFERROR(INDEX('چکهای دریافتنی'!F:F,MATCH(Table219[[#This Row],[كد تفصيلي]],'چکهای دریافتنی'!A:A,0)),0)</f>
        <v>0</v>
      </c>
      <c r="F75" s="11">
        <f>Table219[[#This Row],[حسابهای دریافتنی]]+Table219[[#This Row],[چکهای در جریان وصول]]+Table219[[#This Row],[چکهای نزد صندوق]]</f>
        <v>-2592000</v>
      </c>
      <c r="G75" s="12">
        <f>IFERROR(INDEX('مانده سوفاله'!F:F,MATCH(Table219[[#This Row],[كد تفصيلي]],'مانده سوفاله'!A:A,0)),0)</f>
        <v>353</v>
      </c>
    </row>
    <row r="76" spans="1:7" ht="26.25" customHeight="1" x14ac:dyDescent="0.35">
      <c r="A76" s="26">
        <v>30027</v>
      </c>
      <c r="B76" s="68" t="s">
        <v>75</v>
      </c>
      <c r="C76" s="10">
        <f>IFERROR(INDEX('حسابهای دریافتنی'!H:H,MATCH(Table219[[#This Row],[كد تفصيلي]],'حسابهای دریافتنی'!A:A,0)),0)</f>
        <v>326950</v>
      </c>
      <c r="D76" s="11">
        <f>IFERROR(INDEX('درجریان وصول'!F:F,MATCH(Table219[[#This Row],[كد تفصيلي]],'درجریان وصول'!A:A,0)),0)</f>
        <v>0</v>
      </c>
      <c r="E76" s="11">
        <f>IFERROR(INDEX('چکهای دریافتنی'!F:F,MATCH(Table219[[#This Row],[كد تفصيلي]],'چکهای دریافتنی'!A:A,0)),0)</f>
        <v>0</v>
      </c>
      <c r="F76" s="11">
        <f>Table219[[#This Row],[حسابهای دریافتنی]]+Table219[[#This Row],[چکهای در جریان وصول]]+Table219[[#This Row],[چکهای نزد صندوق]]</f>
        <v>326950</v>
      </c>
      <c r="G76" s="12">
        <f>IFERROR(INDEX('مانده سوفاله'!F:F,MATCH(Table219[[#This Row],[كد تفصيلي]],'مانده سوفاله'!A:A,0)),0)</f>
        <v>0</v>
      </c>
    </row>
    <row r="77" spans="1:7" ht="26.25" customHeight="1" x14ac:dyDescent="0.35">
      <c r="A77" s="27">
        <v>10092</v>
      </c>
      <c r="B77" s="69" t="s">
        <v>260</v>
      </c>
      <c r="C77" s="10">
        <f>IFERROR(INDEX('حسابهای دریافتنی'!H:H,MATCH(Table219[[#This Row],[كد تفصيلي]],'حسابهای دریافتنی'!A:A,0)),0)</f>
        <v>-1749946500</v>
      </c>
      <c r="D77" s="11">
        <f>IFERROR(INDEX('درجریان وصول'!F:F,MATCH(Table219[[#This Row],[كد تفصيلي]],'درجریان وصول'!A:A,0)),0)</f>
        <v>0</v>
      </c>
      <c r="E77" s="11">
        <f>IFERROR(INDEX('چکهای دریافتنی'!F:F,MATCH(Table219[[#This Row],[كد تفصيلي]],'چکهای دریافتنی'!A:A,0)),0)</f>
        <v>300000000</v>
      </c>
      <c r="F77" s="11">
        <f>Table219[[#This Row],[حسابهای دریافتنی]]+Table219[[#This Row],[چکهای در جریان وصول]]+Table219[[#This Row],[چکهای نزد صندوق]]</f>
        <v>-1449946500</v>
      </c>
      <c r="G77" s="12">
        <f>IFERROR(INDEX('مانده سوفاله'!F:F,MATCH(Table219[[#This Row],[كد تفصيلي]],'مانده سوفاله'!A:A,0)),0)</f>
        <v>0</v>
      </c>
    </row>
    <row r="78" spans="1:7" ht="26.25" customHeight="1" x14ac:dyDescent="0.35">
      <c r="A78" s="27">
        <v>30135</v>
      </c>
      <c r="B78" s="69" t="s">
        <v>179</v>
      </c>
      <c r="C78" s="10">
        <f>IFERROR(INDEX('حسابهای دریافتنی'!H:H,MATCH(Table219[[#This Row],[كد تفصيلي]],'حسابهای دریافتنی'!A:A,0)),0)</f>
        <v>195000</v>
      </c>
      <c r="D78" s="11">
        <f>IFERROR(INDEX('درجریان وصول'!F:F,MATCH(Table219[[#This Row],[كد تفصيلي]],'درجریان وصول'!A:A,0)),0)</f>
        <v>0</v>
      </c>
      <c r="E78" s="11">
        <f>IFERROR(INDEX('چکهای دریافتنی'!F:F,MATCH(Table219[[#This Row],[كد تفصيلي]],'چکهای دریافتنی'!A:A,0)),0)</f>
        <v>0</v>
      </c>
      <c r="F78" s="11">
        <f>Table219[[#This Row],[حسابهای دریافتنی]]+Table219[[#This Row],[چکهای در جریان وصول]]+Table219[[#This Row],[چکهای نزد صندوق]]</f>
        <v>195000</v>
      </c>
      <c r="G78" s="12">
        <f>IFERROR(INDEX('مانده سوفاله'!F:F,MATCH(Table219[[#This Row],[كد تفصيلي]],'مانده سوفاله'!A:A,0)),0)</f>
        <v>-5</v>
      </c>
    </row>
    <row r="79" spans="1:7" ht="26.25" customHeight="1" x14ac:dyDescent="0.35">
      <c r="A79" s="27">
        <v>10088</v>
      </c>
      <c r="B79" s="69" t="s">
        <v>254</v>
      </c>
      <c r="C79" s="10">
        <f>IFERROR(INDEX('حسابهای دریافتنی'!H:H,MATCH(Table219[[#This Row],[كد تفصيلي]],'حسابهای دریافتنی'!A:A,0)),0)</f>
        <v>113500</v>
      </c>
      <c r="D79" s="11">
        <f>IFERROR(INDEX('درجریان وصول'!F:F,MATCH(Table219[[#This Row],[كد تفصيلي]],'درجریان وصول'!A:A,0)),0)</f>
        <v>0</v>
      </c>
      <c r="E79" s="11">
        <f>IFERROR(INDEX('چکهای دریافتنی'!F:F,MATCH(Table219[[#This Row],[كد تفصيلي]],'چکهای دریافتنی'!A:A,0)),0)</f>
        <v>0</v>
      </c>
      <c r="F79" s="11">
        <f>Table219[[#This Row],[حسابهای دریافتنی]]+Table219[[#This Row],[چکهای در جریان وصول]]+Table219[[#This Row],[چکهای نزد صندوق]]</f>
        <v>113500</v>
      </c>
      <c r="G79" s="12">
        <f>IFERROR(INDEX('مانده سوفاله'!F:F,MATCH(Table219[[#This Row],[كد تفصيلي]],'مانده سوفاله'!A:A,0)),0)</f>
        <v>0</v>
      </c>
    </row>
    <row r="80" spans="1:7" ht="26.25" customHeight="1" x14ac:dyDescent="0.35">
      <c r="A80" s="26">
        <v>30124</v>
      </c>
      <c r="B80" s="68" t="s">
        <v>246</v>
      </c>
      <c r="C80" s="10">
        <f>IFERROR(INDEX('حسابهای دریافتنی'!H:H,MATCH(Table219[[#This Row],[كد تفصيلي]],'حسابهای دریافتنی'!A:A,0)),0)</f>
        <v>0</v>
      </c>
      <c r="D80" s="11">
        <f>IFERROR(INDEX('درجریان وصول'!F:F,MATCH(Table219[[#This Row],[كد تفصيلي]],'درجریان وصول'!A:A,0)),0)</f>
        <v>0</v>
      </c>
      <c r="E80" s="11">
        <f>IFERROR(INDEX('چکهای دریافتنی'!F:F,MATCH(Table219[[#This Row],[كد تفصيلي]],'چکهای دریافتنی'!A:A,0)),0)</f>
        <v>505676000</v>
      </c>
      <c r="F80" s="11">
        <f>Table219[[#This Row],[حسابهای دریافتنی]]+Table219[[#This Row],[چکهای در جریان وصول]]+Table219[[#This Row],[چکهای نزد صندوق]]</f>
        <v>505676000</v>
      </c>
      <c r="G80" s="12">
        <f>IFERROR(INDEX('مانده سوفاله'!F:F,MATCH(Table219[[#This Row],[كد تفصيلي]],'مانده سوفاله'!A:A,0)),0)</f>
        <v>1498</v>
      </c>
    </row>
    <row r="81" spans="1:7" ht="26.25" customHeight="1" x14ac:dyDescent="0.35">
      <c r="A81" s="26">
        <v>30019</v>
      </c>
      <c r="B81" s="68" t="s">
        <v>67</v>
      </c>
      <c r="C81" s="10">
        <f>IFERROR(INDEX('حسابهای دریافتنی'!H:H,MATCH(Table219[[#This Row],[كد تفصيلي]],'حسابهای دریافتنی'!A:A,0)),0)</f>
        <v>823484840</v>
      </c>
      <c r="D81" s="11">
        <f>IFERROR(INDEX('درجریان وصول'!F:F,MATCH(Table219[[#This Row],[كد تفصيلي]],'درجریان وصول'!A:A,0)),0)</f>
        <v>0</v>
      </c>
      <c r="E81" s="11">
        <f>IFERROR(INDEX('چکهای دریافتنی'!F:F,MATCH(Table219[[#This Row],[كد تفصيلي]],'چکهای دریافتنی'!A:A,0)),0)</f>
        <v>0</v>
      </c>
      <c r="F81" s="11">
        <f>Table219[[#This Row],[حسابهای دریافتنی]]+Table219[[#This Row],[چکهای در جریان وصول]]+Table219[[#This Row],[چکهای نزد صندوق]]</f>
        <v>823484840</v>
      </c>
      <c r="G81" s="12">
        <f>IFERROR(INDEX('مانده سوفاله'!F:F,MATCH(Table219[[#This Row],[كد تفصيلي]],'مانده سوفاله'!A:A,0)),0)</f>
        <v>612</v>
      </c>
    </row>
    <row r="82" spans="1:7" ht="26.25" customHeight="1" x14ac:dyDescent="0.35">
      <c r="A82" s="27">
        <v>10048</v>
      </c>
      <c r="B82" s="69" t="s">
        <v>191</v>
      </c>
      <c r="C82" s="10">
        <f>IFERROR(INDEX('حسابهای دریافتنی'!H:H,MATCH(Table219[[#This Row],[كد تفصيلي]],'حسابهای دریافتنی'!A:A,0)),0)</f>
        <v>0</v>
      </c>
      <c r="D82" s="11">
        <f>IFERROR(INDEX('درجریان وصول'!F:F,MATCH(Table219[[#This Row],[كد تفصيلي]],'درجریان وصول'!A:A,0)),0)</f>
        <v>0</v>
      </c>
      <c r="E82" s="11">
        <f>IFERROR(INDEX('چکهای دریافتنی'!F:F,MATCH(Table219[[#This Row],[كد تفصيلي]],'چکهای دریافتنی'!A:A,0)),0)</f>
        <v>0</v>
      </c>
      <c r="F82" s="11">
        <f>Table219[[#This Row],[حسابهای دریافتنی]]+Table219[[#This Row],[چکهای در جریان وصول]]+Table219[[#This Row],[چکهای نزد صندوق]]</f>
        <v>0</v>
      </c>
      <c r="G82" s="12">
        <f>IFERROR(INDEX('مانده سوفاله'!F:F,MATCH(Table219[[#This Row],[كد تفصيلي]],'مانده سوفاله'!A:A,0)),0)</f>
        <v>-1097</v>
      </c>
    </row>
    <row r="83" spans="1:7" ht="26.25" customHeight="1" x14ac:dyDescent="0.35">
      <c r="A83" s="27">
        <v>10028</v>
      </c>
      <c r="B83" s="69" t="s">
        <v>34</v>
      </c>
      <c r="C83" s="10">
        <f>IFERROR(INDEX('حسابهای دریافتنی'!H:H,MATCH(Table219[[#This Row],[كد تفصيلي]],'حسابهای دریافتنی'!A:A,0)),0)</f>
        <v>0</v>
      </c>
      <c r="D83" s="11">
        <f>IFERROR(INDEX('درجریان وصول'!F:F,MATCH(Table219[[#This Row],[كد تفصيلي]],'درجریان وصول'!A:A,0)),0)</f>
        <v>0</v>
      </c>
      <c r="E83" s="11">
        <f>IFERROR(INDEX('چکهای دریافتنی'!F:F,MATCH(Table219[[#This Row],[كد تفصيلي]],'چکهای دریافتنی'!A:A,0)),0)</f>
        <v>0</v>
      </c>
      <c r="F83" s="11">
        <f>Table219[[#This Row],[حسابهای دریافتنی]]+Table219[[#This Row],[چکهای در جریان وصول]]+Table219[[#This Row],[چکهای نزد صندوق]]</f>
        <v>0</v>
      </c>
      <c r="G83" s="12">
        <f>IFERROR(INDEX('مانده سوفاله'!F:F,MATCH(Table219[[#This Row],[كد تفصيلي]],'مانده سوفاله'!A:A,0)),0)</f>
        <v>-398</v>
      </c>
    </row>
    <row r="84" spans="1:7" ht="26.25" customHeight="1" x14ac:dyDescent="0.35">
      <c r="A84" s="26">
        <v>30160</v>
      </c>
      <c r="B84" s="68" t="s">
        <v>296</v>
      </c>
      <c r="C84" s="10">
        <f>IFERROR(INDEX('حسابهای دریافتنی'!H:H,MATCH(Table219[[#This Row],[كد تفصيلي]],'حسابهای دریافتنی'!A:A,0)),0)</f>
        <v>0</v>
      </c>
      <c r="D84" s="11">
        <f>IFERROR(INDEX('درجریان وصول'!F:F,MATCH(Table219[[#This Row],[كد تفصيلي]],'درجریان وصول'!A:A,0)),0)</f>
        <v>0</v>
      </c>
      <c r="E84" s="11">
        <f>IFERROR(INDEX('چکهای دریافتنی'!F:F,MATCH(Table219[[#This Row],[كد تفصيلي]],'چکهای دریافتنی'!A:A,0)),0)</f>
        <v>0</v>
      </c>
      <c r="F84" s="11">
        <f>Table219[[#This Row],[حسابهای دریافتنی]]+Table219[[#This Row],[چکهای در جریان وصول]]+Table219[[#This Row],[چکهای نزد صندوق]]</f>
        <v>0</v>
      </c>
      <c r="G84" s="12">
        <f>IFERROR(INDEX('مانده سوفاله'!F:F,MATCH(Table219[[#This Row],[كد تفصيلي]],'مانده سوفاله'!A:A,0)),0)</f>
        <v>-425</v>
      </c>
    </row>
    <row r="85" spans="1:7" ht="26.25" customHeight="1" x14ac:dyDescent="0.35">
      <c r="A85" s="27">
        <v>79010</v>
      </c>
      <c r="B85" s="69" t="s">
        <v>176</v>
      </c>
      <c r="C85" s="10">
        <f>IFERROR(INDEX('حسابهای دریافتنی'!H:H,MATCH(Table219[[#This Row],[كد تفصيلي]],'حسابهای دریافتنی'!A:A,0)),0)</f>
        <v>0</v>
      </c>
      <c r="D85" s="11">
        <f>IFERROR(INDEX('درجریان وصول'!F:F,MATCH(Table219[[#This Row],[كد تفصيلي]],'درجریان وصول'!A:A,0)),0)</f>
        <v>0</v>
      </c>
      <c r="E85" s="11">
        <f>IFERROR(INDEX('چکهای دریافتنی'!F:F,MATCH(Table219[[#This Row],[كد تفصيلي]],'چکهای دریافتنی'!A:A,0)),0)</f>
        <v>0</v>
      </c>
      <c r="F85" s="11">
        <f>Table219[[#This Row],[حسابهای دریافتنی]]+Table219[[#This Row],[چکهای در جریان وصول]]+Table219[[#This Row],[چکهای نزد صندوق]]</f>
        <v>0</v>
      </c>
      <c r="G85" s="12">
        <f>IFERROR(INDEX('مانده سوفاله'!F:F,MATCH(Table219[[#This Row],[كد تفصيلي]],'مانده سوفاله'!A:A,0)),0)</f>
        <v>-110</v>
      </c>
    </row>
    <row r="86" spans="1:7" customFormat="1" ht="26.25" customHeight="1" x14ac:dyDescent="0.35">
      <c r="A86" s="54">
        <v>30079</v>
      </c>
      <c r="B86" s="69" t="s">
        <v>124</v>
      </c>
      <c r="C86" s="10">
        <f>IFERROR(INDEX('حسابهای دریافتنی'!H:H,MATCH(Table219[[#This Row],[كد تفصيلي]],'حسابهای دریافتنی'!A:A,0)),0)</f>
        <v>0</v>
      </c>
      <c r="D86" s="11">
        <f>IFERROR(INDEX('درجریان وصول'!F:F,MATCH(Table219[[#This Row],[كد تفصيلي]],'درجریان وصول'!A:A,0)),0)</f>
        <v>0</v>
      </c>
      <c r="E86" s="11">
        <f>IFERROR(INDEX('چکهای دریافتنی'!F:F,MATCH(Table219[[#This Row],[كد تفصيلي]],'چکهای دریافتنی'!A:A,0)),0)</f>
        <v>0</v>
      </c>
      <c r="F86" s="11">
        <f>Table219[[#This Row],[حسابهای دریافتنی]]+Table219[[#This Row],[چکهای در جریان وصول]]+Table219[[#This Row],[چکهای نزد صندوق]]</f>
        <v>0</v>
      </c>
      <c r="G86" s="12">
        <f>IFERROR(INDEX('مانده سوفاله'!F:F,MATCH(Table219[[#This Row],[كد تفصيلي]],'مانده سوفاله'!A:A,0)),0)</f>
        <v>-85</v>
      </c>
    </row>
    <row r="87" spans="1:7" customFormat="1" ht="26.25" customHeight="1" x14ac:dyDescent="0.35">
      <c r="A87" s="54">
        <v>30097</v>
      </c>
      <c r="B87" s="69" t="s">
        <v>188</v>
      </c>
      <c r="C87" s="10">
        <f>IFERROR(INDEX('حسابهای دریافتنی'!H:H,MATCH(Table219[[#This Row],[كد تفصيلي]],'حسابهای دریافتنی'!A:A,0)),0)</f>
        <v>0</v>
      </c>
      <c r="D87" s="11">
        <f>IFERROR(INDEX('درجریان وصول'!F:F,MATCH(Table219[[#This Row],[كد تفصيلي]],'درجریان وصول'!A:A,0)),0)</f>
        <v>0</v>
      </c>
      <c r="E87" s="11">
        <f>IFERROR(INDEX('چکهای دریافتنی'!F:F,MATCH(Table219[[#This Row],[كد تفصيلي]],'چکهای دریافتنی'!A:A,0)),0)</f>
        <v>0</v>
      </c>
      <c r="F87" s="11">
        <f>Table219[[#This Row],[حسابهای دریافتنی]]+Table219[[#This Row],[چکهای در جریان وصول]]+Table219[[#This Row],[چکهای نزد صندوق]]</f>
        <v>0</v>
      </c>
      <c r="G87" s="12">
        <f>IFERROR(INDEX('مانده سوفاله'!F:F,MATCH(Table219[[#This Row],[كد تفصيلي]],'مانده سوفاله'!A:A,0)),0)</f>
        <v>-82</v>
      </c>
    </row>
    <row r="88" spans="1:7" customFormat="1" ht="26.25" customHeight="1" x14ac:dyDescent="0.35">
      <c r="A88" s="54">
        <v>30141</v>
      </c>
      <c r="B88" s="69" t="s">
        <v>261</v>
      </c>
      <c r="C88" s="10">
        <f>IFERROR(INDEX('حسابهای دریافتنی'!H:H,MATCH(Table219[[#This Row],[كد تفصيلي]],'حسابهای دریافتنی'!A:A,0)),0)</f>
        <v>0</v>
      </c>
      <c r="D88" s="11">
        <f>IFERROR(INDEX('درجریان وصول'!F:F,MATCH(Table219[[#This Row],[كد تفصيلي]],'درجریان وصول'!A:A,0)),0)</f>
        <v>0</v>
      </c>
      <c r="E88" s="11">
        <f>IFERROR(INDEX('چکهای دریافتنی'!F:F,MATCH(Table219[[#This Row],[كد تفصيلي]],'چکهای دریافتنی'!A:A,0)),0)</f>
        <v>0</v>
      </c>
      <c r="F88" s="11">
        <f>Table219[[#This Row],[حسابهای دریافتنی]]+Table219[[#This Row],[چکهای در جریان وصول]]+Table219[[#This Row],[چکهای نزد صندوق]]</f>
        <v>0</v>
      </c>
      <c r="G88" s="12">
        <f>IFERROR(INDEX('مانده سوفاله'!F:F,MATCH(Table219[[#This Row],[كد تفصيلي]],'مانده سوفاله'!A:A,0)),0)</f>
        <v>-42</v>
      </c>
    </row>
    <row r="89" spans="1:7" ht="26.25" customHeight="1" x14ac:dyDescent="0.35">
      <c r="A89" s="53">
        <v>30118</v>
      </c>
      <c r="B89" s="68" t="s">
        <v>205</v>
      </c>
      <c r="C89" s="10">
        <f>IFERROR(INDEX('حسابهای دریافتنی'!H:H,MATCH(Table219[[#This Row],[كد تفصيلي]],'حسابهای دریافتنی'!A:A,0)),0)</f>
        <v>0</v>
      </c>
      <c r="D89" s="11">
        <f>IFERROR(INDEX('درجریان وصول'!F:F,MATCH(Table219[[#This Row],[كد تفصيلي]],'درجریان وصول'!A:A,0)),0)</f>
        <v>0</v>
      </c>
      <c r="E89" s="11">
        <f>IFERROR(INDEX('چکهای دریافتنی'!F:F,MATCH(Table219[[#This Row],[كد تفصيلي]],'چکهای دریافتنی'!A:A,0)),0)</f>
        <v>0</v>
      </c>
      <c r="F89" s="11">
        <f>Table219[[#This Row],[حسابهای دریافتنی]]+Table219[[#This Row],[چکهای در جریان وصول]]+Table219[[#This Row],[چکهای نزد صندوق]]</f>
        <v>0</v>
      </c>
      <c r="G89" s="12">
        <f>IFERROR(INDEX('مانده سوفاله'!F:F,MATCH(Table219[[#This Row],[كد تفصيلي]],'مانده سوفاله'!A:A,0)),0)</f>
        <v>-20</v>
      </c>
    </row>
    <row r="90" spans="1:7" ht="26.25" customHeight="1" x14ac:dyDescent="0.35">
      <c r="A90" s="27">
        <v>30031</v>
      </c>
      <c r="B90" s="69" t="s">
        <v>500</v>
      </c>
      <c r="C90" s="11">
        <f>IFERROR(INDEX('حسابهای دریافتنی'!H:H,MATCH(Table219[[#This Row],[كد تفصيلي]],'حسابهای دریافتنی'!A:A,0)),0)</f>
        <v>0</v>
      </c>
      <c r="D90" s="11">
        <f>IFERROR(INDEX('درجریان وصول'!F:F,MATCH(Table219[[#This Row],[كد تفصيلي]],'درجریان وصول'!A:A,0)),0)</f>
        <v>0</v>
      </c>
      <c r="E90" s="11">
        <f>IFERROR(INDEX('چکهای دریافتنی'!F:F,MATCH(Table219[[#This Row],[كد تفصيلي]],'چکهای دریافتنی'!A:A,0)),0)</f>
        <v>0</v>
      </c>
      <c r="F90" s="11">
        <f>Table219[[#This Row],[حسابهای دریافتنی]]+Table219[[#This Row],[چکهای در جریان وصول]]+Table219[[#This Row],[چکهای نزد صندوق]]</f>
        <v>0</v>
      </c>
      <c r="G90" s="12">
        <f>IFERROR(INDEX('مانده سوفاله'!F:F,MATCH(Table219[[#This Row],[كد تفصيلي]],'مانده سوفاله'!A:A,0)),0)</f>
        <v>-1</v>
      </c>
    </row>
    <row r="91" spans="1:7" ht="26.25" customHeight="1" x14ac:dyDescent="0.35">
      <c r="A91" s="27">
        <v>10076</v>
      </c>
      <c r="B91" s="69" t="s">
        <v>182</v>
      </c>
      <c r="C91" s="10">
        <f>IFERROR(INDEX('حسابهای دریافتنی'!H:H,MATCH(Table219[[#This Row],[كد تفصيلي]],'حسابهای دریافتنی'!A:A,0)),0)</f>
        <v>0</v>
      </c>
      <c r="D91" s="11">
        <f>IFERROR(INDEX('درجریان وصول'!F:F,MATCH(Table219[[#This Row],[كد تفصيلي]],'درجریان وصول'!A:A,0)),0)</f>
        <v>0</v>
      </c>
      <c r="E91" s="11">
        <f>IFERROR(INDEX('چکهای دریافتنی'!F:F,MATCH(Table219[[#This Row],[كد تفصيلي]],'چکهای دریافتنی'!A:A,0)),0)</f>
        <v>0</v>
      </c>
      <c r="F91" s="11">
        <f>Table219[[#This Row],[حسابهای دریافتنی]]+Table219[[#This Row],[چکهای در جریان وصول]]+Table219[[#This Row],[چکهای نزد صندوق]]</f>
        <v>0</v>
      </c>
      <c r="G91" s="12">
        <f>IFERROR(INDEX('مانده سوفاله'!F:F,MATCH(Table219[[#This Row],[كد تفصيلي]],'مانده سوفاله'!A:A,0)),0)</f>
        <v>-13</v>
      </c>
    </row>
    <row r="92" spans="1:7" ht="26.25" customHeight="1" x14ac:dyDescent="0.35">
      <c r="A92" s="26">
        <v>30062</v>
      </c>
      <c r="B92" s="68" t="s">
        <v>107</v>
      </c>
      <c r="C92" s="10">
        <f>IFERROR(INDEX('حسابهای دریافتنی'!H:H,MATCH(Table219[[#This Row],[كد تفصيلي]],'حسابهای دریافتنی'!A:A,0)),0)</f>
        <v>0</v>
      </c>
      <c r="D92" s="11">
        <f>IFERROR(INDEX('درجریان وصول'!F:F,MATCH(Table219[[#This Row],[كد تفصيلي]],'درجریان وصول'!A:A,0)),0)</f>
        <v>0</v>
      </c>
      <c r="E92" s="11">
        <f>IFERROR(INDEX('چکهای دریافتنی'!F:F,MATCH(Table219[[#This Row],[كد تفصيلي]],'چکهای دریافتنی'!A:A,0)),0)</f>
        <v>0</v>
      </c>
      <c r="F92" s="11">
        <f>Table219[[#This Row],[حسابهای دریافتنی]]+Table219[[#This Row],[چکهای در جریان وصول]]+Table219[[#This Row],[چکهای نزد صندوق]]</f>
        <v>0</v>
      </c>
      <c r="G92" s="12">
        <f>IFERROR(INDEX('مانده سوفاله'!F:F,MATCH(Table219[[#This Row],[كد تفصيلي]],'مانده سوفاله'!A:A,0)),0)</f>
        <v>1</v>
      </c>
    </row>
    <row r="93" spans="1:7" ht="26.25" customHeight="1" x14ac:dyDescent="0.35">
      <c r="A93" s="27">
        <v>30071</v>
      </c>
      <c r="B93" s="69" t="s">
        <v>116</v>
      </c>
      <c r="C93" s="10">
        <f>IFERROR(INDEX('حسابهای دریافتنی'!H:H,MATCH(Table219[[#This Row],[كد تفصيلي]],'حسابهای دریافتنی'!A:A,0)),0)</f>
        <v>0</v>
      </c>
      <c r="D93" s="11">
        <f>IFERROR(INDEX('درجریان وصول'!F:F,MATCH(Table219[[#This Row],[كد تفصيلي]],'درجریان وصول'!A:A,0)),0)</f>
        <v>0</v>
      </c>
      <c r="E93" s="11">
        <f>IFERROR(INDEX('چکهای دریافتنی'!F:F,MATCH(Table219[[#This Row],[كد تفصيلي]],'چکهای دریافتنی'!A:A,0)),0)</f>
        <v>0</v>
      </c>
      <c r="F93" s="11">
        <f>Table219[[#This Row],[حسابهای دریافتنی]]+Table219[[#This Row],[چکهای در جریان وصول]]+Table219[[#This Row],[چکهای نزد صندوق]]</f>
        <v>0</v>
      </c>
      <c r="G93" s="12">
        <f>IFERROR(INDEX('مانده سوفاله'!F:F,MATCH(Table219[[#This Row],[كد تفصيلي]],'مانده سوفاله'!A:A,0)),0)</f>
        <v>3</v>
      </c>
    </row>
    <row r="94" spans="1:7" ht="26.25" customHeight="1" x14ac:dyDescent="0.35">
      <c r="A94" s="26">
        <v>10039</v>
      </c>
      <c r="B94" s="68" t="s">
        <v>45</v>
      </c>
      <c r="C94" s="10">
        <f>IFERROR(INDEX('حسابهای دریافتنی'!H:H,MATCH(Table219[[#This Row],[كد تفصيلي]],'حسابهای دریافتنی'!A:A,0)),0)</f>
        <v>0</v>
      </c>
      <c r="D94" s="11">
        <f>IFERROR(INDEX('درجریان وصول'!F:F,MATCH(Table219[[#This Row],[كد تفصيلي]],'درجریان وصول'!A:A,0)),0)</f>
        <v>0</v>
      </c>
      <c r="E94" s="11">
        <f>IFERROR(INDEX('چکهای دریافتنی'!F:F,MATCH(Table219[[#This Row],[كد تفصيلي]],'چکهای دریافتنی'!A:A,0)),0)</f>
        <v>0</v>
      </c>
      <c r="F94" s="11">
        <f>Table219[[#This Row],[حسابهای دریافتنی]]+Table219[[#This Row],[چکهای در جریان وصول]]+Table219[[#This Row],[چکهای نزد صندوق]]</f>
        <v>0</v>
      </c>
      <c r="G94" s="12">
        <f>IFERROR(INDEX('مانده سوفاله'!F:F,MATCH(Table219[[#This Row],[كد تفصيلي]],'مانده سوفاله'!A:A,0)),0)</f>
        <v>4</v>
      </c>
    </row>
    <row r="95" spans="1:7" ht="26.25" customHeight="1" x14ac:dyDescent="0.35">
      <c r="A95" s="26">
        <v>10023</v>
      </c>
      <c r="B95" s="68" t="s">
        <v>155</v>
      </c>
      <c r="C95" s="10">
        <f>IFERROR(INDEX('حسابهای دریافتنی'!H:H,MATCH(Table219[[#This Row],[كد تفصيلي]],'حسابهای دریافتنی'!A:A,0)),0)</f>
        <v>0</v>
      </c>
      <c r="D95" s="11">
        <f>IFERROR(INDEX('درجریان وصول'!F:F,MATCH(Table219[[#This Row],[كد تفصيلي]],'درجریان وصول'!A:A,0)),0)</f>
        <v>0</v>
      </c>
      <c r="E95" s="11">
        <f>IFERROR(INDEX('چکهای دریافتنی'!F:F,MATCH(Table219[[#This Row],[كد تفصيلي]],'چکهای دریافتنی'!A:A,0)),0)</f>
        <v>0</v>
      </c>
      <c r="F95" s="11">
        <f>Table219[[#This Row],[حسابهای دریافتنی]]+Table219[[#This Row],[چکهای در جریان وصول]]+Table219[[#This Row],[چکهای نزد صندوق]]</f>
        <v>0</v>
      </c>
      <c r="G95" s="12">
        <f>IFERROR(INDEX('مانده سوفاله'!F:F,MATCH(Table219[[#This Row],[كد تفصيلي]],'مانده سوفاله'!A:A,0)),0)</f>
        <v>6</v>
      </c>
    </row>
    <row r="96" spans="1:7" ht="26.25" customHeight="1" x14ac:dyDescent="0.35">
      <c r="A96" s="27">
        <v>10010</v>
      </c>
      <c r="B96" s="69" t="s">
        <v>17</v>
      </c>
      <c r="C96" s="10">
        <f>IFERROR(INDEX('حسابهای دریافتنی'!H:H,MATCH(Table219[[#This Row],[كد تفصيلي]],'حسابهای دریافتنی'!A:A,0)),0)</f>
        <v>0</v>
      </c>
      <c r="D96" s="11">
        <f>IFERROR(INDEX('درجریان وصول'!F:F,MATCH(Table219[[#This Row],[كد تفصيلي]],'درجریان وصول'!A:A,0)),0)</f>
        <v>0</v>
      </c>
      <c r="E96" s="11">
        <f>IFERROR(INDEX('چکهای دریافتنی'!F:F,MATCH(Table219[[#This Row],[كد تفصيلي]],'چکهای دریافتنی'!A:A,0)),0)</f>
        <v>0</v>
      </c>
      <c r="F96" s="11">
        <f>Table219[[#This Row],[حسابهای دریافتنی]]+Table219[[#This Row],[چکهای در جریان وصول]]+Table219[[#This Row],[چکهای نزد صندوق]]</f>
        <v>0</v>
      </c>
      <c r="G96" s="12">
        <f>IFERROR(INDEX('مانده سوفاله'!F:F,MATCH(Table219[[#This Row],[كد تفصيلي]],'مانده سوفاله'!A:A,0)),0)</f>
        <v>8</v>
      </c>
    </row>
    <row r="97" spans="1:7" ht="26.25" customHeight="1" x14ac:dyDescent="0.35">
      <c r="A97" s="26">
        <v>30142</v>
      </c>
      <c r="B97" s="68" t="s">
        <v>263</v>
      </c>
      <c r="C97" s="10">
        <f>IFERROR(INDEX('حسابهای دریافتنی'!H:H,MATCH(Table219[[#This Row],[كد تفصيلي]],'حسابهای دریافتنی'!A:A,0)),0)</f>
        <v>0</v>
      </c>
      <c r="D97" s="11">
        <f>IFERROR(INDEX('درجریان وصول'!F:F,MATCH(Table219[[#This Row],[كد تفصيلي]],'درجریان وصول'!A:A,0)),0)</f>
        <v>0</v>
      </c>
      <c r="E97" s="11">
        <f>IFERROR(INDEX('چکهای دریافتنی'!F:F,MATCH(Table219[[#This Row],[كد تفصيلي]],'چکهای دریافتنی'!A:A,0)),0)</f>
        <v>0</v>
      </c>
      <c r="F97" s="11">
        <f>Table219[[#This Row],[حسابهای دریافتنی]]+Table219[[#This Row],[چکهای در جریان وصول]]+Table219[[#This Row],[چکهای نزد صندوق]]</f>
        <v>0</v>
      </c>
      <c r="G97" s="12">
        <f>IFERROR(INDEX('مانده سوفاله'!F:F,MATCH(Table219[[#This Row],[كد تفصيلي]],'مانده سوفاله'!A:A,0)),0)</f>
        <v>13</v>
      </c>
    </row>
    <row r="98" spans="1:7" ht="26.25" customHeight="1" x14ac:dyDescent="0.35">
      <c r="A98" s="27">
        <v>30065</v>
      </c>
      <c r="B98" s="69" t="s">
        <v>110</v>
      </c>
      <c r="C98" s="10">
        <f>IFERROR(INDEX('حسابهای دریافتنی'!H:H,MATCH(Table219[[#This Row],[كد تفصيلي]],'حسابهای دریافتنی'!A:A,0)),0)</f>
        <v>0</v>
      </c>
      <c r="D98" s="11">
        <f>IFERROR(INDEX('درجریان وصول'!F:F,MATCH(Table219[[#This Row],[كد تفصيلي]],'درجریان وصول'!A:A,0)),0)</f>
        <v>0</v>
      </c>
      <c r="E98" s="11">
        <f>IFERROR(INDEX('چکهای دریافتنی'!F:F,MATCH(Table219[[#This Row],[كد تفصيلي]],'چکهای دریافتنی'!A:A,0)),0)</f>
        <v>0</v>
      </c>
      <c r="F98" s="11">
        <f>Table219[[#This Row],[حسابهای دریافتنی]]+Table219[[#This Row],[چکهای در جریان وصول]]+Table219[[#This Row],[چکهای نزد صندوق]]</f>
        <v>0</v>
      </c>
      <c r="G98" s="12">
        <f>IFERROR(INDEX('مانده سوفاله'!F:F,MATCH(Table219[[#This Row],[كد تفصيلي]],'مانده سوفاله'!A:A,0)),0)</f>
        <v>33</v>
      </c>
    </row>
    <row r="99" spans="1:7" ht="26.25" customHeight="1" x14ac:dyDescent="0.35">
      <c r="A99" s="27">
        <v>10046</v>
      </c>
      <c r="B99" s="69" t="s">
        <v>51</v>
      </c>
      <c r="C99" s="10">
        <f>IFERROR(INDEX('حسابهای دریافتنی'!H:H,MATCH(Table219[[#This Row],[كد تفصيلي]],'حسابهای دریافتنی'!A:A,0)),0)</f>
        <v>0</v>
      </c>
      <c r="D99" s="11">
        <f>IFERROR(INDEX('درجریان وصول'!F:F,MATCH(Table219[[#This Row],[كد تفصيلي]],'درجریان وصول'!A:A,0)),0)</f>
        <v>0</v>
      </c>
      <c r="E99" s="11">
        <f>IFERROR(INDEX('چکهای دریافتنی'!F:F,MATCH(Table219[[#This Row],[كد تفصيلي]],'چکهای دریافتنی'!A:A,0)),0)</f>
        <v>0</v>
      </c>
      <c r="F99" s="11">
        <f>Table219[[#This Row],[حسابهای دریافتنی]]+Table219[[#This Row],[چکهای در جریان وصول]]+Table219[[#This Row],[چکهای نزد صندوق]]</f>
        <v>0</v>
      </c>
      <c r="G99" s="12">
        <f>IFERROR(INDEX('مانده سوفاله'!F:F,MATCH(Table219[[#This Row],[كد تفصيلي]],'مانده سوفاله'!A:A,0)),0)</f>
        <v>118</v>
      </c>
    </row>
    <row r="100" spans="1:7" ht="26.25" customHeight="1" x14ac:dyDescent="0.35">
      <c r="A100" s="26">
        <v>10065</v>
      </c>
      <c r="B100" s="68" t="s">
        <v>228</v>
      </c>
      <c r="C100" s="10">
        <f>IFERROR(INDEX('حسابهای دریافتنی'!H:H,MATCH(Table219[[#This Row],[كد تفصيلي]],'حسابهای دریافتنی'!A:A,0)),0)</f>
        <v>0</v>
      </c>
      <c r="D100" s="11">
        <f>IFERROR(INDEX('درجریان وصول'!F:F,MATCH(Table219[[#This Row],[كد تفصيلي]],'درجریان وصول'!A:A,0)),0)</f>
        <v>0</v>
      </c>
      <c r="E100" s="11">
        <f>IFERROR(INDEX('چکهای دریافتنی'!F:F,MATCH(Table219[[#This Row],[كد تفصيلي]],'چکهای دریافتنی'!A:A,0)),0)</f>
        <v>0</v>
      </c>
      <c r="F100" s="11">
        <f>Table219[[#This Row],[حسابهای دریافتنی]]+Table219[[#This Row],[چکهای در جریان وصول]]+Table219[[#This Row],[چکهای نزد صندوق]]</f>
        <v>0</v>
      </c>
      <c r="G100" s="12">
        <f>IFERROR(INDEX('مانده سوفاله'!F:F,MATCH(Table219[[#This Row],[كد تفصيلي]],'مانده سوفاله'!A:A,0)),0)</f>
        <v>127</v>
      </c>
    </row>
    <row r="101" spans="1:7" ht="26.25" customHeight="1" x14ac:dyDescent="0.35">
      <c r="A101" s="26">
        <v>10069</v>
      </c>
      <c r="B101" s="68" t="s">
        <v>204</v>
      </c>
      <c r="C101" s="10">
        <f>IFERROR(INDEX('حسابهای دریافتنی'!H:H,MATCH(Table219[[#This Row],[كد تفصيلي]],'حسابهای دریافتنی'!A:A,0)),0)</f>
        <v>952500</v>
      </c>
      <c r="D101" s="11">
        <f>IFERROR(INDEX('درجریان وصول'!F:F,MATCH(Table219[[#This Row],[كد تفصيلي]],'درجریان وصول'!A:A,0)),0)</f>
        <v>0</v>
      </c>
      <c r="E101" s="11">
        <f>IFERROR(INDEX('چکهای دریافتنی'!F:F,MATCH(Table219[[#This Row],[كد تفصيلي]],'چکهای دریافتنی'!A:A,0)),0)</f>
        <v>73000000</v>
      </c>
      <c r="F101" s="11">
        <f>Table219[[#This Row],[حسابهای دریافتنی]]+Table219[[#This Row],[چکهای در جریان وصول]]+Table219[[#This Row],[چکهای نزد صندوق]]</f>
        <v>73952500</v>
      </c>
      <c r="G101" s="12">
        <f>IFERROR(INDEX('مانده سوفاله'!F:F,MATCH(Table219[[#This Row],[كد تفصيلي]],'مانده سوفاله'!A:A,0)),0)</f>
        <v>339</v>
      </c>
    </row>
    <row r="102" spans="1:7" ht="26.25" customHeight="1" x14ac:dyDescent="0.35">
      <c r="A102" s="26">
        <v>30174</v>
      </c>
      <c r="B102" s="68" t="s">
        <v>327</v>
      </c>
      <c r="C102" s="10">
        <f>IFERROR(INDEX('حسابهای دریافتنی'!H:H,MATCH(Table219[[#This Row],[كد تفصيلي]],'حسابهای دریافتنی'!A:A,0)),0)</f>
        <v>-5000</v>
      </c>
      <c r="D102" s="11">
        <f>IFERROR(INDEX('درجریان وصول'!F:F,MATCH(Table219[[#This Row],[كد تفصيلي]],'درجریان وصول'!A:A,0)),0)</f>
        <v>0</v>
      </c>
      <c r="E102" s="11">
        <f>IFERROR(INDEX('چکهای دریافتنی'!F:F,MATCH(Table219[[#This Row],[كد تفصيلي]],'چکهای دریافتنی'!A:A,0)),0)</f>
        <v>0</v>
      </c>
      <c r="F102" s="11">
        <f>Table219[[#This Row],[حسابهای دریافتنی]]+Table219[[#This Row],[چکهای در جریان وصول]]+Table219[[#This Row],[چکهای نزد صندوق]]</f>
        <v>-5000</v>
      </c>
      <c r="G102" s="12">
        <f>IFERROR(INDEX('مانده سوفاله'!F:F,MATCH(Table219[[#This Row],[كد تفصيلي]],'مانده سوفاله'!A:A,0)),0)</f>
        <v>0</v>
      </c>
    </row>
    <row r="103" spans="1:7" ht="26.25" customHeight="1" x14ac:dyDescent="0.35">
      <c r="A103" s="26">
        <v>30195</v>
      </c>
      <c r="B103" s="68" t="s">
        <v>477</v>
      </c>
      <c r="C103" s="10">
        <f>IFERROR(INDEX('حسابهای دریافتنی'!H:H,MATCH(Table219[[#This Row],[كد تفصيلي]],'حسابهای دریافتنی'!A:A,0)),0)</f>
        <v>-1861000</v>
      </c>
      <c r="D103" s="11">
        <f>IFERROR(INDEX('درجریان وصول'!F:F,MATCH(Table219[[#This Row],[كد تفصيلي]],'درجریان وصول'!A:A,0)),0)</f>
        <v>0</v>
      </c>
      <c r="E103" s="11">
        <f>IFERROR(INDEX('چکهای دریافتنی'!F:F,MATCH(Table219[[#This Row],[كد تفصيلي]],'چکهای دریافتنی'!A:A,0)),0)</f>
        <v>0</v>
      </c>
      <c r="F103" s="11">
        <f>Table219[[#This Row],[حسابهای دریافتنی]]+Table219[[#This Row],[چکهای در جریان وصول]]+Table219[[#This Row],[چکهای نزد صندوق]]</f>
        <v>-1861000</v>
      </c>
      <c r="G103" s="12">
        <f>IFERROR(INDEX('مانده سوفاله'!F:F,MATCH(Table219[[#This Row],[كد تفصيلي]],'مانده سوفاله'!A:A,0)),0)</f>
        <v>0</v>
      </c>
    </row>
    <row r="104" spans="1:7" ht="26.25" customHeight="1" x14ac:dyDescent="0.35">
      <c r="A104" s="27">
        <v>30026</v>
      </c>
      <c r="B104" s="69" t="s">
        <v>74</v>
      </c>
      <c r="C104" s="10">
        <f>IFERROR(INDEX('حسابهای دریافتنی'!H:H,MATCH(Table219[[#This Row],[كد تفصيلي]],'حسابهای دریافتنی'!A:A,0)),0)</f>
        <v>5689439</v>
      </c>
      <c r="D104" s="11">
        <f>IFERROR(INDEX('درجریان وصول'!F:F,MATCH(Table219[[#This Row],[كد تفصيلي]],'درجریان وصول'!A:A,0)),0)</f>
        <v>0</v>
      </c>
      <c r="E104" s="11">
        <f>IFERROR(INDEX('چکهای دریافتنی'!F:F,MATCH(Table219[[#This Row],[كد تفصيلي]],'چکهای دریافتنی'!A:A,0)),0)</f>
        <v>0</v>
      </c>
      <c r="F104" s="11">
        <f>Table219[[#This Row],[حسابهای دریافتنی]]+Table219[[#This Row],[چکهای در جریان وصول]]+Table219[[#This Row],[چکهای نزد صندوق]]</f>
        <v>5689439</v>
      </c>
      <c r="G104" s="12">
        <f>IFERROR(INDEX('مانده سوفاله'!F:F,MATCH(Table219[[#This Row],[كد تفصيلي]],'مانده سوفاله'!A:A,0)),0)</f>
        <v>764</v>
      </c>
    </row>
    <row r="105" spans="1:7" ht="26.25" customHeight="1" x14ac:dyDescent="0.35">
      <c r="A105" s="26">
        <v>30164</v>
      </c>
      <c r="B105" s="68" t="s">
        <v>304</v>
      </c>
      <c r="C105" s="10">
        <f>IFERROR(INDEX('حسابهای دریافتنی'!H:H,MATCH(Table219[[#This Row],[كد تفصيلي]],'حسابهای دریافتنی'!A:A,0)),0)</f>
        <v>184944000</v>
      </c>
      <c r="D105" s="11">
        <f>IFERROR(INDEX('درجریان وصول'!F:F,MATCH(Table219[[#This Row],[كد تفصيلي]],'درجریان وصول'!A:A,0)),0)</f>
        <v>0</v>
      </c>
      <c r="E105" s="11">
        <f>IFERROR(INDEX('چکهای دریافتنی'!F:F,MATCH(Table219[[#This Row],[كد تفصيلي]],'چکهای دریافتنی'!A:A,0)),0)</f>
        <v>0</v>
      </c>
      <c r="F105" s="11">
        <f>Table219[[#This Row],[حسابهای دریافتنی]]+Table219[[#This Row],[چکهای در جریان وصول]]+Table219[[#This Row],[چکهای نزد صندوق]]</f>
        <v>184944000</v>
      </c>
      <c r="G105" s="12">
        <f>IFERROR(INDEX('مانده سوفاله'!F:F,MATCH(Table219[[#This Row],[كد تفصيلي]],'مانده سوفاله'!A:A,0)),0)</f>
        <v>561</v>
      </c>
    </row>
    <row r="106" spans="1:7" ht="26.25" customHeight="1" x14ac:dyDescent="0.35">
      <c r="A106" s="27">
        <v>10109</v>
      </c>
      <c r="B106" s="69" t="s">
        <v>303</v>
      </c>
      <c r="C106" s="10">
        <f>IFERROR(INDEX('حسابهای دریافتنی'!H:H,MATCH(Table219[[#This Row],[كد تفصيلي]],'حسابهای دریافتنی'!A:A,0)),0)</f>
        <v>-1124737000</v>
      </c>
      <c r="D106" s="11">
        <f>IFERROR(INDEX('درجریان وصول'!F:F,MATCH(Table219[[#This Row],[كد تفصيلي]],'درجریان وصول'!A:A,0)),0)</f>
        <v>0</v>
      </c>
      <c r="E106" s="11">
        <f>IFERROR(INDEX('چکهای دریافتنی'!F:F,MATCH(Table219[[#This Row],[كد تفصيلي]],'چکهای دریافتنی'!A:A,0)),0)</f>
        <v>0</v>
      </c>
      <c r="F106" s="11">
        <f>Table219[[#This Row],[حسابهای دریافتنی]]+Table219[[#This Row],[چکهای در جریان وصول]]+Table219[[#This Row],[چکهای نزد صندوق]]</f>
        <v>-1124737000</v>
      </c>
      <c r="G106" s="12">
        <f>IFERROR(INDEX('مانده سوفاله'!F:F,MATCH(Table219[[#This Row],[كد تفصيلي]],'مانده سوفاله'!A:A,0)),0)</f>
        <v>-241</v>
      </c>
    </row>
    <row r="107" spans="1:7" ht="26.25" customHeight="1" x14ac:dyDescent="0.35">
      <c r="A107" s="26">
        <v>30021</v>
      </c>
      <c r="B107" s="68" t="s">
        <v>69</v>
      </c>
      <c r="C107" s="10">
        <f>IFERROR(INDEX('حسابهای دریافتنی'!H:H,MATCH(Table219[[#This Row],[كد تفصيلي]],'حسابهای دریافتنی'!A:A,0)),0)</f>
        <v>-122000</v>
      </c>
      <c r="D107" s="11">
        <f>IFERROR(INDEX('درجریان وصول'!F:F,MATCH(Table219[[#This Row],[كد تفصيلي]],'درجریان وصول'!A:A,0)),0)</f>
        <v>0</v>
      </c>
      <c r="E107" s="11">
        <f>IFERROR(INDEX('چکهای دریافتنی'!F:F,MATCH(Table219[[#This Row],[كد تفصيلي]],'چکهای دریافتنی'!A:A,0)),0)</f>
        <v>0</v>
      </c>
      <c r="F107" s="11">
        <f>Table219[[#This Row],[حسابهای دریافتنی]]+Table219[[#This Row],[چکهای در جریان وصول]]+Table219[[#This Row],[چکهای نزد صندوق]]</f>
        <v>-122000</v>
      </c>
      <c r="G107" s="12">
        <f>IFERROR(INDEX('مانده سوفاله'!F:F,MATCH(Table219[[#This Row],[كد تفصيلي]],'مانده سوفاله'!A:A,0)),0)</f>
        <v>0</v>
      </c>
    </row>
    <row r="108" spans="1:7" ht="26.25" customHeight="1" x14ac:dyDescent="0.35">
      <c r="A108" s="27">
        <v>10066</v>
      </c>
      <c r="B108" s="69" t="s">
        <v>262</v>
      </c>
      <c r="C108" s="10">
        <f>IFERROR(INDEX('حسابهای دریافتنی'!H:H,MATCH(Table219[[#This Row],[كد تفصيلي]],'حسابهای دریافتنی'!A:A,0)),0)</f>
        <v>-191500</v>
      </c>
      <c r="D108" s="11">
        <f>IFERROR(INDEX('درجریان وصول'!F:F,MATCH(Table219[[#This Row],[كد تفصيلي]],'درجریان وصول'!A:A,0)),0)</f>
        <v>0</v>
      </c>
      <c r="E108" s="11">
        <f>IFERROR(INDEX('چکهای دریافتنی'!F:F,MATCH(Table219[[#This Row],[كد تفصيلي]],'چکهای دریافتنی'!A:A,0)),0)</f>
        <v>0</v>
      </c>
      <c r="F108" s="11">
        <f>Table219[[#This Row],[حسابهای دریافتنی]]+Table219[[#This Row],[چکهای در جریان وصول]]+Table219[[#This Row],[چکهای نزد صندوق]]</f>
        <v>-191500</v>
      </c>
      <c r="G108" s="12">
        <f>IFERROR(INDEX('مانده سوفاله'!F:F,MATCH(Table219[[#This Row],[كد تفصيلي]],'مانده سوفاله'!A:A,0)),0)</f>
        <v>2</v>
      </c>
    </row>
    <row r="109" spans="1:7" ht="26.25" customHeight="1" x14ac:dyDescent="0.35">
      <c r="A109" s="27">
        <v>30167</v>
      </c>
      <c r="B109" s="69" t="s">
        <v>311</v>
      </c>
      <c r="C109" s="10">
        <f>IFERROR(INDEX('حسابهای دریافتنی'!H:H,MATCH(Table219[[#This Row],[كد تفصيلي]],'حسابهای دریافتنی'!A:A,0)),0)</f>
        <v>-221000</v>
      </c>
      <c r="D109" s="11">
        <f>IFERROR(INDEX('درجریان وصول'!F:F,MATCH(Table219[[#This Row],[كد تفصيلي]],'درجریان وصول'!A:A,0)),0)</f>
        <v>0</v>
      </c>
      <c r="E109" s="11">
        <f>IFERROR(INDEX('چکهای دریافتنی'!F:F,MATCH(Table219[[#This Row],[كد تفصيلي]],'چکهای دریافتنی'!A:A,0)),0)</f>
        <v>0</v>
      </c>
      <c r="F109" s="11">
        <f>Table219[[#This Row],[حسابهای دریافتنی]]+Table219[[#This Row],[چکهای در جریان وصول]]+Table219[[#This Row],[چکهای نزد صندوق]]</f>
        <v>-221000</v>
      </c>
      <c r="G109" s="12">
        <f>IFERROR(INDEX('مانده سوفاله'!F:F,MATCH(Table219[[#This Row],[كد تفصيلي]],'مانده سوفاله'!A:A,0)),0)</f>
        <v>6</v>
      </c>
    </row>
    <row r="110" spans="1:7" ht="26.25" customHeight="1" x14ac:dyDescent="0.35">
      <c r="A110" s="26">
        <v>10077</v>
      </c>
      <c r="B110" s="68" t="s">
        <v>210</v>
      </c>
      <c r="C110" s="10">
        <f>IFERROR(INDEX('حسابهای دریافتنی'!H:H,MATCH(Table219[[#This Row],[كد تفصيلي]],'حسابهای دریافتنی'!A:A,0)),0)</f>
        <v>-238500</v>
      </c>
      <c r="D110" s="11">
        <f>IFERROR(INDEX('درجریان وصول'!F:F,MATCH(Table219[[#This Row],[كد تفصيلي]],'درجریان وصول'!A:A,0)),0)</f>
        <v>0</v>
      </c>
      <c r="E110" s="11">
        <f>IFERROR(INDEX('چکهای دریافتنی'!F:F,MATCH(Table219[[#This Row],[كد تفصيلي]],'چکهای دریافتنی'!A:A,0)),0)</f>
        <v>0</v>
      </c>
      <c r="F110" s="11">
        <f>Table219[[#This Row],[حسابهای دریافتنی]]+Table219[[#This Row],[چکهای در جریان وصول]]+Table219[[#This Row],[چکهای نزد صندوق]]</f>
        <v>-238500</v>
      </c>
      <c r="G110" s="12">
        <f>IFERROR(INDEX('مانده سوفاله'!F:F,MATCH(Table219[[#This Row],[كد تفصيلي]],'مانده سوفاله'!A:A,0)),0)</f>
        <v>0</v>
      </c>
    </row>
    <row r="111" spans="1:7" ht="26.25" customHeight="1" x14ac:dyDescent="0.35">
      <c r="A111" s="27">
        <v>10012</v>
      </c>
      <c r="B111" s="69" t="s">
        <v>19</v>
      </c>
      <c r="C111" s="10">
        <f>IFERROR(INDEX('حسابهای دریافتنی'!H:H,MATCH(Table219[[#This Row],[كد تفصيلي]],'حسابهای دریافتنی'!A:A,0)),0)</f>
        <v>-244000</v>
      </c>
      <c r="D111" s="11">
        <f>IFERROR(INDEX('درجریان وصول'!F:F,MATCH(Table219[[#This Row],[كد تفصيلي]],'درجریان وصول'!A:A,0)),0)</f>
        <v>0</v>
      </c>
      <c r="E111" s="11">
        <f>IFERROR(INDEX('چکهای دریافتنی'!F:F,MATCH(Table219[[#This Row],[كد تفصيلي]],'چکهای دریافتنی'!A:A,0)),0)</f>
        <v>0</v>
      </c>
      <c r="F111" s="11">
        <f>Table219[[#This Row],[حسابهای دریافتنی]]+Table219[[#This Row],[چکهای در جریان وصول]]+Table219[[#This Row],[چکهای نزد صندوق]]</f>
        <v>-244000</v>
      </c>
      <c r="G111" s="12">
        <f>IFERROR(INDEX('مانده سوفاله'!F:F,MATCH(Table219[[#This Row],[كد تفصيلي]],'مانده سوفاله'!A:A,0)),0)</f>
        <v>0</v>
      </c>
    </row>
    <row r="112" spans="1:7" ht="26.25" customHeight="1" x14ac:dyDescent="0.35">
      <c r="A112" s="26">
        <v>30088</v>
      </c>
      <c r="B112" s="68" t="s">
        <v>142</v>
      </c>
      <c r="C112" s="10">
        <f>IFERROR(INDEX('حسابهای دریافتنی'!H:H,MATCH(Table219[[#This Row],[كد تفصيلي]],'حسابهای دریافتنی'!A:A,0)),0)</f>
        <v>-252000</v>
      </c>
      <c r="D112" s="11">
        <f>IFERROR(INDEX('درجریان وصول'!F:F,MATCH(Table219[[#This Row],[كد تفصيلي]],'درجریان وصول'!A:A,0)),0)</f>
        <v>0</v>
      </c>
      <c r="E112" s="11">
        <f>IFERROR(INDEX('چکهای دریافتنی'!F:F,MATCH(Table219[[#This Row],[كد تفصيلي]],'چکهای دریافتنی'!A:A,0)),0)</f>
        <v>0</v>
      </c>
      <c r="F112" s="11">
        <f>Table219[[#This Row],[حسابهای دریافتنی]]+Table219[[#This Row],[چکهای در جریان وصول]]+Table219[[#This Row],[چکهای نزد صندوق]]</f>
        <v>-252000</v>
      </c>
      <c r="G112" s="12">
        <f>IFERROR(INDEX('مانده سوفاله'!F:F,MATCH(Table219[[#This Row],[كد تفصيلي]],'مانده سوفاله'!A:A,0)),0)</f>
        <v>0</v>
      </c>
    </row>
    <row r="113" spans="1:7" ht="26.25" customHeight="1" x14ac:dyDescent="0.35">
      <c r="A113" s="26">
        <v>10045</v>
      </c>
      <c r="B113" s="68" t="s">
        <v>50</v>
      </c>
      <c r="C113" s="10">
        <f>IFERROR(INDEX('حسابهای دریافتنی'!H:H,MATCH(Table219[[#This Row],[كد تفصيلي]],'حسابهای دریافتنی'!A:A,0)),0)</f>
        <v>-383000</v>
      </c>
      <c r="D113" s="11">
        <f>IFERROR(INDEX('درجریان وصول'!F:F,MATCH(Table219[[#This Row],[كد تفصيلي]],'درجریان وصول'!A:A,0)),0)</f>
        <v>0</v>
      </c>
      <c r="E113" s="11">
        <f>IFERROR(INDEX('چکهای دریافتنی'!F:F,MATCH(Table219[[#This Row],[كد تفصيلي]],'چکهای دریافتنی'!A:A,0)),0)</f>
        <v>0</v>
      </c>
      <c r="F113" s="11">
        <f>Table219[[#This Row],[حسابهای دریافتنی]]+Table219[[#This Row],[چکهای در جریان وصول]]+Table219[[#This Row],[چکهای نزد صندوق]]</f>
        <v>-383000</v>
      </c>
      <c r="G113" s="12">
        <f>IFERROR(INDEX('مانده سوفاله'!F:F,MATCH(Table219[[#This Row],[كد تفصيلي]],'مانده سوفاله'!A:A,0)),0)</f>
        <v>-30</v>
      </c>
    </row>
    <row r="114" spans="1:7" ht="26.25" customHeight="1" x14ac:dyDescent="0.35">
      <c r="A114" s="26">
        <v>30051</v>
      </c>
      <c r="B114" s="68" t="s">
        <v>98</v>
      </c>
      <c r="C114" s="10">
        <f>IFERROR(INDEX('حسابهای دریافتنی'!H:H,MATCH(Table219[[#This Row],[كد تفصيلي]],'حسابهای دریافتنی'!A:A,0)),0)</f>
        <v>-384000</v>
      </c>
      <c r="D114" s="11">
        <f>IFERROR(INDEX('درجریان وصول'!F:F,MATCH(Table219[[#This Row],[كد تفصيلي]],'درجریان وصول'!A:A,0)),0)</f>
        <v>0</v>
      </c>
      <c r="E114" s="11">
        <f>IFERROR(INDEX('چکهای دریافتنی'!F:F,MATCH(Table219[[#This Row],[كد تفصيلي]],'چکهای دریافتنی'!A:A,0)),0)</f>
        <v>0</v>
      </c>
      <c r="F114" s="11">
        <f>Table219[[#This Row],[حسابهای دریافتنی]]+Table219[[#This Row],[چکهای در جریان وصول]]+Table219[[#This Row],[چکهای نزد صندوق]]</f>
        <v>-384000</v>
      </c>
      <c r="G114" s="12">
        <f>IFERROR(INDEX('مانده سوفاله'!F:F,MATCH(Table219[[#This Row],[كد تفصيلي]],'مانده سوفاله'!A:A,0)),0)</f>
        <v>0</v>
      </c>
    </row>
    <row r="115" spans="1:7" ht="26.25" customHeight="1" x14ac:dyDescent="0.35">
      <c r="A115" s="27">
        <v>30044</v>
      </c>
      <c r="B115" s="69" t="s">
        <v>91</v>
      </c>
      <c r="C115" s="10">
        <f>IFERROR(INDEX('حسابهای دریافتنی'!H:H,MATCH(Table219[[#This Row],[كد تفصيلي]],'حسابهای دریافتنی'!A:A,0)),0)</f>
        <v>-492500</v>
      </c>
      <c r="D115" s="11">
        <f>IFERROR(INDEX('درجریان وصول'!F:F,MATCH(Table219[[#This Row],[كد تفصيلي]],'درجریان وصول'!A:A,0)),0)</f>
        <v>0</v>
      </c>
      <c r="E115" s="11">
        <f>IFERROR(INDEX('چکهای دریافتنی'!F:F,MATCH(Table219[[#This Row],[كد تفصيلي]],'چکهای دریافتنی'!A:A,0)),0)</f>
        <v>0</v>
      </c>
      <c r="F115" s="11">
        <f>Table219[[#This Row],[حسابهای دریافتنی]]+Table219[[#This Row],[چکهای در جریان وصول]]+Table219[[#This Row],[چکهای نزد صندوق]]</f>
        <v>-492500</v>
      </c>
      <c r="G115" s="12">
        <f>IFERROR(INDEX('مانده سوفاله'!F:F,MATCH(Table219[[#This Row],[كد تفصيلي]],'مانده سوفاله'!A:A,0)),0)</f>
        <v>2</v>
      </c>
    </row>
    <row r="116" spans="1:7" ht="26.25" customHeight="1" x14ac:dyDescent="0.35">
      <c r="A116" s="26">
        <v>10095</v>
      </c>
      <c r="B116" s="68" t="s">
        <v>268</v>
      </c>
      <c r="C116" s="10">
        <f>IFERROR(INDEX('حسابهای دریافتنی'!H:H,MATCH(Table219[[#This Row],[كد تفصيلي]],'حسابهای دریافتنی'!A:A,0)),0)</f>
        <v>-496500</v>
      </c>
      <c r="D116" s="11">
        <f>IFERROR(INDEX('درجریان وصول'!F:F,MATCH(Table219[[#This Row],[كد تفصيلي]],'درجریان وصول'!A:A,0)),0)</f>
        <v>0</v>
      </c>
      <c r="E116" s="11">
        <f>IFERROR(INDEX('چکهای دریافتنی'!F:F,MATCH(Table219[[#This Row],[كد تفصيلي]],'چکهای دریافتنی'!A:A,0)),0)</f>
        <v>0</v>
      </c>
      <c r="F116" s="11">
        <f>Table219[[#This Row],[حسابهای دریافتنی]]+Table219[[#This Row],[چکهای در جریان وصول]]+Table219[[#This Row],[چکهای نزد صندوق]]</f>
        <v>-496500</v>
      </c>
      <c r="G116" s="12">
        <f>IFERROR(INDEX('مانده سوفاله'!F:F,MATCH(Table219[[#This Row],[كد تفصيلي]],'مانده سوفاله'!A:A,0)),0)</f>
        <v>0</v>
      </c>
    </row>
    <row r="117" spans="1:7" ht="26.25" customHeight="1" x14ac:dyDescent="0.35">
      <c r="A117" s="26">
        <v>10126</v>
      </c>
      <c r="B117" s="68" t="s">
        <v>370</v>
      </c>
      <c r="C117" s="10">
        <f>IFERROR(INDEX('حسابهای دریافتنی'!H:H,MATCH(Table219[[#This Row],[كد تفصيلي]],'حسابهای دریافتنی'!A:A,0)),0)</f>
        <v>12165000</v>
      </c>
      <c r="D117" s="11">
        <f>IFERROR(INDEX('درجریان وصول'!F:F,MATCH(Table219[[#This Row],[كد تفصيلي]],'درجریان وصول'!A:A,0)),0)</f>
        <v>0</v>
      </c>
      <c r="E117" s="11">
        <f>IFERROR(INDEX('چکهای دریافتنی'!F:F,MATCH(Table219[[#This Row],[كد تفصيلي]],'چکهای دریافتنی'!A:A,0)),0)</f>
        <v>0</v>
      </c>
      <c r="F117" s="11">
        <f>Table219[[#This Row],[حسابهای دریافتنی]]+Table219[[#This Row],[چکهای در جریان وصول]]+Table219[[#This Row],[چکهای نزد صندوق]]</f>
        <v>12165000</v>
      </c>
      <c r="G117" s="12">
        <f>IFERROR(INDEX('مانده سوفاله'!F:F,MATCH(Table219[[#This Row],[كد تفصيلي]],'مانده سوفاله'!A:A,0)),0)</f>
        <v>0</v>
      </c>
    </row>
    <row r="118" spans="1:7" ht="26.25" customHeight="1" x14ac:dyDescent="0.35">
      <c r="A118" s="27">
        <v>30052</v>
      </c>
      <c r="B118" s="69" t="s">
        <v>149</v>
      </c>
      <c r="C118" s="10">
        <f>IFERROR(INDEX('حسابهای دریافتنی'!H:H,MATCH(Table219[[#This Row],[كد تفصيلي]],'حسابهای دریافتنی'!A:A,0)),0)</f>
        <v>-539000</v>
      </c>
      <c r="D118" s="11">
        <f>IFERROR(INDEX('درجریان وصول'!F:F,MATCH(Table219[[#This Row],[كد تفصيلي]],'درجریان وصول'!A:A,0)),0)</f>
        <v>0</v>
      </c>
      <c r="E118" s="11">
        <f>IFERROR(INDEX('چکهای دریافتنی'!F:F,MATCH(Table219[[#This Row],[كد تفصيلي]],'چکهای دریافتنی'!A:A,0)),0)</f>
        <v>0</v>
      </c>
      <c r="F118" s="11">
        <f>Table219[[#This Row],[حسابهای دریافتنی]]+Table219[[#This Row],[چکهای در جریان وصول]]+Table219[[#This Row],[چکهای نزد صندوق]]</f>
        <v>-539000</v>
      </c>
      <c r="G118" s="12">
        <f>IFERROR(INDEX('مانده سوفاله'!F:F,MATCH(Table219[[#This Row],[كد تفصيلي]],'مانده سوفاله'!A:A,0)),0)</f>
        <v>0</v>
      </c>
    </row>
    <row r="119" spans="1:7" ht="26.25" customHeight="1" x14ac:dyDescent="0.35">
      <c r="A119" s="26">
        <v>10061</v>
      </c>
      <c r="B119" s="68" t="s">
        <v>194</v>
      </c>
      <c r="C119" s="10">
        <f>IFERROR(INDEX('حسابهای دریافتنی'!H:H,MATCH(Table219[[#This Row],[كد تفصيلي]],'حسابهای دریافتنی'!A:A,0)),0)</f>
        <v>-565500</v>
      </c>
      <c r="D119" s="11">
        <f>IFERROR(INDEX('درجریان وصول'!F:F,MATCH(Table219[[#This Row],[كد تفصيلي]],'درجریان وصول'!A:A,0)),0)</f>
        <v>0</v>
      </c>
      <c r="E119" s="11">
        <f>IFERROR(INDEX('چکهای دریافتنی'!F:F,MATCH(Table219[[#This Row],[كد تفصيلي]],'چکهای دریافتنی'!A:A,0)),0)</f>
        <v>0</v>
      </c>
      <c r="F119" s="11">
        <f>Table219[[#This Row],[حسابهای دریافتنی]]+Table219[[#This Row],[چکهای در جریان وصول]]+Table219[[#This Row],[چکهای نزد صندوق]]</f>
        <v>-565500</v>
      </c>
      <c r="G119" s="12">
        <f>IFERROR(INDEX('مانده سوفاله'!F:F,MATCH(Table219[[#This Row],[كد تفصيلي]],'مانده سوفاله'!A:A,0)),0)</f>
        <v>0</v>
      </c>
    </row>
    <row r="120" spans="1:7" ht="26.25" customHeight="1" x14ac:dyDescent="0.35">
      <c r="A120" s="26">
        <v>10118</v>
      </c>
      <c r="B120" s="68" t="s">
        <v>334</v>
      </c>
      <c r="C120" s="10">
        <f>IFERROR(INDEX('حسابهای دریافتنی'!H:H,MATCH(Table219[[#This Row],[كد تفصيلي]],'حسابهای دریافتنی'!A:A,0)),0)</f>
        <v>-587500</v>
      </c>
      <c r="D120" s="11">
        <f>IFERROR(INDEX('درجریان وصول'!F:F,MATCH(Table219[[#This Row],[كد تفصيلي]],'درجریان وصول'!A:A,0)),0)</f>
        <v>0</v>
      </c>
      <c r="E120" s="11">
        <f>IFERROR(INDEX('چکهای دریافتنی'!F:F,MATCH(Table219[[#This Row],[كد تفصيلي]],'چکهای دریافتنی'!A:A,0)),0)</f>
        <v>0</v>
      </c>
      <c r="F120" s="11">
        <f>Table219[[#This Row],[حسابهای دریافتنی]]+Table219[[#This Row],[چکهای در جریان وصول]]+Table219[[#This Row],[چکهای نزد صندوق]]</f>
        <v>-587500</v>
      </c>
      <c r="G120" s="12">
        <f>IFERROR(INDEX('مانده سوفاله'!F:F,MATCH(Table219[[#This Row],[كد تفصيلي]],'مانده سوفاله'!A:A,0)),0)</f>
        <v>0</v>
      </c>
    </row>
    <row r="121" spans="1:7" ht="26.25" customHeight="1" x14ac:dyDescent="0.35">
      <c r="A121" s="26">
        <v>30112</v>
      </c>
      <c r="B121" s="68" t="s">
        <v>201</v>
      </c>
      <c r="C121" s="10">
        <f>IFERROR(INDEX('حسابهای دریافتنی'!H:H,MATCH(Table219[[#This Row],[كد تفصيلي]],'حسابهای دریافتنی'!A:A,0)),0)</f>
        <v>-720500</v>
      </c>
      <c r="D121" s="11">
        <f>IFERROR(INDEX('درجریان وصول'!F:F,MATCH(Table219[[#This Row],[كد تفصيلي]],'درجریان وصول'!A:A,0)),0)</f>
        <v>0</v>
      </c>
      <c r="E121" s="11">
        <f>IFERROR(INDEX('چکهای دریافتنی'!F:F,MATCH(Table219[[#This Row],[كد تفصيلي]],'چکهای دریافتنی'!A:A,0)),0)</f>
        <v>0</v>
      </c>
      <c r="F121" s="11">
        <f>Table219[[#This Row],[حسابهای دریافتنی]]+Table219[[#This Row],[چکهای در جریان وصول]]+Table219[[#This Row],[چکهای نزد صندوق]]</f>
        <v>-720500</v>
      </c>
      <c r="G121" s="12">
        <f>IFERROR(INDEX('مانده سوفاله'!F:F,MATCH(Table219[[#This Row],[كد تفصيلي]],'مانده سوفاله'!A:A,0)),0)</f>
        <v>36</v>
      </c>
    </row>
    <row r="122" spans="1:7" ht="26.25" customHeight="1" x14ac:dyDescent="0.35">
      <c r="A122" s="26">
        <v>10013</v>
      </c>
      <c r="B122" s="68" t="s">
        <v>20</v>
      </c>
      <c r="C122" s="10">
        <f>IFERROR(INDEX('حسابهای دریافتنی'!H:H,MATCH(Table219[[#This Row],[كد تفصيلي]],'حسابهای دریافتنی'!A:A,0)),0)</f>
        <v>-915000</v>
      </c>
      <c r="D122" s="11">
        <f>IFERROR(INDEX('درجریان وصول'!F:F,MATCH(Table219[[#This Row],[كد تفصيلي]],'درجریان وصول'!A:A,0)),0)</f>
        <v>0</v>
      </c>
      <c r="E122" s="11">
        <f>IFERROR(INDEX('چکهای دریافتنی'!F:F,MATCH(Table219[[#This Row],[كد تفصيلي]],'چکهای دریافتنی'!A:A,0)),0)</f>
        <v>0</v>
      </c>
      <c r="F122" s="11">
        <f>Table219[[#This Row],[حسابهای دریافتنی]]+Table219[[#This Row],[چکهای در جریان وصول]]+Table219[[#This Row],[چکهای نزد صندوق]]</f>
        <v>-915000</v>
      </c>
      <c r="G122" s="12">
        <f>IFERROR(INDEX('مانده سوفاله'!F:F,MATCH(Table219[[#This Row],[كد تفصيلي]],'مانده سوفاله'!A:A,0)),0)</f>
        <v>0</v>
      </c>
    </row>
    <row r="123" spans="1:7" ht="26.25" customHeight="1" x14ac:dyDescent="0.35">
      <c r="A123" s="26">
        <v>10128</v>
      </c>
      <c r="B123" s="68" t="s">
        <v>372</v>
      </c>
      <c r="C123" s="10">
        <f>IFERROR(INDEX('حسابهای دریافتنی'!H:H,MATCH(Table219[[#This Row],[كد تفصيلي]],'حسابهای دریافتنی'!A:A,0)),0)</f>
        <v>-45000</v>
      </c>
      <c r="D123" s="11">
        <f>IFERROR(INDEX('درجریان وصول'!F:F,MATCH(Table219[[#This Row],[كد تفصيلي]],'درجریان وصول'!A:A,0)),0)</f>
        <v>0</v>
      </c>
      <c r="E123" s="11">
        <f>IFERROR(INDEX('چکهای دریافتنی'!F:F,MATCH(Table219[[#This Row],[كد تفصيلي]],'چکهای دریافتنی'!A:A,0)),0)</f>
        <v>0</v>
      </c>
      <c r="F123" s="11">
        <f>Table219[[#This Row],[حسابهای دریافتنی]]+Table219[[#This Row],[چکهای در جریان وصول]]+Table219[[#This Row],[چکهای نزد صندوق]]</f>
        <v>-45000</v>
      </c>
      <c r="G123" s="12">
        <f>IFERROR(INDEX('مانده سوفاله'!F:F,MATCH(Table219[[#This Row],[كد تفصيلي]],'مانده سوفاله'!A:A,0)),0)</f>
        <v>6</v>
      </c>
    </row>
    <row r="124" spans="1:7" ht="26.25" customHeight="1" x14ac:dyDescent="0.35">
      <c r="A124" s="27">
        <v>10042</v>
      </c>
      <c r="B124" s="69" t="s">
        <v>47</v>
      </c>
      <c r="C124" s="10">
        <f>IFERROR(INDEX('حسابهای دریافتنی'!H:H,MATCH(Table219[[#This Row],[كد تفصيلي]],'حسابهای دریافتنی'!A:A,0)),0)</f>
        <v>-1120000</v>
      </c>
      <c r="D124" s="11">
        <f>IFERROR(INDEX('درجریان وصول'!F:F,MATCH(Table219[[#This Row],[كد تفصيلي]],'درجریان وصول'!A:A,0)),0)</f>
        <v>0</v>
      </c>
      <c r="E124" s="11">
        <f>IFERROR(INDEX('چکهای دریافتنی'!F:F,MATCH(Table219[[#This Row],[كد تفصيلي]],'چکهای دریافتنی'!A:A,0)),0)</f>
        <v>0</v>
      </c>
      <c r="F124" s="11">
        <f>Table219[[#This Row],[حسابهای دریافتنی]]+Table219[[#This Row],[چکهای در جریان وصول]]+Table219[[#This Row],[چکهای نزد صندوق]]</f>
        <v>-1120000</v>
      </c>
      <c r="G124" s="12">
        <f>IFERROR(INDEX('مانده سوفاله'!F:F,MATCH(Table219[[#This Row],[كد تفصيلي]],'مانده سوفاله'!A:A,0)),0)</f>
        <v>2</v>
      </c>
    </row>
    <row r="125" spans="1:7" ht="26.25" customHeight="1" x14ac:dyDescent="0.35">
      <c r="A125" s="27">
        <v>30032</v>
      </c>
      <c r="B125" s="69" t="s">
        <v>79</v>
      </c>
      <c r="C125" s="10">
        <f>IFERROR(INDEX('حسابهای دریافتنی'!H:H,MATCH(Table219[[#This Row],[كد تفصيلي]],'حسابهای دریافتنی'!A:A,0)),0)</f>
        <v>-1347000</v>
      </c>
      <c r="D125" s="11">
        <f>IFERROR(INDEX('درجریان وصول'!F:F,MATCH(Table219[[#This Row],[كد تفصيلي]],'درجریان وصول'!A:A,0)),0)</f>
        <v>0</v>
      </c>
      <c r="E125" s="11">
        <f>IFERROR(INDEX('چکهای دریافتنی'!F:F,MATCH(Table219[[#This Row],[كد تفصيلي]],'چکهای دریافتنی'!A:A,0)),0)</f>
        <v>0</v>
      </c>
      <c r="F125" s="11">
        <f>Table219[[#This Row],[حسابهای دریافتنی]]+Table219[[#This Row],[چکهای در جریان وصول]]+Table219[[#This Row],[چکهای نزد صندوق]]</f>
        <v>-1347000</v>
      </c>
      <c r="G125" s="12">
        <f>IFERROR(INDEX('مانده سوفاله'!F:F,MATCH(Table219[[#This Row],[كد تفصيلي]],'مانده سوفاله'!A:A,0)),0)</f>
        <v>0</v>
      </c>
    </row>
    <row r="126" spans="1:7" ht="26.25" customHeight="1" x14ac:dyDescent="0.35">
      <c r="A126" s="27">
        <v>30171</v>
      </c>
      <c r="B126" s="69" t="s">
        <v>322</v>
      </c>
      <c r="C126" s="10">
        <f>IFERROR(INDEX('حسابهای دریافتنی'!H:H,MATCH(Table219[[#This Row],[كد تفصيلي]],'حسابهای دریافتنی'!A:A,0)),0)</f>
        <v>-1500000</v>
      </c>
      <c r="D126" s="11">
        <f>IFERROR(INDEX('درجریان وصول'!F:F,MATCH(Table219[[#This Row],[كد تفصيلي]],'درجریان وصول'!A:A,0)),0)</f>
        <v>0</v>
      </c>
      <c r="E126" s="11">
        <f>IFERROR(INDEX('چکهای دریافتنی'!F:F,MATCH(Table219[[#This Row],[كد تفصيلي]],'چکهای دریافتنی'!A:A,0)),0)</f>
        <v>0</v>
      </c>
      <c r="F126" s="11">
        <f>Table219[[#This Row],[حسابهای دریافتنی]]+Table219[[#This Row],[چکهای در جریان وصول]]+Table219[[#This Row],[چکهای نزد صندوق]]</f>
        <v>-1500000</v>
      </c>
      <c r="G126" s="12">
        <f>IFERROR(INDEX('مانده سوفاله'!F:F,MATCH(Table219[[#This Row],[كد تفصيلي]],'مانده سوفاله'!A:A,0)),0)</f>
        <v>0</v>
      </c>
    </row>
    <row r="127" spans="1:7" ht="26.25" customHeight="1" x14ac:dyDescent="0.35">
      <c r="A127" s="26">
        <v>10103</v>
      </c>
      <c r="B127" s="68" t="s">
        <v>283</v>
      </c>
      <c r="C127" s="10">
        <f>IFERROR(INDEX('حسابهای دریافتنی'!H:H,MATCH(Table219[[#This Row],[كد تفصيلي]],'حسابهای دریافتنی'!A:A,0)),0)</f>
        <v>-1580000</v>
      </c>
      <c r="D127" s="11">
        <f>IFERROR(INDEX('درجریان وصول'!F:F,MATCH(Table219[[#This Row],[كد تفصيلي]],'درجریان وصول'!A:A,0)),0)</f>
        <v>0</v>
      </c>
      <c r="E127" s="11">
        <f>IFERROR(INDEX('چکهای دریافتنی'!F:F,MATCH(Table219[[#This Row],[كد تفصيلي]],'چکهای دریافتنی'!A:A,0)),0)</f>
        <v>0</v>
      </c>
      <c r="F127" s="11">
        <f>Table219[[#This Row],[حسابهای دریافتنی]]+Table219[[#This Row],[چکهای در جریان وصول]]+Table219[[#This Row],[چکهای نزد صندوق]]</f>
        <v>-1580000</v>
      </c>
      <c r="G127" s="12">
        <f>IFERROR(INDEX('مانده سوفاله'!F:F,MATCH(Table219[[#This Row],[كد تفصيلي]],'مانده سوفاله'!A:A,0)),0)</f>
        <v>0</v>
      </c>
    </row>
    <row r="128" spans="1:7" ht="26.25" customHeight="1" x14ac:dyDescent="0.35">
      <c r="A128" s="27">
        <v>10125</v>
      </c>
      <c r="B128" s="69" t="s">
        <v>345</v>
      </c>
      <c r="C128" s="10">
        <f>IFERROR(INDEX('حسابهای دریافتنی'!H:H,MATCH(Table219[[#This Row],[كد تفصيلي]],'حسابهای دریافتنی'!A:A,0)),0)</f>
        <v>-1650000</v>
      </c>
      <c r="D128" s="11">
        <f>IFERROR(INDEX('درجریان وصول'!F:F,MATCH(Table219[[#This Row],[كد تفصيلي]],'درجریان وصول'!A:A,0)),0)</f>
        <v>0</v>
      </c>
      <c r="E128" s="11">
        <f>IFERROR(INDEX('چکهای دریافتنی'!F:F,MATCH(Table219[[#This Row],[كد تفصيلي]],'چکهای دریافتنی'!A:A,0)),0)</f>
        <v>0</v>
      </c>
      <c r="F128" s="11">
        <f>Table219[[#This Row],[حسابهای دریافتنی]]+Table219[[#This Row],[چکهای در جریان وصول]]+Table219[[#This Row],[چکهای نزد صندوق]]</f>
        <v>-1650000</v>
      </c>
      <c r="G128" s="12">
        <f>IFERROR(INDEX('مانده سوفاله'!F:F,MATCH(Table219[[#This Row],[كد تفصيلي]],'مانده سوفاله'!A:A,0)),0)</f>
        <v>0</v>
      </c>
    </row>
    <row r="129" spans="1:7" ht="26.25" customHeight="1" x14ac:dyDescent="0.35">
      <c r="A129" s="26">
        <v>10110</v>
      </c>
      <c r="B129" s="68" t="s">
        <v>306</v>
      </c>
      <c r="C129" s="10">
        <f>IFERROR(INDEX('حسابهای دریافتنی'!H:H,MATCH(Table219[[#This Row],[كد تفصيلي]],'حسابهای دریافتنی'!A:A,0)),0)</f>
        <v>-1817500</v>
      </c>
      <c r="D129" s="11">
        <f>IFERROR(INDEX('درجریان وصول'!F:F,MATCH(Table219[[#This Row],[كد تفصيلي]],'درجریان وصول'!A:A,0)),0)</f>
        <v>0</v>
      </c>
      <c r="E129" s="11">
        <f>IFERROR(INDEX('چکهای دریافتنی'!F:F,MATCH(Table219[[#This Row],[كد تفصيلي]],'چکهای دریافتنی'!A:A,0)),0)</f>
        <v>0</v>
      </c>
      <c r="F129" s="11">
        <f>Table219[[#This Row],[حسابهای دریافتنی]]+Table219[[#This Row],[چکهای در جریان وصول]]+Table219[[#This Row],[چکهای نزد صندوق]]</f>
        <v>-1817500</v>
      </c>
      <c r="G129" s="12">
        <f>IFERROR(INDEX('مانده سوفاله'!F:F,MATCH(Table219[[#This Row],[كد تفصيلي]],'مانده سوفاله'!A:A,0)),0)</f>
        <v>7</v>
      </c>
    </row>
    <row r="130" spans="1:7" ht="26.25" customHeight="1" x14ac:dyDescent="0.35">
      <c r="A130" s="27">
        <v>30103</v>
      </c>
      <c r="B130" s="69" t="s">
        <v>240</v>
      </c>
      <c r="C130" s="10">
        <f>IFERROR(INDEX('حسابهای دریافتنی'!H:H,MATCH(Table219[[#This Row],[كد تفصيلي]],'حسابهای دریافتنی'!A:A,0)),0)</f>
        <v>-1820000</v>
      </c>
      <c r="D130" s="11">
        <f>IFERROR(INDEX('درجریان وصول'!F:F,MATCH(Table219[[#This Row],[كد تفصيلي]],'درجریان وصول'!A:A,0)),0)</f>
        <v>0</v>
      </c>
      <c r="E130" s="11">
        <f>IFERROR(INDEX('چکهای دریافتنی'!F:F,MATCH(Table219[[#This Row],[كد تفصيلي]],'چکهای دریافتنی'!A:A,0)),0)</f>
        <v>0</v>
      </c>
      <c r="F130" s="11">
        <f>Table219[[#This Row],[حسابهای دریافتنی]]+Table219[[#This Row],[چکهای در جریان وصول]]+Table219[[#This Row],[چکهای نزد صندوق]]</f>
        <v>-1820000</v>
      </c>
      <c r="G130" s="12">
        <f>IFERROR(INDEX('مانده سوفاله'!F:F,MATCH(Table219[[#This Row],[كد تفصيلي]],'مانده سوفاله'!A:A,0)),0)</f>
        <v>0</v>
      </c>
    </row>
    <row r="131" spans="1:7" ht="26.25" customHeight="1" x14ac:dyDescent="0.35">
      <c r="A131" s="26">
        <v>30128</v>
      </c>
      <c r="B131" s="68" t="s">
        <v>212</v>
      </c>
      <c r="C131" s="10">
        <f>IFERROR(INDEX('حسابهای دریافتنی'!H:H,MATCH(Table219[[#This Row],[كد تفصيلي]],'حسابهای دریافتنی'!A:A,0)),0)</f>
        <v>-2451320</v>
      </c>
      <c r="D131" s="11">
        <f>IFERROR(INDEX('درجریان وصول'!F:F,MATCH(Table219[[#This Row],[كد تفصيلي]],'درجریان وصول'!A:A,0)),0)</f>
        <v>0</v>
      </c>
      <c r="E131" s="11">
        <f>IFERROR(INDEX('چکهای دریافتنی'!F:F,MATCH(Table219[[#This Row],[كد تفصيلي]],'چکهای دریافتنی'!A:A,0)),0)</f>
        <v>0</v>
      </c>
      <c r="F131" s="11">
        <f>Table219[[#This Row],[حسابهای دریافتنی]]+Table219[[#This Row],[چکهای در جریان وصول]]+Table219[[#This Row],[چکهای نزد صندوق]]</f>
        <v>-2451320</v>
      </c>
      <c r="G131" s="12">
        <f>IFERROR(INDEX('مانده سوفاله'!F:F,MATCH(Table219[[#This Row],[كد تفصيلي]],'مانده سوفاله'!A:A,0)),0)</f>
        <v>0</v>
      </c>
    </row>
    <row r="132" spans="1:7" ht="26.25" customHeight="1" x14ac:dyDescent="0.35">
      <c r="A132" s="26">
        <v>30013</v>
      </c>
      <c r="B132" s="68" t="s">
        <v>62</v>
      </c>
      <c r="C132" s="10">
        <f>IFERROR(INDEX('حسابهای دریافتنی'!H:H,MATCH(Table219[[#This Row],[كد تفصيلي]],'حسابهای دریافتنی'!A:A,0)),0)</f>
        <v>-2744620</v>
      </c>
      <c r="D132" s="11">
        <f>IFERROR(INDEX('درجریان وصول'!F:F,MATCH(Table219[[#This Row],[كد تفصيلي]],'درجریان وصول'!A:A,0)),0)</f>
        <v>0</v>
      </c>
      <c r="E132" s="11">
        <f>IFERROR(INDEX('چکهای دریافتنی'!F:F,MATCH(Table219[[#This Row],[كد تفصيلي]],'چکهای دریافتنی'!A:A,0)),0)</f>
        <v>0</v>
      </c>
      <c r="F132" s="11">
        <f>Table219[[#This Row],[حسابهای دریافتنی]]+Table219[[#This Row],[چکهای در جریان وصول]]+Table219[[#This Row],[چکهای نزد صندوق]]</f>
        <v>-2744620</v>
      </c>
      <c r="G132" s="12">
        <f>IFERROR(INDEX('مانده سوفاله'!F:F,MATCH(Table219[[#This Row],[كد تفصيلي]],'مانده سوفاله'!A:A,0)),0)</f>
        <v>0</v>
      </c>
    </row>
    <row r="133" spans="1:7" ht="26.25" customHeight="1" x14ac:dyDescent="0.35">
      <c r="A133" s="26">
        <v>30015</v>
      </c>
      <c r="B133" s="68" t="s">
        <v>64</v>
      </c>
      <c r="C133" s="10">
        <f>IFERROR(INDEX('حسابهای دریافتنی'!H:H,MATCH(Table219[[#This Row],[كد تفصيلي]],'حسابهای دریافتنی'!A:A,0)),0)</f>
        <v>-3105895</v>
      </c>
      <c r="D133" s="11">
        <f>IFERROR(INDEX('درجریان وصول'!F:F,MATCH(Table219[[#This Row],[كد تفصيلي]],'درجریان وصول'!A:A,0)),0)</f>
        <v>0</v>
      </c>
      <c r="E133" s="11">
        <f>IFERROR(INDEX('چکهای دریافتنی'!F:F,MATCH(Table219[[#This Row],[كد تفصيلي]],'چکهای دریافتنی'!A:A,0)),0)</f>
        <v>0</v>
      </c>
      <c r="F133" s="11">
        <f>Table219[[#This Row],[حسابهای دریافتنی]]+Table219[[#This Row],[چکهای در جریان وصول]]+Table219[[#This Row],[چکهای نزد صندوق]]</f>
        <v>-3105895</v>
      </c>
      <c r="G133" s="12">
        <f>IFERROR(INDEX('مانده سوفاله'!F:F,MATCH(Table219[[#This Row],[كد تفصيلي]],'مانده سوفاله'!A:A,0)),0)</f>
        <v>0</v>
      </c>
    </row>
    <row r="134" spans="1:7" ht="26.25" customHeight="1" x14ac:dyDescent="0.35">
      <c r="A134" s="26">
        <v>50032</v>
      </c>
      <c r="B134" s="68" t="s">
        <v>499</v>
      </c>
      <c r="C134" s="10">
        <f>IFERROR(INDEX('حسابهای دریافتنی'!H:H,MATCH(Table219[[#This Row],[كد تفصيلي]],'حسابهای دریافتنی'!A:A,0)),0)</f>
        <v>-3300000</v>
      </c>
      <c r="D134" s="11">
        <f>IFERROR(INDEX('درجریان وصول'!F:F,MATCH(Table219[[#This Row],[كد تفصيلي]],'درجریان وصول'!A:A,0)),0)</f>
        <v>0</v>
      </c>
      <c r="E134" s="11">
        <f>IFERROR(INDEX('چکهای دریافتنی'!F:F,MATCH(Table219[[#This Row],[كد تفصيلي]],'چکهای دریافتنی'!A:A,0)),0)</f>
        <v>0</v>
      </c>
      <c r="F134" s="11">
        <f>Table219[[#This Row],[حسابهای دریافتنی]]+Table219[[#This Row],[چکهای در جریان وصول]]+Table219[[#This Row],[چکهای نزد صندوق]]</f>
        <v>-3300000</v>
      </c>
      <c r="G134" s="12">
        <f>IFERROR(INDEX('مانده سوفاله'!F:F,MATCH(Table219[[#This Row],[كد تفصيلي]],'مانده سوفاله'!A:A,0)),0)</f>
        <v>0</v>
      </c>
    </row>
    <row r="135" spans="1:7" ht="26.25" customHeight="1" x14ac:dyDescent="0.35">
      <c r="A135" s="26">
        <v>30110</v>
      </c>
      <c r="B135" s="68" t="s">
        <v>200</v>
      </c>
      <c r="C135" s="10">
        <f>IFERROR(INDEX('حسابهای دریافتنی'!H:H,MATCH(Table219[[#This Row],[كد تفصيلي]],'حسابهای دریافتنی'!A:A,0)),0)</f>
        <v>-3492360</v>
      </c>
      <c r="D135" s="11">
        <f>IFERROR(INDEX('درجریان وصول'!F:F,MATCH(Table219[[#This Row],[كد تفصيلي]],'درجریان وصول'!A:A,0)),0)</f>
        <v>0</v>
      </c>
      <c r="E135" s="11">
        <f>IFERROR(INDEX('چکهای دریافتنی'!F:F,MATCH(Table219[[#This Row],[كد تفصيلي]],'چکهای دریافتنی'!A:A,0)),0)</f>
        <v>0</v>
      </c>
      <c r="F135" s="11">
        <f>Table219[[#This Row],[حسابهای دریافتنی]]+Table219[[#This Row],[چکهای در جریان وصول]]+Table219[[#This Row],[چکهای نزد صندوق]]</f>
        <v>-3492360</v>
      </c>
      <c r="G135" s="12">
        <f>IFERROR(INDEX('مانده سوفاله'!F:F,MATCH(Table219[[#This Row],[كد تفصيلي]],'مانده سوفاله'!A:A,0)),0)</f>
        <v>0</v>
      </c>
    </row>
    <row r="136" spans="1:7" ht="26.25" customHeight="1" x14ac:dyDescent="0.35">
      <c r="A136" s="26">
        <v>10049</v>
      </c>
      <c r="B136" s="68" t="s">
        <v>157</v>
      </c>
      <c r="C136" s="10">
        <f>IFERROR(INDEX('حسابهای دریافتنی'!H:H,MATCH(Table219[[#This Row],[كد تفصيلي]],'حسابهای دریافتنی'!A:A,0)),0)</f>
        <v>-32909500</v>
      </c>
      <c r="D136" s="11">
        <f>IFERROR(INDEX('درجریان وصول'!F:F,MATCH(Table219[[#This Row],[كد تفصيلي]],'درجریان وصول'!A:A,0)),0)</f>
        <v>0</v>
      </c>
      <c r="E136" s="11">
        <f>IFERROR(INDEX('چکهای دریافتنی'!F:F,MATCH(Table219[[#This Row],[كد تفصيلي]],'چکهای دریافتنی'!A:A,0)),0)</f>
        <v>0</v>
      </c>
      <c r="F136" s="11">
        <f>Table219[[#This Row],[حسابهای دریافتنی]]+Table219[[#This Row],[چکهای در جریان وصول]]+Table219[[#This Row],[چکهای نزد صندوق]]</f>
        <v>-32909500</v>
      </c>
      <c r="G136" s="12">
        <f>IFERROR(INDEX('مانده سوفاله'!F:F,MATCH(Table219[[#This Row],[كد تفصيلي]],'مانده سوفاله'!A:A,0)),0)</f>
        <v>0</v>
      </c>
    </row>
    <row r="137" spans="1:7" ht="26.25" customHeight="1" x14ac:dyDescent="0.35">
      <c r="A137" s="26">
        <v>10015</v>
      </c>
      <c r="B137" s="68" t="s">
        <v>22</v>
      </c>
      <c r="C137" s="10">
        <f>IFERROR(INDEX('حسابهای دریافتنی'!H:H,MATCH(Table219[[#This Row],[كد تفصيلي]],'حسابهای دریافتنی'!A:A,0)),0)</f>
        <v>-4735000</v>
      </c>
      <c r="D137" s="11">
        <f>IFERROR(INDEX('درجریان وصول'!F:F,MATCH(Table219[[#This Row],[كد تفصيلي]],'درجریان وصول'!A:A,0)),0)</f>
        <v>0</v>
      </c>
      <c r="E137" s="11">
        <f>IFERROR(INDEX('چکهای دریافتنی'!F:F,MATCH(Table219[[#This Row],[كد تفصيلي]],'چکهای دریافتنی'!A:A,0)),0)</f>
        <v>0</v>
      </c>
      <c r="F137" s="11">
        <f>Table219[[#This Row],[حسابهای دریافتنی]]+Table219[[#This Row],[چکهای در جریان وصول]]+Table219[[#This Row],[چکهای نزد صندوق]]</f>
        <v>-4735000</v>
      </c>
      <c r="G137" s="12">
        <f>IFERROR(INDEX('مانده سوفاله'!F:F,MATCH(Table219[[#This Row],[كد تفصيلي]],'مانده سوفاله'!A:A,0)),0)</f>
        <v>12</v>
      </c>
    </row>
    <row r="138" spans="1:7" customFormat="1" ht="26.25" customHeight="1" x14ac:dyDescent="0.35">
      <c r="A138" s="54">
        <v>30153</v>
      </c>
      <c r="B138" s="69" t="s">
        <v>279</v>
      </c>
      <c r="C138" s="10">
        <f>IFERROR(INDEX('حسابهای دریافتنی'!H:H,MATCH(Table219[[#This Row],[كد تفصيلي]],'حسابهای دریافتنی'!A:A,0)),0)</f>
        <v>-4818000</v>
      </c>
      <c r="D138" s="11">
        <f>IFERROR(INDEX('درجریان وصول'!F:F,MATCH(Table219[[#This Row],[كد تفصيلي]],'درجریان وصول'!A:A,0)),0)</f>
        <v>0</v>
      </c>
      <c r="E138" s="11">
        <f>IFERROR(INDEX('چکهای دریافتنی'!F:F,MATCH(Table219[[#This Row],[كد تفصيلي]],'چکهای دریافتنی'!A:A,0)),0)</f>
        <v>0</v>
      </c>
      <c r="F138" s="11">
        <f>Table219[[#This Row],[حسابهای دریافتنی]]+Table219[[#This Row],[چکهای در جریان وصول]]+Table219[[#This Row],[چکهای نزد صندوق]]</f>
        <v>-4818000</v>
      </c>
      <c r="G138" s="12">
        <f>IFERROR(INDEX('مانده سوفاله'!F:F,MATCH(Table219[[#This Row],[كد تفصيلي]],'مانده سوفاله'!A:A,0)),0)</f>
        <v>0</v>
      </c>
    </row>
    <row r="139" spans="1:7" customFormat="1" ht="26.25" customHeight="1" x14ac:dyDescent="0.35">
      <c r="A139" s="53">
        <v>30023</v>
      </c>
      <c r="B139" s="68" t="s">
        <v>71</v>
      </c>
      <c r="C139" s="10">
        <f>IFERROR(INDEX('حسابهای دریافتنی'!H:H,MATCH(Table219[[#This Row],[كد تفصيلي]],'حسابهای دریافتنی'!A:A,0)),0)</f>
        <v>-5793600</v>
      </c>
      <c r="D139" s="11">
        <f>IFERROR(INDEX('درجریان وصول'!F:F,MATCH(Table219[[#This Row],[كد تفصيلي]],'درجریان وصول'!A:A,0)),0)</f>
        <v>0</v>
      </c>
      <c r="E139" s="11">
        <f>IFERROR(INDEX('چکهای دریافتنی'!F:F,MATCH(Table219[[#This Row],[كد تفصيلي]],'چکهای دریافتنی'!A:A,0)),0)</f>
        <v>0</v>
      </c>
      <c r="F139" s="11">
        <f>Table219[[#This Row],[حسابهای دریافتنی]]+Table219[[#This Row],[چکهای در جریان وصول]]+Table219[[#This Row],[چکهای نزد صندوق]]</f>
        <v>-5793600</v>
      </c>
      <c r="G139" s="12">
        <f>IFERROR(INDEX('مانده سوفاله'!F:F,MATCH(Table219[[#This Row],[كد تفصيلي]],'مانده سوفاله'!A:A,0)),0)</f>
        <v>0</v>
      </c>
    </row>
    <row r="140" spans="1:7" customFormat="1" ht="26.25" customHeight="1" x14ac:dyDescent="0.35">
      <c r="A140" s="53">
        <v>30176</v>
      </c>
      <c r="B140" s="68" t="s">
        <v>332</v>
      </c>
      <c r="C140" s="10">
        <f>IFERROR(INDEX('حسابهای دریافتنی'!H:H,MATCH(Table219[[#This Row],[كد تفصيلي]],'حسابهای دریافتنی'!A:A,0)),0)</f>
        <v>-7540075</v>
      </c>
      <c r="D140" s="11">
        <f>IFERROR(INDEX('درجریان وصول'!F:F,MATCH(Table219[[#This Row],[كد تفصيلي]],'درجریان وصول'!A:A,0)),0)</f>
        <v>0</v>
      </c>
      <c r="E140" s="11">
        <f>IFERROR(INDEX('چکهای دریافتنی'!F:F,MATCH(Table219[[#This Row],[كد تفصيلي]],'چکهای دریافتنی'!A:A,0)),0)</f>
        <v>0</v>
      </c>
      <c r="F140" s="11">
        <f>Table219[[#This Row],[حسابهای دریافتنی]]+Table219[[#This Row],[چکهای در جریان وصول]]+Table219[[#This Row],[چکهای نزد صندوق]]</f>
        <v>-7540075</v>
      </c>
      <c r="G140" s="12">
        <f>IFERROR(INDEX('مانده سوفاله'!F:F,MATCH(Table219[[#This Row],[كد تفصيلي]],'مانده سوفاله'!A:A,0)),0)</f>
        <v>0</v>
      </c>
    </row>
    <row r="141" spans="1:7" customFormat="1" ht="26.25" customHeight="1" x14ac:dyDescent="0.35">
      <c r="A141" s="53">
        <v>10106</v>
      </c>
      <c r="B141" s="68" t="s">
        <v>298</v>
      </c>
      <c r="C141" s="10">
        <f>IFERROR(INDEX('حسابهای دریافتنی'!H:H,MATCH(Table219[[#This Row],[كد تفصيلي]],'حسابهای دریافتنی'!A:A,0)),0)</f>
        <v>-9134000</v>
      </c>
      <c r="D141" s="11">
        <f>IFERROR(INDEX('درجریان وصول'!F:F,MATCH(Table219[[#This Row],[كد تفصيلي]],'درجریان وصول'!A:A,0)),0)</f>
        <v>0</v>
      </c>
      <c r="E141" s="11">
        <f>IFERROR(INDEX('چکهای دریافتنی'!F:F,MATCH(Table219[[#This Row],[كد تفصيلي]],'چکهای دریافتنی'!A:A,0)),0)</f>
        <v>0</v>
      </c>
      <c r="F141" s="11">
        <f>Table219[[#This Row],[حسابهای دریافتنی]]+Table219[[#This Row],[چکهای در جریان وصول]]+Table219[[#This Row],[چکهای نزد صندوق]]</f>
        <v>-9134000</v>
      </c>
      <c r="G141" s="12">
        <f>IFERROR(INDEX('مانده سوفاله'!F:F,MATCH(Table219[[#This Row],[كد تفصيلي]],'مانده سوفاله'!A:A,0)),0)</f>
        <v>0</v>
      </c>
    </row>
    <row r="142" spans="1:7" customFormat="1" ht="26.25" customHeight="1" x14ac:dyDescent="0.35">
      <c r="A142" s="53">
        <v>30189</v>
      </c>
      <c r="B142" s="68" t="s">
        <v>458</v>
      </c>
      <c r="C142" s="10">
        <f>IFERROR(INDEX('حسابهای دریافتنی'!H:H,MATCH(Table219[[#This Row],[كد تفصيلي]],'حسابهای دریافتنی'!A:A,0)),0)</f>
        <v>20776490</v>
      </c>
      <c r="D142" s="11">
        <f>IFERROR(INDEX('درجریان وصول'!F:F,MATCH(Table219[[#This Row],[كد تفصيلي]],'درجریان وصول'!A:A,0)),0)</f>
        <v>0</v>
      </c>
      <c r="E142" s="11">
        <f>IFERROR(INDEX('چکهای دریافتنی'!F:F,MATCH(Table219[[#This Row],[كد تفصيلي]],'چکهای دریافتنی'!A:A,0)),0)</f>
        <v>0</v>
      </c>
      <c r="F142" s="11">
        <f>Table219[[#This Row],[حسابهای دریافتنی]]+Table219[[#This Row],[چکهای در جریان وصول]]+Table219[[#This Row],[چکهای نزد صندوق]]</f>
        <v>20776490</v>
      </c>
      <c r="G142" s="12">
        <f>IFERROR(INDEX('مانده سوفاله'!F:F,MATCH(Table219[[#This Row],[كد تفصيلي]],'مانده سوفاله'!A:A,0)),0)</f>
        <v>0</v>
      </c>
    </row>
    <row r="143" spans="1:7" customFormat="1" ht="26.25" customHeight="1" x14ac:dyDescent="0.35">
      <c r="A143" s="54">
        <v>10102</v>
      </c>
      <c r="B143" s="69" t="s">
        <v>282</v>
      </c>
      <c r="C143" s="10">
        <f>IFERROR(INDEX('حسابهای دریافتنی'!H:H,MATCH(Table219[[#This Row],[كد تفصيلي]],'حسابهای دریافتنی'!A:A,0)),0)</f>
        <v>-10374000</v>
      </c>
      <c r="D143" s="11">
        <f>IFERROR(INDEX('درجریان وصول'!F:F,MATCH(Table219[[#This Row],[كد تفصيلي]],'درجریان وصول'!A:A,0)),0)</f>
        <v>0</v>
      </c>
      <c r="E143" s="11">
        <f>IFERROR(INDEX('چکهای دریافتنی'!F:F,MATCH(Table219[[#This Row],[كد تفصيلي]],'چکهای دریافتنی'!A:A,0)),0)</f>
        <v>0</v>
      </c>
      <c r="F143" s="11">
        <f>Table219[[#This Row],[حسابهای دریافتنی]]+Table219[[#This Row],[چکهای در جریان وصول]]+Table219[[#This Row],[چکهای نزد صندوق]]</f>
        <v>-10374000</v>
      </c>
      <c r="G143" s="12">
        <f>IFERROR(INDEX('مانده سوفاله'!F:F,MATCH(Table219[[#This Row],[كد تفصيلي]],'مانده سوفاله'!A:A,0)),0)</f>
        <v>0</v>
      </c>
    </row>
    <row r="144" spans="1:7" customFormat="1" ht="26.25" customHeight="1" x14ac:dyDescent="0.35">
      <c r="A144" s="54">
        <v>10104</v>
      </c>
      <c r="B144" s="69" t="s">
        <v>293</v>
      </c>
      <c r="C144" s="10">
        <f>IFERROR(INDEX('حسابهای دریافتنی'!H:H,MATCH(Table219[[#This Row],[كد تفصيلي]],'حسابهای دریافتنی'!A:A,0)),0)</f>
        <v>0</v>
      </c>
      <c r="D144" s="11">
        <f>IFERROR(INDEX('درجریان وصول'!F:F,MATCH(Table219[[#This Row],[كد تفصيلي]],'درجریان وصول'!A:A,0)),0)</f>
        <v>0</v>
      </c>
      <c r="E144" s="11">
        <f>IFERROR(INDEX('چکهای دریافتنی'!F:F,MATCH(Table219[[#This Row],[كد تفصيلي]],'چکهای دریافتنی'!A:A,0)),0)</f>
        <v>0</v>
      </c>
      <c r="F144" s="11">
        <f>Table219[[#This Row],[حسابهای دریافتنی]]+Table219[[#This Row],[چکهای در جریان وصول]]+Table219[[#This Row],[چکهای نزد صندوق]]</f>
        <v>0</v>
      </c>
      <c r="G144" s="12">
        <f>IFERROR(INDEX('مانده سوفاله'!F:F,MATCH(Table219[[#This Row],[كد تفصيلي]],'مانده سوفاله'!A:A,0)),0)</f>
        <v>4065</v>
      </c>
    </row>
    <row r="145" spans="1:7" customFormat="1" ht="26.25" customHeight="1" x14ac:dyDescent="0.35">
      <c r="A145" s="53">
        <v>10105</v>
      </c>
      <c r="B145" s="68" t="s">
        <v>294</v>
      </c>
      <c r="C145" s="10">
        <f>IFERROR(INDEX('حسابهای دریافتنی'!H:H,MATCH(Table219[[#This Row],[كد تفصيلي]],'حسابهای دریافتنی'!A:A,0)),0)</f>
        <v>7630000</v>
      </c>
      <c r="D145" s="11">
        <f>IFERROR(INDEX('درجریان وصول'!F:F,MATCH(Table219[[#This Row],[كد تفصيلي]],'درجریان وصول'!A:A,0)),0)</f>
        <v>0</v>
      </c>
      <c r="E145" s="11">
        <f>IFERROR(INDEX('چکهای دریافتنی'!F:F,MATCH(Table219[[#This Row],[كد تفصيلي]],'چکهای دریافتنی'!A:A,0)),0)</f>
        <v>0</v>
      </c>
      <c r="F145" s="11">
        <f>Table219[[#This Row],[حسابهای دریافتنی]]+Table219[[#This Row],[چکهای در جریان وصول]]+Table219[[#This Row],[چکهای نزد صندوق]]</f>
        <v>7630000</v>
      </c>
      <c r="G145" s="12">
        <f>IFERROR(INDEX('مانده سوفاله'!F:F,MATCH(Table219[[#This Row],[كد تفصيلي]],'مانده سوفاله'!A:A,0)),0)</f>
        <v>0</v>
      </c>
    </row>
    <row r="146" spans="1:7" customFormat="1" ht="26.25" customHeight="1" x14ac:dyDescent="0.35">
      <c r="A146" s="54">
        <v>10058</v>
      </c>
      <c r="B146" s="69" t="s">
        <v>173</v>
      </c>
      <c r="C146" s="10">
        <f>IFERROR(INDEX('حسابهای دریافتنی'!H:H,MATCH(Table219[[#This Row],[كد تفصيلي]],'حسابهای دریافتنی'!A:A,0)),0)</f>
        <v>-13650000</v>
      </c>
      <c r="D146" s="11">
        <f>IFERROR(INDEX('درجریان وصول'!F:F,MATCH(Table219[[#This Row],[كد تفصيلي]],'درجریان وصول'!A:A,0)),0)</f>
        <v>0</v>
      </c>
      <c r="E146" s="11">
        <f>IFERROR(INDEX('چکهای دریافتنی'!F:F,MATCH(Table219[[#This Row],[كد تفصيلي]],'چکهای دریافتنی'!A:A,0)),0)</f>
        <v>0</v>
      </c>
      <c r="F146" s="11">
        <f>Table219[[#This Row],[حسابهای دریافتنی]]+Table219[[#This Row],[چکهای در جریان وصول]]+Table219[[#This Row],[چکهای نزد صندوق]]</f>
        <v>-13650000</v>
      </c>
      <c r="G146" s="12">
        <f>IFERROR(INDEX('مانده سوفاله'!F:F,MATCH(Table219[[#This Row],[كد تفصيلي]],'مانده سوفاله'!A:A,0)),0)</f>
        <v>0</v>
      </c>
    </row>
    <row r="147" spans="1:7" customFormat="1" ht="26.25" customHeight="1" x14ac:dyDescent="0.35">
      <c r="A147" s="53">
        <v>30082</v>
      </c>
      <c r="B147" s="68" t="s">
        <v>127</v>
      </c>
      <c r="C147" s="10">
        <f>IFERROR(INDEX('حسابهای دریافتنی'!H:H,MATCH(Table219[[#This Row],[كد تفصيلي]],'حسابهای دریافتنی'!A:A,0)),0)</f>
        <v>-15037000</v>
      </c>
      <c r="D147" s="11">
        <f>IFERROR(INDEX('درجریان وصول'!F:F,MATCH(Table219[[#This Row],[كد تفصيلي]],'درجریان وصول'!A:A,0)),0)</f>
        <v>0</v>
      </c>
      <c r="E147" s="11">
        <f>IFERROR(INDEX('چکهای دریافتنی'!F:F,MATCH(Table219[[#This Row],[كد تفصيلي]],'چکهای دریافتنی'!A:A,0)),0)</f>
        <v>0</v>
      </c>
      <c r="F147" s="11">
        <f>Table219[[#This Row],[حسابهای دریافتنی]]+Table219[[#This Row],[چکهای در جریان وصول]]+Table219[[#This Row],[چکهای نزد صندوق]]</f>
        <v>-15037000</v>
      </c>
      <c r="G147" s="12">
        <f>IFERROR(INDEX('مانده سوفاله'!F:F,MATCH(Table219[[#This Row],[كد تفصيلي]],'مانده سوفاله'!A:A,0)),0)</f>
        <v>-16</v>
      </c>
    </row>
    <row r="148" spans="1:7" customFormat="1" ht="26.25" customHeight="1" x14ac:dyDescent="0.35">
      <c r="A148" s="54">
        <v>30034</v>
      </c>
      <c r="B148" s="69" t="s">
        <v>81</v>
      </c>
      <c r="C148" s="10">
        <f>IFERROR(INDEX('حسابهای دریافتنی'!H:H,MATCH(Table219[[#This Row],[كد تفصيلي]],'حسابهای دریافتنی'!A:A,0)),0)</f>
        <v>388329200</v>
      </c>
      <c r="D148" s="11">
        <f>IFERROR(INDEX('درجریان وصول'!F:F,MATCH(Table219[[#This Row],[كد تفصيلي]],'درجریان وصول'!A:A,0)),0)</f>
        <v>0</v>
      </c>
      <c r="E148" s="11">
        <f>IFERROR(INDEX('چکهای دریافتنی'!F:F,MATCH(Table219[[#This Row],[كد تفصيلي]],'چکهای دریافتنی'!A:A,0)),0)</f>
        <v>0</v>
      </c>
      <c r="F148" s="11">
        <f>Table219[[#This Row],[حسابهای دریافتنی]]+Table219[[#This Row],[چکهای در جریان وصول]]+Table219[[#This Row],[چکهای نزد صندوق]]</f>
        <v>388329200</v>
      </c>
      <c r="G148" s="12">
        <f>IFERROR(INDEX('مانده سوفاله'!F:F,MATCH(Table219[[#This Row],[كد تفصيلي]],'مانده سوفاله'!A:A,0)),0)</f>
        <v>2886</v>
      </c>
    </row>
    <row r="149" spans="1:7" customFormat="1" ht="26.25" customHeight="1" x14ac:dyDescent="0.35">
      <c r="A149" s="54">
        <v>30042</v>
      </c>
      <c r="B149" s="69" t="s">
        <v>89</v>
      </c>
      <c r="C149" s="10">
        <f>IFERROR(INDEX('حسابهای دریافتنی'!H:H,MATCH(Table219[[#This Row],[كد تفصيلي]],'حسابهای دریافتنی'!A:A,0)),0)</f>
        <v>-18303540</v>
      </c>
      <c r="D149" s="11">
        <f>IFERROR(INDEX('درجریان وصول'!F:F,MATCH(Table219[[#This Row],[كد تفصيلي]],'درجریان وصول'!A:A,0)),0)</f>
        <v>0</v>
      </c>
      <c r="E149" s="11">
        <f>IFERROR(INDEX('چکهای دریافتنی'!F:F,MATCH(Table219[[#This Row],[كد تفصيلي]],'چکهای دریافتنی'!A:A,0)),0)</f>
        <v>0</v>
      </c>
      <c r="F149" s="11">
        <f>Table219[[#This Row],[حسابهای دریافتنی]]+Table219[[#This Row],[چکهای در جریان وصول]]+Table219[[#This Row],[چکهای نزد صندوق]]</f>
        <v>-18303540</v>
      </c>
      <c r="G149" s="12">
        <f>IFERROR(INDEX('مانده سوفاله'!F:F,MATCH(Table219[[#This Row],[كد تفصيلي]],'مانده سوفاله'!A:A,0)),0)</f>
        <v>0</v>
      </c>
    </row>
    <row r="150" spans="1:7" customFormat="1" ht="26.25" customHeight="1" x14ac:dyDescent="0.35">
      <c r="A150" s="54">
        <v>30155</v>
      </c>
      <c r="B150" s="69" t="s">
        <v>289</v>
      </c>
      <c r="C150" s="10">
        <f>IFERROR(INDEX('حسابهای دریافتنی'!H:H,MATCH(Table219[[#This Row],[كد تفصيلي]],'حسابهای دریافتنی'!A:A,0)),0)</f>
        <v>-454985417</v>
      </c>
      <c r="D150" s="11">
        <f>IFERROR(INDEX('درجریان وصول'!F:F,MATCH(Table219[[#This Row],[كد تفصيلي]],'درجریان وصول'!A:A,0)),0)</f>
        <v>0</v>
      </c>
      <c r="E150" s="11">
        <f>IFERROR(INDEX('چکهای دریافتنی'!F:F,MATCH(Table219[[#This Row],[كد تفصيلي]],'چکهای دریافتنی'!A:A,0)),0)</f>
        <v>1379936267</v>
      </c>
      <c r="F150" s="11">
        <f>Table219[[#This Row],[حسابهای دریافتنی]]+Table219[[#This Row],[چکهای در جریان وصول]]+Table219[[#This Row],[چکهای نزد صندوق]]</f>
        <v>924950850</v>
      </c>
      <c r="G150" s="12">
        <f>IFERROR(INDEX('مانده سوفاله'!F:F,MATCH(Table219[[#This Row],[كد تفصيلي]],'مانده سوفاله'!A:A,0)),0)</f>
        <v>0</v>
      </c>
    </row>
    <row r="151" spans="1:7" customFormat="1" ht="26.25" customHeight="1" x14ac:dyDescent="0.35">
      <c r="A151" s="54">
        <v>30028</v>
      </c>
      <c r="B151" s="69" t="s">
        <v>76</v>
      </c>
      <c r="C151" s="10">
        <f>IFERROR(INDEX('حسابهای دریافتنی'!H:H,MATCH(Table219[[#This Row],[كد تفصيلي]],'حسابهای دریافتنی'!A:A,0)),0)</f>
        <v>-23665000</v>
      </c>
      <c r="D151" s="11">
        <f>IFERROR(INDEX('درجریان وصول'!F:F,MATCH(Table219[[#This Row],[كد تفصيلي]],'درجریان وصول'!A:A,0)),0)</f>
        <v>0</v>
      </c>
      <c r="E151" s="11">
        <f>IFERROR(INDEX('چکهای دریافتنی'!F:F,MATCH(Table219[[#This Row],[كد تفصيلي]],'چکهای دریافتنی'!A:A,0)),0)</f>
        <v>0</v>
      </c>
      <c r="F151" s="11">
        <f>Table219[[#This Row],[حسابهای دریافتنی]]+Table219[[#This Row],[چکهای در جریان وصول]]+Table219[[#This Row],[چکهای نزد صندوق]]</f>
        <v>-23665000</v>
      </c>
      <c r="G151" s="12">
        <f>IFERROR(INDEX('مانده سوفاله'!F:F,MATCH(Table219[[#This Row],[كد تفصيلي]],'مانده سوفاله'!A:A,0)),0)</f>
        <v>0</v>
      </c>
    </row>
    <row r="152" spans="1:7" customFormat="1" ht="26.25" customHeight="1" x14ac:dyDescent="0.35">
      <c r="A152" s="53">
        <v>30072</v>
      </c>
      <c r="B152" s="68" t="s">
        <v>117</v>
      </c>
      <c r="C152" s="10">
        <f>IFERROR(INDEX('حسابهای دریافتنی'!H:H,MATCH(Table219[[#This Row],[كد تفصيلي]],'حسابهای دریافتنی'!A:A,0)),0)</f>
        <v>-30178900</v>
      </c>
      <c r="D152" s="11">
        <f>IFERROR(INDEX('درجریان وصول'!F:F,MATCH(Table219[[#This Row],[كد تفصيلي]],'درجریان وصول'!A:A,0)),0)</f>
        <v>0</v>
      </c>
      <c r="E152" s="11">
        <f>IFERROR(INDEX('چکهای دریافتنی'!F:F,MATCH(Table219[[#This Row],[كد تفصيلي]],'چکهای دریافتنی'!A:A,0)),0)</f>
        <v>0</v>
      </c>
      <c r="F152" s="11">
        <f>Table219[[#This Row],[حسابهای دریافتنی]]+Table219[[#This Row],[چکهای در جریان وصول]]+Table219[[#This Row],[چکهای نزد صندوق]]</f>
        <v>-30178900</v>
      </c>
      <c r="G152" s="12">
        <f>IFERROR(INDEX('مانده سوفاله'!F:F,MATCH(Table219[[#This Row],[كد تفصيلي]],'مانده سوفاله'!A:A,0)),0)</f>
        <v>-79</v>
      </c>
    </row>
    <row r="153" spans="1:7" customFormat="1" ht="26.25" customHeight="1" x14ac:dyDescent="0.35">
      <c r="A153" s="53">
        <v>10029</v>
      </c>
      <c r="B153" s="68" t="s">
        <v>35</v>
      </c>
      <c r="C153" s="10">
        <f>IFERROR(INDEX('حسابهای دریافتنی'!H:H,MATCH(Table219[[#This Row],[كد تفصيلي]],'حسابهای دریافتنی'!A:A,0)),0)</f>
        <v>-1038298620</v>
      </c>
      <c r="D153" s="11">
        <f>IFERROR(INDEX('درجریان وصول'!F:F,MATCH(Table219[[#This Row],[كد تفصيلي]],'درجریان وصول'!A:A,0)),0)</f>
        <v>0</v>
      </c>
      <c r="E153" s="11">
        <f>IFERROR(INDEX('چکهای دریافتنی'!F:F,MATCH(Table219[[#This Row],[كد تفصيلي]],'چکهای دریافتنی'!A:A,0)),0)</f>
        <v>2019000000</v>
      </c>
      <c r="F153" s="11">
        <f>Table219[[#This Row],[حسابهای دریافتنی]]+Table219[[#This Row],[چکهای در جریان وصول]]+Table219[[#This Row],[چکهای نزد صندوق]]</f>
        <v>980701380</v>
      </c>
      <c r="G153" s="12">
        <f>IFERROR(INDEX('مانده سوفاله'!F:F,MATCH(Table219[[#This Row],[كد تفصيلي]],'مانده سوفاله'!A:A,0)),0)</f>
        <v>6603</v>
      </c>
    </row>
    <row r="154" spans="1:7" customFormat="1" ht="26.25" customHeight="1" x14ac:dyDescent="0.35">
      <c r="A154" s="53">
        <v>30064</v>
      </c>
      <c r="B154" s="68" t="s">
        <v>109</v>
      </c>
      <c r="C154" s="10">
        <f>IFERROR(INDEX('حسابهای دریافتنی'!H:H,MATCH(Table219[[#This Row],[كد تفصيلي]],'حسابهای دریافتنی'!A:A,0)),0)</f>
        <v>-49679500</v>
      </c>
      <c r="D154" s="11">
        <f>IFERROR(INDEX('درجریان وصول'!F:F,MATCH(Table219[[#This Row],[كد تفصيلي]],'درجریان وصول'!A:A,0)),0)</f>
        <v>0</v>
      </c>
      <c r="E154" s="11">
        <f>IFERROR(INDEX('چکهای دریافتنی'!F:F,MATCH(Table219[[#This Row],[كد تفصيلي]],'چکهای دریافتنی'!A:A,0)),0)</f>
        <v>0</v>
      </c>
      <c r="F154" s="11">
        <f>Table219[[#This Row],[حسابهای دریافتنی]]+Table219[[#This Row],[چکهای در جریان وصول]]+Table219[[#This Row],[چکهای نزد صندوق]]</f>
        <v>-49679500</v>
      </c>
      <c r="G154" s="12">
        <f>IFERROR(INDEX('مانده سوفاله'!F:F,MATCH(Table219[[#This Row],[كد تفصيلي]],'مانده سوفاله'!A:A,0)),0)</f>
        <v>0</v>
      </c>
    </row>
    <row r="155" spans="1:7" customFormat="1" ht="26.25" customHeight="1" x14ac:dyDescent="0.35">
      <c r="A155" s="54">
        <v>10123</v>
      </c>
      <c r="B155" s="69" t="s">
        <v>340</v>
      </c>
      <c r="C155" s="10">
        <f>IFERROR(INDEX('حسابهای دریافتنی'!H:H,MATCH(Table219[[#This Row],[كد تفصيلي]],'حسابهای دریافتنی'!A:A,0)),0)</f>
        <v>-50813000</v>
      </c>
      <c r="D155" s="11">
        <f>IFERROR(INDEX('درجریان وصول'!F:F,MATCH(Table219[[#This Row],[كد تفصيلي]],'درجریان وصول'!A:A,0)),0)</f>
        <v>0</v>
      </c>
      <c r="E155" s="11">
        <f>IFERROR(INDEX('چکهای دریافتنی'!F:F,MATCH(Table219[[#This Row],[كد تفصيلي]],'چکهای دریافتنی'!A:A,0)),0)</f>
        <v>0</v>
      </c>
      <c r="F155" s="11">
        <f>Table219[[#This Row],[حسابهای دریافتنی]]+Table219[[#This Row],[چکهای در جریان وصول]]+Table219[[#This Row],[چکهای نزد صندوق]]</f>
        <v>-50813000</v>
      </c>
      <c r="G155" s="12">
        <f>IFERROR(INDEX('مانده سوفاله'!F:F,MATCH(Table219[[#This Row],[كد تفصيلي]],'مانده سوفاله'!A:A,0)),0)</f>
        <v>0</v>
      </c>
    </row>
    <row r="156" spans="1:7" customFormat="1" ht="26.25" customHeight="1" x14ac:dyDescent="0.35">
      <c r="A156" s="54">
        <v>30000</v>
      </c>
      <c r="B156" s="69" t="s">
        <v>189</v>
      </c>
      <c r="C156" s="10">
        <f>IFERROR(INDEX('حسابهای دریافتنی'!H:H,MATCH(Table219[[#This Row],[كد تفصيلي]],'حسابهای دریافتنی'!A:A,0)),0)</f>
        <v>-55440000</v>
      </c>
      <c r="D156" s="11">
        <f>IFERROR(INDEX('درجریان وصول'!F:F,MATCH(Table219[[#This Row],[كد تفصيلي]],'درجریان وصول'!A:A,0)),0)</f>
        <v>0</v>
      </c>
      <c r="E156" s="11">
        <f>IFERROR(INDEX('چکهای دریافتنی'!F:F,MATCH(Table219[[#This Row],[كد تفصيلي]],'چکهای دریافتنی'!A:A,0)),0)</f>
        <v>0</v>
      </c>
      <c r="F156" s="11">
        <f>Table219[[#This Row],[حسابهای دریافتنی]]+Table219[[#This Row],[چکهای در جریان وصول]]+Table219[[#This Row],[چکهای نزد صندوق]]</f>
        <v>-55440000</v>
      </c>
      <c r="G156" s="12">
        <f>IFERROR(INDEX('مانده سوفاله'!F:F,MATCH(Table219[[#This Row],[كد تفصيلي]],'مانده سوفاله'!A:A,0)),0)</f>
        <v>0</v>
      </c>
    </row>
    <row r="157" spans="1:7" customFormat="1" ht="26.25" customHeight="1" x14ac:dyDescent="0.35">
      <c r="A157" s="53">
        <v>10093</v>
      </c>
      <c r="B157" s="68" t="s">
        <v>264</v>
      </c>
      <c r="C157" s="10">
        <f>IFERROR(INDEX('حسابهای دریافتنی'!H:H,MATCH(Table219[[#This Row],[كد تفصيلي]],'حسابهای دریافتنی'!A:A,0)),0)</f>
        <v>-2214000</v>
      </c>
      <c r="D157" s="11">
        <f>IFERROR(INDEX('درجریان وصول'!F:F,MATCH(Table219[[#This Row],[كد تفصيلي]],'درجریان وصول'!A:A,0)),0)</f>
        <v>0</v>
      </c>
      <c r="E157" s="11">
        <f>IFERROR(INDEX('چکهای دریافتنی'!F:F,MATCH(Table219[[#This Row],[كد تفصيلي]],'چکهای دریافتنی'!A:A,0)),0)</f>
        <v>0</v>
      </c>
      <c r="F157" s="11">
        <f>Table219[[#This Row],[حسابهای دریافتنی]]+Table219[[#This Row],[چکهای در جریان وصول]]+Table219[[#This Row],[چکهای نزد صندوق]]</f>
        <v>-2214000</v>
      </c>
      <c r="G157" s="12">
        <f>IFERROR(INDEX('مانده سوفاله'!F:F,MATCH(Table219[[#This Row],[كد تفصيلي]],'مانده سوفاله'!A:A,0)),0)</f>
        <v>0</v>
      </c>
    </row>
    <row r="158" spans="1:7" customFormat="1" ht="26.25" customHeight="1" x14ac:dyDescent="0.35">
      <c r="A158" s="54">
        <v>30133</v>
      </c>
      <c r="B158" s="69" t="s">
        <v>251</v>
      </c>
      <c r="C158" s="10">
        <f>IFERROR(INDEX('حسابهای دریافتنی'!H:H,MATCH(Table219[[#This Row],[كد تفصيلي]],'حسابهای دریافتنی'!A:A,0)),0)</f>
        <v>-66889500</v>
      </c>
      <c r="D158" s="11">
        <f>IFERROR(INDEX('درجریان وصول'!F:F,MATCH(Table219[[#This Row],[كد تفصيلي]],'درجریان وصول'!A:A,0)),0)</f>
        <v>0</v>
      </c>
      <c r="E158" s="11">
        <f>IFERROR(INDEX('چکهای دریافتنی'!F:F,MATCH(Table219[[#This Row],[كد تفصيلي]],'چکهای دریافتنی'!A:A,0)),0)</f>
        <v>0</v>
      </c>
      <c r="F158" s="11">
        <f>Table219[[#This Row],[حسابهای دریافتنی]]+Table219[[#This Row],[چکهای در جریان وصول]]+Table219[[#This Row],[چکهای نزد صندوق]]</f>
        <v>-66889500</v>
      </c>
      <c r="G158" s="12">
        <f>IFERROR(INDEX('مانده سوفاله'!F:F,MATCH(Table219[[#This Row],[كد تفصيلي]],'مانده سوفاله'!A:A,0)),0)</f>
        <v>0</v>
      </c>
    </row>
    <row r="159" spans="1:7" customFormat="1" ht="26.25" customHeight="1" x14ac:dyDescent="0.35">
      <c r="A159" s="53">
        <v>10089</v>
      </c>
      <c r="B159" s="68" t="s">
        <v>255</v>
      </c>
      <c r="C159" s="10">
        <f>IFERROR(INDEX('حسابهای دریافتنی'!H:H,MATCH(Table219[[#This Row],[كد تفصيلي]],'حسابهای دریافتنی'!A:A,0)),0)</f>
        <v>-143944000</v>
      </c>
      <c r="D159" s="11">
        <f>IFERROR(INDEX('درجریان وصول'!F:F,MATCH(Table219[[#This Row],[كد تفصيلي]],'درجریان وصول'!A:A,0)),0)</f>
        <v>0</v>
      </c>
      <c r="E159" s="11">
        <f>IFERROR(INDEX('چکهای دریافتنی'!F:F,MATCH(Table219[[#This Row],[كد تفصيلي]],'چکهای دریافتنی'!A:A,0)),0)</f>
        <v>0</v>
      </c>
      <c r="F159" s="11">
        <f>Table219[[#This Row],[حسابهای دریافتنی]]+Table219[[#This Row],[چکهای در جریان وصول]]+Table219[[#This Row],[چکهای نزد صندوق]]</f>
        <v>-143944000</v>
      </c>
      <c r="G159" s="12">
        <f>IFERROR(INDEX('مانده سوفاله'!F:F,MATCH(Table219[[#This Row],[كد تفصيلي]],'مانده سوفاله'!A:A,0)),0)</f>
        <v>-948</v>
      </c>
    </row>
    <row r="160" spans="1:7" customFormat="1" ht="26.25" customHeight="1" x14ac:dyDescent="0.35">
      <c r="A160" s="53">
        <v>30017</v>
      </c>
      <c r="B160" s="68" t="s">
        <v>65</v>
      </c>
      <c r="C160" s="10">
        <f>IFERROR(INDEX('حسابهای دریافتنی'!H:H,MATCH(Table219[[#This Row],[كد تفصيلي]],'حسابهای دریافتنی'!A:A,0)),0)</f>
        <v>905000830</v>
      </c>
      <c r="D160" s="11">
        <f>IFERROR(INDEX('درجریان وصول'!F:F,MATCH(Table219[[#This Row],[كد تفصيلي]],'درجریان وصول'!A:A,0)),0)</f>
        <v>0</v>
      </c>
      <c r="E160" s="11">
        <f>IFERROR(INDEX('چکهای دریافتنی'!F:F,MATCH(Table219[[#This Row],[كد تفصيلي]],'چکهای دریافتنی'!A:A,0)),0)</f>
        <v>0</v>
      </c>
      <c r="F160" s="11">
        <f>Table219[[#This Row],[حسابهای دریافتنی]]+Table219[[#This Row],[چکهای در جریان وصول]]+Table219[[#This Row],[چکهای نزد صندوق]]</f>
        <v>905000830</v>
      </c>
      <c r="G160" s="12">
        <f>IFERROR(INDEX('مانده سوفاله'!F:F,MATCH(Table219[[#This Row],[كد تفصيلي]],'مانده سوفاله'!A:A,0)),0)</f>
        <v>-2186</v>
      </c>
    </row>
    <row r="161" spans="1:7" customFormat="1" ht="26.25" customHeight="1" x14ac:dyDescent="0.35">
      <c r="A161" s="54">
        <v>30016</v>
      </c>
      <c r="B161" s="69" t="s">
        <v>253</v>
      </c>
      <c r="C161" s="10">
        <f>IFERROR(INDEX('حسابهای دریافتنی'!H:H,MATCH(Table219[[#This Row],[كد تفصيلي]],'حسابهای دریافتنی'!A:A,0)),0)</f>
        <v>0</v>
      </c>
      <c r="D161" s="11">
        <f>IFERROR(INDEX('درجریان وصول'!F:F,MATCH(Table219[[#This Row],[كد تفصيلي]],'درجریان وصول'!A:A,0)),0)</f>
        <v>0</v>
      </c>
      <c r="E161" s="11">
        <f>IFERROR(INDEX('چکهای دریافتنی'!F:F,MATCH(Table219[[#This Row],[كد تفصيلي]],'چکهای دریافتنی'!A:A,0)),0)</f>
        <v>0</v>
      </c>
      <c r="F161" s="11">
        <f>Table219[[#This Row],[حسابهای دریافتنی]]+Table219[[#This Row],[چکهای در جریان وصول]]+Table219[[#This Row],[چکهای نزد صندوق]]</f>
        <v>0</v>
      </c>
      <c r="G161" s="12">
        <f>IFERROR(INDEX('مانده سوفاله'!F:F,MATCH(Table219[[#This Row],[كد تفصيلي]],'مانده سوفاله'!A:A,0)),0)</f>
        <v>0</v>
      </c>
    </row>
    <row r="162" spans="1:7" customFormat="1" ht="26.25" customHeight="1" x14ac:dyDescent="0.35">
      <c r="A162" s="53">
        <v>10009</v>
      </c>
      <c r="B162" s="68" t="s">
        <v>16</v>
      </c>
      <c r="C162" s="10">
        <f>IFERROR(INDEX('حسابهای دریافتنی'!H:H,MATCH(Table219[[#This Row],[كد تفصيلي]],'حسابهای دریافتنی'!A:A,0)),0)</f>
        <v>-4260580000</v>
      </c>
      <c r="D162" s="11">
        <f>IFERROR(INDEX('درجریان وصول'!F:F,MATCH(Table219[[#This Row],[كد تفصيلي]],'درجریان وصول'!A:A,0)),0)</f>
        <v>0</v>
      </c>
      <c r="E162" s="11">
        <f>IFERROR(INDEX('چکهای دریافتنی'!F:F,MATCH(Table219[[#This Row],[كد تفصيلي]],'چکهای دریافتنی'!A:A,0)),0)</f>
        <v>1600000000</v>
      </c>
      <c r="F162" s="11">
        <f>Table219[[#This Row],[حسابهای دریافتنی]]+Table219[[#This Row],[چکهای در جریان وصول]]+Table219[[#This Row],[چکهای نزد صندوق]]</f>
        <v>-2660580000</v>
      </c>
      <c r="G162" s="12">
        <f>IFERROR(INDEX('مانده سوفاله'!F:F,MATCH(Table219[[#This Row],[كد تفصيلي]],'مانده سوفاله'!A:A,0)),0)</f>
        <v>9952</v>
      </c>
    </row>
    <row r="163" spans="1:7" customFormat="1" ht="26.25" customHeight="1" x14ac:dyDescent="0.35">
      <c r="A163" s="53">
        <v>10079</v>
      </c>
      <c r="B163" s="68" t="s">
        <v>174</v>
      </c>
      <c r="C163" s="10">
        <f>IFERROR(INDEX('حسابهای دریافتنی'!H:H,MATCH(Table219[[#This Row],[كد تفصيلي]],'حسابهای دریافتنی'!A:A,0)),0)</f>
        <v>-226593500</v>
      </c>
      <c r="D163" s="11">
        <f>IFERROR(INDEX('درجریان وصول'!F:F,MATCH(Table219[[#This Row],[كد تفصيلي]],'درجریان وصول'!A:A,0)),0)</f>
        <v>0</v>
      </c>
      <c r="E163" s="11">
        <f>IFERROR(INDEX('چکهای دریافتنی'!F:F,MATCH(Table219[[#This Row],[كد تفصيلي]],'چکهای دریافتنی'!A:A,0)),0)</f>
        <v>0</v>
      </c>
      <c r="F163" s="11">
        <f>Table219[[#This Row],[حسابهای دریافتنی]]+Table219[[#This Row],[چکهای در جریان وصول]]+Table219[[#This Row],[چکهای نزد صندوق]]</f>
        <v>-226593500</v>
      </c>
      <c r="G163" s="12">
        <f>IFERROR(INDEX('مانده سوفاله'!F:F,MATCH(Table219[[#This Row],[كد تفصيلي]],'مانده سوفاله'!A:A,0)),0)</f>
        <v>0</v>
      </c>
    </row>
    <row r="164" spans="1:7" customFormat="1" ht="26.25" customHeight="1" x14ac:dyDescent="0.35">
      <c r="A164" s="53">
        <v>10019</v>
      </c>
      <c r="B164" s="68" t="s">
        <v>26</v>
      </c>
      <c r="C164" s="10">
        <f>IFERROR(INDEX('حسابهای دریافتنی'!H:H,MATCH(Table219[[#This Row],[كد تفصيلي]],'حسابهای دریافتنی'!A:A,0)),0)</f>
        <v>0</v>
      </c>
      <c r="D164" s="11">
        <f>IFERROR(INDEX('درجریان وصول'!F:F,MATCH(Table219[[#This Row],[كد تفصيلي]],'درجریان وصول'!A:A,0)),0)</f>
        <v>0</v>
      </c>
      <c r="E164" s="11">
        <f>IFERROR(INDEX('چکهای دریافتنی'!F:F,MATCH(Table219[[#This Row],[كد تفصيلي]],'چکهای دریافتنی'!A:A,0)),0)</f>
        <v>0</v>
      </c>
      <c r="F164" s="11">
        <f>Table219[[#This Row],[حسابهای دریافتنی]]+Table219[[#This Row],[چکهای در جریان وصول]]+Table219[[#This Row],[چکهای نزد صندوق]]</f>
        <v>0</v>
      </c>
      <c r="G164" s="12">
        <f>IFERROR(INDEX('مانده سوفاله'!F:F,MATCH(Table219[[#This Row],[كد تفصيلي]],'مانده سوفاله'!A:A,0)),0)</f>
        <v>285</v>
      </c>
    </row>
    <row r="165" spans="1:7" ht="26.25" customHeight="1" x14ac:dyDescent="0.35">
      <c r="A165" s="27">
        <v>30179</v>
      </c>
      <c r="B165" s="69" t="s">
        <v>336</v>
      </c>
      <c r="C165" s="10">
        <f>IFERROR(INDEX('حسابهای دریافتنی'!H:H,MATCH(Table219[[#This Row],[كد تفصيلي]],'حسابهای دریافتنی'!A:A,0)),0)</f>
        <v>-637200</v>
      </c>
      <c r="D165" s="11">
        <f>IFERROR(INDEX('درجریان وصول'!F:F,MATCH(Table219[[#This Row],[كد تفصيلي]],'درجریان وصول'!A:A,0)),0)</f>
        <v>0</v>
      </c>
      <c r="E165" s="11">
        <f>IFERROR(INDEX('چکهای دریافتنی'!F:F,MATCH(Table219[[#This Row],[كد تفصيلي]],'چکهای دریافتنی'!A:A,0)),0)</f>
        <v>0</v>
      </c>
      <c r="F165" s="11">
        <f>Table219[[#This Row],[حسابهای دریافتنی]]+Table219[[#This Row],[چکهای در جریان وصول]]+Table219[[#This Row],[چکهای نزد صندوق]]</f>
        <v>-637200</v>
      </c>
      <c r="G165" s="12">
        <f>IFERROR(INDEX('مانده سوفاله'!F:F,MATCH(Table219[[#This Row],[كد تفصيلي]],'مانده سوفاله'!A:A,0)),0)</f>
        <v>0</v>
      </c>
    </row>
    <row r="166" spans="1:7" ht="26.25" customHeight="1" x14ac:dyDescent="0.35">
      <c r="A166" s="26">
        <v>50005</v>
      </c>
      <c r="B166" s="68" t="s">
        <v>148</v>
      </c>
      <c r="C166" s="10">
        <f>IFERROR(INDEX('حسابهای دریافتنی'!H:H,MATCH(Table219[[#This Row],[كد تفصيلي]],'حسابهای دریافتنی'!A:A,0)),0)</f>
        <v>0</v>
      </c>
      <c r="D166" s="11">
        <f>IFERROR(INDEX('درجریان وصول'!F:F,MATCH(Table219[[#This Row],[كد تفصيلي]],'درجریان وصول'!A:A,0)),0)</f>
        <v>0</v>
      </c>
      <c r="E166" s="11">
        <f>IFERROR(INDEX('چکهای دریافتنی'!F:F,MATCH(Table219[[#This Row],[كد تفصيلي]],'چکهای دریافتنی'!A:A,0)),0)</f>
        <v>0</v>
      </c>
      <c r="F166" s="11">
        <f>Table219[[#This Row],[حسابهای دریافتنی]]+Table219[[#This Row],[چکهای در جریان وصول]]+Table219[[#This Row],[چکهای نزد صندوق]]</f>
        <v>0</v>
      </c>
      <c r="G166" s="12">
        <f>IFERROR(INDEX('مانده سوفاله'!F:F,MATCH(Table219[[#This Row],[كد تفصيلي]],'مانده سوفاله'!A:A,0)),0)</f>
        <v>0</v>
      </c>
    </row>
    <row r="167" spans="1:7" ht="26.25" customHeight="1" x14ac:dyDescent="0.35">
      <c r="A167" s="27">
        <v>30187</v>
      </c>
      <c r="B167" s="69" t="s">
        <v>369</v>
      </c>
      <c r="C167" s="10">
        <f>IFERROR(INDEX('حسابهای دریافتنی'!H:H,MATCH(Table219[[#This Row],[كد تفصيلي]],'حسابهای دریافتنی'!A:A,0)),0)</f>
        <v>337825500</v>
      </c>
      <c r="D167" s="11">
        <f>IFERROR(INDEX('درجریان وصول'!F:F,MATCH(Table219[[#This Row],[كد تفصيلي]],'درجریان وصول'!A:A,0)),0)</f>
        <v>0</v>
      </c>
      <c r="E167" s="11">
        <f>IFERROR(INDEX('چکهای دریافتنی'!F:F,MATCH(Table219[[#This Row],[كد تفصيلي]],'چکهای دریافتنی'!A:A,0)),0)</f>
        <v>0</v>
      </c>
      <c r="F167" s="11">
        <f>Table219[[#This Row],[حسابهای دریافتنی]]+Table219[[#This Row],[چکهای در جریان وصول]]+Table219[[#This Row],[چکهای نزد صندوق]]</f>
        <v>337825500</v>
      </c>
      <c r="G167" s="12">
        <f>IFERROR(INDEX('مانده سوفاله'!F:F,MATCH(Table219[[#This Row],[كد تفصيلي]],'مانده سوفاله'!A:A,0)),0)</f>
        <v>-108</v>
      </c>
    </row>
    <row r="168" spans="1:7" ht="26.25" customHeight="1" x14ac:dyDescent="0.35">
      <c r="A168" s="27">
        <v>10018</v>
      </c>
      <c r="B168" s="69" t="s">
        <v>25</v>
      </c>
      <c r="C168" s="10">
        <f>IFERROR(INDEX('حسابهای دریافتنی'!H:H,MATCH(Table219[[#This Row],[كد تفصيلي]],'حسابهای دریافتنی'!A:A,0)),0)</f>
        <v>95282000</v>
      </c>
      <c r="D168" s="11">
        <f>IFERROR(INDEX('درجریان وصول'!F:F,MATCH(Table219[[#This Row],[كد تفصيلي]],'درجریان وصول'!A:A,0)),0)</f>
        <v>0</v>
      </c>
      <c r="E168" s="11">
        <f>IFERROR(INDEX('چکهای دریافتنی'!F:F,MATCH(Table219[[#This Row],[كد تفصيلي]],'چکهای دریافتنی'!A:A,0)),0)</f>
        <v>0</v>
      </c>
      <c r="F168" s="11">
        <f>Table219[[#This Row],[حسابهای دریافتنی]]+Table219[[#This Row],[چکهای در جریان وصول]]+Table219[[#This Row],[چکهای نزد صندوق]]</f>
        <v>95282000</v>
      </c>
      <c r="G168" s="12">
        <f>IFERROR(INDEX('مانده سوفاله'!F:F,MATCH(Table219[[#This Row],[كد تفصيلي]],'مانده سوفاله'!A:A,0)),0)</f>
        <v>-32</v>
      </c>
    </row>
    <row r="169" spans="1:7" ht="26.25" customHeight="1" x14ac:dyDescent="0.35">
      <c r="A169" s="26">
        <v>30182</v>
      </c>
      <c r="B169" s="68" t="s">
        <v>342</v>
      </c>
      <c r="C169" s="10">
        <f>IFERROR(INDEX('حسابهای دریافتنی'!H:H,MATCH(Table219[[#This Row],[كد تفصيلي]],'حسابهای دریافتنی'!A:A,0)),0)</f>
        <v>-528256400</v>
      </c>
      <c r="D169" s="11">
        <f>IFERROR(INDEX('درجریان وصول'!F:F,MATCH(Table219[[#This Row],[كد تفصيلي]],'درجریان وصول'!A:A,0)),0)</f>
        <v>0</v>
      </c>
      <c r="E169" s="11">
        <f>IFERROR(INDEX('چکهای دریافتنی'!F:F,MATCH(Table219[[#This Row],[كد تفصيلي]],'چکهای دریافتنی'!A:A,0)),0)</f>
        <v>0</v>
      </c>
      <c r="F169" s="11">
        <f>Table219[[#This Row],[حسابهای دریافتنی]]+Table219[[#This Row],[چکهای در جریان وصول]]+Table219[[#This Row],[چکهای نزد صندوق]]</f>
        <v>-528256400</v>
      </c>
      <c r="G169" s="12">
        <f>IFERROR(INDEX('مانده سوفاله'!F:F,MATCH(Table219[[#This Row],[كد تفصيلي]],'مانده سوفاله'!A:A,0)),0)</f>
        <v>0</v>
      </c>
    </row>
    <row r="170" spans="1:7" ht="26.25" customHeight="1" x14ac:dyDescent="0.35">
      <c r="A170" s="27">
        <v>50008</v>
      </c>
      <c r="B170" s="69" t="s">
        <v>146</v>
      </c>
      <c r="C170" s="10">
        <f>IFERROR(INDEX('حسابهای دریافتنی'!H:H,MATCH(Table219[[#This Row],[كد تفصيلي]],'حسابهای دریافتنی'!A:A,0)),0)</f>
        <v>-406230000</v>
      </c>
      <c r="D170" s="11">
        <f>IFERROR(INDEX('درجریان وصول'!F:F,MATCH(Table219[[#This Row],[كد تفصيلي]],'درجریان وصول'!A:A,0)),0)</f>
        <v>0</v>
      </c>
      <c r="E170" s="11">
        <f>IFERROR(INDEX('چکهای دریافتنی'!F:F,MATCH(Table219[[#This Row],[كد تفصيلي]],'چکهای دریافتنی'!A:A,0)),0)</f>
        <v>0</v>
      </c>
      <c r="F170" s="11">
        <f>Table219[[#This Row],[حسابهای دریافتنی]]+Table219[[#This Row],[چکهای در جریان وصول]]+Table219[[#This Row],[چکهای نزد صندوق]]</f>
        <v>-406230000</v>
      </c>
      <c r="G170" s="12">
        <f>IFERROR(INDEX('مانده سوفاله'!F:F,MATCH(Table219[[#This Row],[كد تفصيلي]],'مانده سوفاله'!A:A,0)),0)</f>
        <v>0</v>
      </c>
    </row>
    <row r="171" spans="1:7" ht="26.25" customHeight="1" x14ac:dyDescent="0.35">
      <c r="A171" s="27">
        <v>30040</v>
      </c>
      <c r="B171" s="69" t="s">
        <v>87</v>
      </c>
      <c r="C171" s="10">
        <f>IFERROR(INDEX('حسابهای دریافتنی'!H:H,MATCH(Table219[[#This Row],[كد تفصيلي]],'حسابهای دریافتنی'!A:A,0)),0)</f>
        <v>0</v>
      </c>
      <c r="D171" s="11">
        <f>IFERROR(INDEX('درجریان وصول'!F:F,MATCH(Table219[[#This Row],[كد تفصيلي]],'درجریان وصول'!A:A,0)),0)</f>
        <v>0</v>
      </c>
      <c r="E171" s="11">
        <f>IFERROR(INDEX('چکهای دریافتنی'!F:F,MATCH(Table219[[#This Row],[كد تفصيلي]],'چکهای دریافتنی'!A:A,0)),0)</f>
        <v>0</v>
      </c>
      <c r="F171" s="11">
        <f>Table219[[#This Row],[حسابهای دریافتنی]]+Table219[[#This Row],[چکهای در جریان وصول]]+Table219[[#This Row],[چکهای نزد صندوق]]</f>
        <v>0</v>
      </c>
      <c r="G171" s="12">
        <f>IFERROR(INDEX('مانده سوفاله'!F:F,MATCH(Table219[[#This Row],[كد تفصيلي]],'مانده سوفاله'!A:A,0)),0)</f>
        <v>0</v>
      </c>
    </row>
    <row r="172" spans="1:7" ht="26.25" customHeight="1" x14ac:dyDescent="0.35">
      <c r="A172" s="26">
        <v>79120</v>
      </c>
      <c r="B172" s="68" t="s">
        <v>195</v>
      </c>
      <c r="C172" s="10">
        <f>IFERROR(INDEX('حسابهای دریافتنی'!H:H,MATCH(Table219[[#This Row],[كد تفصيلي]],'حسابهای دریافتنی'!A:A,0)),0)</f>
        <v>-15776160000</v>
      </c>
      <c r="D172" s="11">
        <f>IFERROR(INDEX('درجریان وصول'!F:F,MATCH(Table219[[#This Row],[كد تفصيلي]],'درجریان وصول'!A:A,0)),0)</f>
        <v>0</v>
      </c>
      <c r="E172" s="11">
        <f>IFERROR(INDEX('چکهای دریافتنی'!F:F,MATCH(Table219[[#This Row],[كد تفصيلي]],'چکهای دریافتنی'!A:A,0)),0)</f>
        <v>0</v>
      </c>
      <c r="F172" s="11">
        <f>Table219[[#This Row],[حسابهای دریافتنی]]+Table219[[#This Row],[چکهای در جریان وصول]]+Table219[[#This Row],[چکهای نزد صندوق]]</f>
        <v>-15776160000</v>
      </c>
      <c r="G172" s="12">
        <f>IFERROR(INDEX('مانده سوفاله'!F:F,MATCH(Table219[[#This Row],[كد تفصيلي]],'مانده سوفاله'!A:A,0)),0)</f>
        <v>0</v>
      </c>
    </row>
    <row r="173" spans="1:7" ht="26.25" customHeight="1" x14ac:dyDescent="0.35">
      <c r="A173" s="27">
        <v>30131</v>
      </c>
      <c r="B173" s="69" t="s">
        <v>213</v>
      </c>
      <c r="C173" s="10">
        <f>IFERROR(INDEX('حسابهای دریافتنی'!H:H,MATCH(Table219[[#This Row],[كد تفصيلي]],'حسابهای دریافتنی'!A:A,0)),0)</f>
        <v>-6228486500</v>
      </c>
      <c r="D173" s="11">
        <f>IFERROR(INDEX('درجریان وصول'!F:F,MATCH(Table219[[#This Row],[كد تفصيلي]],'درجریان وصول'!A:A,0)),0)</f>
        <v>0</v>
      </c>
      <c r="E173" s="11">
        <f>IFERROR(INDEX('چکهای دریافتنی'!F:F,MATCH(Table219[[#This Row],[كد تفصيلي]],'چکهای دریافتنی'!A:A,0)),0)</f>
        <v>0</v>
      </c>
      <c r="F173" s="11">
        <f>Table219[[#This Row],[حسابهای دریافتنی]]+Table219[[#This Row],[چکهای در جریان وصول]]+Table219[[#This Row],[چکهای نزد صندوق]]</f>
        <v>-6228486500</v>
      </c>
      <c r="G173" s="12">
        <f>IFERROR(INDEX('مانده سوفاله'!F:F,MATCH(Table219[[#This Row],[كد تفصيلي]],'مانده سوفاله'!A:A,0)),0)</f>
        <v>222</v>
      </c>
    </row>
    <row r="174" spans="1:7" ht="26.25" customHeight="1" x14ac:dyDescent="0.35">
      <c r="A174" s="26">
        <v>30066</v>
      </c>
      <c r="B174" s="68" t="s">
        <v>111</v>
      </c>
      <c r="C174" s="10">
        <f>IFERROR(INDEX('حسابهای دریافتنی'!H:H,MATCH(Table219[[#This Row],[كد تفصيلي]],'حسابهای دریافتنی'!A:A,0)),0)</f>
        <v>6484147500</v>
      </c>
      <c r="D174" s="11">
        <f>IFERROR(INDEX('درجریان وصول'!F:F,MATCH(Table219[[#This Row],[كد تفصيلي]],'درجریان وصول'!A:A,0)),0)</f>
        <v>0</v>
      </c>
      <c r="E174" s="11">
        <f>IFERROR(INDEX('چکهای دریافتنی'!F:F,MATCH(Table219[[#This Row],[كد تفصيلي]],'چکهای دریافتنی'!A:A,0)),0)</f>
        <v>0</v>
      </c>
      <c r="F174" s="11">
        <f>Table219[[#This Row],[حسابهای دریافتنی]]+Table219[[#This Row],[چکهای در جریان وصول]]+Table219[[#This Row],[چکهای نزد صندوق]]</f>
        <v>6484147500</v>
      </c>
      <c r="G174" s="12">
        <f>IFERROR(INDEX('مانده سوفاله'!F:F,MATCH(Table219[[#This Row],[كد تفصيلي]],'مانده سوفاله'!A:A,0)),0)</f>
        <v>-1320</v>
      </c>
    </row>
    <row r="175" spans="1:7" ht="26.25" customHeight="1" x14ac:dyDescent="0.35">
      <c r="A175" s="26">
        <v>30184</v>
      </c>
      <c r="B175" s="68" t="s">
        <v>368</v>
      </c>
      <c r="C175" s="10">
        <f>IFERROR(INDEX('حسابهای دریافتنی'!H:H,MATCH(Table219[[#This Row],[كد تفصيلي]],'حسابهای دریافتنی'!A:A,0)),0)</f>
        <v>904890480</v>
      </c>
      <c r="D175" s="11">
        <f>IFERROR(INDEX('درجریان وصول'!F:F,MATCH(Table219[[#This Row],[كد تفصيلي]],'درجریان وصول'!A:A,0)),0)</f>
        <v>0</v>
      </c>
      <c r="E175" s="11">
        <f>IFERROR(INDEX('چکهای دریافتنی'!F:F,MATCH(Table219[[#This Row],[كد تفصيلي]],'چکهای دریافتنی'!A:A,0)),0)</f>
        <v>0</v>
      </c>
      <c r="F175" s="11">
        <f>Table219[[#This Row],[حسابهای دریافتنی]]+Table219[[#This Row],[چکهای در جریان وصول]]+Table219[[#This Row],[چکهای نزد صندوق]]</f>
        <v>904890480</v>
      </c>
      <c r="G175" s="12">
        <f>IFERROR(INDEX('مانده سوفاله'!F:F,MATCH(Table219[[#This Row],[كد تفصيلي]],'مانده سوفاله'!A:A,0)),0)</f>
        <v>-100</v>
      </c>
    </row>
    <row r="176" spans="1:7" ht="26.25" customHeight="1" x14ac:dyDescent="0.35">
      <c r="A176" s="26">
        <v>30156</v>
      </c>
      <c r="B176" s="68" t="s">
        <v>290</v>
      </c>
      <c r="C176" s="10">
        <f>IFERROR(INDEX('حسابهای دریافتنی'!H:H,MATCH(Table219[[#This Row],[كد تفصيلي]],'حسابهای دریافتنی'!A:A,0)),0)</f>
        <v>-180917500</v>
      </c>
      <c r="D176" s="11">
        <f>IFERROR(INDEX('درجریان وصول'!F:F,MATCH(Table219[[#This Row],[كد تفصيلي]],'درجریان وصول'!A:A,0)),0)</f>
        <v>0</v>
      </c>
      <c r="E176" s="11">
        <f>IFERROR(INDEX('چکهای دریافتنی'!F:F,MATCH(Table219[[#This Row],[كد تفصيلي]],'چکهای دریافتنی'!A:A,0)),0)</f>
        <v>0</v>
      </c>
      <c r="F176" s="11">
        <f>Table219[[#This Row],[حسابهای دریافتنی]]+Table219[[#This Row],[چکهای در جریان وصول]]+Table219[[#This Row],[چکهای نزد صندوق]]</f>
        <v>-180917500</v>
      </c>
      <c r="G176" s="12">
        <f>IFERROR(INDEX('مانده سوفاله'!F:F,MATCH(Table219[[#This Row],[كد تفصيلي]],'مانده سوفاله'!A:A,0)),0)</f>
        <v>0</v>
      </c>
    </row>
    <row r="177" spans="1:7" ht="26.25" customHeight="1" x14ac:dyDescent="0.35">
      <c r="A177" s="27">
        <v>79043</v>
      </c>
      <c r="B177" s="69" t="s">
        <v>501</v>
      </c>
      <c r="C177" s="10">
        <f>IFERROR(INDEX('حسابهای دریافتنی'!H:H,MATCH(Table219[[#This Row],[كد تفصيلي]],'حسابهای دریافتنی'!A:A,0)),0)</f>
        <v>-16110730000</v>
      </c>
      <c r="D177" s="11">
        <f>IFERROR(INDEX('درجریان وصول'!F:F,MATCH(Table219[[#This Row],[كد تفصيلي]],'درجریان وصول'!A:A,0)),0)</f>
        <v>0</v>
      </c>
      <c r="E177" s="11">
        <f>IFERROR(INDEX('چکهای دریافتنی'!F:F,MATCH(Table219[[#This Row],[كد تفصيلي]],'چکهای دریافتنی'!A:A,0)),0)</f>
        <v>0</v>
      </c>
      <c r="F177" s="11">
        <f>Table219[[#This Row],[حسابهای دریافتنی]]+Table219[[#This Row],[چکهای در جریان وصول]]+Table219[[#This Row],[چکهای نزد صندوق]]</f>
        <v>-16110730000</v>
      </c>
      <c r="G177" s="12">
        <f>IFERROR(INDEX('مانده سوفاله'!F:F,MATCH(Table219[[#This Row],[كد تفصيلي]],'مانده سوفاله'!A:A,0)),0)</f>
        <v>0</v>
      </c>
    </row>
    <row r="178" spans="1:7" ht="26.25" customHeight="1" x14ac:dyDescent="0.35">
      <c r="A178" s="36"/>
      <c r="B178" s="66"/>
      <c r="C178" s="38">
        <f>SUBTOTAL(109,Table219[حسابهای دریافتنی])</f>
        <v>57805140279</v>
      </c>
      <c r="D178" s="38">
        <f>SUBTOTAL(109,Table219[چکهای در جریان وصول])</f>
        <v>0</v>
      </c>
      <c r="E178" s="38">
        <f>SUBTOTAL(109,Table219[چکهای نزد صندوق])</f>
        <v>62507828942</v>
      </c>
      <c r="F178" s="38"/>
      <c r="G178" s="39">
        <f>SUBTOTAL(109,Table219[مانده سوفاله])</f>
        <v>-132540.5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73"/>
  <sheetViews>
    <sheetView rightToLeft="1" topLeftCell="A160" workbookViewId="0">
      <selection activeCell="A86" sqref="A86:XFD86"/>
    </sheetView>
  </sheetViews>
  <sheetFormatPr defaultColWidth="9.08984375" defaultRowHeight="21.75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0.5" customHeight="1" thickBot="1" x14ac:dyDescent="0.4">
      <c r="A1" s="97" t="s">
        <v>502</v>
      </c>
      <c r="B1" s="98"/>
      <c r="C1" s="98"/>
      <c r="D1" s="98"/>
      <c r="E1" s="98"/>
      <c r="F1" s="98"/>
      <c r="G1" s="99"/>
    </row>
    <row r="2" spans="1:7" s="2" customFormat="1" ht="48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1.75" customHeight="1" x14ac:dyDescent="0.35">
      <c r="A3" s="27">
        <v>10026</v>
      </c>
      <c r="B3" s="55" t="s">
        <v>32</v>
      </c>
      <c r="C3" s="10">
        <f>IFERROR(INDEX('حسابهای دریافتنی'!H:H,MATCH(Table220[[#This Row],[كد تفصيلي]],'حسابهای دریافتنی'!A:A,0)),0)</f>
        <v>3795031844</v>
      </c>
      <c r="D3" s="11">
        <f>IFERROR(INDEX('درجریان وصول'!F:F,MATCH(Table220[[#This Row],[كد تفصيلي]],'درجریان وصول'!A:A,0)),0)</f>
        <v>0</v>
      </c>
      <c r="E3" s="11">
        <f>IFERROR(INDEX('چکهای دریافتنی'!F:F,MATCH(Table220[[#This Row],[كد تفصيلي]],'چکهای دریافتنی'!A:A,0)),0)</f>
        <v>2690000000</v>
      </c>
      <c r="F3" s="11">
        <f>Table220[[#This Row],[حسابهای دریافتنی]]+Table220[[#This Row],[چکهای در جریان وصول]]+Table220[[#This Row],[چکهای نزد صندوق]]</f>
        <v>6485031844</v>
      </c>
      <c r="G3" s="12">
        <f>IFERROR(INDEX('مانده سوفاله'!F:F,MATCH(Table220[[#This Row],[كد تفصيلي]],'مانده سوفاله'!A:A,0)),0)</f>
        <v>-12543</v>
      </c>
    </row>
    <row r="4" spans="1:7" ht="21.75" customHeight="1" x14ac:dyDescent="0.35">
      <c r="A4" s="27">
        <v>30127</v>
      </c>
      <c r="B4" s="55" t="s">
        <v>163</v>
      </c>
      <c r="C4" s="10">
        <f>IFERROR(INDEX('حسابهای دریافتنی'!H:H,MATCH(Table220[[#This Row],[كد تفصيلي]],'حسابهای دریافتنی'!A:A,0)),0)</f>
        <v>31800110000</v>
      </c>
      <c r="D4" s="11">
        <f>IFERROR(INDEX('درجریان وصول'!F:F,MATCH(Table220[[#This Row],[كد تفصيلي]],'درجریان وصول'!A:A,0)),0)</f>
        <v>0</v>
      </c>
      <c r="E4" s="11">
        <f>IFERROR(INDEX('چکهای دریافتنی'!F:F,MATCH(Table220[[#This Row],[كد تفصيلي]],'چکهای دریافتنی'!A:A,0)),0)</f>
        <v>0</v>
      </c>
      <c r="F4" s="11">
        <f>Table220[[#This Row],[حسابهای دریافتنی]]+Table220[[#This Row],[چکهای در جریان وصول]]+Table220[[#This Row],[چکهای نزد صندوق]]</f>
        <v>31800110000</v>
      </c>
      <c r="G4" s="12">
        <f>IFERROR(INDEX('مانده سوفاله'!F:F,MATCH(Table220[[#This Row],[كد تفصيلي]],'مانده سوفاله'!A:A,0)),0)</f>
        <v>-18472</v>
      </c>
    </row>
    <row r="5" spans="1:7" ht="21.75" customHeight="1" x14ac:dyDescent="0.35">
      <c r="A5" s="26">
        <v>10003</v>
      </c>
      <c r="B5" s="56" t="s">
        <v>10</v>
      </c>
      <c r="C5" s="10">
        <f>IFERROR(INDEX('حسابهای دریافتنی'!H:H,MATCH(Table220[[#This Row],[كد تفصيلي]],'حسابهای دریافتنی'!A:A,0)),0)</f>
        <v>10804267992</v>
      </c>
      <c r="D5" s="11">
        <f>IFERROR(INDEX('درجریان وصول'!F:F,MATCH(Table220[[#This Row],[كد تفصيلي]],'درجریان وصول'!A:A,0)),0)</f>
        <v>0</v>
      </c>
      <c r="E5" s="11">
        <f>IFERROR(INDEX('چکهای دریافتنی'!F:F,MATCH(Table220[[#This Row],[كد تفصيلي]],'چکهای دریافتنی'!A:A,0)),0)</f>
        <v>13698001280</v>
      </c>
      <c r="F5" s="11">
        <f>Table220[[#This Row],[حسابهای دریافتنی]]+Table220[[#This Row],[چکهای در جریان وصول]]+Table220[[#This Row],[چکهای نزد صندوق]]</f>
        <v>24502269272</v>
      </c>
      <c r="G5" s="12">
        <f>IFERROR(INDEX('مانده سوفاله'!F:F,MATCH(Table220[[#This Row],[كد تفصيلي]],'مانده سوفاله'!A:A,0)),0)</f>
        <v>-39886</v>
      </c>
    </row>
    <row r="6" spans="1:7" ht="21.75" customHeight="1" x14ac:dyDescent="0.35">
      <c r="A6" s="26">
        <v>30009</v>
      </c>
      <c r="B6" s="56" t="s">
        <v>164</v>
      </c>
      <c r="C6" s="10">
        <f>IFERROR(INDEX('حسابهای دریافتنی'!H:H,MATCH(Table220[[#This Row],[كد تفصيلي]],'حسابهای دریافتنی'!A:A,0)),0)</f>
        <v>7853844277</v>
      </c>
      <c r="D6" s="11">
        <f>IFERROR(INDEX('درجریان وصول'!F:F,MATCH(Table220[[#This Row],[كد تفصيلي]],'درجریان وصول'!A:A,0)),0)</f>
        <v>0</v>
      </c>
      <c r="E6" s="11">
        <f>IFERROR(INDEX('چکهای دریافتنی'!F:F,MATCH(Table220[[#This Row],[كد تفصيلي]],'چکهای دریافتنی'!A:A,0)),0)</f>
        <v>6474835380</v>
      </c>
      <c r="F6" s="11">
        <f>Table220[[#This Row],[حسابهای دریافتنی]]+Table220[[#This Row],[چکهای در جریان وصول]]+Table220[[#This Row],[چکهای نزد صندوق]]</f>
        <v>14328679657</v>
      </c>
      <c r="G6" s="12">
        <f>IFERROR(INDEX('مانده سوفاله'!F:F,MATCH(Table220[[#This Row],[كد تفصيلي]],'مانده سوفاله'!A:A,0)),0)</f>
        <v>-11452</v>
      </c>
    </row>
    <row r="7" spans="1:7" ht="21.75" customHeight="1" x14ac:dyDescent="0.35">
      <c r="A7" s="26">
        <v>10055</v>
      </c>
      <c r="B7" s="56" t="s">
        <v>162</v>
      </c>
      <c r="C7" s="10">
        <f>IFERROR(INDEX('حسابهای دریافتنی'!H:H,MATCH(Table220[[#This Row],[كد تفصيلي]],'حسابهای دریافتنی'!A:A,0)),0)</f>
        <v>10460111325</v>
      </c>
      <c r="D7" s="11">
        <f>IFERROR(INDEX('درجریان وصول'!F:F,MATCH(Table220[[#This Row],[كد تفصيلي]],'درجریان وصول'!A:A,0)),0)</f>
        <v>0</v>
      </c>
      <c r="E7" s="11">
        <f>IFERROR(INDEX('چکهای دریافتنی'!F:F,MATCH(Table220[[#This Row],[كد تفصيلي]],'چکهای دریافتنی'!A:A,0)),0)</f>
        <v>2783298655</v>
      </c>
      <c r="F7" s="11">
        <f>Table220[[#This Row],[حسابهای دریافتنی]]+Table220[[#This Row],[چکهای در جریان وصول]]+Table220[[#This Row],[چکهای نزد صندوق]]</f>
        <v>13243409980</v>
      </c>
      <c r="G7" s="12">
        <f>IFERROR(INDEX('مانده سوفاله'!F:F,MATCH(Table220[[#This Row],[كد تفصيلي]],'مانده سوفاله'!A:A,0)),0)</f>
        <v>-12714</v>
      </c>
    </row>
    <row r="8" spans="1:7" ht="21.75" customHeight="1" x14ac:dyDescent="0.35">
      <c r="A8" s="27">
        <v>30004</v>
      </c>
      <c r="B8" s="55" t="s">
        <v>54</v>
      </c>
      <c r="C8" s="10">
        <f>IFERROR(INDEX('حسابهای دریافتنی'!H:H,MATCH(Table220[[#This Row],[كد تفصيلي]],'حسابهای دریافتنی'!A:A,0)),0)</f>
        <v>7598548260</v>
      </c>
      <c r="D8" s="11">
        <f>IFERROR(INDEX('درجریان وصول'!F:F,MATCH(Table220[[#This Row],[كد تفصيلي]],'درجریان وصول'!A:A,0)),0)</f>
        <v>0</v>
      </c>
      <c r="E8" s="11">
        <f>IFERROR(INDEX('چکهای دریافتنی'!F:F,MATCH(Table220[[#This Row],[كد تفصيلي]],'چکهای دریافتنی'!A:A,0)),0)</f>
        <v>11698760000</v>
      </c>
      <c r="F8" s="11">
        <f>Table220[[#This Row],[حسابهای دریافتنی]]+Table220[[#This Row],[چکهای در جریان وصول]]+Table220[[#This Row],[چکهای نزد صندوق]]</f>
        <v>19297308260</v>
      </c>
      <c r="G8" s="12">
        <f>IFERROR(INDEX('مانده سوفاله'!F:F,MATCH(Table220[[#This Row],[كد تفصيلي]],'مانده سوفاله'!A:A,0)),0)</f>
        <v>-4237</v>
      </c>
    </row>
    <row r="9" spans="1:7" ht="21.75" customHeight="1" x14ac:dyDescent="0.35">
      <c r="A9" s="27">
        <v>30081</v>
      </c>
      <c r="B9" s="55" t="s">
        <v>126</v>
      </c>
      <c r="C9" s="10">
        <f>IFERROR(INDEX('حسابهای دریافتنی'!H:H,MATCH(Table220[[#This Row],[كد تفصيلي]],'حسابهای دریافتنی'!A:A,0)),0)</f>
        <v>1148992373</v>
      </c>
      <c r="D9" s="11">
        <f>IFERROR(INDEX('درجریان وصول'!F:F,MATCH(Table220[[#This Row],[كد تفصيلي]],'درجریان وصول'!A:A,0)),0)</f>
        <v>0</v>
      </c>
      <c r="E9" s="11">
        <f>IFERROR(INDEX('چکهای دریافتنی'!F:F,MATCH(Table220[[#This Row],[كد تفصيلي]],'چکهای دریافتنی'!A:A,0)),0)</f>
        <v>0</v>
      </c>
      <c r="F9" s="11">
        <f>Table220[[#This Row],[حسابهای دریافتنی]]+Table220[[#This Row],[چکهای در جریان وصول]]+Table220[[#This Row],[چکهای نزد صندوق]]</f>
        <v>1148992373</v>
      </c>
      <c r="G9" s="12">
        <f>IFERROR(INDEX('مانده سوفاله'!F:F,MATCH(Table220[[#This Row],[كد تفصيلي]],'مانده سوفاله'!A:A,0)),0)</f>
        <v>-6924</v>
      </c>
    </row>
    <row r="10" spans="1:7" ht="21.75" customHeight="1" x14ac:dyDescent="0.35">
      <c r="A10" s="27">
        <v>30099</v>
      </c>
      <c r="B10" s="55" t="s">
        <v>167</v>
      </c>
      <c r="C10" s="10">
        <f>IFERROR(INDEX('حسابهای دریافتنی'!H:H,MATCH(Table220[[#This Row],[كد تفصيلي]],'حسابهای دریافتنی'!A:A,0)),0)</f>
        <v>1398393484</v>
      </c>
      <c r="D10" s="11">
        <f>IFERROR(INDEX('درجریان وصول'!F:F,MATCH(Table220[[#This Row],[كد تفصيلي]],'درجریان وصول'!A:A,0)),0)</f>
        <v>0</v>
      </c>
      <c r="E10" s="11">
        <f>IFERROR(INDEX('چکهای دریافتنی'!F:F,MATCH(Table220[[#This Row],[كد تفصيلي]],'چکهای دریافتنی'!A:A,0)),0)</f>
        <v>583000000</v>
      </c>
      <c r="F10" s="11">
        <f>Table220[[#This Row],[حسابهای دریافتنی]]+Table220[[#This Row],[چکهای در جریان وصول]]+Table220[[#This Row],[چکهای نزد صندوق]]</f>
        <v>1981393484</v>
      </c>
      <c r="G10" s="12">
        <f>IFERROR(INDEX('مانده سوفاله'!F:F,MATCH(Table220[[#This Row],[كد تفصيلي]],'مانده سوفاله'!A:A,0)),0)</f>
        <v>-332</v>
      </c>
    </row>
    <row r="11" spans="1:7" ht="21.75" customHeight="1" x14ac:dyDescent="0.35">
      <c r="A11" s="27">
        <v>50016</v>
      </c>
      <c r="B11" s="55" t="s">
        <v>160</v>
      </c>
      <c r="C11" s="10">
        <f>IFERROR(INDEX('حسابهای دریافتنی'!H:H,MATCH(Table220[[#This Row],[كد تفصيلي]],'حسابهای دریافتنی'!A:A,0)),0)</f>
        <v>6344545550</v>
      </c>
      <c r="D11" s="11">
        <f>IFERROR(INDEX('درجریان وصول'!F:F,MATCH(Table220[[#This Row],[كد تفصيلي]],'درجریان وصول'!A:A,0)),0)</f>
        <v>0</v>
      </c>
      <c r="E11" s="11">
        <f>IFERROR(INDEX('چکهای دریافتنی'!F:F,MATCH(Table220[[#This Row],[كد تفصيلي]],'چکهای دریافتنی'!A:A,0)),0)</f>
        <v>0</v>
      </c>
      <c r="F11" s="11">
        <f>Table220[[#This Row],[حسابهای دریافتنی]]+Table220[[#This Row],[چکهای در جریان وصول]]+Table220[[#This Row],[چکهای نزد صندوق]]</f>
        <v>6344545550</v>
      </c>
      <c r="G11" s="12">
        <f>IFERROR(INDEX('مانده سوفاله'!F:F,MATCH(Table220[[#This Row],[كد تفصيلي]],'مانده سوفاله'!A:A,0)),0)</f>
        <v>5508</v>
      </c>
    </row>
    <row r="12" spans="1:7" ht="21.75" customHeight="1" x14ac:dyDescent="0.35">
      <c r="A12" s="26">
        <v>30184</v>
      </c>
      <c r="B12" s="56" t="s">
        <v>368</v>
      </c>
      <c r="C12" s="10">
        <f>IFERROR(INDEX('حسابهای دریافتنی'!H:H,MATCH(Table220[[#This Row],[كد تفصيلي]],'حسابهای دریافتنی'!A:A,0)),0)</f>
        <v>904890480</v>
      </c>
      <c r="D12" s="11">
        <f>IFERROR(INDEX('درجریان وصول'!F:F,MATCH(Table220[[#This Row],[كد تفصيلي]],'درجریان وصول'!A:A,0)),0)</f>
        <v>0</v>
      </c>
      <c r="E12" s="11">
        <f>IFERROR(INDEX('چکهای دریافتنی'!F:F,MATCH(Table220[[#This Row],[كد تفصيلي]],'چکهای دریافتنی'!A:A,0)),0)</f>
        <v>0</v>
      </c>
      <c r="F12" s="11">
        <f>Table220[[#This Row],[حسابهای دریافتنی]]+Table220[[#This Row],[چکهای در جریان وصول]]+Table220[[#This Row],[چکهای نزد صندوق]]</f>
        <v>904890480</v>
      </c>
      <c r="G12" s="12">
        <f>IFERROR(INDEX('مانده سوفاله'!F:F,MATCH(Table220[[#This Row],[كد تفصيلي]],'مانده سوفاله'!A:A,0)),0)</f>
        <v>-100</v>
      </c>
    </row>
    <row r="13" spans="1:7" ht="21.75" customHeight="1" x14ac:dyDescent="0.35">
      <c r="A13" s="27">
        <v>10056</v>
      </c>
      <c r="B13" s="55" t="s">
        <v>166</v>
      </c>
      <c r="C13" s="10">
        <f>IFERROR(INDEX('حسابهای دریافتنی'!H:H,MATCH(Table220[[#This Row],[كد تفصيلي]],'حسابهای دریافتنی'!A:A,0)),0)</f>
        <v>812653500</v>
      </c>
      <c r="D13" s="11">
        <f>IFERROR(INDEX('درجریان وصول'!F:F,MATCH(Table220[[#This Row],[كد تفصيلي]],'درجریان وصول'!A:A,0)),0)</f>
        <v>0</v>
      </c>
      <c r="E13" s="11">
        <f>IFERROR(INDEX('چکهای دریافتنی'!F:F,MATCH(Table220[[#This Row],[كد تفصيلي]],'چکهای دریافتنی'!A:A,0)),0)</f>
        <v>0</v>
      </c>
      <c r="F13" s="11">
        <f>Table220[[#This Row],[حسابهای دریافتنی]]+Table220[[#This Row],[چکهای در جریان وصول]]+Table220[[#This Row],[چکهای نزد صندوق]]</f>
        <v>812653500</v>
      </c>
      <c r="G13" s="12">
        <f>IFERROR(INDEX('مانده سوفاله'!F:F,MATCH(Table220[[#This Row],[كد تفصيلي]],'مانده سوفاله'!A:A,0)),0)</f>
        <v>0</v>
      </c>
    </row>
    <row r="14" spans="1:7" ht="21.75" customHeight="1" x14ac:dyDescent="0.35">
      <c r="A14" s="26">
        <v>10027</v>
      </c>
      <c r="B14" s="56" t="s">
        <v>33</v>
      </c>
      <c r="C14" s="10">
        <f>IFERROR(INDEX('حسابهای دریافتنی'!H:H,MATCH(Table220[[#This Row],[كد تفصيلي]],'حسابهای دریافتنی'!A:A,0)),0)</f>
        <v>33078340</v>
      </c>
      <c r="D14" s="11">
        <f>IFERROR(INDEX('درجریان وصول'!F:F,MATCH(Table220[[#This Row],[كد تفصيلي]],'درجریان وصول'!A:A,0)),0)</f>
        <v>0</v>
      </c>
      <c r="E14" s="11">
        <f>IFERROR(INDEX('چکهای دریافتنی'!F:F,MATCH(Table220[[#This Row],[كد تفصيلي]],'چکهای دریافتنی'!A:A,0)),0)</f>
        <v>1588359160</v>
      </c>
      <c r="F14" s="11">
        <f>Table220[[#This Row],[حسابهای دریافتنی]]+Table220[[#This Row],[چکهای در جریان وصول]]+Table220[[#This Row],[چکهای نزد صندوق]]</f>
        <v>1621437500</v>
      </c>
      <c r="G14" s="12">
        <f>IFERROR(INDEX('مانده سوفاله'!F:F,MATCH(Table220[[#This Row],[كد تفصيلي]],'مانده سوفاله'!A:A,0)),0)</f>
        <v>-647</v>
      </c>
    </row>
    <row r="15" spans="1:7" ht="21.75" customHeight="1" x14ac:dyDescent="0.35">
      <c r="A15" s="27">
        <v>10070</v>
      </c>
      <c r="B15" s="55" t="s">
        <v>230</v>
      </c>
      <c r="C15" s="10">
        <f>IFERROR(INDEX('حسابهای دریافتنی'!H:H,MATCH(Table220[[#This Row],[كد تفصيلي]],'حسابهای دریافتنی'!A:A,0)),0)</f>
        <v>508152500</v>
      </c>
      <c r="D15" s="11">
        <f>IFERROR(INDEX('درجریان وصول'!F:F,MATCH(Table220[[#This Row],[كد تفصيلي]],'درجریان وصول'!A:A,0)),0)</f>
        <v>0</v>
      </c>
      <c r="E15" s="11">
        <f>IFERROR(INDEX('چکهای دریافتنی'!F:F,MATCH(Table220[[#This Row],[كد تفصيلي]],'چکهای دریافتنی'!A:A,0)),0)</f>
        <v>570000000</v>
      </c>
      <c r="F15" s="11">
        <f>Table220[[#This Row],[حسابهای دریافتنی]]+Table220[[#This Row],[چکهای در جریان وصول]]+Table220[[#This Row],[چکهای نزد صندوق]]</f>
        <v>1078152500</v>
      </c>
      <c r="G15" s="12">
        <f>IFERROR(INDEX('مانده سوفاله'!F:F,MATCH(Table220[[#This Row],[كد تفصيلي]],'مانده سوفاله'!A:A,0)),0)</f>
        <v>-3170</v>
      </c>
    </row>
    <row r="16" spans="1:7" ht="21.75" customHeight="1" x14ac:dyDescent="0.35">
      <c r="A16" s="26">
        <v>30058</v>
      </c>
      <c r="B16" s="56" t="s">
        <v>103</v>
      </c>
      <c r="C16" s="10">
        <f>IFERROR(INDEX('حسابهای دریافتنی'!H:H,MATCH(Table220[[#This Row],[كد تفصيلي]],'حسابهای دریافتنی'!A:A,0)),0)</f>
        <v>1700045560</v>
      </c>
      <c r="D16" s="11">
        <f>IFERROR(INDEX('درجریان وصول'!F:F,MATCH(Table220[[#This Row],[كد تفصيلي]],'درجریان وصول'!A:A,0)),0)</f>
        <v>0</v>
      </c>
      <c r="E16" s="11">
        <f>IFERROR(INDEX('چکهای دریافتنی'!F:F,MATCH(Table220[[#This Row],[كد تفصيلي]],'چکهای دریافتنی'!A:A,0)),0)</f>
        <v>0</v>
      </c>
      <c r="F16" s="11">
        <f>Table220[[#This Row],[حسابهای دریافتنی]]+Table220[[#This Row],[چکهای در جریان وصول]]+Table220[[#This Row],[چکهای نزد صندوق]]</f>
        <v>1700045560</v>
      </c>
      <c r="G16" s="12">
        <f>IFERROR(INDEX('مانده سوفاله'!F:F,MATCH(Table220[[#This Row],[كد تفصيلي]],'مانده سوفاله'!A:A,0)),0)</f>
        <v>-225</v>
      </c>
    </row>
    <row r="17" spans="1:7" ht="21.75" customHeight="1" x14ac:dyDescent="0.35">
      <c r="A17" s="27">
        <v>30014</v>
      </c>
      <c r="B17" s="55" t="s">
        <v>63</v>
      </c>
      <c r="C17" s="10">
        <f>IFERROR(INDEX('حسابهای دریافتنی'!H:H,MATCH(Table220[[#This Row],[كد تفصيلي]],'حسابهای دریافتنی'!A:A,0)),0)</f>
        <v>1762223932</v>
      </c>
      <c r="D17" s="11">
        <f>IFERROR(INDEX('درجریان وصول'!F:F,MATCH(Table220[[#This Row],[كد تفصيلي]],'درجریان وصول'!A:A,0)),0)</f>
        <v>0</v>
      </c>
      <c r="E17" s="11">
        <f>IFERROR(INDEX('چکهای دریافتنی'!F:F,MATCH(Table220[[#This Row],[كد تفصيلي]],'چکهای دریافتنی'!A:A,0)),0)</f>
        <v>0</v>
      </c>
      <c r="F17" s="11">
        <f>Table220[[#This Row],[حسابهای دریافتنی]]+Table220[[#This Row],[چکهای در جریان وصول]]+Table220[[#This Row],[چکهای نزد صندوق]]</f>
        <v>1762223932</v>
      </c>
      <c r="G17" s="12">
        <f>IFERROR(INDEX('مانده سوفاله'!F:F,MATCH(Table220[[#This Row],[كد تفصيلي]],'مانده سوفاله'!A:A,0)),0)</f>
        <v>-1368</v>
      </c>
    </row>
    <row r="18" spans="1:7" ht="21.75" customHeight="1" x14ac:dyDescent="0.35">
      <c r="A18" s="26">
        <v>50011</v>
      </c>
      <c r="B18" s="56" t="s">
        <v>147</v>
      </c>
      <c r="C18" s="10">
        <f>IFERROR(INDEX('حسابهای دریافتنی'!H:H,MATCH(Table220[[#This Row],[كد تفصيلي]],'حسابهای دریافتنی'!A:A,0)),0)</f>
        <v>832182413</v>
      </c>
      <c r="D18" s="11">
        <f>IFERROR(INDEX('درجریان وصول'!F:F,MATCH(Table220[[#This Row],[كد تفصيلي]],'درجریان وصول'!A:A,0)),0)</f>
        <v>0</v>
      </c>
      <c r="E18" s="11">
        <f>IFERROR(INDEX('چکهای دریافتنی'!F:F,MATCH(Table220[[#This Row],[كد تفصيلي]],'چکهای دریافتنی'!A:A,0)),0)</f>
        <v>0</v>
      </c>
      <c r="F18" s="11">
        <f>Table220[[#This Row],[حسابهای دریافتنی]]+Table220[[#This Row],[چکهای در جریان وصول]]+Table220[[#This Row],[چکهای نزد صندوق]]</f>
        <v>832182413</v>
      </c>
      <c r="G18" s="12">
        <f>IFERROR(INDEX('مانده سوفاله'!F:F,MATCH(Table220[[#This Row],[كد تفصيلي]],'مانده سوفاله'!A:A,0)),0)</f>
        <v>30</v>
      </c>
    </row>
    <row r="19" spans="1:7" ht="21.75" customHeight="1" x14ac:dyDescent="0.35">
      <c r="A19" s="26">
        <v>10057</v>
      </c>
      <c r="B19" s="56" t="s">
        <v>225</v>
      </c>
      <c r="C19" s="10">
        <f>IFERROR(INDEX('حسابهای دریافتنی'!H:H,MATCH(Table220[[#This Row],[كد تفصيلي]],'حسابهای دریافتنی'!A:A,0)),0)</f>
        <v>1390485500</v>
      </c>
      <c r="D19" s="11">
        <f>IFERROR(INDEX('درجریان وصول'!F:F,MATCH(Table220[[#This Row],[كد تفصيلي]],'درجریان وصول'!A:A,0)),0)</f>
        <v>0</v>
      </c>
      <c r="E19" s="11">
        <f>IFERROR(INDEX('چکهای دریافتنی'!F:F,MATCH(Table220[[#This Row],[كد تفصيلي]],'چکهای دریافتنی'!A:A,0)),0)</f>
        <v>0</v>
      </c>
      <c r="F19" s="11">
        <f>Table220[[#This Row],[حسابهای دریافتنی]]+Table220[[#This Row],[چکهای در جریان وصول]]+Table220[[#This Row],[چکهای نزد صندوق]]</f>
        <v>1390485500</v>
      </c>
      <c r="G19" s="12">
        <f>IFERROR(INDEX('مانده سوفاله'!F:F,MATCH(Table220[[#This Row],[كد تفصيلي]],'مانده سوفاله'!A:A,0)),0)</f>
        <v>-2044</v>
      </c>
    </row>
    <row r="20" spans="1:7" ht="21.75" customHeight="1" x14ac:dyDescent="0.35">
      <c r="A20" s="27">
        <v>10008</v>
      </c>
      <c r="B20" s="55" t="s">
        <v>15</v>
      </c>
      <c r="C20" s="10">
        <f>IFERROR(INDEX('حسابهای دریافتنی'!H:H,MATCH(Table220[[#This Row],[كد تفصيلي]],'حسابهای دریافتنی'!A:A,0)),0)</f>
        <v>597342000</v>
      </c>
      <c r="D20" s="11">
        <f>IFERROR(INDEX('درجریان وصول'!F:F,MATCH(Table220[[#This Row],[كد تفصيلي]],'درجریان وصول'!A:A,0)),0)</f>
        <v>0</v>
      </c>
      <c r="E20" s="11">
        <f>IFERROR(INDEX('چکهای دریافتنی'!F:F,MATCH(Table220[[#This Row],[كد تفصيلي]],'چکهای دریافتنی'!A:A,0)),0)</f>
        <v>0</v>
      </c>
      <c r="F20" s="11">
        <f>Table220[[#This Row],[حسابهای دریافتنی]]+Table220[[#This Row],[چکهای در جریان وصول]]+Table220[[#This Row],[چکهای نزد صندوق]]</f>
        <v>597342000</v>
      </c>
      <c r="G20" s="12">
        <f>IFERROR(INDEX('مانده سوفاله'!F:F,MATCH(Table220[[#This Row],[كد تفصيلي]],'مانده سوفاله'!A:A,0)),0)</f>
        <v>-578</v>
      </c>
    </row>
    <row r="21" spans="1:7" ht="21.75" customHeight="1" x14ac:dyDescent="0.35">
      <c r="A21" s="26">
        <v>30070</v>
      </c>
      <c r="B21" s="56" t="s">
        <v>115</v>
      </c>
      <c r="C21" s="10">
        <f>IFERROR(INDEX('حسابهای دریافتنی'!H:H,MATCH(Table220[[#This Row],[كد تفصيلي]],'حسابهای دریافتنی'!A:A,0)),0)</f>
        <v>2651728820</v>
      </c>
      <c r="D21" s="11">
        <f>IFERROR(INDEX('درجریان وصول'!F:F,MATCH(Table220[[#This Row],[كد تفصيلي]],'درجریان وصول'!A:A,0)),0)</f>
        <v>0</v>
      </c>
      <c r="E21" s="11">
        <f>IFERROR(INDEX('چکهای دریافتنی'!F:F,MATCH(Table220[[#This Row],[كد تفصيلي]],'چکهای دریافتنی'!A:A,0)),0)</f>
        <v>3660000000</v>
      </c>
      <c r="F21" s="11">
        <f>Table220[[#This Row],[حسابهای دریافتنی]]+Table220[[#This Row],[چکهای در جریان وصول]]+Table220[[#This Row],[چکهای نزد صندوق]]</f>
        <v>6311728820</v>
      </c>
      <c r="G21" s="12">
        <f>IFERROR(INDEX('مانده سوفاله'!F:F,MATCH(Table220[[#This Row],[كد تفصيلي]],'مانده سوفاله'!A:A,0)),0)</f>
        <v>4378</v>
      </c>
    </row>
    <row r="22" spans="1:7" ht="21.75" customHeight="1" x14ac:dyDescent="0.35">
      <c r="A22" s="26">
        <v>30146</v>
      </c>
      <c r="B22" s="56" t="s">
        <v>266</v>
      </c>
      <c r="C22" s="10">
        <f>IFERROR(INDEX('حسابهای دریافتنی'!H:H,MATCH(Table220[[#This Row],[كد تفصيلي]],'حسابهای دریافتنی'!A:A,0)),0)</f>
        <v>-4146512500</v>
      </c>
      <c r="D22" s="11">
        <f>IFERROR(INDEX('درجریان وصول'!F:F,MATCH(Table220[[#This Row],[كد تفصيلي]],'درجریان وصول'!A:A,0)),0)</f>
        <v>0</v>
      </c>
      <c r="E22" s="11">
        <f>IFERROR(INDEX('چکهای دریافتنی'!F:F,MATCH(Table220[[#This Row],[كد تفصيلي]],'چکهای دریافتنی'!A:A,0)),0)</f>
        <v>0</v>
      </c>
      <c r="F22" s="11">
        <f>Table220[[#This Row],[حسابهای دریافتنی]]+Table220[[#This Row],[چکهای در جریان وصول]]+Table220[[#This Row],[چکهای نزد صندوق]]</f>
        <v>-4146512500</v>
      </c>
      <c r="G22" s="12">
        <f>IFERROR(INDEX('مانده سوفاله'!F:F,MATCH(Table220[[#This Row],[كد تفصيلي]],'مانده سوفاله'!A:A,0)),0)</f>
        <v>2823</v>
      </c>
    </row>
    <row r="23" spans="1:7" ht="21.75" customHeight="1" x14ac:dyDescent="0.35">
      <c r="A23" s="27">
        <v>10020</v>
      </c>
      <c r="B23" s="55" t="s">
        <v>27</v>
      </c>
      <c r="C23" s="10">
        <f>IFERROR(INDEX('حسابهای دریافتنی'!H:H,MATCH(Table220[[#This Row],[كد تفصيلي]],'حسابهای دریافتنی'!A:A,0)),0)</f>
        <v>57999963</v>
      </c>
      <c r="D23" s="11">
        <f>IFERROR(INDEX('درجریان وصول'!F:F,MATCH(Table220[[#This Row],[كد تفصيلي]],'درجریان وصول'!A:A,0)),0)</f>
        <v>0</v>
      </c>
      <c r="E23" s="11">
        <f>IFERROR(INDEX('چکهای دریافتنی'!F:F,MATCH(Table220[[#This Row],[كد تفصيلي]],'چکهای دریافتنی'!A:A,0)),0)</f>
        <v>728000000</v>
      </c>
      <c r="F23" s="11">
        <f>Table220[[#This Row],[حسابهای دریافتنی]]+Table220[[#This Row],[چکهای در جریان وصول]]+Table220[[#This Row],[چکهای نزد صندوق]]</f>
        <v>785999963</v>
      </c>
      <c r="G23" s="12">
        <f>IFERROR(INDEX('مانده سوفاله'!F:F,MATCH(Table220[[#This Row],[كد تفصيلي]],'مانده سوفاله'!A:A,0)),0)</f>
        <v>-1031</v>
      </c>
    </row>
    <row r="24" spans="1:7" ht="21.75" customHeight="1" x14ac:dyDescent="0.35">
      <c r="A24" s="27">
        <v>30018</v>
      </c>
      <c r="B24" s="55" t="s">
        <v>66</v>
      </c>
      <c r="C24" s="10">
        <f>IFERROR(INDEX('حسابهای دریافتنی'!H:H,MATCH(Table220[[#This Row],[كد تفصيلي]],'حسابهای دریافتنی'!A:A,0)),0)</f>
        <v>1901077182</v>
      </c>
      <c r="D24" s="11">
        <f>IFERROR(INDEX('درجریان وصول'!F:F,MATCH(Table220[[#This Row],[كد تفصيلي]],'درجریان وصول'!A:A,0)),0)</f>
        <v>0</v>
      </c>
      <c r="E24" s="11">
        <f>IFERROR(INDEX('چکهای دریافتنی'!F:F,MATCH(Table220[[#This Row],[كد تفصيلي]],'چکهای دریافتنی'!A:A,0)),0)</f>
        <v>0</v>
      </c>
      <c r="F24" s="11">
        <f>Table220[[#This Row],[حسابهای دریافتنی]]+Table220[[#This Row],[چکهای در جریان وصول]]+Table220[[#This Row],[چکهای نزد صندوق]]</f>
        <v>1901077182</v>
      </c>
      <c r="G24" s="12">
        <f>IFERROR(INDEX('مانده سوفاله'!F:F,MATCH(Table220[[#This Row],[كد تفصيلي]],'مانده سوفاله'!A:A,0)),0)</f>
        <v>-3024</v>
      </c>
    </row>
    <row r="25" spans="1:7" ht="21.75" customHeight="1" x14ac:dyDescent="0.35">
      <c r="A25" s="26">
        <v>30186</v>
      </c>
      <c r="B25" s="56" t="s">
        <v>367</v>
      </c>
      <c r="C25" s="10">
        <f>IFERROR(INDEX('حسابهای دریافتنی'!H:H,MATCH(Table220[[#This Row],[كد تفصيلي]],'حسابهای دریافتنی'!A:A,0)),0)</f>
        <v>986425000</v>
      </c>
      <c r="D25" s="11">
        <f>IFERROR(INDEX('درجریان وصول'!F:F,MATCH(Table220[[#This Row],[كد تفصيلي]],'درجریان وصول'!A:A,0)),0)</f>
        <v>0</v>
      </c>
      <c r="E25" s="11">
        <f>IFERROR(INDEX('چکهای دریافتنی'!F:F,MATCH(Table220[[#This Row],[كد تفصيلي]],'چکهای دریافتنی'!A:A,0)),0)</f>
        <v>5982430000</v>
      </c>
      <c r="F25" s="11">
        <f>Table220[[#This Row],[حسابهای دریافتنی]]+Table220[[#This Row],[چکهای در جریان وصول]]+Table220[[#This Row],[چکهای نزد صندوق]]</f>
        <v>6968855000</v>
      </c>
      <c r="G25" s="12">
        <f>IFERROR(INDEX('مانده سوفاله'!F:F,MATCH(Table220[[#This Row],[كد تفصيلي]],'مانده سوفاله'!A:A,0)),0)</f>
        <v>-7388</v>
      </c>
    </row>
    <row r="26" spans="1:7" ht="21.75" customHeight="1" x14ac:dyDescent="0.35">
      <c r="A26" s="27">
        <v>30069</v>
      </c>
      <c r="B26" s="55" t="s">
        <v>114</v>
      </c>
      <c r="C26" s="10">
        <f>IFERROR(INDEX('حسابهای دریافتنی'!H:H,MATCH(Table220[[#This Row],[كد تفصيلي]],'حسابهای دریافتنی'!A:A,0)),0)</f>
        <v>377909400</v>
      </c>
      <c r="D26" s="11">
        <f>IFERROR(INDEX('درجریان وصول'!F:F,MATCH(Table220[[#This Row],[كد تفصيلي]],'درجریان وصول'!A:A,0)),0)</f>
        <v>0</v>
      </c>
      <c r="E26" s="11">
        <f>IFERROR(INDEX('چکهای دریافتنی'!F:F,MATCH(Table220[[#This Row],[كد تفصيلي]],'چکهای دریافتنی'!A:A,0)),0)</f>
        <v>0</v>
      </c>
      <c r="F26" s="11">
        <f>Table220[[#This Row],[حسابهای دریافتنی]]+Table220[[#This Row],[چکهای در جریان وصول]]+Table220[[#This Row],[چکهای نزد صندوق]]</f>
        <v>377909400</v>
      </c>
      <c r="G26" s="12">
        <f>IFERROR(INDEX('مانده سوفاله'!F:F,MATCH(Table220[[#This Row],[كد تفصيلي]],'مانده سوفاله'!A:A,0)),0)</f>
        <v>66</v>
      </c>
    </row>
    <row r="27" spans="1:7" ht="21.75" customHeight="1" x14ac:dyDescent="0.35">
      <c r="A27" s="27">
        <v>10127</v>
      </c>
      <c r="B27" s="55" t="s">
        <v>371</v>
      </c>
      <c r="C27" s="10">
        <f>IFERROR(INDEX('حسابهای دریافتنی'!H:H,MATCH(Table220[[#This Row],[كد تفصيلي]],'حسابهای دریافتنی'!A:A,0)),0)</f>
        <v>803728000</v>
      </c>
      <c r="D27" s="11">
        <f>IFERROR(INDEX('درجریان وصول'!F:F,MATCH(Table220[[#This Row],[كد تفصيلي]],'درجریان وصول'!A:A,0)),0)</f>
        <v>0</v>
      </c>
      <c r="E27" s="11">
        <f>IFERROR(INDEX('چکهای دریافتنی'!F:F,MATCH(Table220[[#This Row],[كد تفصيلي]],'چکهای دریافتنی'!A:A,0)),0)</f>
        <v>0</v>
      </c>
      <c r="F27" s="11">
        <f>Table220[[#This Row],[حسابهای دریافتنی]]+Table220[[#This Row],[چکهای در جریان وصول]]+Table220[[#This Row],[چکهای نزد صندوق]]</f>
        <v>803728000</v>
      </c>
      <c r="G27" s="12">
        <f>IFERROR(INDEX('مانده سوفاله'!F:F,MATCH(Table220[[#This Row],[كد تفصيلي]],'مانده سوفاله'!A:A,0)),0)</f>
        <v>-1469</v>
      </c>
    </row>
    <row r="28" spans="1:7" ht="21.75" customHeight="1" x14ac:dyDescent="0.35">
      <c r="A28" s="27">
        <v>30012</v>
      </c>
      <c r="B28" s="55" t="s">
        <v>61</v>
      </c>
      <c r="C28" s="10">
        <f>IFERROR(INDEX('حسابهای دریافتنی'!H:H,MATCH(Table220[[#This Row],[كد تفصيلي]],'حسابهای دریافتنی'!A:A,0)),0)</f>
        <v>-46099000</v>
      </c>
      <c r="D28" s="11">
        <f>IFERROR(INDEX('درجریان وصول'!F:F,MATCH(Table220[[#This Row],[كد تفصيلي]],'درجریان وصول'!A:A,0)),0)</f>
        <v>0</v>
      </c>
      <c r="E28" s="11">
        <f>IFERROR(INDEX('چکهای دریافتنی'!F:F,MATCH(Table220[[#This Row],[كد تفصيلي]],'چکهای دریافتنی'!A:A,0)),0)</f>
        <v>348650000</v>
      </c>
      <c r="F28" s="11">
        <f>Table220[[#This Row],[حسابهای دریافتنی]]+Table220[[#This Row],[چکهای در جریان وصول]]+Table220[[#This Row],[چکهای نزد صندوق]]</f>
        <v>302551000</v>
      </c>
      <c r="G28" s="12">
        <f>IFERROR(INDEX('مانده سوفاله'!F:F,MATCH(Table220[[#This Row],[كد تفصيلي]],'مانده سوفاله'!A:A,0)),0)</f>
        <v>141</v>
      </c>
    </row>
    <row r="29" spans="1:7" ht="21.75" customHeight="1" x14ac:dyDescent="0.35">
      <c r="A29" s="27">
        <v>10002</v>
      </c>
      <c r="B29" s="55" t="s">
        <v>9</v>
      </c>
      <c r="C29" s="10">
        <f>IFERROR(INDEX('حسابهای دریافتنی'!H:H,MATCH(Table220[[#This Row],[كد تفصيلي]],'حسابهای دریافتنی'!A:A,0)),0)</f>
        <v>-3600000000</v>
      </c>
      <c r="D29" s="11">
        <f>IFERROR(INDEX('درجریان وصول'!F:F,MATCH(Table220[[#This Row],[كد تفصيلي]],'درجریان وصول'!A:A,0)),0)</f>
        <v>0</v>
      </c>
      <c r="E29" s="11">
        <f>IFERROR(INDEX('چکهای دریافتنی'!F:F,MATCH(Table220[[#This Row],[كد تفصيلي]],'چکهای دریافتنی'!A:A,0)),0)</f>
        <v>0</v>
      </c>
      <c r="F29" s="11">
        <f>Table220[[#This Row],[حسابهای دریافتنی]]+Table220[[#This Row],[چکهای در جریان وصول]]+Table220[[#This Row],[چکهای نزد صندوق]]</f>
        <v>-3600000000</v>
      </c>
      <c r="G29" s="12">
        <f>IFERROR(INDEX('مانده سوفاله'!F:F,MATCH(Table220[[#This Row],[كد تفصيلي]],'مانده سوفاله'!A:A,0)),0)</f>
        <v>0</v>
      </c>
    </row>
    <row r="30" spans="1:7" ht="21.75" customHeight="1" x14ac:dyDescent="0.35">
      <c r="A30" s="27">
        <v>30055</v>
      </c>
      <c r="B30" s="55" t="s">
        <v>100</v>
      </c>
      <c r="C30" s="10">
        <f>IFERROR(INDEX('حسابهای دریافتنی'!H:H,MATCH(Table220[[#This Row],[كد تفصيلي]],'حسابهای دریافتنی'!A:A,0)),0)</f>
        <v>0</v>
      </c>
      <c r="D30" s="11">
        <f>IFERROR(INDEX('درجریان وصول'!F:F,MATCH(Table220[[#This Row],[كد تفصيلي]],'درجریان وصول'!A:A,0)),0)</f>
        <v>0</v>
      </c>
      <c r="E30" s="11">
        <f>IFERROR(INDEX('چکهای دریافتنی'!F:F,MATCH(Table220[[#This Row],[كد تفصيلي]],'چکهای دریافتنی'!A:A,0)),0)</f>
        <v>0</v>
      </c>
      <c r="F30" s="11">
        <f>Table220[[#This Row],[حسابهای دریافتنی]]+Table220[[#This Row],[چکهای در جریان وصول]]+Table220[[#This Row],[چکهای نزد صندوق]]</f>
        <v>0</v>
      </c>
      <c r="G30" s="12">
        <f>IFERROR(INDEX('مانده سوفاله'!F:F,MATCH(Table220[[#This Row],[كد تفصيلي]],'مانده سوفاله'!A:A,0)),0)</f>
        <v>48</v>
      </c>
    </row>
    <row r="31" spans="1:7" ht="21.75" customHeight="1" x14ac:dyDescent="0.35">
      <c r="A31" s="27">
        <v>10084</v>
      </c>
      <c r="B31" s="55" t="s">
        <v>217</v>
      </c>
      <c r="C31" s="10">
        <f>IFERROR(INDEX('حسابهای دریافتنی'!H:H,MATCH(Table220[[#This Row],[كد تفصيلي]],'حسابهای دریافتنی'!A:A,0)),0)</f>
        <v>358092810</v>
      </c>
      <c r="D31" s="11">
        <f>IFERROR(INDEX('درجریان وصول'!F:F,MATCH(Table220[[#This Row],[كد تفصيلي]],'درجریان وصول'!A:A,0)),0)</f>
        <v>0</v>
      </c>
      <c r="E31" s="11">
        <f>IFERROR(INDEX('چکهای دریافتنی'!F:F,MATCH(Table220[[#This Row],[كد تفصيلي]],'چکهای دریافتنی'!A:A,0)),0)</f>
        <v>870000000</v>
      </c>
      <c r="F31" s="11">
        <f>Table220[[#This Row],[حسابهای دریافتنی]]+Table220[[#This Row],[چکهای در جریان وصول]]+Table220[[#This Row],[چکهای نزد صندوق]]</f>
        <v>1228092810</v>
      </c>
      <c r="G31" s="12">
        <f>IFERROR(INDEX('مانده سوفاله'!F:F,MATCH(Table220[[#This Row],[كد تفصيلي]],'مانده سوفاله'!A:A,0)),0)</f>
        <v>-1656</v>
      </c>
    </row>
    <row r="32" spans="1:7" ht="21.75" customHeight="1" x14ac:dyDescent="0.35">
      <c r="A32" s="26">
        <v>10029</v>
      </c>
      <c r="B32" s="56" t="s">
        <v>35</v>
      </c>
      <c r="C32" s="10">
        <f>IFERROR(INDEX('حسابهای دریافتنی'!H:H,MATCH(Table220[[#This Row],[كد تفصيلي]],'حسابهای دریافتنی'!A:A,0)),0)</f>
        <v>-1038298620</v>
      </c>
      <c r="D32" s="11">
        <f>IFERROR(INDEX('درجریان وصول'!F:F,MATCH(Table220[[#This Row],[كد تفصيلي]],'درجریان وصول'!A:A,0)),0)</f>
        <v>0</v>
      </c>
      <c r="E32" s="11">
        <f>IFERROR(INDEX('چکهای دریافتنی'!F:F,MATCH(Table220[[#This Row],[كد تفصيلي]],'چکهای دریافتنی'!A:A,0)),0)</f>
        <v>2019000000</v>
      </c>
      <c r="F32" s="11">
        <f>Table220[[#This Row],[حسابهای دریافتنی]]+Table220[[#This Row],[چکهای در جریان وصول]]+Table220[[#This Row],[چکهای نزد صندوق]]</f>
        <v>980701380</v>
      </c>
      <c r="G32" s="12">
        <f>IFERROR(INDEX('مانده سوفاله'!F:F,MATCH(Table220[[#This Row],[كد تفصيلي]],'مانده سوفاله'!A:A,0)),0)</f>
        <v>6603</v>
      </c>
    </row>
    <row r="33" spans="1:7" ht="21.75" customHeight="1" x14ac:dyDescent="0.35">
      <c r="A33" s="26">
        <v>30162</v>
      </c>
      <c r="B33" s="56" t="s">
        <v>301</v>
      </c>
      <c r="C33" s="10">
        <f>IFERROR(INDEX('حسابهای دریافتنی'!H:H,MATCH(Table220[[#This Row],[كد تفصيلي]],'حسابهای دریافتنی'!A:A,0)),0)</f>
        <v>204890235</v>
      </c>
      <c r="D33" s="11">
        <f>IFERROR(INDEX('درجریان وصول'!F:F,MATCH(Table220[[#This Row],[كد تفصيلي]],'درجریان وصول'!A:A,0)),0)</f>
        <v>0</v>
      </c>
      <c r="E33" s="11">
        <f>IFERROR(INDEX('چکهای دریافتنی'!F:F,MATCH(Table220[[#This Row],[كد تفصيلي]],'چکهای دریافتنی'!A:A,0)),0)</f>
        <v>0</v>
      </c>
      <c r="F33" s="11">
        <f>Table220[[#This Row],[حسابهای دریافتنی]]+Table220[[#This Row],[چکهای در جریان وصول]]+Table220[[#This Row],[چکهای نزد صندوق]]</f>
        <v>204890235</v>
      </c>
      <c r="G33" s="12">
        <f>IFERROR(INDEX('مانده سوفاله'!F:F,MATCH(Table220[[#This Row],[كد تفصيلي]],'مانده سوفاله'!A:A,0)),0)</f>
        <v>-251</v>
      </c>
    </row>
    <row r="34" spans="1:7" ht="21.75" customHeight="1" x14ac:dyDescent="0.35">
      <c r="A34" s="26">
        <v>10133</v>
      </c>
      <c r="B34" s="56" t="s">
        <v>465</v>
      </c>
      <c r="C34" s="10">
        <f>IFERROR(INDEX('حسابهای دریافتنی'!H:H,MATCH(Table220[[#This Row],[كد تفصيلي]],'حسابهای دریافتنی'!A:A,0)),0)</f>
        <v>-1249039000</v>
      </c>
      <c r="D34" s="11">
        <f>IFERROR(INDEX('درجریان وصول'!F:F,MATCH(Table220[[#This Row],[كد تفصيلي]],'درجریان وصول'!A:A,0)),0)</f>
        <v>0</v>
      </c>
      <c r="E34" s="11">
        <f>IFERROR(INDEX('چکهای دریافتنی'!F:F,MATCH(Table220[[#This Row],[كد تفصيلي]],'چکهای دریافتنی'!A:A,0)),0)</f>
        <v>0</v>
      </c>
      <c r="F34" s="11">
        <f>Table220[[#This Row],[حسابهای دریافتنی]]+Table220[[#This Row],[چکهای در جریان وصول]]+Table220[[#This Row],[چکهای نزد صندوق]]</f>
        <v>-1249039000</v>
      </c>
      <c r="G34" s="12">
        <f>IFERROR(INDEX('مانده سوفاله'!F:F,MATCH(Table220[[#This Row],[كد تفصيلي]],'مانده سوفاله'!A:A,0)),0)</f>
        <v>0</v>
      </c>
    </row>
    <row r="35" spans="1:7" ht="21.75" customHeight="1" x14ac:dyDescent="0.35">
      <c r="A35" s="26">
        <v>30086</v>
      </c>
      <c r="B35" s="56" t="s">
        <v>131</v>
      </c>
      <c r="C35" s="10">
        <f>IFERROR(INDEX('حسابهای دریافتنی'!H:H,MATCH(Table220[[#This Row],[كد تفصيلي]],'حسابهای دریافتنی'!A:A,0)),0)</f>
        <v>187376603</v>
      </c>
      <c r="D35" s="11">
        <f>IFERROR(INDEX('درجریان وصول'!F:F,MATCH(Table220[[#This Row],[كد تفصيلي]],'درجریان وصول'!A:A,0)),0)</f>
        <v>0</v>
      </c>
      <c r="E35" s="11">
        <f>IFERROR(INDEX('چکهای دریافتنی'!F:F,MATCH(Table220[[#This Row],[كد تفصيلي]],'چکهای دریافتنی'!A:A,0)),0)</f>
        <v>0</v>
      </c>
      <c r="F35" s="11">
        <f>Table220[[#This Row],[حسابهای دریافتنی]]+Table220[[#This Row],[چکهای در جریان وصول]]+Table220[[#This Row],[چکهای نزد صندوق]]</f>
        <v>187376603</v>
      </c>
      <c r="G35" s="12">
        <f>IFERROR(INDEX('مانده سوفاله'!F:F,MATCH(Table220[[#This Row],[كد تفصيلي]],'مانده سوفاله'!A:A,0)),0)</f>
        <v>1549</v>
      </c>
    </row>
    <row r="36" spans="1:7" ht="21.75" customHeight="1" x14ac:dyDescent="0.35">
      <c r="A36" s="27">
        <v>10014</v>
      </c>
      <c r="B36" s="55" t="s">
        <v>21</v>
      </c>
      <c r="C36" s="10">
        <f>IFERROR(INDEX('حسابهای دریافتنی'!H:H,MATCH(Table220[[#This Row],[كد تفصيلي]],'حسابهای دریافتنی'!A:A,0)),0)</f>
        <v>0</v>
      </c>
      <c r="D36" s="11">
        <f>IFERROR(INDEX('درجریان وصول'!F:F,MATCH(Table220[[#This Row],[كد تفصيلي]],'درجریان وصول'!A:A,0)),0)</f>
        <v>0</v>
      </c>
      <c r="E36" s="11">
        <f>IFERROR(INDEX('چکهای دریافتنی'!F:F,MATCH(Table220[[#This Row],[كد تفصيلي]],'چکهای دریافتنی'!A:A,0)),0)</f>
        <v>0</v>
      </c>
      <c r="F36" s="11">
        <f>Table220[[#This Row],[حسابهای دریافتنی]]+Table220[[#This Row],[چکهای در جریان وصول]]+Table220[[#This Row],[چکهای نزد صندوق]]</f>
        <v>0</v>
      </c>
      <c r="G36" s="12">
        <f>IFERROR(INDEX('مانده سوفاله'!F:F,MATCH(Table220[[#This Row],[كد تفصيلي]],'مانده سوفاله'!A:A,0)),0)</f>
        <v>21</v>
      </c>
    </row>
    <row r="37" spans="1:7" ht="21.75" customHeight="1" x14ac:dyDescent="0.35">
      <c r="A37" s="27">
        <v>30155</v>
      </c>
      <c r="B37" s="55" t="s">
        <v>289</v>
      </c>
      <c r="C37" s="10">
        <f>IFERROR(INDEX('حسابهای دریافتنی'!H:H,MATCH(Table220[[#This Row],[كد تفصيلي]],'حسابهای دریافتنی'!A:A,0)),0)</f>
        <v>-454985417</v>
      </c>
      <c r="D37" s="11">
        <f>IFERROR(INDEX('درجریان وصول'!F:F,MATCH(Table220[[#This Row],[كد تفصيلي]],'درجریان وصول'!A:A,0)),0)</f>
        <v>0</v>
      </c>
      <c r="E37" s="11">
        <f>IFERROR(INDEX('چکهای دریافتنی'!F:F,MATCH(Table220[[#This Row],[كد تفصيلي]],'چکهای دریافتنی'!A:A,0)),0)</f>
        <v>1379936267</v>
      </c>
      <c r="F37" s="11">
        <f>Table220[[#This Row],[حسابهای دریافتنی]]+Table220[[#This Row],[چکهای در جریان وصول]]+Table220[[#This Row],[چکهای نزد صندوق]]</f>
        <v>924950850</v>
      </c>
      <c r="G37" s="12">
        <f>IFERROR(INDEX('مانده سوفاله'!F:F,MATCH(Table220[[#This Row],[كد تفصيلي]],'مانده سوفاله'!A:A,0)),0)</f>
        <v>0</v>
      </c>
    </row>
    <row r="38" spans="1:7" ht="21.75" customHeight="1" x14ac:dyDescent="0.35">
      <c r="A38" s="26">
        <v>30191</v>
      </c>
      <c r="B38" s="56" t="s">
        <v>460</v>
      </c>
      <c r="C38" s="10">
        <f>IFERROR(INDEX('حسابهای دریافتنی'!H:H,MATCH(Table220[[#This Row],[كد تفصيلي]],'حسابهای دریافتنی'!A:A,0)),0)</f>
        <v>792933000</v>
      </c>
      <c r="D38" s="11">
        <f>IFERROR(INDEX('درجریان وصول'!F:F,MATCH(Table220[[#This Row],[كد تفصيلي]],'درجریان وصول'!A:A,0)),0)</f>
        <v>0</v>
      </c>
      <c r="E38" s="11">
        <f>IFERROR(INDEX('چکهای دریافتنی'!F:F,MATCH(Table220[[#This Row],[كد تفصيلي]],'چکهای دریافتنی'!A:A,0)),0)</f>
        <v>0</v>
      </c>
      <c r="F38" s="11">
        <f>Table220[[#This Row],[حسابهای دریافتنی]]+Table220[[#This Row],[چکهای در جریان وصول]]+Table220[[#This Row],[چکهای نزد صندوق]]</f>
        <v>792933000</v>
      </c>
      <c r="G38" s="12">
        <f>IFERROR(INDEX('مانده سوفاله'!F:F,MATCH(Table220[[#This Row],[كد تفصيلي]],'مانده سوفاله'!A:A,0)),0)</f>
        <v>134</v>
      </c>
    </row>
    <row r="39" spans="1:7" ht="21.75" customHeight="1" x14ac:dyDescent="0.35">
      <c r="A39" s="26">
        <v>30001</v>
      </c>
      <c r="B39" s="56" t="s">
        <v>190</v>
      </c>
      <c r="C39" s="10">
        <f>IFERROR(INDEX('حسابهای دریافتنی'!H:H,MATCH(Table220[[#This Row],[كد تفصيلي]],'حسابهای دریافتنی'!A:A,0)),0)</f>
        <v>119647176</v>
      </c>
      <c r="D39" s="11">
        <f>IFERROR(INDEX('درجریان وصول'!F:F,MATCH(Table220[[#This Row],[كد تفصيلي]],'درجریان وصول'!A:A,0)),0)</f>
        <v>0</v>
      </c>
      <c r="E39" s="11">
        <f>IFERROR(INDEX('چکهای دریافتنی'!F:F,MATCH(Table220[[#This Row],[كد تفصيلي]],'چکهای دریافتنی'!A:A,0)),0)</f>
        <v>0</v>
      </c>
      <c r="F39" s="11">
        <f>Table220[[#This Row],[حسابهای دریافتنی]]+Table220[[#This Row],[چکهای در جریان وصول]]+Table220[[#This Row],[چکهای نزد صندوق]]</f>
        <v>119647176</v>
      </c>
      <c r="G39" s="12">
        <f>IFERROR(INDEX('مانده سوفاله'!F:F,MATCH(Table220[[#This Row],[كد تفصيلي]],'مانده سوفاله'!A:A,0)),0)</f>
        <v>123</v>
      </c>
    </row>
    <row r="40" spans="1:7" ht="21.75" customHeight="1" x14ac:dyDescent="0.35">
      <c r="A40" s="27">
        <v>30077</v>
      </c>
      <c r="B40" s="55" t="s">
        <v>122</v>
      </c>
      <c r="C40" s="10">
        <f>IFERROR(INDEX('حسابهای دریافتنی'!H:H,MATCH(Table220[[#This Row],[كد تفصيلي]],'حسابهای دریافتنی'!A:A,0)),0)</f>
        <v>360000</v>
      </c>
      <c r="D40" s="11">
        <f>IFERROR(INDEX('درجریان وصول'!F:F,MATCH(Table220[[#This Row],[كد تفصيلي]],'درجریان وصول'!A:A,0)),0)</f>
        <v>0</v>
      </c>
      <c r="E40" s="11">
        <f>IFERROR(INDEX('چکهای دریافتنی'!F:F,MATCH(Table220[[#This Row],[كد تفصيلي]],'چکهای دریافتنی'!A:A,0)),0)</f>
        <v>0</v>
      </c>
      <c r="F40" s="11">
        <f>Table220[[#This Row],[حسابهای دریافتنی]]+Table220[[#This Row],[چکهای در جریان وصول]]+Table220[[#This Row],[چکهای نزد صندوق]]</f>
        <v>360000</v>
      </c>
      <c r="G40" s="12">
        <f>IFERROR(INDEX('مانده سوفاله'!F:F,MATCH(Table220[[#This Row],[كد تفصيلي]],'مانده سوفاله'!A:A,0)),0)</f>
        <v>-32</v>
      </c>
    </row>
    <row r="41" spans="1:7" ht="21.75" customHeight="1" x14ac:dyDescent="0.35">
      <c r="A41" s="26">
        <v>30140</v>
      </c>
      <c r="B41" s="56" t="s">
        <v>259</v>
      </c>
      <c r="C41" s="10">
        <f>IFERROR(INDEX('حسابهای دریافتنی'!H:H,MATCH(Table220[[#This Row],[كد تفصيلي]],'حسابهای دریافتنی'!A:A,0)),0)</f>
        <v>553728200</v>
      </c>
      <c r="D41" s="11">
        <f>IFERROR(INDEX('درجریان وصول'!F:F,MATCH(Table220[[#This Row],[كد تفصيلي]],'درجریان وصول'!A:A,0)),0)</f>
        <v>0</v>
      </c>
      <c r="E41" s="11">
        <f>IFERROR(INDEX('چکهای دریافتنی'!F:F,MATCH(Table220[[#This Row],[كد تفصيلي]],'چکهای دریافتنی'!A:A,0)),0)</f>
        <v>1030000000</v>
      </c>
      <c r="F41" s="11">
        <f>Table220[[#This Row],[حسابهای دریافتنی]]+Table220[[#This Row],[چکهای در جریان وصول]]+Table220[[#This Row],[چکهای نزد صندوق]]</f>
        <v>1583728200</v>
      </c>
      <c r="G41" s="12">
        <f>IFERROR(INDEX('مانده سوفاله'!F:F,MATCH(Table220[[#This Row],[كد تفصيلي]],'مانده سوفاله'!A:A,0)),0)</f>
        <v>-12630</v>
      </c>
    </row>
    <row r="42" spans="1:7" ht="21.75" customHeight="1" x14ac:dyDescent="0.35">
      <c r="A42" s="27">
        <v>30196</v>
      </c>
      <c r="B42" s="55" t="s">
        <v>481</v>
      </c>
      <c r="C42" s="10">
        <f>IFERROR(INDEX('حسابهای دریافتنی'!H:H,MATCH(Table220[[#This Row],[كد تفصيلي]],'حسابهای دریافتنی'!A:A,0)),0)</f>
        <v>3592950000</v>
      </c>
      <c r="D42" s="11">
        <f>IFERROR(INDEX('درجریان وصول'!F:F,MATCH(Table220[[#This Row],[كد تفصيلي]],'درجریان وصول'!A:A,0)),0)</f>
        <v>0</v>
      </c>
      <c r="E42" s="11">
        <f>IFERROR(INDEX('چکهای دریافتنی'!F:F,MATCH(Table220[[#This Row],[كد تفصيلي]],'چکهای دریافتنی'!A:A,0)),0)</f>
        <v>0</v>
      </c>
      <c r="F42" s="11">
        <f>Table220[[#This Row],[حسابهای دریافتنی]]+Table220[[#This Row],[چکهای در جریان وصول]]+Table220[[#This Row],[چکهای نزد صندوق]]</f>
        <v>3592950000</v>
      </c>
      <c r="G42" s="12">
        <f>IFERROR(INDEX('مانده سوفاله'!F:F,MATCH(Table220[[#This Row],[كد تفصيلي]],'مانده سوفاله'!A:A,0)),0)</f>
        <v>-8965</v>
      </c>
    </row>
    <row r="43" spans="1:7" ht="21.75" customHeight="1" x14ac:dyDescent="0.35">
      <c r="A43" s="27">
        <v>30022</v>
      </c>
      <c r="B43" s="55" t="s">
        <v>70</v>
      </c>
      <c r="C43" s="10">
        <f>IFERROR(INDEX('حسابهای دریافتنی'!H:H,MATCH(Table220[[#This Row],[كد تفصيلي]],'حسابهای دریافتنی'!A:A,0)),0)</f>
        <v>2933770530</v>
      </c>
      <c r="D43" s="11">
        <f>IFERROR(INDEX('درجریان وصول'!F:F,MATCH(Table220[[#This Row],[كد تفصيلي]],'درجریان وصول'!A:A,0)),0)</f>
        <v>0</v>
      </c>
      <c r="E43" s="11">
        <f>IFERROR(INDEX('چکهای دریافتنی'!F:F,MATCH(Table220[[#This Row],[كد تفصيلي]],'چکهای دریافتنی'!A:A,0)),0)</f>
        <v>0</v>
      </c>
      <c r="F43" s="11">
        <f>Table220[[#This Row],[حسابهای دریافتنی]]+Table220[[#This Row],[چکهای در جریان وصول]]+Table220[[#This Row],[چکهای نزد صندوق]]</f>
        <v>2933770530</v>
      </c>
      <c r="G43" s="12">
        <f>IFERROR(INDEX('مانده سوفاله'!F:F,MATCH(Table220[[#This Row],[كد تفصيلي]],'مانده سوفاله'!A:A,0)),0)</f>
        <v>-14747</v>
      </c>
    </row>
    <row r="44" spans="1:7" ht="21.75" customHeight="1" x14ac:dyDescent="0.35">
      <c r="A44" s="27">
        <v>10096</v>
      </c>
      <c r="B44" s="55" t="s">
        <v>271</v>
      </c>
      <c r="C44" s="10">
        <f>IFERROR(INDEX('حسابهای دریافتنی'!H:H,MATCH(Table220[[#This Row],[كد تفصيلي]],'حسابهای دریافتنی'!A:A,0)),0)</f>
        <v>36455500</v>
      </c>
      <c r="D44" s="11">
        <f>IFERROR(INDEX('درجریان وصول'!F:F,MATCH(Table220[[#This Row],[كد تفصيلي]],'درجریان وصول'!A:A,0)),0)</f>
        <v>0</v>
      </c>
      <c r="E44" s="11">
        <f>IFERROR(INDEX('چکهای دریافتنی'!F:F,MATCH(Table220[[#This Row],[كد تفصيلي]],'چکهای دریافتنی'!A:A,0)),0)</f>
        <v>0</v>
      </c>
      <c r="F44" s="11">
        <f>Table220[[#This Row],[حسابهای دریافتنی]]+Table220[[#This Row],[چکهای در جریان وصول]]+Table220[[#This Row],[چکهای نزد صندوق]]</f>
        <v>36455500</v>
      </c>
      <c r="G44" s="12">
        <f>IFERROR(INDEX('مانده سوفاله'!F:F,MATCH(Table220[[#This Row],[كد تفصيلي]],'مانده سوفاله'!A:A,0)),0)</f>
        <v>0</v>
      </c>
    </row>
    <row r="45" spans="1:7" ht="21.75" customHeight="1" x14ac:dyDescent="0.35">
      <c r="A45" s="26">
        <v>30025</v>
      </c>
      <c r="B45" s="56" t="s">
        <v>73</v>
      </c>
      <c r="C45" s="10">
        <f>IFERROR(INDEX('حسابهای دریافتنی'!H:H,MATCH(Table220[[#This Row],[كد تفصيلي]],'حسابهای دریافتنی'!A:A,0)),0)</f>
        <v>35598920</v>
      </c>
      <c r="D45" s="11">
        <f>IFERROR(INDEX('درجریان وصول'!F:F,MATCH(Table220[[#This Row],[كد تفصيلي]],'درجریان وصول'!A:A,0)),0)</f>
        <v>0</v>
      </c>
      <c r="E45" s="11">
        <f>IFERROR(INDEX('چکهای دریافتنی'!F:F,MATCH(Table220[[#This Row],[كد تفصيلي]],'چکهای دریافتنی'!A:A,0)),0)</f>
        <v>0</v>
      </c>
      <c r="F45" s="11">
        <f>Table220[[#This Row],[حسابهای دریافتنی]]+Table220[[#This Row],[چکهای در جریان وصول]]+Table220[[#This Row],[چکهای نزد صندوق]]</f>
        <v>35598920</v>
      </c>
      <c r="G45" s="12">
        <f>IFERROR(INDEX('مانده سوفاله'!F:F,MATCH(Table220[[#This Row],[كد تفصيلي]],'مانده سوفاله'!A:A,0)),0)</f>
        <v>-165</v>
      </c>
    </row>
    <row r="46" spans="1:7" ht="21.75" customHeight="1" x14ac:dyDescent="0.35">
      <c r="A46" s="26">
        <v>30005</v>
      </c>
      <c r="B46" s="56" t="s">
        <v>55</v>
      </c>
      <c r="C46" s="10">
        <f>IFERROR(INDEX('حسابهای دریافتنی'!H:H,MATCH(Table220[[#This Row],[كد تفصيلي]],'حسابهای دریافتنی'!A:A,0)),0)</f>
        <v>35368209</v>
      </c>
      <c r="D46" s="11">
        <f>IFERROR(INDEX('درجریان وصول'!F:F,MATCH(Table220[[#This Row],[كد تفصيلي]],'درجریان وصول'!A:A,0)),0)</f>
        <v>0</v>
      </c>
      <c r="E46" s="11">
        <f>IFERROR(INDEX('چکهای دریافتنی'!F:F,MATCH(Table220[[#This Row],[كد تفصيلي]],'چکهای دریافتنی'!A:A,0)),0)</f>
        <v>0</v>
      </c>
      <c r="F46" s="11">
        <f>Table220[[#This Row],[حسابهای دریافتنی]]+Table220[[#This Row],[چکهای در جریان وصول]]+Table220[[#This Row],[چکهای نزد صندوق]]</f>
        <v>35368209</v>
      </c>
      <c r="G46" s="12">
        <f>IFERROR(INDEX('مانده سوفاله'!F:F,MATCH(Table220[[#This Row],[كد تفصيلي]],'مانده سوفاله'!A:A,0)),0)</f>
        <v>61</v>
      </c>
    </row>
    <row r="47" spans="1:7" ht="21.75" customHeight="1" x14ac:dyDescent="0.35">
      <c r="A47" s="27">
        <v>30093</v>
      </c>
      <c r="B47" s="55" t="s">
        <v>151</v>
      </c>
      <c r="C47" s="10">
        <f>IFERROR(INDEX('حسابهای دریافتنی'!H:H,MATCH(Table220[[#This Row],[كد تفصيلي]],'حسابهای دریافتنی'!A:A,0)),0)</f>
        <v>0</v>
      </c>
      <c r="D47" s="11">
        <f>IFERROR(INDEX('درجریان وصول'!F:F,MATCH(Table220[[#This Row],[كد تفصيلي]],'درجریان وصول'!A:A,0)),0)</f>
        <v>0</v>
      </c>
      <c r="E47" s="11">
        <f>IFERROR(INDEX('چکهای دریافتنی'!F:F,MATCH(Table220[[#This Row],[كد تفصيلي]],'چکهای دریافتنی'!A:A,0)),0)</f>
        <v>0</v>
      </c>
      <c r="F47" s="11">
        <f>Table220[[#This Row],[حسابهای دریافتنی]]+Table220[[#This Row],[چکهای در جریان وصول]]+Table220[[#This Row],[چکهای نزد صندوق]]</f>
        <v>0</v>
      </c>
      <c r="G47" s="12">
        <v>77</v>
      </c>
    </row>
    <row r="48" spans="1:7" ht="21.75" customHeight="1" x14ac:dyDescent="0.35">
      <c r="A48" s="26">
        <v>10091</v>
      </c>
      <c r="B48" s="56" t="s">
        <v>258</v>
      </c>
      <c r="C48" s="10">
        <f>IFERROR(INDEX('حسابهای دریافتنی'!H:H,MATCH(Table220[[#This Row],[كد تفصيلي]],'حسابهای دریافتنی'!A:A,0)),0)</f>
        <v>59321500</v>
      </c>
      <c r="D48" s="11">
        <f>IFERROR(INDEX('درجریان وصول'!F:F,MATCH(Table220[[#This Row],[كد تفصيلي]],'درجریان وصول'!A:A,0)),0)</f>
        <v>0</v>
      </c>
      <c r="E48" s="11">
        <f>IFERROR(INDEX('چکهای دریافتنی'!F:F,MATCH(Table220[[#This Row],[كد تفصيلي]],'چکهای دریافتنی'!A:A,0)),0)</f>
        <v>0</v>
      </c>
      <c r="F48" s="11">
        <f>Table220[[#This Row],[حسابهای دریافتنی]]+Table220[[#This Row],[چکهای در جریان وصول]]+Table220[[#This Row],[چکهای نزد صندوق]]</f>
        <v>59321500</v>
      </c>
      <c r="G48" s="12">
        <f>IFERROR(INDEX('مانده سوفاله'!F:F,MATCH(Table220[[#This Row],[كد تفصيلي]],'مانده سوفاله'!A:A,0)),0)</f>
        <v>0</v>
      </c>
    </row>
    <row r="49" spans="1:7" ht="21.75" customHeight="1" x14ac:dyDescent="0.35">
      <c r="A49" s="27">
        <v>30008</v>
      </c>
      <c r="B49" s="55" t="s">
        <v>58</v>
      </c>
      <c r="C49" s="10">
        <f>IFERROR(INDEX('حسابهای دریافتنی'!H:H,MATCH(Table220[[#This Row],[كد تفصيلي]],'حسابهای دریافتنی'!A:A,0)),0)</f>
        <v>15520000</v>
      </c>
      <c r="D49" s="11">
        <f>IFERROR(INDEX('درجریان وصول'!F:F,MATCH(Table220[[#This Row],[كد تفصيلي]],'درجریان وصول'!A:A,0)),0)</f>
        <v>0</v>
      </c>
      <c r="E49" s="11">
        <f>IFERROR(INDEX('چکهای دریافتنی'!F:F,MATCH(Table220[[#This Row],[كد تفصيلي]],'چکهای دریافتنی'!A:A,0)),0)</f>
        <v>0</v>
      </c>
      <c r="F49" s="11">
        <f>Table220[[#This Row],[حسابهای دریافتنی]]+Table220[[#This Row],[چکهای در جریان وصول]]+Table220[[#This Row],[چکهای نزد صندوق]]</f>
        <v>15520000</v>
      </c>
      <c r="G49" s="12">
        <f>IFERROR(INDEX('مانده سوفاله'!F:F,MATCH(Table220[[#This Row],[كد تفصيلي]],'مانده سوفاله'!A:A,0)),0)</f>
        <v>0</v>
      </c>
    </row>
    <row r="50" spans="1:7" ht="21.75" customHeight="1" x14ac:dyDescent="0.35">
      <c r="A50" s="26">
        <v>10007</v>
      </c>
      <c r="B50" s="56" t="s">
        <v>14</v>
      </c>
      <c r="C50" s="10">
        <f>IFERROR(INDEX('حسابهای دریافتنی'!H:H,MATCH(Table220[[#This Row],[كد تفصيلي]],'حسابهای دریافتنی'!A:A,0)),0)</f>
        <v>12770000</v>
      </c>
      <c r="D50" s="11">
        <f>IFERROR(INDEX('درجریان وصول'!F:F,MATCH(Table220[[#This Row],[كد تفصيلي]],'درجریان وصول'!A:A,0)),0)</f>
        <v>0</v>
      </c>
      <c r="E50" s="11">
        <f>IFERROR(INDEX('چکهای دریافتنی'!F:F,MATCH(Table220[[#This Row],[كد تفصيلي]],'چکهای دریافتنی'!A:A,0)),0)</f>
        <v>0</v>
      </c>
      <c r="F50" s="11">
        <f>Table220[[#This Row],[حسابهای دریافتنی]]+Table220[[#This Row],[چکهای در جریان وصول]]+Table220[[#This Row],[چکهای نزد صندوق]]</f>
        <v>12770000</v>
      </c>
      <c r="G50" s="12">
        <f>IFERROR(INDEX('مانده سوفاله'!F:F,MATCH(Table220[[#This Row],[كد تفصيلي]],'مانده سوفاله'!A:A,0)),0)</f>
        <v>-52.5</v>
      </c>
    </row>
    <row r="51" spans="1:7" ht="21.75" customHeight="1" x14ac:dyDescent="0.35">
      <c r="A51" s="27">
        <v>30145</v>
      </c>
      <c r="B51" s="55" t="s">
        <v>265</v>
      </c>
      <c r="C51" s="10">
        <f>IFERROR(INDEX('حسابهای دریافتنی'!H:H,MATCH(Table220[[#This Row],[كد تفصيلي]],'حسابهای دریافتنی'!A:A,0)),0)</f>
        <v>6442500</v>
      </c>
      <c r="D51" s="11">
        <f>IFERROR(INDEX('درجریان وصول'!F:F,MATCH(Table220[[#This Row],[كد تفصيلي]],'درجریان وصول'!A:A,0)),0)</f>
        <v>0</v>
      </c>
      <c r="E51" s="11">
        <f>IFERROR(INDEX('چکهای دریافتنی'!F:F,MATCH(Table220[[#This Row],[كد تفصيلي]],'چکهای دریافتنی'!A:A,0)),0)</f>
        <v>0</v>
      </c>
      <c r="F51" s="11">
        <f>Table220[[#This Row],[حسابهای دریافتنی]]+Table220[[#This Row],[چکهای در جریان وصول]]+Table220[[#This Row],[چکهای نزد صندوق]]</f>
        <v>6442500</v>
      </c>
      <c r="G51" s="12">
        <f>IFERROR(INDEX('مانده سوفاله'!F:F,MATCH(Table220[[#This Row],[كد تفصيلي]],'مانده سوفاله'!A:A,0)),0)</f>
        <v>0</v>
      </c>
    </row>
    <row r="52" spans="1:7" ht="21.75" customHeight="1" x14ac:dyDescent="0.35">
      <c r="A52" s="26">
        <v>30047</v>
      </c>
      <c r="B52" s="56" t="s">
        <v>94</v>
      </c>
      <c r="C52" s="10">
        <f>IFERROR(INDEX('حسابهای دریافتنی'!H:H,MATCH(Table220[[#This Row],[كد تفصيلي]],'حسابهای دریافتنی'!A:A,0)),0)</f>
        <v>5794900</v>
      </c>
      <c r="D52" s="11">
        <f>IFERROR(INDEX('درجریان وصول'!F:F,MATCH(Table220[[#This Row],[كد تفصيلي]],'درجریان وصول'!A:A,0)),0)</f>
        <v>0</v>
      </c>
      <c r="E52" s="11">
        <f>IFERROR(INDEX('چکهای دریافتنی'!F:F,MATCH(Table220[[#This Row],[كد تفصيلي]],'چکهای دریافتنی'!A:A,0)),0)</f>
        <v>0</v>
      </c>
      <c r="F52" s="11">
        <f>Table220[[#This Row],[حسابهای دریافتنی]]+Table220[[#This Row],[چکهای در جریان وصول]]+Table220[[#This Row],[چکهای نزد صندوق]]</f>
        <v>5794900</v>
      </c>
      <c r="G52" s="12">
        <f>IFERROR(INDEX('مانده سوفاله'!F:F,MATCH(Table220[[#This Row],[كد تفصيلي]],'مانده سوفاله'!A:A,0)),0)</f>
        <v>-630</v>
      </c>
    </row>
    <row r="53" spans="1:7" ht="21.75" customHeight="1" x14ac:dyDescent="0.35">
      <c r="A53" s="26">
        <v>30011</v>
      </c>
      <c r="B53" s="56" t="s">
        <v>60</v>
      </c>
      <c r="C53" s="10">
        <f>IFERROR(INDEX('حسابهای دریافتنی'!H:H,MATCH(Table220[[#This Row],[كد تفصيلي]],'حسابهای دریافتنی'!A:A,0)),0)</f>
        <v>5595200</v>
      </c>
      <c r="D53" s="11">
        <f>IFERROR(INDEX('درجریان وصول'!F:F,MATCH(Table220[[#This Row],[كد تفصيلي]],'درجریان وصول'!A:A,0)),0)</f>
        <v>0</v>
      </c>
      <c r="E53" s="11">
        <f>IFERROR(INDEX('چکهای دریافتنی'!F:F,MATCH(Table220[[#This Row],[كد تفصيلي]],'چکهای دریافتنی'!A:A,0)),0)</f>
        <v>0</v>
      </c>
      <c r="F53" s="11">
        <f>Table220[[#This Row],[حسابهای دریافتنی]]+Table220[[#This Row],[چکهای در جریان وصول]]+Table220[[#This Row],[چکهای نزد صندوق]]</f>
        <v>5595200</v>
      </c>
      <c r="G53" s="12">
        <f>IFERROR(INDEX('مانده سوفاله'!F:F,MATCH(Table220[[#This Row],[كد تفصيلي]],'مانده سوفاله'!A:A,0)),0)</f>
        <v>-5</v>
      </c>
    </row>
    <row r="54" spans="1:7" ht="21.75" customHeight="1" x14ac:dyDescent="0.35">
      <c r="A54" s="27">
        <v>10080</v>
      </c>
      <c r="B54" s="55" t="s">
        <v>214</v>
      </c>
      <c r="C54" s="10">
        <f>IFERROR(INDEX('حسابهای دریافتنی'!H:H,MATCH(Table220[[#This Row],[كد تفصيلي]],'حسابهای دریافتنی'!A:A,0)),0)</f>
        <v>5395000</v>
      </c>
      <c r="D54" s="11">
        <f>IFERROR(INDEX('درجریان وصول'!F:F,MATCH(Table220[[#This Row],[كد تفصيلي]],'درجریان وصول'!A:A,0)),0)</f>
        <v>0</v>
      </c>
      <c r="E54" s="11">
        <f>IFERROR(INDEX('چکهای دریافتنی'!F:F,MATCH(Table220[[#This Row],[كد تفصيلي]],'چکهای دریافتنی'!A:A,0)),0)</f>
        <v>0</v>
      </c>
      <c r="F54" s="11">
        <f>Table220[[#This Row],[حسابهای دریافتنی]]+Table220[[#This Row],[چکهای در جریان وصول]]+Table220[[#This Row],[چکهای نزد صندوق]]</f>
        <v>5395000</v>
      </c>
      <c r="G54" s="12">
        <f>IFERROR(INDEX('مانده سوفاله'!F:F,MATCH(Table220[[#This Row],[كد تفصيلي]],'مانده سوفاله'!A:A,0)),0)</f>
        <v>0</v>
      </c>
    </row>
    <row r="55" spans="1:7" ht="21.75" customHeight="1" x14ac:dyDescent="0.35">
      <c r="A55" s="26">
        <v>30114</v>
      </c>
      <c r="B55" s="56" t="s">
        <v>175</v>
      </c>
      <c r="C55" s="10">
        <f>IFERROR(INDEX('حسابهای دریافتنی'!H:H,MATCH(Table220[[#This Row],[كد تفصيلي]],'حسابهای دریافتنی'!A:A,0)),0)</f>
        <v>5385600</v>
      </c>
      <c r="D55" s="11">
        <f>IFERROR(INDEX('درجریان وصول'!F:F,MATCH(Table220[[#This Row],[كد تفصيلي]],'درجریان وصول'!A:A,0)),0)</f>
        <v>0</v>
      </c>
      <c r="E55" s="11">
        <f>IFERROR(INDEX('چکهای دریافتنی'!F:F,MATCH(Table220[[#This Row],[كد تفصيلي]],'چکهای دریافتنی'!A:A,0)),0)</f>
        <v>0</v>
      </c>
      <c r="F55" s="11">
        <f>Table220[[#This Row],[حسابهای دریافتنی]]+Table220[[#This Row],[چکهای در جریان وصول]]+Table220[[#This Row],[چکهای نزد صندوق]]</f>
        <v>5385600</v>
      </c>
      <c r="G55" s="12">
        <f>IFERROR(INDEX('مانده سوفاله'!F:F,MATCH(Table220[[#This Row],[كد تفصيلي]],'مانده سوفاله'!A:A,0)),0)</f>
        <v>0</v>
      </c>
    </row>
    <row r="56" spans="1:7" ht="21.75" customHeight="1" x14ac:dyDescent="0.35">
      <c r="A56" s="27">
        <v>30123</v>
      </c>
      <c r="B56" s="55" t="s">
        <v>208</v>
      </c>
      <c r="C56" s="10">
        <f>IFERROR(INDEX('حسابهای دریافتنی'!H:H,MATCH(Table220[[#This Row],[كد تفصيلي]],'حسابهای دریافتنی'!A:A,0)),0)</f>
        <v>4138250</v>
      </c>
      <c r="D56" s="11">
        <f>IFERROR(INDEX('درجریان وصول'!F:F,MATCH(Table220[[#This Row],[كد تفصيلي]],'درجریان وصول'!A:A,0)),0)</f>
        <v>0</v>
      </c>
      <c r="E56" s="11">
        <f>IFERROR(INDEX('چکهای دریافتنی'!F:F,MATCH(Table220[[#This Row],[كد تفصيلي]],'چکهای دریافتنی'!A:A,0)),0)</f>
        <v>0</v>
      </c>
      <c r="F56" s="11">
        <f>Table220[[#This Row],[حسابهای دریافتنی]]+Table220[[#This Row],[چکهای در جریان وصول]]+Table220[[#This Row],[چکهای نزد صندوق]]</f>
        <v>4138250</v>
      </c>
      <c r="G56" s="12">
        <f>IFERROR(INDEX('مانده سوفاله'!F:F,MATCH(Table220[[#This Row],[كد تفصيلي]],'مانده سوفاله'!A:A,0)),0)</f>
        <v>-20</v>
      </c>
    </row>
    <row r="57" spans="1:7" ht="21.75" customHeight="1" x14ac:dyDescent="0.35">
      <c r="A57" s="26">
        <v>10116</v>
      </c>
      <c r="B57" s="56" t="s">
        <v>321</v>
      </c>
      <c r="C57" s="10">
        <f>IFERROR(INDEX('حسابهای دریافتنی'!H:H,MATCH(Table220[[#This Row],[كد تفصيلي]],'حسابهای دریافتنی'!A:A,0)),0)</f>
        <v>3892500</v>
      </c>
      <c r="D57" s="11">
        <f>IFERROR(INDEX('درجریان وصول'!F:F,MATCH(Table220[[#This Row],[كد تفصيلي]],'درجریان وصول'!A:A,0)),0)</f>
        <v>0</v>
      </c>
      <c r="E57" s="11">
        <f>IFERROR(INDEX('چکهای دریافتنی'!F:F,MATCH(Table220[[#This Row],[كد تفصيلي]],'چکهای دریافتنی'!A:A,0)),0)</f>
        <v>0</v>
      </c>
      <c r="F57" s="11">
        <f>Table220[[#This Row],[حسابهای دریافتنی]]+Table220[[#This Row],[چکهای در جریان وصول]]+Table220[[#This Row],[چکهای نزد صندوق]]</f>
        <v>3892500</v>
      </c>
      <c r="G57" s="12">
        <f>IFERROR(INDEX('مانده سوفاله'!F:F,MATCH(Table220[[#This Row],[كد تفصيلي]],'مانده سوفاله'!A:A,0)),0)</f>
        <v>0</v>
      </c>
    </row>
    <row r="58" spans="1:7" ht="21.75" customHeight="1" x14ac:dyDescent="0.35">
      <c r="A58" s="27">
        <v>10004</v>
      </c>
      <c r="B58" s="55" t="s">
        <v>11</v>
      </c>
      <c r="C58" s="10">
        <f>IFERROR(INDEX('حسابهای دریافتنی'!H:H,MATCH(Table220[[#This Row],[كد تفصيلي]],'حسابهای دریافتنی'!A:A,0)),0)</f>
        <v>853000</v>
      </c>
      <c r="D58" s="11">
        <f>IFERROR(INDEX('درجریان وصول'!F:F,MATCH(Table220[[#This Row],[كد تفصيلي]],'درجریان وصول'!A:A,0)),0)</f>
        <v>0</v>
      </c>
      <c r="E58" s="11">
        <f>IFERROR(INDEX('چکهای دریافتنی'!F:F,MATCH(Table220[[#This Row],[كد تفصيلي]],'چکهای دریافتنی'!A:A,0)),0)</f>
        <v>341000000</v>
      </c>
      <c r="F58" s="11">
        <f>Table220[[#This Row],[حسابهای دریافتنی]]+Table220[[#This Row],[چکهای در جریان وصول]]+Table220[[#This Row],[چکهای نزد صندوق]]</f>
        <v>341853000</v>
      </c>
      <c r="G58" s="12">
        <f>IFERROR(INDEX('مانده سوفاله'!F:F,MATCH(Table220[[#This Row],[كد تفصيلي]],'مانده سوفاله'!A:A,0)),0)</f>
        <v>-12</v>
      </c>
    </row>
    <row r="59" spans="1:7" ht="21.75" customHeight="1" x14ac:dyDescent="0.35">
      <c r="A59" s="26">
        <v>10101</v>
      </c>
      <c r="B59" s="56" t="s">
        <v>281</v>
      </c>
      <c r="C59" s="10">
        <f>IFERROR(INDEX('حسابهای دریافتنی'!H:H,MATCH(Table220[[#This Row],[كد تفصيلي]],'حسابهای دریافتنی'!A:A,0)),0)</f>
        <v>0</v>
      </c>
      <c r="D59" s="11">
        <f>IFERROR(INDEX('درجریان وصول'!F:F,MATCH(Table220[[#This Row],[كد تفصيلي]],'درجریان وصول'!A:A,0)),0)</f>
        <v>0</v>
      </c>
      <c r="E59" s="11">
        <f>IFERROR(INDEX('چکهای دریافتنی'!F:F,MATCH(Table220[[#This Row],[كد تفصيلي]],'چکهای دریافتنی'!A:A,0)),0)</f>
        <v>0</v>
      </c>
      <c r="F59" s="11">
        <f>Table220[[#This Row],[حسابهای دریافتنی]]+Table220[[#This Row],[چکهای در جریان وصول]]+Table220[[#This Row],[چکهای نزد صندوق]]</f>
        <v>0</v>
      </c>
      <c r="G59" s="12">
        <f>IFERROR(INDEX('مانده سوفاله'!F:F,MATCH(Table220[[#This Row],[كد تفصيلي]],'مانده سوفاله'!A:A,0)),0)</f>
        <v>0</v>
      </c>
    </row>
    <row r="60" spans="1:7" ht="21.75" customHeight="1" x14ac:dyDescent="0.35">
      <c r="A60" s="27">
        <v>10030</v>
      </c>
      <c r="B60" s="55" t="s">
        <v>36</v>
      </c>
      <c r="C60" s="10">
        <f>IFERROR(INDEX('حسابهای دریافتنی'!H:H,MATCH(Table220[[#This Row],[كد تفصيلي]],'حسابهای دریافتنی'!A:A,0)),0)</f>
        <v>3272000</v>
      </c>
      <c r="D60" s="11">
        <f>IFERROR(INDEX('درجریان وصول'!F:F,MATCH(Table220[[#This Row],[كد تفصيلي]],'درجریان وصول'!A:A,0)),0)</f>
        <v>0</v>
      </c>
      <c r="E60" s="11">
        <f>IFERROR(INDEX('چکهای دریافتنی'!F:F,MATCH(Table220[[#This Row],[كد تفصيلي]],'چکهای دریافتنی'!A:A,0)),0)</f>
        <v>0</v>
      </c>
      <c r="F60" s="11">
        <f>Table220[[#This Row],[حسابهای دریافتنی]]+Table220[[#This Row],[چکهای در جریان وصول]]+Table220[[#This Row],[چکهای نزد صندوق]]</f>
        <v>3272000</v>
      </c>
      <c r="G60" s="12">
        <f>IFERROR(INDEX('مانده سوفاله'!F:F,MATCH(Table220[[#This Row],[كد تفصيلي]],'مانده سوفاله'!A:A,0)),0)</f>
        <v>-222</v>
      </c>
    </row>
    <row r="61" spans="1:7" ht="21.75" customHeight="1" x14ac:dyDescent="0.35">
      <c r="A61" s="26">
        <v>30178</v>
      </c>
      <c r="B61" s="56" t="s">
        <v>335</v>
      </c>
      <c r="C61" s="10">
        <f>IFERROR(INDEX('حسابهای دریافتنی'!H:H,MATCH(Table220[[#This Row],[كد تفصيلي]],'حسابهای دریافتنی'!A:A,0)),0)</f>
        <v>3040000</v>
      </c>
      <c r="D61" s="11">
        <f>IFERROR(INDEX('درجریان وصول'!F:F,MATCH(Table220[[#This Row],[كد تفصيلي]],'درجریان وصول'!A:A,0)),0)</f>
        <v>0</v>
      </c>
      <c r="E61" s="11">
        <f>IFERROR(INDEX('چکهای دریافتنی'!F:F,MATCH(Table220[[#This Row],[كد تفصيلي]],'چکهای دریافتنی'!A:A,0)),0)</f>
        <v>0</v>
      </c>
      <c r="F61" s="11">
        <f>Table220[[#This Row],[حسابهای دریافتنی]]+Table220[[#This Row],[چکهای در جریان وصول]]+Table220[[#This Row],[چکهای نزد صندوق]]</f>
        <v>3040000</v>
      </c>
      <c r="G61" s="12">
        <f>IFERROR(INDEX('مانده سوفاله'!F:F,MATCH(Table220[[#This Row],[كد تفصيلي]],'مانده سوفاله'!A:A,0)),0)</f>
        <v>0</v>
      </c>
    </row>
    <row r="62" spans="1:7" ht="21.75" customHeight="1" x14ac:dyDescent="0.35">
      <c r="A62" s="27">
        <v>30020</v>
      </c>
      <c r="B62" s="55" t="s">
        <v>68</v>
      </c>
      <c r="C62" s="10">
        <f>IFERROR(INDEX('حسابهای دریافتنی'!H:H,MATCH(Table220[[#This Row],[كد تفصيلي]],'حسابهای دریافتنی'!A:A,0)),0)</f>
        <v>2253500</v>
      </c>
      <c r="D62" s="11">
        <f>IFERROR(INDEX('درجریان وصول'!F:F,MATCH(Table220[[#This Row],[كد تفصيلي]],'درجریان وصول'!A:A,0)),0)</f>
        <v>0</v>
      </c>
      <c r="E62" s="11">
        <f>IFERROR(INDEX('چکهای دریافتنی'!F:F,MATCH(Table220[[#This Row],[كد تفصيلي]],'چکهای دریافتنی'!A:A,0)),0)</f>
        <v>0</v>
      </c>
      <c r="F62" s="11">
        <f>Table220[[#This Row],[حسابهای دریافتنی]]+Table220[[#This Row],[چکهای در جریان وصول]]+Table220[[#This Row],[چکهای نزد صندوق]]</f>
        <v>2253500</v>
      </c>
      <c r="G62" s="12">
        <f>IFERROR(INDEX('مانده سوفاله'!F:F,MATCH(Table220[[#This Row],[كد تفصيلي]],'مانده سوفاله'!A:A,0)),0)</f>
        <v>4</v>
      </c>
    </row>
    <row r="63" spans="1:7" ht="21.75" customHeight="1" x14ac:dyDescent="0.35">
      <c r="A63" s="26">
        <v>30084</v>
      </c>
      <c r="B63" s="56" t="s">
        <v>129</v>
      </c>
      <c r="C63" s="10">
        <f>IFERROR(INDEX('حسابهای دریافتنی'!H:H,MATCH(Table220[[#This Row],[كد تفصيلي]],'حسابهای دریافتنی'!A:A,0)),0)</f>
        <v>1220000</v>
      </c>
      <c r="D63" s="11">
        <f>IFERROR(INDEX('درجریان وصول'!F:F,MATCH(Table220[[#This Row],[كد تفصيلي]],'درجریان وصول'!A:A,0)),0)</f>
        <v>0</v>
      </c>
      <c r="E63" s="11">
        <f>IFERROR(INDEX('چکهای دریافتنی'!F:F,MATCH(Table220[[#This Row],[كد تفصيلي]],'چکهای دریافتنی'!A:A,0)),0)</f>
        <v>0</v>
      </c>
      <c r="F63" s="11">
        <f>Table220[[#This Row],[حسابهای دریافتنی]]+Table220[[#This Row],[چکهای در جریان وصول]]+Table220[[#This Row],[چکهای نزد صندوق]]</f>
        <v>1220000</v>
      </c>
      <c r="G63" s="12">
        <f>IFERROR(INDEX('مانده سوفاله'!F:F,MATCH(Table220[[#This Row],[كد تفصيلي]],'مانده سوفاله'!A:A,0)),0)</f>
        <v>0</v>
      </c>
    </row>
    <row r="64" spans="1:7" ht="21.75" customHeight="1" x14ac:dyDescent="0.35">
      <c r="A64" s="27">
        <v>79055</v>
      </c>
      <c r="B64" s="55" t="s">
        <v>297</v>
      </c>
      <c r="C64" s="10">
        <f>IFERROR(INDEX('حسابهای دریافتنی'!H:H,MATCH(Table220[[#This Row],[كد تفصيلي]],'حسابهای دریافتنی'!A:A,0)),0)</f>
        <v>896500</v>
      </c>
      <c r="D64" s="11">
        <f>IFERROR(INDEX('درجریان وصول'!F:F,MATCH(Table220[[#This Row],[كد تفصيلي]],'درجریان وصول'!A:A,0)),0)</f>
        <v>0</v>
      </c>
      <c r="E64" s="11">
        <f>IFERROR(INDEX('چکهای دریافتنی'!F:F,MATCH(Table220[[#This Row],[كد تفصيلي]],'چکهای دریافتنی'!A:A,0)),0)</f>
        <v>0</v>
      </c>
      <c r="F64" s="11">
        <f>Table220[[#This Row],[حسابهای دریافتنی]]+Table220[[#This Row],[چکهای در جریان وصول]]+Table220[[#This Row],[چکهای نزد صندوق]]</f>
        <v>896500</v>
      </c>
      <c r="G64" s="12">
        <f>IFERROR(INDEX('مانده سوفاله'!F:F,MATCH(Table220[[#This Row],[كد تفصيلي]],'مانده سوفاله'!A:A,0)),0)</f>
        <v>0</v>
      </c>
    </row>
    <row r="65" spans="1:7" ht="21.75" customHeight="1" x14ac:dyDescent="0.35">
      <c r="A65" s="27">
        <v>30030</v>
      </c>
      <c r="B65" s="55" t="s">
        <v>77</v>
      </c>
      <c r="C65" s="10">
        <f>IFERROR(INDEX('حسابهای دریافتنی'!H:H,MATCH(Table220[[#This Row],[كد تفصيلي]],'حسابهای دریافتنی'!A:A,0)),0)</f>
        <v>850500</v>
      </c>
      <c r="D65" s="11">
        <f>IFERROR(INDEX('درجریان وصول'!F:F,MATCH(Table220[[#This Row],[كد تفصيلي]],'درجریان وصول'!A:A,0)),0)</f>
        <v>0</v>
      </c>
      <c r="E65" s="11">
        <f>IFERROR(INDEX('چکهای دریافتنی'!F:F,MATCH(Table220[[#This Row],[كد تفصيلي]],'چکهای دریافتنی'!A:A,0)),0)</f>
        <v>0</v>
      </c>
      <c r="F65" s="11">
        <f>Table220[[#This Row],[حسابهای دریافتنی]]+Table220[[#This Row],[چکهای در جریان وصول]]+Table220[[#This Row],[چکهای نزد صندوق]]</f>
        <v>850500</v>
      </c>
      <c r="G65" s="12">
        <f>IFERROR(INDEX('مانده سوفاله'!F:F,MATCH(Table220[[#This Row],[كد تفصيلي]],'مانده سوفاله'!A:A,0)),0)</f>
        <v>-49</v>
      </c>
    </row>
    <row r="66" spans="1:7" ht="21.75" customHeight="1" x14ac:dyDescent="0.35">
      <c r="A66" s="27">
        <v>30129</v>
      </c>
      <c r="B66" s="55" t="s">
        <v>178</v>
      </c>
      <c r="C66" s="10">
        <f>IFERROR(INDEX('حسابهای دریافتنی'!H:H,MATCH(Table220[[#This Row],[كد تفصيلي]],'حسابهای دریافتنی'!A:A,0)),0)</f>
        <v>783000</v>
      </c>
      <c r="D66" s="11">
        <f>IFERROR(INDEX('درجریان وصول'!F:F,MATCH(Table220[[#This Row],[كد تفصيلي]],'درجریان وصول'!A:A,0)),0)</f>
        <v>0</v>
      </c>
      <c r="E66" s="11">
        <f>IFERROR(INDEX('چکهای دریافتنی'!F:F,MATCH(Table220[[#This Row],[كد تفصيلي]],'چکهای دریافتنی'!A:A,0)),0)</f>
        <v>0</v>
      </c>
      <c r="F66" s="11">
        <f>Table220[[#This Row],[حسابهای دریافتنی]]+Table220[[#This Row],[چکهای در جریان وصول]]+Table220[[#This Row],[چکهای نزد صندوق]]</f>
        <v>783000</v>
      </c>
      <c r="G66" s="12">
        <f>IFERROR(INDEX('مانده سوفاله'!F:F,MATCH(Table220[[#This Row],[كد تفصيلي]],'مانده سوفاله'!A:A,0)),0)</f>
        <v>0</v>
      </c>
    </row>
    <row r="67" spans="1:7" ht="21.75" customHeight="1" x14ac:dyDescent="0.35">
      <c r="A67" s="26">
        <v>30090</v>
      </c>
      <c r="B67" s="56" t="s">
        <v>144</v>
      </c>
      <c r="C67" s="10">
        <f>IFERROR(INDEX('حسابهای دریافتنی'!H:H,MATCH(Table220[[#This Row],[كد تفصيلي]],'حسابهای دریافتنی'!A:A,0)),0)</f>
        <v>640100</v>
      </c>
      <c r="D67" s="11">
        <f>IFERROR(INDEX('درجریان وصول'!F:F,MATCH(Table220[[#This Row],[كد تفصيلي]],'درجریان وصول'!A:A,0)),0)</f>
        <v>0</v>
      </c>
      <c r="E67" s="11">
        <f>IFERROR(INDEX('چکهای دریافتنی'!F:F,MATCH(Table220[[#This Row],[كد تفصيلي]],'چکهای دریافتنی'!A:A,0)),0)</f>
        <v>0</v>
      </c>
      <c r="F67" s="11">
        <f>Table220[[#This Row],[حسابهای دریافتنی]]+Table220[[#This Row],[چکهای در جریان وصول]]+Table220[[#This Row],[چکهای نزد صندوق]]</f>
        <v>640100</v>
      </c>
      <c r="G67" s="12">
        <f>IFERROR(INDEX('مانده سوفاله'!F:F,MATCH(Table220[[#This Row],[كد تفصيلي]],'مانده سوفاله'!A:A,0)),0)</f>
        <v>0</v>
      </c>
    </row>
    <row r="68" spans="1:7" ht="21.75" customHeight="1" x14ac:dyDescent="0.35">
      <c r="A68" s="27">
        <v>30109</v>
      </c>
      <c r="B68" s="55" t="s">
        <v>165</v>
      </c>
      <c r="C68" s="10">
        <f>IFERROR(INDEX('حسابهای دریافتنی'!H:H,MATCH(Table220[[#This Row],[كد تفصيلي]],'حسابهای دریافتنی'!A:A,0)),0)</f>
        <v>607300</v>
      </c>
      <c r="D68" s="11">
        <f>IFERROR(INDEX('درجریان وصول'!F:F,MATCH(Table220[[#This Row],[كد تفصيلي]],'درجریان وصول'!A:A,0)),0)</f>
        <v>0</v>
      </c>
      <c r="E68" s="11">
        <f>IFERROR(INDEX('چکهای دریافتنی'!F:F,MATCH(Table220[[#This Row],[كد تفصيلي]],'چکهای دریافتنی'!A:A,0)),0)</f>
        <v>0</v>
      </c>
      <c r="F68" s="11">
        <f>Table220[[#This Row],[حسابهای دریافتنی]]+Table220[[#This Row],[چکهای در جریان وصول]]+Table220[[#This Row],[چکهای نزد صندوق]]</f>
        <v>607300</v>
      </c>
      <c r="G68" s="12">
        <f>IFERROR(INDEX('مانده سوفاله'!F:F,MATCH(Table220[[#This Row],[كد تفصيلي]],'مانده سوفاله'!A:A,0)),0)</f>
        <v>0</v>
      </c>
    </row>
    <row r="69" spans="1:7" ht="21.75" customHeight="1" x14ac:dyDescent="0.35">
      <c r="A69" s="26">
        <v>10097</v>
      </c>
      <c r="B69" s="56" t="s">
        <v>270</v>
      </c>
      <c r="C69" s="10">
        <f>IFERROR(INDEX('حسابهای دریافتنی'!H:H,MATCH(Table220[[#This Row],[كد تفصيلي]],'حسابهای دریافتنی'!A:A,0)),0)</f>
        <v>270642500</v>
      </c>
      <c r="D69" s="11">
        <f>IFERROR(INDEX('درجریان وصول'!F:F,MATCH(Table220[[#This Row],[كد تفصيلي]],'درجریان وصول'!A:A,0)),0)</f>
        <v>0</v>
      </c>
      <c r="E69" s="11">
        <f>IFERROR(INDEX('چکهای دریافتنی'!F:F,MATCH(Table220[[#This Row],[كد تفصيلي]],'چکهای دریافتنی'!A:A,0)),0)</f>
        <v>287000000</v>
      </c>
      <c r="F69" s="11">
        <f>Table220[[#This Row],[حسابهای دریافتنی]]+Table220[[#This Row],[چکهای در جریان وصول]]+Table220[[#This Row],[چکهای نزد صندوق]]</f>
        <v>557642500</v>
      </c>
      <c r="G69" s="12">
        <f>IFERROR(INDEX('مانده سوفاله'!F:F,MATCH(Table220[[#This Row],[كد تفصيلي]],'مانده سوفاله'!A:A,0)),0)</f>
        <v>0</v>
      </c>
    </row>
    <row r="70" spans="1:7" ht="21.75" customHeight="1" x14ac:dyDescent="0.35">
      <c r="A70" s="27">
        <v>30010</v>
      </c>
      <c r="B70" s="55" t="s">
        <v>59</v>
      </c>
      <c r="C70" s="10">
        <f>IFERROR(INDEX('حسابهای دریافتنی'!H:H,MATCH(Table220[[#This Row],[كد تفصيلي]],'حسابهای دریافتنی'!A:A,0)),0)</f>
        <v>366215</v>
      </c>
      <c r="D70" s="11">
        <f>IFERROR(INDEX('درجریان وصول'!F:F,MATCH(Table220[[#This Row],[كد تفصيلي]],'درجریان وصول'!A:A,0)),0)</f>
        <v>0</v>
      </c>
      <c r="E70" s="11">
        <f>IFERROR(INDEX('چکهای دریافتنی'!F:F,MATCH(Table220[[#This Row],[كد تفصيلي]],'چکهای دریافتنی'!A:A,0)),0)</f>
        <v>0</v>
      </c>
      <c r="F70" s="11">
        <f>Table220[[#This Row],[حسابهای دریافتنی]]+Table220[[#This Row],[چکهای در جریان وصول]]+Table220[[#This Row],[چکهای نزد صندوق]]</f>
        <v>366215</v>
      </c>
      <c r="G70" s="12">
        <f>IFERROR(INDEX('مانده سوفاله'!F:F,MATCH(Table220[[#This Row],[كد تفصيلي]],'مانده سوفاله'!A:A,0)),0)</f>
        <v>8</v>
      </c>
    </row>
    <row r="71" spans="1:7" ht="21.75" customHeight="1" x14ac:dyDescent="0.35">
      <c r="A71" s="26">
        <v>30027</v>
      </c>
      <c r="B71" s="56" t="s">
        <v>75</v>
      </c>
      <c r="C71" s="10">
        <f>IFERROR(INDEX('حسابهای دریافتنی'!H:H,MATCH(Table220[[#This Row],[كد تفصيلي]],'حسابهای دریافتنی'!A:A,0)),0)</f>
        <v>326950</v>
      </c>
      <c r="D71" s="11">
        <f>IFERROR(INDEX('درجریان وصول'!F:F,MATCH(Table220[[#This Row],[كد تفصيلي]],'درجریان وصول'!A:A,0)),0)</f>
        <v>0</v>
      </c>
      <c r="E71" s="11">
        <f>IFERROR(INDEX('چکهای دریافتنی'!F:F,MATCH(Table220[[#This Row],[كد تفصيلي]],'چکهای دریافتنی'!A:A,0)),0)</f>
        <v>0</v>
      </c>
      <c r="F71" s="11">
        <f>Table220[[#This Row],[حسابهای دریافتنی]]+Table220[[#This Row],[چکهای در جریان وصول]]+Table220[[#This Row],[چکهای نزد صندوق]]</f>
        <v>326950</v>
      </c>
      <c r="G71" s="12">
        <f>IFERROR(INDEX('مانده سوفاله'!F:F,MATCH(Table220[[#This Row],[كد تفصيلي]],'مانده سوفاله'!A:A,0)),0)</f>
        <v>0</v>
      </c>
    </row>
    <row r="72" spans="1:7" ht="21.75" customHeight="1" x14ac:dyDescent="0.35">
      <c r="A72" s="27">
        <v>10092</v>
      </c>
      <c r="B72" s="55" t="s">
        <v>260</v>
      </c>
      <c r="C72" s="10">
        <f>IFERROR(INDEX('حسابهای دریافتنی'!H:H,MATCH(Table220[[#This Row],[كد تفصيلي]],'حسابهای دریافتنی'!A:A,0)),0)</f>
        <v>-1749946500</v>
      </c>
      <c r="D72" s="11">
        <f>IFERROR(INDEX('درجریان وصول'!F:F,MATCH(Table220[[#This Row],[كد تفصيلي]],'درجریان وصول'!A:A,0)),0)</f>
        <v>0</v>
      </c>
      <c r="E72" s="11">
        <f>IFERROR(INDEX('چکهای دریافتنی'!F:F,MATCH(Table220[[#This Row],[كد تفصيلي]],'چکهای دریافتنی'!A:A,0)),0)</f>
        <v>300000000</v>
      </c>
      <c r="F72" s="11">
        <f>Table220[[#This Row],[حسابهای دریافتنی]]+Table220[[#This Row],[چکهای در جریان وصول]]+Table220[[#This Row],[چکهای نزد صندوق]]</f>
        <v>-1449946500</v>
      </c>
      <c r="G72" s="12">
        <f>IFERROR(INDEX('مانده سوفاله'!F:F,MATCH(Table220[[#This Row],[كد تفصيلي]],'مانده سوفاله'!A:A,0)),0)</f>
        <v>0</v>
      </c>
    </row>
    <row r="73" spans="1:7" ht="21.75" customHeight="1" x14ac:dyDescent="0.35">
      <c r="A73" s="27">
        <v>30135</v>
      </c>
      <c r="B73" s="55" t="s">
        <v>179</v>
      </c>
      <c r="C73" s="10">
        <f>IFERROR(INDEX('حسابهای دریافتنی'!H:H,MATCH(Table220[[#This Row],[كد تفصيلي]],'حسابهای دریافتنی'!A:A,0)),0)</f>
        <v>195000</v>
      </c>
      <c r="D73" s="11">
        <f>IFERROR(INDEX('درجریان وصول'!F:F,MATCH(Table220[[#This Row],[كد تفصيلي]],'درجریان وصول'!A:A,0)),0)</f>
        <v>0</v>
      </c>
      <c r="E73" s="11">
        <f>IFERROR(INDEX('چکهای دریافتنی'!F:F,MATCH(Table220[[#This Row],[كد تفصيلي]],'چکهای دریافتنی'!A:A,0)),0)</f>
        <v>0</v>
      </c>
      <c r="F73" s="11">
        <f>Table220[[#This Row],[حسابهای دریافتنی]]+Table220[[#This Row],[چکهای در جریان وصول]]+Table220[[#This Row],[چکهای نزد صندوق]]</f>
        <v>195000</v>
      </c>
      <c r="G73" s="12">
        <f>IFERROR(INDEX('مانده سوفاله'!F:F,MATCH(Table220[[#This Row],[كد تفصيلي]],'مانده سوفاله'!A:A,0)),0)</f>
        <v>-5</v>
      </c>
    </row>
    <row r="74" spans="1:7" ht="21.75" customHeight="1" x14ac:dyDescent="0.35">
      <c r="A74" s="27">
        <v>10088</v>
      </c>
      <c r="B74" s="55" t="s">
        <v>254</v>
      </c>
      <c r="C74" s="10">
        <f>IFERROR(INDEX('حسابهای دریافتنی'!H:H,MATCH(Table220[[#This Row],[كد تفصيلي]],'حسابهای دریافتنی'!A:A,0)),0)</f>
        <v>113500</v>
      </c>
      <c r="D74" s="11">
        <f>IFERROR(INDEX('درجریان وصول'!F:F,MATCH(Table220[[#This Row],[كد تفصيلي]],'درجریان وصول'!A:A,0)),0)</f>
        <v>0</v>
      </c>
      <c r="E74" s="11">
        <f>IFERROR(INDEX('چکهای دریافتنی'!F:F,MATCH(Table220[[#This Row],[كد تفصيلي]],'چکهای دریافتنی'!A:A,0)),0)</f>
        <v>0</v>
      </c>
      <c r="F74" s="11">
        <f>Table220[[#This Row],[حسابهای دریافتنی]]+Table220[[#This Row],[چکهای در جریان وصول]]+Table220[[#This Row],[چکهای نزد صندوق]]</f>
        <v>113500</v>
      </c>
      <c r="G74" s="12">
        <f>IFERROR(INDEX('مانده سوفاله'!F:F,MATCH(Table220[[#This Row],[كد تفصيلي]],'مانده سوفاله'!A:A,0)),0)</f>
        <v>0</v>
      </c>
    </row>
    <row r="75" spans="1:7" ht="21.75" customHeight="1" x14ac:dyDescent="0.35">
      <c r="A75" s="26">
        <v>30124</v>
      </c>
      <c r="B75" s="56" t="s">
        <v>246</v>
      </c>
      <c r="C75" s="10">
        <f>IFERROR(INDEX('حسابهای دریافتنی'!H:H,MATCH(Table220[[#This Row],[كد تفصيلي]],'حسابهای دریافتنی'!A:A,0)),0)</f>
        <v>0</v>
      </c>
      <c r="D75" s="11">
        <f>IFERROR(INDEX('درجریان وصول'!F:F,MATCH(Table220[[#This Row],[كد تفصيلي]],'درجریان وصول'!A:A,0)),0)</f>
        <v>0</v>
      </c>
      <c r="E75" s="11">
        <f>IFERROR(INDEX('چکهای دریافتنی'!F:F,MATCH(Table220[[#This Row],[كد تفصيلي]],'چکهای دریافتنی'!A:A,0)),0)</f>
        <v>505676000</v>
      </c>
      <c r="F75" s="11">
        <f>Table220[[#This Row],[حسابهای دریافتنی]]+Table220[[#This Row],[چکهای در جریان وصول]]+Table220[[#This Row],[چکهای نزد صندوق]]</f>
        <v>505676000</v>
      </c>
      <c r="G75" s="12">
        <f>IFERROR(INDEX('مانده سوفاله'!F:F,MATCH(Table220[[#This Row],[كد تفصيلي]],'مانده سوفاله'!A:A,0)),0)</f>
        <v>1498</v>
      </c>
    </row>
    <row r="76" spans="1:7" ht="21.75" customHeight="1" x14ac:dyDescent="0.35">
      <c r="A76" s="26">
        <v>30019</v>
      </c>
      <c r="B76" s="56" t="s">
        <v>67</v>
      </c>
      <c r="C76" s="10">
        <f>IFERROR(INDEX('حسابهای دریافتنی'!H:H,MATCH(Table220[[#This Row],[كد تفصيلي]],'حسابهای دریافتنی'!A:A,0)),0)</f>
        <v>823484840</v>
      </c>
      <c r="D76" s="11">
        <f>IFERROR(INDEX('درجریان وصول'!F:F,MATCH(Table220[[#This Row],[كد تفصيلي]],'درجریان وصول'!A:A,0)),0)</f>
        <v>0</v>
      </c>
      <c r="E76" s="11">
        <f>IFERROR(INDEX('چکهای دریافتنی'!F:F,MATCH(Table220[[#This Row],[كد تفصيلي]],'چکهای دریافتنی'!A:A,0)),0)</f>
        <v>0</v>
      </c>
      <c r="F76" s="11">
        <f>Table220[[#This Row],[حسابهای دریافتنی]]+Table220[[#This Row],[چکهای در جریان وصول]]+Table220[[#This Row],[چکهای نزد صندوق]]</f>
        <v>823484840</v>
      </c>
      <c r="G76" s="12">
        <f>IFERROR(INDEX('مانده سوفاله'!F:F,MATCH(Table220[[#This Row],[كد تفصيلي]],'مانده سوفاله'!A:A,0)),0)</f>
        <v>612</v>
      </c>
    </row>
    <row r="77" spans="1:7" ht="21.75" customHeight="1" x14ac:dyDescent="0.35">
      <c r="A77" s="27">
        <v>10048</v>
      </c>
      <c r="B77" s="55" t="s">
        <v>191</v>
      </c>
      <c r="C77" s="10">
        <f>IFERROR(INDEX('حسابهای دریافتنی'!H:H,MATCH(Table220[[#This Row],[كد تفصيلي]],'حسابهای دریافتنی'!A:A,0)),0)</f>
        <v>0</v>
      </c>
      <c r="D77" s="11">
        <f>IFERROR(INDEX('درجریان وصول'!F:F,MATCH(Table220[[#This Row],[كد تفصيلي]],'درجریان وصول'!A:A,0)),0)</f>
        <v>0</v>
      </c>
      <c r="E77" s="11">
        <f>IFERROR(INDEX('چکهای دریافتنی'!F:F,MATCH(Table220[[#This Row],[كد تفصيلي]],'چکهای دریافتنی'!A:A,0)),0)</f>
        <v>0</v>
      </c>
      <c r="F77" s="11">
        <f>Table220[[#This Row],[حسابهای دریافتنی]]+Table220[[#This Row],[چکهای در جریان وصول]]+Table220[[#This Row],[چکهای نزد صندوق]]</f>
        <v>0</v>
      </c>
      <c r="G77" s="12">
        <f>IFERROR(INDEX('مانده سوفاله'!F:F,MATCH(Table220[[#This Row],[كد تفصيلي]],'مانده سوفاله'!A:A,0)),0)</f>
        <v>-1097</v>
      </c>
    </row>
    <row r="78" spans="1:7" ht="21.75" customHeight="1" x14ac:dyDescent="0.35">
      <c r="A78" s="27">
        <v>10010</v>
      </c>
      <c r="B78" s="55" t="s">
        <v>17</v>
      </c>
      <c r="C78" s="10">
        <f>IFERROR(INDEX('حسابهای دریافتنی'!H:H,MATCH(Table220[[#This Row],[كد تفصيلي]],'حسابهای دریافتنی'!A:A,0)),0)</f>
        <v>0</v>
      </c>
      <c r="D78" s="11">
        <f>IFERROR(INDEX('درجریان وصول'!F:F,MATCH(Table220[[#This Row],[كد تفصيلي]],'درجریان وصول'!A:A,0)),0)</f>
        <v>0</v>
      </c>
      <c r="E78" s="11">
        <f>IFERROR(INDEX('چکهای دریافتنی'!F:F,MATCH(Table220[[#This Row],[كد تفصيلي]],'چکهای دریافتنی'!A:A,0)),0)</f>
        <v>0</v>
      </c>
      <c r="F78" s="11">
        <f>Table220[[#This Row],[حسابهای دریافتنی]]+Table220[[#This Row],[چکهای در جریان وصول]]+Table220[[#This Row],[چکهای نزد صندوق]]</f>
        <v>0</v>
      </c>
      <c r="G78" s="12">
        <f>IFERROR(INDEX('مانده سوفاله'!F:F,MATCH(Table220[[#This Row],[كد تفصيلي]],'مانده سوفاله'!A:A,0)),0)</f>
        <v>8</v>
      </c>
    </row>
    <row r="79" spans="1:7" ht="21.75" customHeight="1" x14ac:dyDescent="0.35">
      <c r="A79" s="26">
        <v>10023</v>
      </c>
      <c r="B79" s="56" t="s">
        <v>155</v>
      </c>
      <c r="C79" s="10">
        <f>IFERROR(INDEX('حسابهای دریافتنی'!H:H,MATCH(Table220[[#This Row],[كد تفصيلي]],'حسابهای دریافتنی'!A:A,0)),0)</f>
        <v>0</v>
      </c>
      <c r="D79" s="11">
        <f>IFERROR(INDEX('درجریان وصول'!F:F,MATCH(Table220[[#This Row],[كد تفصيلي]],'درجریان وصول'!A:A,0)),0)</f>
        <v>0</v>
      </c>
      <c r="E79" s="11">
        <f>IFERROR(INDEX('چکهای دریافتنی'!F:F,MATCH(Table220[[#This Row],[كد تفصيلي]],'چکهای دریافتنی'!A:A,0)),0)</f>
        <v>0</v>
      </c>
      <c r="F79" s="11">
        <f>Table220[[#This Row],[حسابهای دریافتنی]]+Table220[[#This Row],[چکهای در جریان وصول]]+Table220[[#This Row],[چکهای نزد صندوق]]</f>
        <v>0</v>
      </c>
      <c r="G79" s="12">
        <f>IFERROR(INDEX('مانده سوفاله'!F:F,MATCH(Table220[[#This Row],[كد تفصيلي]],'مانده سوفاله'!A:A,0)),0)</f>
        <v>6</v>
      </c>
    </row>
    <row r="80" spans="1:7" ht="21.75" customHeight="1" x14ac:dyDescent="0.35">
      <c r="A80" s="26">
        <v>10039</v>
      </c>
      <c r="B80" s="56" t="s">
        <v>45</v>
      </c>
      <c r="C80" s="10">
        <f>IFERROR(INDEX('حسابهای دریافتنی'!H:H,MATCH(Table220[[#This Row],[كد تفصيلي]],'حسابهای دریافتنی'!A:A,0)),0)</f>
        <v>0</v>
      </c>
      <c r="D80" s="11">
        <f>IFERROR(INDEX('درجریان وصول'!F:F,MATCH(Table220[[#This Row],[كد تفصيلي]],'درجریان وصول'!A:A,0)),0)</f>
        <v>0</v>
      </c>
      <c r="E80" s="11">
        <f>IFERROR(INDEX('چکهای دریافتنی'!F:F,MATCH(Table220[[#This Row],[كد تفصيلي]],'چکهای دریافتنی'!A:A,0)),0)</f>
        <v>0</v>
      </c>
      <c r="F80" s="11">
        <f>Table220[[#This Row],[حسابهای دریافتنی]]+Table220[[#This Row],[چکهای در جریان وصول]]+Table220[[#This Row],[چکهای نزد صندوق]]</f>
        <v>0</v>
      </c>
      <c r="G80" s="12">
        <f>IFERROR(INDEX('مانده سوفاله'!F:F,MATCH(Table220[[#This Row],[كد تفصيلي]],'مانده سوفاله'!A:A,0)),0)</f>
        <v>4</v>
      </c>
    </row>
    <row r="81" spans="1:7" ht="21.75" customHeight="1" x14ac:dyDescent="0.35">
      <c r="A81" s="27">
        <v>10046</v>
      </c>
      <c r="B81" s="55" t="s">
        <v>51</v>
      </c>
      <c r="C81" s="10">
        <f>IFERROR(INDEX('حسابهای دریافتنی'!H:H,MATCH(Table220[[#This Row],[كد تفصيلي]],'حسابهای دریافتنی'!A:A,0)),0)</f>
        <v>0</v>
      </c>
      <c r="D81" s="11">
        <f>IFERROR(INDEX('درجریان وصول'!F:F,MATCH(Table220[[#This Row],[كد تفصيلي]],'درجریان وصول'!A:A,0)),0)</f>
        <v>0</v>
      </c>
      <c r="E81" s="11">
        <f>IFERROR(INDEX('چکهای دریافتنی'!F:F,MATCH(Table220[[#This Row],[كد تفصيلي]],'چکهای دریافتنی'!A:A,0)),0)</f>
        <v>0</v>
      </c>
      <c r="F81" s="11">
        <f>Table220[[#This Row],[حسابهای دریافتنی]]+Table220[[#This Row],[چکهای در جریان وصول]]+Table220[[#This Row],[چکهای نزد صندوق]]</f>
        <v>0</v>
      </c>
      <c r="G81" s="12">
        <f>IFERROR(INDEX('مانده سوفاله'!F:F,MATCH(Table220[[#This Row],[كد تفصيلي]],'مانده سوفاله'!A:A,0)),0)</f>
        <v>118</v>
      </c>
    </row>
    <row r="82" spans="1:7" customFormat="1" ht="21.75" customHeight="1" x14ac:dyDescent="0.35">
      <c r="A82" s="53">
        <v>10065</v>
      </c>
      <c r="B82" s="56" t="s">
        <v>228</v>
      </c>
      <c r="C82" s="10">
        <f>IFERROR(INDEX('حسابهای دریافتنی'!H:H,MATCH(Table220[[#This Row],[كد تفصيلي]],'حسابهای دریافتنی'!A:A,0)),0)</f>
        <v>0</v>
      </c>
      <c r="D82" s="11">
        <f>IFERROR(INDEX('درجریان وصول'!F:F,MATCH(Table220[[#This Row],[كد تفصيلي]],'درجریان وصول'!A:A,0)),0)</f>
        <v>0</v>
      </c>
      <c r="E82" s="11">
        <f>IFERROR(INDEX('چکهای دریافتنی'!F:F,MATCH(Table220[[#This Row],[كد تفصيلي]],'چکهای دریافتنی'!A:A,0)),0)</f>
        <v>0</v>
      </c>
      <c r="F82" s="11">
        <f>Table220[[#This Row],[حسابهای دریافتنی]]+Table220[[#This Row],[چکهای در جریان وصول]]+Table220[[#This Row],[چکهای نزد صندوق]]</f>
        <v>0</v>
      </c>
      <c r="G82" s="12">
        <f>IFERROR(INDEX('مانده سوفاله'!F:F,MATCH(Table220[[#This Row],[كد تفصيلي]],'مانده سوفاله'!A:A,0)),0)</f>
        <v>127</v>
      </c>
    </row>
    <row r="83" spans="1:7" customFormat="1" ht="21.75" customHeight="1" x14ac:dyDescent="0.35">
      <c r="A83" s="53">
        <v>10069</v>
      </c>
      <c r="B83" s="56" t="s">
        <v>204</v>
      </c>
      <c r="C83" s="10">
        <f>IFERROR(INDEX('حسابهای دریافتنی'!H:H,MATCH(Table220[[#This Row],[كد تفصيلي]],'حسابهای دریافتنی'!A:A,0)),0)</f>
        <v>952500</v>
      </c>
      <c r="D83" s="11">
        <f>IFERROR(INDEX('درجریان وصول'!F:F,MATCH(Table220[[#This Row],[كد تفصيلي]],'درجریان وصول'!A:A,0)),0)</f>
        <v>0</v>
      </c>
      <c r="E83" s="11">
        <f>IFERROR(INDEX('چکهای دریافتنی'!F:F,MATCH(Table220[[#This Row],[كد تفصيلي]],'چکهای دریافتنی'!A:A,0)),0)</f>
        <v>73000000</v>
      </c>
      <c r="F83" s="11">
        <f>Table220[[#This Row],[حسابهای دریافتنی]]+Table220[[#This Row],[چکهای در جریان وصول]]+Table220[[#This Row],[چکهای نزد صندوق]]</f>
        <v>73952500</v>
      </c>
      <c r="G83" s="12">
        <f>IFERROR(INDEX('مانده سوفاله'!F:F,MATCH(Table220[[#This Row],[كد تفصيلي]],'مانده سوفاله'!A:A,0)),0)</f>
        <v>339</v>
      </c>
    </row>
    <row r="84" spans="1:7" customFormat="1" ht="21.75" customHeight="1" x14ac:dyDescent="0.35">
      <c r="A84" s="54">
        <v>10076</v>
      </c>
      <c r="B84" s="55" t="s">
        <v>182</v>
      </c>
      <c r="C84" s="10">
        <f>IFERROR(INDEX('حسابهای دریافتنی'!H:H,MATCH(Table220[[#This Row],[كد تفصيلي]],'حسابهای دریافتنی'!A:A,0)),0)</f>
        <v>0</v>
      </c>
      <c r="D84" s="11">
        <f>IFERROR(INDEX('درجریان وصول'!F:F,MATCH(Table220[[#This Row],[كد تفصيلي]],'درجریان وصول'!A:A,0)),0)</f>
        <v>0</v>
      </c>
      <c r="E84" s="11">
        <f>IFERROR(INDEX('چکهای دریافتنی'!F:F,MATCH(Table220[[#This Row],[كد تفصيلي]],'چکهای دریافتنی'!A:A,0)),0)</f>
        <v>0</v>
      </c>
      <c r="F84" s="11">
        <f>Table220[[#This Row],[حسابهای دریافتنی]]+Table220[[#This Row],[چکهای در جریان وصول]]+Table220[[#This Row],[چکهای نزد صندوق]]</f>
        <v>0</v>
      </c>
      <c r="G84" s="12">
        <f>IFERROR(INDEX('مانده سوفاله'!F:F,MATCH(Table220[[#This Row],[كد تفصيلي]],'مانده سوفاله'!A:A,0)),0)</f>
        <v>-13</v>
      </c>
    </row>
    <row r="85" spans="1:7" ht="21.75" customHeight="1" x14ac:dyDescent="0.35">
      <c r="A85" s="27">
        <v>30065</v>
      </c>
      <c r="B85" s="55" t="s">
        <v>110</v>
      </c>
      <c r="C85" s="10">
        <f>IFERROR(INDEX('حسابهای دریافتنی'!H:H,MATCH(Table220[[#This Row],[كد تفصيلي]],'حسابهای دریافتنی'!A:A,0)),0)</f>
        <v>0</v>
      </c>
      <c r="D85" s="11">
        <f>IFERROR(INDEX('درجریان وصول'!F:F,MATCH(Table220[[#This Row],[كد تفصيلي]],'درجریان وصول'!A:A,0)),0)</f>
        <v>0</v>
      </c>
      <c r="E85" s="11">
        <f>IFERROR(INDEX('چکهای دریافتنی'!F:F,MATCH(Table220[[#This Row],[كد تفصيلي]],'چکهای دریافتنی'!A:A,0)),0)</f>
        <v>0</v>
      </c>
      <c r="F85" s="11">
        <f>Table220[[#This Row],[حسابهای دریافتنی]]+Table220[[#This Row],[چکهای در جریان وصول]]+Table220[[#This Row],[چکهای نزد صندوق]]</f>
        <v>0</v>
      </c>
      <c r="G85" s="12">
        <f>IFERROR(INDEX('مانده سوفاله'!F:F,MATCH(Table220[[#This Row],[كد تفصيلي]],'مانده سوفاله'!A:A,0)),0)</f>
        <v>33</v>
      </c>
    </row>
    <row r="86" spans="1:7" ht="21.75" customHeight="1" x14ac:dyDescent="0.35">
      <c r="A86" s="27">
        <v>30071</v>
      </c>
      <c r="B86" s="55" t="s">
        <v>116</v>
      </c>
      <c r="C86" s="10">
        <f>IFERROR(INDEX('حسابهای دریافتنی'!H:H,MATCH(Table220[[#This Row],[كد تفصيلي]],'حسابهای دریافتنی'!A:A,0)),0)</f>
        <v>0</v>
      </c>
      <c r="D86" s="11">
        <f>IFERROR(INDEX('درجریان وصول'!F:F,MATCH(Table220[[#This Row],[كد تفصيلي]],'درجریان وصول'!A:A,0)),0)</f>
        <v>0</v>
      </c>
      <c r="E86" s="11">
        <f>IFERROR(INDEX('چکهای دریافتنی'!F:F,MATCH(Table220[[#This Row],[كد تفصيلي]],'چکهای دریافتنی'!A:A,0)),0)</f>
        <v>0</v>
      </c>
      <c r="F86" s="11">
        <f>Table220[[#This Row],[حسابهای دریافتنی]]+Table220[[#This Row],[چکهای در جریان وصول]]+Table220[[#This Row],[چکهای نزد صندوق]]</f>
        <v>0</v>
      </c>
      <c r="G86" s="12">
        <f>IFERROR(INDEX('مانده سوفاله'!F:F,MATCH(Table220[[#This Row],[كد تفصيلي]],'مانده سوفاله'!A:A,0)),0)</f>
        <v>3</v>
      </c>
    </row>
    <row r="87" spans="1:7" ht="21.75" customHeight="1" x14ac:dyDescent="0.35">
      <c r="A87" s="27">
        <v>30079</v>
      </c>
      <c r="B87" s="55" t="s">
        <v>124</v>
      </c>
      <c r="C87" s="10">
        <f>IFERROR(INDEX('حسابهای دریافتنی'!H:H,MATCH(Table220[[#This Row],[كد تفصيلي]],'حسابهای دریافتنی'!A:A,0)),0)</f>
        <v>0</v>
      </c>
      <c r="D87" s="11">
        <f>IFERROR(INDEX('درجریان وصول'!F:F,MATCH(Table220[[#This Row],[كد تفصيلي]],'درجریان وصول'!A:A,0)),0)</f>
        <v>0</v>
      </c>
      <c r="E87" s="11">
        <f>IFERROR(INDEX('چکهای دریافتنی'!F:F,MATCH(Table220[[#This Row],[كد تفصيلي]],'چکهای دریافتنی'!A:A,0)),0)</f>
        <v>0</v>
      </c>
      <c r="F87" s="11">
        <f>Table220[[#This Row],[حسابهای دریافتنی]]+Table220[[#This Row],[چکهای در جریان وصول]]+Table220[[#This Row],[چکهای نزد صندوق]]</f>
        <v>0</v>
      </c>
      <c r="G87" s="12">
        <f>IFERROR(INDEX('مانده سوفاله'!F:F,MATCH(Table220[[#This Row],[كد تفصيلي]],'مانده سوفاله'!A:A,0)),0)</f>
        <v>-85</v>
      </c>
    </row>
    <row r="88" spans="1:7" ht="21.75" customHeight="1" x14ac:dyDescent="0.35">
      <c r="A88" s="27">
        <v>30097</v>
      </c>
      <c r="B88" s="55" t="s">
        <v>188</v>
      </c>
      <c r="C88" s="10">
        <f>IFERROR(INDEX('حسابهای دریافتنی'!H:H,MATCH(Table220[[#This Row],[كد تفصيلي]],'حسابهای دریافتنی'!A:A,0)),0)</f>
        <v>0</v>
      </c>
      <c r="D88" s="11">
        <f>IFERROR(INDEX('درجریان وصول'!F:F,MATCH(Table220[[#This Row],[كد تفصيلي]],'درجریان وصول'!A:A,0)),0)</f>
        <v>0</v>
      </c>
      <c r="E88" s="11">
        <f>IFERROR(INDEX('چکهای دریافتنی'!F:F,MATCH(Table220[[#This Row],[كد تفصيلي]],'چکهای دریافتنی'!A:A,0)),0)</f>
        <v>0</v>
      </c>
      <c r="F88" s="11">
        <f>Table220[[#This Row],[حسابهای دریافتنی]]+Table220[[#This Row],[چکهای در جریان وصول]]+Table220[[#This Row],[چکهای نزد صندوق]]</f>
        <v>0</v>
      </c>
      <c r="G88" s="12">
        <f>IFERROR(INDEX('مانده سوفاله'!F:F,MATCH(Table220[[#This Row],[كد تفصيلي]],'مانده سوفاله'!A:A,0)),0)</f>
        <v>-82</v>
      </c>
    </row>
    <row r="89" spans="1:7" ht="21.75" customHeight="1" x14ac:dyDescent="0.35">
      <c r="A89" s="26">
        <v>30118</v>
      </c>
      <c r="B89" s="56" t="s">
        <v>205</v>
      </c>
      <c r="C89" s="10">
        <f>IFERROR(INDEX('حسابهای دریافتنی'!H:H,MATCH(Table220[[#This Row],[كد تفصيلي]],'حسابهای دریافتنی'!A:A,0)),0)</f>
        <v>0</v>
      </c>
      <c r="D89" s="11">
        <f>IFERROR(INDEX('درجریان وصول'!F:F,MATCH(Table220[[#This Row],[كد تفصيلي]],'درجریان وصول'!A:A,0)),0)</f>
        <v>0</v>
      </c>
      <c r="E89" s="11">
        <f>IFERROR(INDEX('چکهای دریافتنی'!F:F,MATCH(Table220[[#This Row],[كد تفصيلي]],'چکهای دریافتنی'!A:A,0)),0)</f>
        <v>0</v>
      </c>
      <c r="F89" s="11">
        <f>Table220[[#This Row],[حسابهای دریافتنی]]+Table220[[#This Row],[چکهای در جریان وصول]]+Table220[[#This Row],[چکهای نزد صندوق]]</f>
        <v>0</v>
      </c>
      <c r="G89" s="12">
        <f>IFERROR(INDEX('مانده سوفاله'!F:F,MATCH(Table220[[#This Row],[كد تفصيلي]],'مانده سوفاله'!A:A,0)),0)</f>
        <v>-20</v>
      </c>
    </row>
    <row r="90" spans="1:7" ht="21.75" customHeight="1" x14ac:dyDescent="0.35">
      <c r="A90" s="27">
        <v>30137</v>
      </c>
      <c r="B90" s="55" t="s">
        <v>218</v>
      </c>
      <c r="C90" s="10">
        <f>IFERROR(INDEX('حسابهای دریافتنی'!H:H,MATCH(Table220[[#This Row],[كد تفصيلي]],'حسابهای دریافتنی'!A:A,0)),0)</f>
        <v>0</v>
      </c>
      <c r="D90" s="11">
        <f>IFERROR(INDEX('درجریان وصول'!F:F,MATCH(Table220[[#This Row],[كد تفصيلي]],'درجریان وصول'!A:A,0)),0)</f>
        <v>0</v>
      </c>
      <c r="E90" s="11">
        <f>IFERROR(INDEX('چکهای دریافتنی'!F:F,MATCH(Table220[[#This Row],[كد تفصيلي]],'چکهای دریافتنی'!A:A,0)),0)</f>
        <v>213182200</v>
      </c>
      <c r="F90" s="11">
        <f>Table220[[#This Row],[حسابهای دریافتنی]]+Table220[[#This Row],[چکهای در جریان وصول]]+Table220[[#This Row],[چکهای نزد صندوق]]</f>
        <v>213182200</v>
      </c>
      <c r="G90" s="12">
        <f>IFERROR(INDEX('مانده سوفاله'!F:F,MATCH(Table220[[#This Row],[كد تفصيلي]],'مانده سوفاله'!A:A,0)),0)</f>
        <v>0</v>
      </c>
    </row>
    <row r="91" spans="1:7" ht="21.75" customHeight="1" x14ac:dyDescent="0.35">
      <c r="A91" s="27">
        <v>30141</v>
      </c>
      <c r="B91" s="55" t="s">
        <v>261</v>
      </c>
      <c r="C91" s="10">
        <f>IFERROR(INDEX('حسابهای دریافتنی'!H:H,MATCH(Table220[[#This Row],[كد تفصيلي]],'حسابهای دریافتنی'!A:A,0)),0)</f>
        <v>0</v>
      </c>
      <c r="D91" s="11">
        <f>IFERROR(INDEX('درجریان وصول'!F:F,MATCH(Table220[[#This Row],[كد تفصيلي]],'درجریان وصول'!A:A,0)),0)</f>
        <v>0</v>
      </c>
      <c r="E91" s="11">
        <f>IFERROR(INDEX('چکهای دریافتنی'!F:F,MATCH(Table220[[#This Row],[كد تفصيلي]],'چکهای دریافتنی'!A:A,0)),0)</f>
        <v>0</v>
      </c>
      <c r="F91" s="11">
        <f>Table220[[#This Row],[حسابهای دریافتنی]]+Table220[[#This Row],[چکهای در جریان وصول]]+Table220[[#This Row],[چکهای نزد صندوق]]</f>
        <v>0</v>
      </c>
      <c r="G91" s="12">
        <f>IFERROR(INDEX('مانده سوفاله'!F:F,MATCH(Table220[[#This Row],[كد تفصيلي]],'مانده سوفاله'!A:A,0)),0)</f>
        <v>-42</v>
      </c>
    </row>
    <row r="92" spans="1:7" ht="21.75" customHeight="1" x14ac:dyDescent="0.35">
      <c r="A92" s="26">
        <v>30142</v>
      </c>
      <c r="B92" s="56" t="s">
        <v>263</v>
      </c>
      <c r="C92" s="10">
        <f>IFERROR(INDEX('حسابهای دریافتنی'!H:H,MATCH(Table220[[#This Row],[كد تفصيلي]],'حسابهای دریافتنی'!A:A,0)),0)</f>
        <v>0</v>
      </c>
      <c r="D92" s="11">
        <f>IFERROR(INDEX('درجریان وصول'!F:F,MATCH(Table220[[#This Row],[كد تفصيلي]],'درجریان وصول'!A:A,0)),0)</f>
        <v>0</v>
      </c>
      <c r="E92" s="11">
        <f>IFERROR(INDEX('چکهای دریافتنی'!F:F,MATCH(Table220[[#This Row],[كد تفصيلي]],'چکهای دریافتنی'!A:A,0)),0)</f>
        <v>0</v>
      </c>
      <c r="F92" s="11">
        <f>Table220[[#This Row],[حسابهای دریافتنی]]+Table220[[#This Row],[چکهای در جریان وصول]]+Table220[[#This Row],[چکهای نزد صندوق]]</f>
        <v>0</v>
      </c>
      <c r="G92" s="12">
        <f>IFERROR(INDEX('مانده سوفاله'!F:F,MATCH(Table220[[#This Row],[كد تفصيلي]],'مانده سوفاله'!A:A,0)),0)</f>
        <v>13</v>
      </c>
    </row>
    <row r="93" spans="1:7" ht="21.75" customHeight="1" x14ac:dyDescent="0.35">
      <c r="A93" s="26">
        <v>30160</v>
      </c>
      <c r="B93" s="56" t="s">
        <v>296</v>
      </c>
      <c r="C93" s="10">
        <f>IFERROR(INDEX('حسابهای دریافتنی'!H:H,MATCH(Table220[[#This Row],[كد تفصيلي]],'حسابهای دریافتنی'!A:A,0)),0)</f>
        <v>0</v>
      </c>
      <c r="D93" s="11">
        <f>IFERROR(INDEX('درجریان وصول'!F:F,MATCH(Table220[[#This Row],[كد تفصيلي]],'درجریان وصول'!A:A,0)),0)</f>
        <v>0</v>
      </c>
      <c r="E93" s="11">
        <f>IFERROR(INDEX('چکهای دریافتنی'!F:F,MATCH(Table220[[#This Row],[كد تفصيلي]],'چکهای دریافتنی'!A:A,0)),0)</f>
        <v>0</v>
      </c>
      <c r="F93" s="11">
        <f>Table220[[#This Row],[حسابهای دریافتنی]]+Table220[[#This Row],[چکهای در جریان وصول]]+Table220[[#This Row],[چکهای نزد صندوق]]</f>
        <v>0</v>
      </c>
      <c r="G93" s="12">
        <f>IFERROR(INDEX('مانده سوفاله'!F:F,MATCH(Table220[[#This Row],[كد تفصيلي]],'مانده سوفاله'!A:A,0)),0)</f>
        <v>-425</v>
      </c>
    </row>
    <row r="94" spans="1:7" ht="21.75" customHeight="1" x14ac:dyDescent="0.35">
      <c r="A94" s="27">
        <v>79010</v>
      </c>
      <c r="B94" s="55" t="s">
        <v>176</v>
      </c>
      <c r="C94" s="10">
        <f>IFERROR(INDEX('حسابهای دریافتنی'!H:H,MATCH(Table220[[#This Row],[كد تفصيلي]],'حسابهای دریافتنی'!A:A,0)),0)</f>
        <v>0</v>
      </c>
      <c r="D94" s="11">
        <f>IFERROR(INDEX('درجریان وصول'!F:F,MATCH(Table220[[#This Row],[كد تفصيلي]],'درجریان وصول'!A:A,0)),0)</f>
        <v>0</v>
      </c>
      <c r="E94" s="11">
        <f>IFERROR(INDEX('چکهای دریافتنی'!F:F,MATCH(Table220[[#This Row],[كد تفصيلي]],'چکهای دریافتنی'!A:A,0)),0)</f>
        <v>0</v>
      </c>
      <c r="F94" s="11">
        <f>Table220[[#This Row],[حسابهای دریافتنی]]+Table220[[#This Row],[چکهای در جریان وصول]]+Table220[[#This Row],[چکهای نزد صندوق]]</f>
        <v>0</v>
      </c>
      <c r="G94" s="12">
        <f>IFERROR(INDEX('مانده سوفاله'!F:F,MATCH(Table220[[#This Row],[كد تفصيلي]],'مانده سوفاله'!A:A,0)),0)</f>
        <v>-110</v>
      </c>
    </row>
    <row r="95" spans="1:7" ht="21.75" customHeight="1" x14ac:dyDescent="0.35">
      <c r="A95" s="26">
        <v>30174</v>
      </c>
      <c r="B95" s="56" t="s">
        <v>327</v>
      </c>
      <c r="C95" s="10">
        <f>IFERROR(INDEX('حسابهای دریافتنی'!H:H,MATCH(Table220[[#This Row],[كد تفصيلي]],'حسابهای دریافتنی'!A:A,0)),0)</f>
        <v>-5000</v>
      </c>
      <c r="D95" s="11">
        <f>IFERROR(INDEX('درجریان وصول'!F:F,MATCH(Table220[[#This Row],[كد تفصيلي]],'درجریان وصول'!A:A,0)),0)</f>
        <v>0</v>
      </c>
      <c r="E95" s="11">
        <f>IFERROR(INDEX('چکهای دریافتنی'!F:F,MATCH(Table220[[#This Row],[كد تفصيلي]],'چکهای دریافتنی'!A:A,0)),0)</f>
        <v>0</v>
      </c>
      <c r="F95" s="11">
        <f>Table220[[#This Row],[حسابهای دریافتنی]]+Table220[[#This Row],[چکهای در جریان وصول]]+Table220[[#This Row],[چکهای نزد صندوق]]</f>
        <v>-5000</v>
      </c>
      <c r="G95" s="12">
        <f>IFERROR(INDEX('مانده سوفاله'!F:F,MATCH(Table220[[#This Row],[كد تفصيلي]],'مانده سوفاله'!A:A,0)),0)</f>
        <v>0</v>
      </c>
    </row>
    <row r="96" spans="1:7" ht="21.75" customHeight="1" x14ac:dyDescent="0.35">
      <c r="A96" s="27">
        <v>30195</v>
      </c>
      <c r="B96" s="55" t="s">
        <v>477</v>
      </c>
      <c r="C96" s="10">
        <f>IFERROR(INDEX('حسابهای دریافتنی'!H:H,MATCH(Table220[[#This Row],[كد تفصيلي]],'حسابهای دریافتنی'!A:A,0)),0)</f>
        <v>-1861000</v>
      </c>
      <c r="D96" s="11">
        <f>IFERROR(INDEX('درجریان وصول'!F:F,MATCH(Table220[[#This Row],[كد تفصيلي]],'درجریان وصول'!A:A,0)),0)</f>
        <v>0</v>
      </c>
      <c r="E96" s="11">
        <f>IFERROR(INDEX('چکهای دریافتنی'!F:F,MATCH(Table220[[#This Row],[كد تفصيلي]],'چکهای دریافتنی'!A:A,0)),0)</f>
        <v>0</v>
      </c>
      <c r="F96" s="11">
        <f>Table220[[#This Row],[حسابهای دریافتنی]]+Table220[[#This Row],[چکهای در جریان وصول]]+Table220[[#This Row],[چکهای نزد صندوق]]</f>
        <v>-1861000</v>
      </c>
      <c r="G96" s="12">
        <f>IFERROR(INDEX('مانده سوفاله'!F:F,MATCH(Table220[[#This Row],[كد تفصيلي]],'مانده سوفاله'!A:A,0)),0)</f>
        <v>0</v>
      </c>
    </row>
    <row r="97" spans="1:7" ht="21.75" customHeight="1" x14ac:dyDescent="0.35">
      <c r="A97" s="27">
        <v>30026</v>
      </c>
      <c r="B97" s="55" t="s">
        <v>74</v>
      </c>
      <c r="C97" s="10">
        <f>IFERROR(INDEX('حسابهای دریافتنی'!H:H,MATCH(Table220[[#This Row],[كد تفصيلي]],'حسابهای دریافتنی'!A:A,0)),0)</f>
        <v>5689439</v>
      </c>
      <c r="D97" s="11">
        <f>IFERROR(INDEX('درجریان وصول'!F:F,MATCH(Table220[[#This Row],[كد تفصيلي]],'درجریان وصول'!A:A,0)),0)</f>
        <v>0</v>
      </c>
      <c r="E97" s="11">
        <f>IFERROR(INDEX('چکهای دریافتنی'!F:F,MATCH(Table220[[#This Row],[كد تفصيلي]],'چکهای دریافتنی'!A:A,0)),0)</f>
        <v>0</v>
      </c>
      <c r="F97" s="11">
        <f>Table220[[#This Row],[حسابهای دریافتنی]]+Table220[[#This Row],[چکهای در جریان وصول]]+Table220[[#This Row],[چکهای نزد صندوق]]</f>
        <v>5689439</v>
      </c>
      <c r="G97" s="12">
        <f>IFERROR(INDEX('مانده سوفاله'!F:F,MATCH(Table220[[#This Row],[كد تفصيلي]],'مانده سوفاله'!A:A,0)),0)</f>
        <v>764</v>
      </c>
    </row>
    <row r="98" spans="1:7" ht="21.75" customHeight="1" x14ac:dyDescent="0.35">
      <c r="A98" s="26">
        <v>30164</v>
      </c>
      <c r="B98" s="56" t="s">
        <v>304</v>
      </c>
      <c r="C98" s="10">
        <f>IFERROR(INDEX('حسابهای دریافتنی'!H:H,MATCH(Table220[[#This Row],[كد تفصيلي]],'حسابهای دریافتنی'!A:A,0)),0)</f>
        <v>184944000</v>
      </c>
      <c r="D98" s="11">
        <f>IFERROR(INDEX('درجریان وصول'!F:F,MATCH(Table220[[#This Row],[كد تفصيلي]],'درجریان وصول'!A:A,0)),0)</f>
        <v>0</v>
      </c>
      <c r="E98" s="11">
        <f>IFERROR(INDEX('چکهای دریافتنی'!F:F,MATCH(Table220[[#This Row],[كد تفصيلي]],'چکهای دریافتنی'!A:A,0)),0)</f>
        <v>0</v>
      </c>
      <c r="F98" s="11">
        <f>Table220[[#This Row],[حسابهای دریافتنی]]+Table220[[#This Row],[چکهای در جریان وصول]]+Table220[[#This Row],[چکهای نزد صندوق]]</f>
        <v>184944000</v>
      </c>
      <c r="G98" s="12">
        <f>IFERROR(INDEX('مانده سوفاله'!F:F,MATCH(Table220[[#This Row],[كد تفصيلي]],'مانده سوفاله'!A:A,0)),0)</f>
        <v>561</v>
      </c>
    </row>
    <row r="99" spans="1:7" ht="21.75" customHeight="1" x14ac:dyDescent="0.35">
      <c r="A99" s="27">
        <v>10109</v>
      </c>
      <c r="B99" s="55" t="s">
        <v>303</v>
      </c>
      <c r="C99" s="10">
        <f>IFERROR(INDEX('حسابهای دریافتنی'!H:H,MATCH(Table220[[#This Row],[كد تفصيلي]],'حسابهای دریافتنی'!A:A,0)),0)</f>
        <v>-1124737000</v>
      </c>
      <c r="D99" s="11">
        <f>IFERROR(INDEX('درجریان وصول'!F:F,MATCH(Table220[[#This Row],[كد تفصيلي]],'درجریان وصول'!A:A,0)),0)</f>
        <v>0</v>
      </c>
      <c r="E99" s="11">
        <f>IFERROR(INDEX('چکهای دریافتنی'!F:F,MATCH(Table220[[#This Row],[كد تفصيلي]],'چکهای دریافتنی'!A:A,0)),0)</f>
        <v>0</v>
      </c>
      <c r="F99" s="11">
        <f>Table220[[#This Row],[حسابهای دریافتنی]]+Table220[[#This Row],[چکهای در جریان وصول]]+Table220[[#This Row],[چکهای نزد صندوق]]</f>
        <v>-1124737000</v>
      </c>
      <c r="G99" s="12">
        <f>IFERROR(INDEX('مانده سوفاله'!F:F,MATCH(Table220[[#This Row],[كد تفصيلي]],'مانده سوفاله'!A:A,0)),0)</f>
        <v>-241</v>
      </c>
    </row>
    <row r="100" spans="1:7" ht="21.75" customHeight="1" x14ac:dyDescent="0.35">
      <c r="A100" s="26">
        <v>30021</v>
      </c>
      <c r="B100" s="56" t="s">
        <v>69</v>
      </c>
      <c r="C100" s="10">
        <f>IFERROR(INDEX('حسابهای دریافتنی'!H:H,MATCH(Table220[[#This Row],[كد تفصيلي]],'حسابهای دریافتنی'!A:A,0)),0)</f>
        <v>-122000</v>
      </c>
      <c r="D100" s="11">
        <f>IFERROR(INDEX('درجریان وصول'!F:F,MATCH(Table220[[#This Row],[كد تفصيلي]],'درجریان وصول'!A:A,0)),0)</f>
        <v>0</v>
      </c>
      <c r="E100" s="11">
        <f>IFERROR(INDEX('چکهای دریافتنی'!F:F,MATCH(Table220[[#This Row],[كد تفصيلي]],'چکهای دریافتنی'!A:A,0)),0)</f>
        <v>0</v>
      </c>
      <c r="F100" s="11">
        <f>Table220[[#This Row],[حسابهای دریافتنی]]+Table220[[#This Row],[چکهای در جریان وصول]]+Table220[[#This Row],[چکهای نزد صندوق]]</f>
        <v>-122000</v>
      </c>
      <c r="G100" s="12">
        <f>IFERROR(INDEX('مانده سوفاله'!F:F,MATCH(Table220[[#This Row],[كد تفصيلي]],'مانده سوفاله'!A:A,0)),0)</f>
        <v>0</v>
      </c>
    </row>
    <row r="101" spans="1:7" ht="21.75" customHeight="1" x14ac:dyDescent="0.35">
      <c r="A101" s="27">
        <v>10066</v>
      </c>
      <c r="B101" s="55" t="s">
        <v>262</v>
      </c>
      <c r="C101" s="10">
        <f>IFERROR(INDEX('حسابهای دریافتنی'!H:H,MATCH(Table220[[#This Row],[كد تفصيلي]],'حسابهای دریافتنی'!A:A,0)),0)</f>
        <v>-191500</v>
      </c>
      <c r="D101" s="11">
        <f>IFERROR(INDEX('درجریان وصول'!F:F,MATCH(Table220[[#This Row],[كد تفصيلي]],'درجریان وصول'!A:A,0)),0)</f>
        <v>0</v>
      </c>
      <c r="E101" s="11">
        <f>IFERROR(INDEX('چکهای دریافتنی'!F:F,MATCH(Table220[[#This Row],[كد تفصيلي]],'چکهای دریافتنی'!A:A,0)),0)</f>
        <v>0</v>
      </c>
      <c r="F101" s="11">
        <f>Table220[[#This Row],[حسابهای دریافتنی]]+Table220[[#This Row],[چکهای در جریان وصول]]+Table220[[#This Row],[چکهای نزد صندوق]]</f>
        <v>-191500</v>
      </c>
      <c r="G101" s="12">
        <f>IFERROR(INDEX('مانده سوفاله'!F:F,MATCH(Table220[[#This Row],[كد تفصيلي]],'مانده سوفاله'!A:A,0)),0)</f>
        <v>2</v>
      </c>
    </row>
    <row r="102" spans="1:7" ht="21.75" customHeight="1" x14ac:dyDescent="0.35">
      <c r="A102" s="27">
        <v>30167</v>
      </c>
      <c r="B102" s="55" t="s">
        <v>311</v>
      </c>
      <c r="C102" s="10">
        <f>IFERROR(INDEX('حسابهای دریافتنی'!H:H,MATCH(Table220[[#This Row],[كد تفصيلي]],'حسابهای دریافتنی'!A:A,0)),0)</f>
        <v>-221000</v>
      </c>
      <c r="D102" s="11">
        <f>IFERROR(INDEX('درجریان وصول'!F:F,MATCH(Table220[[#This Row],[كد تفصيلي]],'درجریان وصول'!A:A,0)),0)</f>
        <v>0</v>
      </c>
      <c r="E102" s="11">
        <f>IFERROR(INDEX('چکهای دریافتنی'!F:F,MATCH(Table220[[#This Row],[كد تفصيلي]],'چکهای دریافتنی'!A:A,0)),0)</f>
        <v>0</v>
      </c>
      <c r="F102" s="11">
        <f>Table220[[#This Row],[حسابهای دریافتنی]]+Table220[[#This Row],[چکهای در جریان وصول]]+Table220[[#This Row],[چکهای نزد صندوق]]</f>
        <v>-221000</v>
      </c>
      <c r="G102" s="12">
        <f>IFERROR(INDEX('مانده سوفاله'!F:F,MATCH(Table220[[#This Row],[كد تفصيلي]],'مانده سوفاله'!A:A,0)),0)</f>
        <v>6</v>
      </c>
    </row>
    <row r="103" spans="1:7" ht="21.75" customHeight="1" x14ac:dyDescent="0.35">
      <c r="A103" s="26">
        <v>10077</v>
      </c>
      <c r="B103" s="56" t="s">
        <v>210</v>
      </c>
      <c r="C103" s="10">
        <f>IFERROR(INDEX('حسابهای دریافتنی'!H:H,MATCH(Table220[[#This Row],[كد تفصيلي]],'حسابهای دریافتنی'!A:A,0)),0)</f>
        <v>-238500</v>
      </c>
      <c r="D103" s="11">
        <f>IFERROR(INDEX('درجریان وصول'!F:F,MATCH(Table220[[#This Row],[كد تفصيلي]],'درجریان وصول'!A:A,0)),0)</f>
        <v>0</v>
      </c>
      <c r="E103" s="11">
        <f>IFERROR(INDEX('چکهای دریافتنی'!F:F,MATCH(Table220[[#This Row],[كد تفصيلي]],'چکهای دریافتنی'!A:A,0)),0)</f>
        <v>0</v>
      </c>
      <c r="F103" s="11">
        <f>Table220[[#This Row],[حسابهای دریافتنی]]+Table220[[#This Row],[چکهای در جریان وصول]]+Table220[[#This Row],[چکهای نزد صندوق]]</f>
        <v>-238500</v>
      </c>
      <c r="G103" s="12">
        <f>IFERROR(INDEX('مانده سوفاله'!F:F,MATCH(Table220[[#This Row],[كد تفصيلي]],'مانده سوفاله'!A:A,0)),0)</f>
        <v>0</v>
      </c>
    </row>
    <row r="104" spans="1:7" ht="21.75" customHeight="1" x14ac:dyDescent="0.35">
      <c r="A104" s="27">
        <v>10072</v>
      </c>
      <c r="B104" s="55" t="s">
        <v>177</v>
      </c>
      <c r="C104" s="10">
        <f>IFERROR(INDEX('حسابهای دریافتنی'!H:H,MATCH(Table220[[#This Row],[كد تفصيلي]],'حسابهای دریافتنی'!A:A,0)),0)</f>
        <v>55880</v>
      </c>
      <c r="D104" s="11">
        <f>IFERROR(INDEX('درجریان وصول'!F:F,MATCH(Table220[[#This Row],[كد تفصيلي]],'درجریان وصول'!A:A,0)),0)</f>
        <v>0</v>
      </c>
      <c r="E104" s="11">
        <f>IFERROR(INDEX('چکهای دریافتنی'!F:F,MATCH(Table220[[#This Row],[كد تفصيلي]],'چکهای دریافتنی'!A:A,0)),0)</f>
        <v>427700000</v>
      </c>
      <c r="F104" s="11">
        <f>Table220[[#This Row],[حسابهای دریافتنی]]+Table220[[#This Row],[چکهای در جریان وصول]]+Table220[[#This Row],[چکهای نزد صندوق]]</f>
        <v>427755880</v>
      </c>
      <c r="G104" s="12">
        <f>IFERROR(INDEX('مانده سوفاله'!F:F,MATCH(Table220[[#This Row],[كد تفصيلي]],'مانده سوفاله'!A:A,0)),0)</f>
        <v>0</v>
      </c>
    </row>
    <row r="105" spans="1:7" ht="21.75" customHeight="1" x14ac:dyDescent="0.35">
      <c r="A105" s="27">
        <v>10012</v>
      </c>
      <c r="B105" s="55" t="s">
        <v>19</v>
      </c>
      <c r="C105" s="10">
        <f>IFERROR(INDEX('حسابهای دریافتنی'!H:H,MATCH(Table220[[#This Row],[كد تفصيلي]],'حسابهای دریافتنی'!A:A,0)),0)</f>
        <v>-244000</v>
      </c>
      <c r="D105" s="11">
        <f>IFERROR(INDEX('درجریان وصول'!F:F,MATCH(Table220[[#This Row],[كد تفصيلي]],'درجریان وصول'!A:A,0)),0)</f>
        <v>0</v>
      </c>
      <c r="E105" s="11">
        <f>IFERROR(INDEX('چکهای دریافتنی'!F:F,MATCH(Table220[[#This Row],[كد تفصيلي]],'چکهای دریافتنی'!A:A,0)),0)</f>
        <v>0</v>
      </c>
      <c r="F105" s="11">
        <f>Table220[[#This Row],[حسابهای دریافتنی]]+Table220[[#This Row],[چکهای در جریان وصول]]+Table220[[#This Row],[چکهای نزد صندوق]]</f>
        <v>-244000</v>
      </c>
      <c r="G105" s="12">
        <f>IFERROR(INDEX('مانده سوفاله'!F:F,MATCH(Table220[[#This Row],[كد تفصيلي]],'مانده سوفاله'!A:A,0)),0)</f>
        <v>0</v>
      </c>
    </row>
    <row r="106" spans="1:7" ht="21.75" customHeight="1" x14ac:dyDescent="0.35">
      <c r="A106" s="26">
        <v>30088</v>
      </c>
      <c r="B106" s="56" t="s">
        <v>142</v>
      </c>
      <c r="C106" s="10">
        <f>IFERROR(INDEX('حسابهای دریافتنی'!H:H,MATCH(Table220[[#This Row],[كد تفصيلي]],'حسابهای دریافتنی'!A:A,0)),0)</f>
        <v>-252000</v>
      </c>
      <c r="D106" s="11">
        <f>IFERROR(INDEX('درجریان وصول'!F:F,MATCH(Table220[[#This Row],[كد تفصيلي]],'درجریان وصول'!A:A,0)),0)</f>
        <v>0</v>
      </c>
      <c r="E106" s="11">
        <f>IFERROR(INDEX('چکهای دریافتنی'!F:F,MATCH(Table220[[#This Row],[كد تفصيلي]],'چکهای دریافتنی'!A:A,0)),0)</f>
        <v>0</v>
      </c>
      <c r="F106" s="11">
        <f>Table220[[#This Row],[حسابهای دریافتنی]]+Table220[[#This Row],[چکهای در جریان وصول]]+Table220[[#This Row],[چکهای نزد صندوق]]</f>
        <v>-252000</v>
      </c>
      <c r="G106" s="12">
        <f>IFERROR(INDEX('مانده سوفاله'!F:F,MATCH(Table220[[#This Row],[كد تفصيلي]],'مانده سوفاله'!A:A,0)),0)</f>
        <v>0</v>
      </c>
    </row>
    <row r="107" spans="1:7" ht="21.75" customHeight="1" x14ac:dyDescent="0.35">
      <c r="A107" s="26">
        <v>10045</v>
      </c>
      <c r="B107" s="56" t="s">
        <v>50</v>
      </c>
      <c r="C107" s="10">
        <f>IFERROR(INDEX('حسابهای دریافتنی'!H:H,MATCH(Table220[[#This Row],[كد تفصيلي]],'حسابهای دریافتنی'!A:A,0)),0)</f>
        <v>-383000</v>
      </c>
      <c r="D107" s="11">
        <f>IFERROR(INDEX('درجریان وصول'!F:F,MATCH(Table220[[#This Row],[كد تفصيلي]],'درجریان وصول'!A:A,0)),0)</f>
        <v>0</v>
      </c>
      <c r="E107" s="11">
        <f>IFERROR(INDEX('چکهای دریافتنی'!F:F,MATCH(Table220[[#This Row],[كد تفصيلي]],'چکهای دریافتنی'!A:A,0)),0)</f>
        <v>0</v>
      </c>
      <c r="F107" s="11">
        <f>Table220[[#This Row],[حسابهای دریافتنی]]+Table220[[#This Row],[چکهای در جریان وصول]]+Table220[[#This Row],[چکهای نزد صندوق]]</f>
        <v>-383000</v>
      </c>
      <c r="G107" s="12">
        <f>IFERROR(INDEX('مانده سوفاله'!F:F,MATCH(Table220[[#This Row],[كد تفصيلي]],'مانده سوفاله'!A:A,0)),0)</f>
        <v>-30</v>
      </c>
    </row>
    <row r="108" spans="1:7" ht="21.75" customHeight="1" x14ac:dyDescent="0.35">
      <c r="A108" s="26">
        <v>30051</v>
      </c>
      <c r="B108" s="56" t="s">
        <v>98</v>
      </c>
      <c r="C108" s="10">
        <f>IFERROR(INDEX('حسابهای دریافتنی'!H:H,MATCH(Table220[[#This Row],[كد تفصيلي]],'حسابهای دریافتنی'!A:A,0)),0)</f>
        <v>-384000</v>
      </c>
      <c r="D108" s="11">
        <f>IFERROR(INDEX('درجریان وصول'!F:F,MATCH(Table220[[#This Row],[كد تفصيلي]],'درجریان وصول'!A:A,0)),0)</f>
        <v>0</v>
      </c>
      <c r="E108" s="11">
        <f>IFERROR(INDEX('چکهای دریافتنی'!F:F,MATCH(Table220[[#This Row],[كد تفصيلي]],'چکهای دریافتنی'!A:A,0)),0)</f>
        <v>0</v>
      </c>
      <c r="F108" s="11">
        <f>Table220[[#This Row],[حسابهای دریافتنی]]+Table220[[#This Row],[چکهای در جریان وصول]]+Table220[[#This Row],[چکهای نزد صندوق]]</f>
        <v>-384000</v>
      </c>
      <c r="G108" s="12">
        <f>IFERROR(INDEX('مانده سوفاله'!F:F,MATCH(Table220[[#This Row],[كد تفصيلي]],'مانده سوفاله'!A:A,0)),0)</f>
        <v>0</v>
      </c>
    </row>
    <row r="109" spans="1:7" ht="21.75" customHeight="1" x14ac:dyDescent="0.35">
      <c r="A109" s="27">
        <v>30044</v>
      </c>
      <c r="B109" s="55" t="s">
        <v>91</v>
      </c>
      <c r="C109" s="10">
        <f>IFERROR(INDEX('حسابهای دریافتنی'!H:H,MATCH(Table220[[#This Row],[كد تفصيلي]],'حسابهای دریافتنی'!A:A,0)),0)</f>
        <v>-492500</v>
      </c>
      <c r="D109" s="11">
        <f>IFERROR(INDEX('درجریان وصول'!F:F,MATCH(Table220[[#This Row],[كد تفصيلي]],'درجریان وصول'!A:A,0)),0)</f>
        <v>0</v>
      </c>
      <c r="E109" s="11">
        <f>IFERROR(INDEX('چکهای دریافتنی'!F:F,MATCH(Table220[[#This Row],[كد تفصيلي]],'چکهای دریافتنی'!A:A,0)),0)</f>
        <v>0</v>
      </c>
      <c r="F109" s="11">
        <f>Table220[[#This Row],[حسابهای دریافتنی]]+Table220[[#This Row],[چکهای در جریان وصول]]+Table220[[#This Row],[چکهای نزد صندوق]]</f>
        <v>-492500</v>
      </c>
      <c r="G109" s="12">
        <f>IFERROR(INDEX('مانده سوفاله'!F:F,MATCH(Table220[[#This Row],[كد تفصيلي]],'مانده سوفاله'!A:A,0)),0)</f>
        <v>2</v>
      </c>
    </row>
    <row r="110" spans="1:7" ht="21.75" customHeight="1" x14ac:dyDescent="0.35">
      <c r="A110" s="26">
        <v>10095</v>
      </c>
      <c r="B110" s="56" t="s">
        <v>268</v>
      </c>
      <c r="C110" s="10">
        <f>IFERROR(INDEX('حسابهای دریافتنی'!H:H,MATCH(Table220[[#This Row],[كد تفصيلي]],'حسابهای دریافتنی'!A:A,0)),0)</f>
        <v>-496500</v>
      </c>
      <c r="D110" s="11">
        <f>IFERROR(INDEX('درجریان وصول'!F:F,MATCH(Table220[[#This Row],[كد تفصيلي]],'درجریان وصول'!A:A,0)),0)</f>
        <v>0</v>
      </c>
      <c r="E110" s="11">
        <f>IFERROR(INDEX('چکهای دریافتنی'!F:F,MATCH(Table220[[#This Row],[كد تفصيلي]],'چکهای دریافتنی'!A:A,0)),0)</f>
        <v>0</v>
      </c>
      <c r="F110" s="11">
        <f>Table220[[#This Row],[حسابهای دریافتنی]]+Table220[[#This Row],[چکهای در جریان وصول]]+Table220[[#This Row],[چکهای نزد صندوق]]</f>
        <v>-496500</v>
      </c>
      <c r="G110" s="12">
        <f>IFERROR(INDEX('مانده سوفاله'!F:F,MATCH(Table220[[#This Row],[كد تفصيلي]],'مانده سوفاله'!A:A,0)),0)</f>
        <v>0</v>
      </c>
    </row>
    <row r="111" spans="1:7" ht="21.75" customHeight="1" x14ac:dyDescent="0.35">
      <c r="A111" s="27">
        <v>30052</v>
      </c>
      <c r="B111" s="55" t="s">
        <v>149</v>
      </c>
      <c r="C111" s="10">
        <f>IFERROR(INDEX('حسابهای دریافتنی'!H:H,MATCH(Table220[[#This Row],[كد تفصيلي]],'حسابهای دریافتنی'!A:A,0)),0)</f>
        <v>-539000</v>
      </c>
      <c r="D111" s="11">
        <f>IFERROR(INDEX('درجریان وصول'!F:F,MATCH(Table220[[#This Row],[كد تفصيلي]],'درجریان وصول'!A:A,0)),0)</f>
        <v>0</v>
      </c>
      <c r="E111" s="11">
        <f>IFERROR(INDEX('چکهای دریافتنی'!F:F,MATCH(Table220[[#This Row],[كد تفصيلي]],'چکهای دریافتنی'!A:A,0)),0)</f>
        <v>0</v>
      </c>
      <c r="F111" s="11">
        <f>Table220[[#This Row],[حسابهای دریافتنی]]+Table220[[#This Row],[چکهای در جریان وصول]]+Table220[[#This Row],[چکهای نزد صندوق]]</f>
        <v>-539000</v>
      </c>
      <c r="G111" s="12">
        <f>IFERROR(INDEX('مانده سوفاله'!F:F,MATCH(Table220[[#This Row],[كد تفصيلي]],'مانده سوفاله'!A:A,0)),0)</f>
        <v>0</v>
      </c>
    </row>
    <row r="112" spans="1:7" ht="21.75" customHeight="1" x14ac:dyDescent="0.35">
      <c r="A112" s="26">
        <v>10061</v>
      </c>
      <c r="B112" s="56" t="s">
        <v>194</v>
      </c>
      <c r="C112" s="10">
        <f>IFERROR(INDEX('حسابهای دریافتنی'!H:H,MATCH(Table220[[#This Row],[كد تفصيلي]],'حسابهای دریافتنی'!A:A,0)),0)</f>
        <v>-565500</v>
      </c>
      <c r="D112" s="11">
        <f>IFERROR(INDEX('درجریان وصول'!F:F,MATCH(Table220[[#This Row],[كد تفصيلي]],'درجریان وصول'!A:A,0)),0)</f>
        <v>0</v>
      </c>
      <c r="E112" s="11">
        <f>IFERROR(INDEX('چکهای دریافتنی'!F:F,MATCH(Table220[[#This Row],[كد تفصيلي]],'چکهای دریافتنی'!A:A,0)),0)</f>
        <v>0</v>
      </c>
      <c r="F112" s="11">
        <f>Table220[[#This Row],[حسابهای دریافتنی]]+Table220[[#This Row],[چکهای در جریان وصول]]+Table220[[#This Row],[چکهای نزد صندوق]]</f>
        <v>-565500</v>
      </c>
      <c r="G112" s="12">
        <f>IFERROR(INDEX('مانده سوفاله'!F:F,MATCH(Table220[[#This Row],[كد تفصيلي]],'مانده سوفاله'!A:A,0)),0)</f>
        <v>0</v>
      </c>
    </row>
    <row r="113" spans="1:7" ht="21.75" customHeight="1" x14ac:dyDescent="0.35">
      <c r="A113" s="26">
        <v>10118</v>
      </c>
      <c r="B113" s="56" t="s">
        <v>334</v>
      </c>
      <c r="C113" s="10">
        <f>IFERROR(INDEX('حسابهای دریافتنی'!H:H,MATCH(Table220[[#This Row],[كد تفصيلي]],'حسابهای دریافتنی'!A:A,0)),0)</f>
        <v>-587500</v>
      </c>
      <c r="D113" s="11">
        <f>IFERROR(INDEX('درجریان وصول'!F:F,MATCH(Table220[[#This Row],[كد تفصيلي]],'درجریان وصول'!A:A,0)),0)</f>
        <v>0</v>
      </c>
      <c r="E113" s="11">
        <f>IFERROR(INDEX('چکهای دریافتنی'!F:F,MATCH(Table220[[#This Row],[كد تفصيلي]],'چکهای دریافتنی'!A:A,0)),0)</f>
        <v>0</v>
      </c>
      <c r="F113" s="11">
        <f>Table220[[#This Row],[حسابهای دریافتنی]]+Table220[[#This Row],[چکهای در جریان وصول]]+Table220[[#This Row],[چکهای نزد صندوق]]</f>
        <v>-587500</v>
      </c>
      <c r="G113" s="12">
        <f>IFERROR(INDEX('مانده سوفاله'!F:F,MATCH(Table220[[#This Row],[كد تفصيلي]],'مانده سوفاله'!A:A,0)),0)</f>
        <v>0</v>
      </c>
    </row>
    <row r="114" spans="1:7" ht="21.75" customHeight="1" x14ac:dyDescent="0.35">
      <c r="A114" s="27">
        <v>10131</v>
      </c>
      <c r="B114" s="55" t="s">
        <v>457</v>
      </c>
      <c r="C114" s="10">
        <f>IFERROR(INDEX('حسابهای دریافتنی'!H:H,MATCH(Table220[[#This Row],[كد تفصيلي]],'حسابهای دریافتنی'!A:A,0)),0)</f>
        <v>-1194000</v>
      </c>
      <c r="D114" s="11">
        <f>IFERROR(INDEX('درجریان وصول'!F:F,MATCH(Table220[[#This Row],[كد تفصيلي]],'درجریان وصول'!A:A,0)),0)</f>
        <v>0</v>
      </c>
      <c r="E114" s="11">
        <f>IFERROR(INDEX('چکهای دریافتنی'!F:F,MATCH(Table220[[#This Row],[كد تفصيلي]],'چکهای دریافتنی'!A:A,0)),0)</f>
        <v>0</v>
      </c>
      <c r="F114" s="11">
        <f>Table220[[#This Row],[حسابهای دریافتنی]]+Table220[[#This Row],[چکهای در جریان وصول]]+Table220[[#This Row],[چکهای نزد صندوق]]</f>
        <v>-1194000</v>
      </c>
      <c r="G114" s="12">
        <f>IFERROR(INDEX('مانده سوفاله'!F:F,MATCH(Table220[[#This Row],[كد تفصيلي]],'مانده سوفاله'!A:A,0)),0)</f>
        <v>1</v>
      </c>
    </row>
    <row r="115" spans="1:7" ht="21.75" customHeight="1" x14ac:dyDescent="0.35">
      <c r="A115" s="26">
        <v>30112</v>
      </c>
      <c r="B115" s="56" t="s">
        <v>201</v>
      </c>
      <c r="C115" s="10">
        <f>IFERROR(INDEX('حسابهای دریافتنی'!H:H,MATCH(Table220[[#This Row],[كد تفصيلي]],'حسابهای دریافتنی'!A:A,0)),0)</f>
        <v>-720500</v>
      </c>
      <c r="D115" s="11">
        <f>IFERROR(INDEX('درجریان وصول'!F:F,MATCH(Table220[[#This Row],[كد تفصيلي]],'درجریان وصول'!A:A,0)),0)</f>
        <v>0</v>
      </c>
      <c r="E115" s="11">
        <f>IFERROR(INDEX('چکهای دریافتنی'!F:F,MATCH(Table220[[#This Row],[كد تفصيلي]],'چکهای دریافتنی'!A:A,0)),0)</f>
        <v>0</v>
      </c>
      <c r="F115" s="11">
        <f>Table220[[#This Row],[حسابهای دریافتنی]]+Table220[[#This Row],[چکهای در جریان وصول]]+Table220[[#This Row],[چکهای نزد صندوق]]</f>
        <v>-720500</v>
      </c>
      <c r="G115" s="12">
        <f>IFERROR(INDEX('مانده سوفاله'!F:F,MATCH(Table220[[#This Row],[كد تفصيلي]],'مانده سوفاله'!A:A,0)),0)</f>
        <v>36</v>
      </c>
    </row>
    <row r="116" spans="1:7" ht="21.75" customHeight="1" x14ac:dyDescent="0.35">
      <c r="A116" s="26">
        <v>10013</v>
      </c>
      <c r="B116" s="56" t="s">
        <v>20</v>
      </c>
      <c r="C116" s="10">
        <f>IFERROR(INDEX('حسابهای دریافتنی'!H:H,MATCH(Table220[[#This Row],[كد تفصيلي]],'حسابهای دریافتنی'!A:A,0)),0)</f>
        <v>-915000</v>
      </c>
      <c r="D116" s="11">
        <f>IFERROR(INDEX('درجریان وصول'!F:F,MATCH(Table220[[#This Row],[كد تفصيلي]],'درجریان وصول'!A:A,0)),0)</f>
        <v>0</v>
      </c>
      <c r="E116" s="11">
        <f>IFERROR(INDEX('چکهای دریافتنی'!F:F,MATCH(Table220[[#This Row],[كد تفصيلي]],'چکهای دریافتنی'!A:A,0)),0)</f>
        <v>0</v>
      </c>
      <c r="F116" s="11">
        <f>Table220[[#This Row],[حسابهای دریافتنی]]+Table220[[#This Row],[چکهای در جریان وصول]]+Table220[[#This Row],[چکهای نزد صندوق]]</f>
        <v>-915000</v>
      </c>
      <c r="G116" s="12">
        <f>IFERROR(INDEX('مانده سوفاله'!F:F,MATCH(Table220[[#This Row],[كد تفصيلي]],'مانده سوفاله'!A:A,0)),0)</f>
        <v>0</v>
      </c>
    </row>
    <row r="117" spans="1:7" ht="21.75" customHeight="1" x14ac:dyDescent="0.35">
      <c r="A117" s="27">
        <v>10042</v>
      </c>
      <c r="B117" s="55" t="s">
        <v>47</v>
      </c>
      <c r="C117" s="10">
        <f>IFERROR(INDEX('حسابهای دریافتنی'!H:H,MATCH(Table220[[#This Row],[كد تفصيلي]],'حسابهای دریافتنی'!A:A,0)),0)</f>
        <v>-1120000</v>
      </c>
      <c r="D117" s="11">
        <f>IFERROR(INDEX('درجریان وصول'!F:F,MATCH(Table220[[#This Row],[كد تفصيلي]],'درجریان وصول'!A:A,0)),0)</f>
        <v>0</v>
      </c>
      <c r="E117" s="11">
        <f>IFERROR(INDEX('چکهای دریافتنی'!F:F,MATCH(Table220[[#This Row],[كد تفصيلي]],'چکهای دریافتنی'!A:A,0)),0)</f>
        <v>0</v>
      </c>
      <c r="F117" s="11">
        <f>Table220[[#This Row],[حسابهای دریافتنی]]+Table220[[#This Row],[چکهای در جریان وصول]]+Table220[[#This Row],[چکهای نزد صندوق]]</f>
        <v>-1120000</v>
      </c>
      <c r="G117" s="12">
        <f>IFERROR(INDEX('مانده سوفاله'!F:F,MATCH(Table220[[#This Row],[كد تفصيلي]],'مانده سوفاله'!A:A,0)),0)</f>
        <v>2</v>
      </c>
    </row>
    <row r="118" spans="1:7" ht="21.75" customHeight="1" x14ac:dyDescent="0.35">
      <c r="A118" s="27">
        <v>30032</v>
      </c>
      <c r="B118" s="55" t="s">
        <v>79</v>
      </c>
      <c r="C118" s="10">
        <f>IFERROR(INDEX('حسابهای دریافتنی'!H:H,MATCH(Table220[[#This Row],[كد تفصيلي]],'حسابهای دریافتنی'!A:A,0)),0)</f>
        <v>-1347000</v>
      </c>
      <c r="D118" s="11">
        <f>IFERROR(INDEX('درجریان وصول'!F:F,MATCH(Table220[[#This Row],[كد تفصيلي]],'درجریان وصول'!A:A,0)),0)</f>
        <v>0</v>
      </c>
      <c r="E118" s="11">
        <f>IFERROR(INDEX('چکهای دریافتنی'!F:F,MATCH(Table220[[#This Row],[كد تفصيلي]],'چکهای دریافتنی'!A:A,0)),0)</f>
        <v>0</v>
      </c>
      <c r="F118" s="11">
        <f>Table220[[#This Row],[حسابهای دریافتنی]]+Table220[[#This Row],[چکهای در جریان وصول]]+Table220[[#This Row],[چکهای نزد صندوق]]</f>
        <v>-1347000</v>
      </c>
      <c r="G118" s="12">
        <f>IFERROR(INDEX('مانده سوفاله'!F:F,MATCH(Table220[[#This Row],[كد تفصيلي]],'مانده سوفاله'!A:A,0)),0)</f>
        <v>0</v>
      </c>
    </row>
    <row r="119" spans="1:7" ht="21.75" customHeight="1" x14ac:dyDescent="0.35">
      <c r="A119" s="27">
        <v>30171</v>
      </c>
      <c r="B119" s="55" t="s">
        <v>322</v>
      </c>
      <c r="C119" s="10">
        <f>IFERROR(INDEX('حسابهای دریافتنی'!H:H,MATCH(Table220[[#This Row],[كد تفصيلي]],'حسابهای دریافتنی'!A:A,0)),0)</f>
        <v>-1500000</v>
      </c>
      <c r="D119" s="11">
        <f>IFERROR(INDEX('درجریان وصول'!F:F,MATCH(Table220[[#This Row],[كد تفصيلي]],'درجریان وصول'!A:A,0)),0)</f>
        <v>0</v>
      </c>
      <c r="E119" s="11">
        <f>IFERROR(INDEX('چکهای دریافتنی'!F:F,MATCH(Table220[[#This Row],[كد تفصيلي]],'چکهای دریافتنی'!A:A,0)),0)</f>
        <v>0</v>
      </c>
      <c r="F119" s="11">
        <f>Table220[[#This Row],[حسابهای دریافتنی]]+Table220[[#This Row],[چکهای در جریان وصول]]+Table220[[#This Row],[چکهای نزد صندوق]]</f>
        <v>-1500000</v>
      </c>
      <c r="G119" s="12">
        <f>IFERROR(INDEX('مانده سوفاله'!F:F,MATCH(Table220[[#This Row],[كد تفصيلي]],'مانده سوفاله'!A:A,0)),0)</f>
        <v>0</v>
      </c>
    </row>
    <row r="120" spans="1:7" ht="21.75" customHeight="1" x14ac:dyDescent="0.35">
      <c r="A120" s="26">
        <v>10103</v>
      </c>
      <c r="B120" s="56" t="s">
        <v>283</v>
      </c>
      <c r="C120" s="10">
        <f>IFERROR(INDEX('حسابهای دریافتنی'!H:H,MATCH(Table220[[#This Row],[كد تفصيلي]],'حسابهای دریافتنی'!A:A,0)),0)</f>
        <v>-1580000</v>
      </c>
      <c r="D120" s="11">
        <f>IFERROR(INDEX('درجریان وصول'!F:F,MATCH(Table220[[#This Row],[كد تفصيلي]],'درجریان وصول'!A:A,0)),0)</f>
        <v>0</v>
      </c>
      <c r="E120" s="11">
        <f>IFERROR(INDEX('چکهای دریافتنی'!F:F,MATCH(Table220[[#This Row],[كد تفصيلي]],'چکهای دریافتنی'!A:A,0)),0)</f>
        <v>0</v>
      </c>
      <c r="F120" s="11">
        <f>Table220[[#This Row],[حسابهای دریافتنی]]+Table220[[#This Row],[چکهای در جریان وصول]]+Table220[[#This Row],[چکهای نزد صندوق]]</f>
        <v>-1580000</v>
      </c>
      <c r="G120" s="12">
        <f>IFERROR(INDEX('مانده سوفاله'!F:F,MATCH(Table220[[#This Row],[كد تفصيلي]],'مانده سوفاله'!A:A,0)),0)</f>
        <v>0</v>
      </c>
    </row>
    <row r="121" spans="1:7" ht="21.75" customHeight="1" x14ac:dyDescent="0.35">
      <c r="A121" s="27">
        <v>10125</v>
      </c>
      <c r="B121" s="55" t="s">
        <v>345</v>
      </c>
      <c r="C121" s="10">
        <f>IFERROR(INDEX('حسابهای دریافتنی'!H:H,MATCH(Table220[[#This Row],[كد تفصيلي]],'حسابهای دریافتنی'!A:A,0)),0)</f>
        <v>-1650000</v>
      </c>
      <c r="D121" s="11">
        <f>IFERROR(INDEX('درجریان وصول'!F:F,MATCH(Table220[[#This Row],[كد تفصيلي]],'درجریان وصول'!A:A,0)),0)</f>
        <v>0</v>
      </c>
      <c r="E121" s="11">
        <f>IFERROR(INDEX('چکهای دریافتنی'!F:F,MATCH(Table220[[#This Row],[كد تفصيلي]],'چکهای دریافتنی'!A:A,0)),0)</f>
        <v>0</v>
      </c>
      <c r="F121" s="11">
        <f>Table220[[#This Row],[حسابهای دریافتنی]]+Table220[[#This Row],[چکهای در جریان وصول]]+Table220[[#This Row],[چکهای نزد صندوق]]</f>
        <v>-1650000</v>
      </c>
      <c r="G121" s="12">
        <f>IFERROR(INDEX('مانده سوفاله'!F:F,MATCH(Table220[[#This Row],[كد تفصيلي]],'مانده سوفاله'!A:A,0)),0)</f>
        <v>0</v>
      </c>
    </row>
    <row r="122" spans="1:7" ht="21.75" customHeight="1" x14ac:dyDescent="0.35">
      <c r="A122" s="27">
        <v>30179</v>
      </c>
      <c r="B122" s="55" t="s">
        <v>336</v>
      </c>
      <c r="C122" s="10">
        <f>IFERROR(INDEX('حسابهای دریافتنی'!H:H,MATCH(Table220[[#This Row],[كد تفصيلي]],'حسابهای دریافتنی'!A:A,0)),0)</f>
        <v>-637200</v>
      </c>
      <c r="D122" s="11">
        <f>IFERROR(INDEX('درجریان وصول'!F:F,MATCH(Table220[[#This Row],[كد تفصيلي]],'درجریان وصول'!A:A,0)),0)</f>
        <v>0</v>
      </c>
      <c r="E122" s="11">
        <f>IFERROR(INDEX('چکهای دریافتنی'!F:F,MATCH(Table220[[#This Row],[كد تفصيلي]],'چکهای دریافتنی'!A:A,0)),0)</f>
        <v>0</v>
      </c>
      <c r="F122" s="11">
        <f>Table220[[#This Row],[حسابهای دریافتنی]]+Table220[[#This Row],[چکهای در جریان وصول]]+Table220[[#This Row],[چکهای نزد صندوق]]</f>
        <v>-637200</v>
      </c>
      <c r="G122" s="12">
        <f>IFERROR(INDEX('مانده سوفاله'!F:F,MATCH(Table220[[#This Row],[كد تفصيلي]],'مانده سوفاله'!A:A,0)),0)</f>
        <v>0</v>
      </c>
    </row>
    <row r="123" spans="1:7" ht="21.75" customHeight="1" x14ac:dyDescent="0.35">
      <c r="A123" s="26">
        <v>10110</v>
      </c>
      <c r="B123" s="56" t="s">
        <v>306</v>
      </c>
      <c r="C123" s="10">
        <f>IFERROR(INDEX('حسابهای دریافتنی'!H:H,MATCH(Table220[[#This Row],[كد تفصيلي]],'حسابهای دریافتنی'!A:A,0)),0)</f>
        <v>-1817500</v>
      </c>
      <c r="D123" s="11">
        <f>IFERROR(INDEX('درجریان وصول'!F:F,MATCH(Table220[[#This Row],[كد تفصيلي]],'درجریان وصول'!A:A,0)),0)</f>
        <v>0</v>
      </c>
      <c r="E123" s="11">
        <f>IFERROR(INDEX('چکهای دریافتنی'!F:F,MATCH(Table220[[#This Row],[كد تفصيلي]],'چکهای دریافتنی'!A:A,0)),0)</f>
        <v>0</v>
      </c>
      <c r="F123" s="11">
        <f>Table220[[#This Row],[حسابهای دریافتنی]]+Table220[[#This Row],[چکهای در جریان وصول]]+Table220[[#This Row],[چکهای نزد صندوق]]</f>
        <v>-1817500</v>
      </c>
      <c r="G123" s="12">
        <f>IFERROR(INDEX('مانده سوفاله'!F:F,MATCH(Table220[[#This Row],[كد تفصيلي]],'مانده سوفاله'!A:A,0)),0)</f>
        <v>7</v>
      </c>
    </row>
    <row r="124" spans="1:7" ht="21.75" customHeight="1" x14ac:dyDescent="0.35">
      <c r="A124" s="27">
        <v>30103</v>
      </c>
      <c r="B124" s="55" t="s">
        <v>240</v>
      </c>
      <c r="C124" s="10">
        <f>IFERROR(INDEX('حسابهای دریافتنی'!H:H,MATCH(Table220[[#This Row],[كد تفصيلي]],'حسابهای دریافتنی'!A:A,0)),0)</f>
        <v>-1820000</v>
      </c>
      <c r="D124" s="11">
        <f>IFERROR(INDEX('درجریان وصول'!F:F,MATCH(Table220[[#This Row],[كد تفصيلي]],'درجریان وصول'!A:A,0)),0)</f>
        <v>0</v>
      </c>
      <c r="E124" s="11">
        <f>IFERROR(INDEX('چکهای دریافتنی'!F:F,MATCH(Table220[[#This Row],[كد تفصيلي]],'چکهای دریافتنی'!A:A,0)),0)</f>
        <v>0</v>
      </c>
      <c r="F124" s="11">
        <f>Table220[[#This Row],[حسابهای دریافتنی]]+Table220[[#This Row],[چکهای در جریان وصول]]+Table220[[#This Row],[چکهای نزد صندوق]]</f>
        <v>-1820000</v>
      </c>
      <c r="G124" s="12">
        <f>IFERROR(INDEX('مانده سوفاله'!F:F,MATCH(Table220[[#This Row],[كد تفصيلي]],'مانده سوفاله'!A:A,0)),0)</f>
        <v>0</v>
      </c>
    </row>
    <row r="125" spans="1:7" ht="21.75" customHeight="1" x14ac:dyDescent="0.35">
      <c r="A125" s="26">
        <v>30128</v>
      </c>
      <c r="B125" s="56" t="s">
        <v>212</v>
      </c>
      <c r="C125" s="10">
        <f>IFERROR(INDEX('حسابهای دریافتنی'!H:H,MATCH(Table220[[#This Row],[كد تفصيلي]],'حسابهای دریافتنی'!A:A,0)),0)</f>
        <v>-2451320</v>
      </c>
      <c r="D125" s="11">
        <f>IFERROR(INDEX('درجریان وصول'!F:F,MATCH(Table220[[#This Row],[كد تفصيلي]],'درجریان وصول'!A:A,0)),0)</f>
        <v>0</v>
      </c>
      <c r="E125" s="11">
        <f>IFERROR(INDEX('چکهای دریافتنی'!F:F,MATCH(Table220[[#This Row],[كد تفصيلي]],'چکهای دریافتنی'!A:A,0)),0)</f>
        <v>0</v>
      </c>
      <c r="F125" s="11">
        <f>Table220[[#This Row],[حسابهای دریافتنی]]+Table220[[#This Row],[چکهای در جریان وصول]]+Table220[[#This Row],[چکهای نزد صندوق]]</f>
        <v>-2451320</v>
      </c>
      <c r="G125" s="12">
        <f>IFERROR(INDEX('مانده سوفاله'!F:F,MATCH(Table220[[#This Row],[كد تفصيلي]],'مانده سوفاله'!A:A,0)),0)</f>
        <v>0</v>
      </c>
    </row>
    <row r="126" spans="1:7" ht="21.75" customHeight="1" x14ac:dyDescent="0.35">
      <c r="A126" s="26">
        <v>30013</v>
      </c>
      <c r="B126" s="56" t="s">
        <v>62</v>
      </c>
      <c r="C126" s="10">
        <f>IFERROR(INDEX('حسابهای دریافتنی'!H:H,MATCH(Table220[[#This Row],[كد تفصيلي]],'حسابهای دریافتنی'!A:A,0)),0)</f>
        <v>-2744620</v>
      </c>
      <c r="D126" s="11">
        <f>IFERROR(INDEX('درجریان وصول'!F:F,MATCH(Table220[[#This Row],[كد تفصيلي]],'درجریان وصول'!A:A,0)),0)</f>
        <v>0</v>
      </c>
      <c r="E126" s="11">
        <f>IFERROR(INDEX('چکهای دریافتنی'!F:F,MATCH(Table220[[#This Row],[كد تفصيلي]],'چکهای دریافتنی'!A:A,0)),0)</f>
        <v>0</v>
      </c>
      <c r="F126" s="11">
        <f>Table220[[#This Row],[حسابهای دریافتنی]]+Table220[[#This Row],[چکهای در جریان وصول]]+Table220[[#This Row],[چکهای نزد صندوق]]</f>
        <v>-2744620</v>
      </c>
      <c r="G126" s="12">
        <f>IFERROR(INDEX('مانده سوفاله'!F:F,MATCH(Table220[[#This Row],[كد تفصيلي]],'مانده سوفاله'!A:A,0)),0)</f>
        <v>0</v>
      </c>
    </row>
    <row r="127" spans="1:7" ht="21.75" customHeight="1" x14ac:dyDescent="0.35">
      <c r="A127" s="26">
        <v>30015</v>
      </c>
      <c r="B127" s="56" t="s">
        <v>64</v>
      </c>
      <c r="C127" s="10">
        <f>IFERROR(INDEX('حسابهای دریافتنی'!H:H,MATCH(Table220[[#This Row],[كد تفصيلي]],'حسابهای دریافتنی'!A:A,0)),0)</f>
        <v>-3105895</v>
      </c>
      <c r="D127" s="11">
        <f>IFERROR(INDEX('درجریان وصول'!F:F,MATCH(Table220[[#This Row],[كد تفصيلي]],'درجریان وصول'!A:A,0)),0)</f>
        <v>0</v>
      </c>
      <c r="E127" s="11">
        <f>IFERROR(INDEX('چکهای دریافتنی'!F:F,MATCH(Table220[[#This Row],[كد تفصيلي]],'چکهای دریافتنی'!A:A,0)),0)</f>
        <v>0</v>
      </c>
      <c r="F127" s="11">
        <f>Table220[[#This Row],[حسابهای دریافتنی]]+Table220[[#This Row],[چکهای در جریان وصول]]+Table220[[#This Row],[چکهای نزد صندوق]]</f>
        <v>-3105895</v>
      </c>
      <c r="G127" s="12">
        <f>IFERROR(INDEX('مانده سوفاله'!F:F,MATCH(Table220[[#This Row],[كد تفصيلي]],'مانده سوفاله'!A:A,0)),0)</f>
        <v>0</v>
      </c>
    </row>
    <row r="128" spans="1:7" ht="21.75" customHeight="1" x14ac:dyDescent="0.35">
      <c r="A128" s="26">
        <v>30110</v>
      </c>
      <c r="B128" s="56" t="s">
        <v>200</v>
      </c>
      <c r="C128" s="10">
        <f>IFERROR(INDEX('حسابهای دریافتنی'!H:H,MATCH(Table220[[#This Row],[كد تفصيلي]],'حسابهای دریافتنی'!A:A,0)),0)</f>
        <v>-3492360</v>
      </c>
      <c r="D128" s="11">
        <f>IFERROR(INDEX('درجریان وصول'!F:F,MATCH(Table220[[#This Row],[كد تفصيلي]],'درجریان وصول'!A:A,0)),0)</f>
        <v>0</v>
      </c>
      <c r="E128" s="11">
        <f>IFERROR(INDEX('چکهای دریافتنی'!F:F,MATCH(Table220[[#This Row],[كد تفصيلي]],'چکهای دریافتنی'!A:A,0)),0)</f>
        <v>0</v>
      </c>
      <c r="F128" s="11">
        <f>Table220[[#This Row],[حسابهای دریافتنی]]+Table220[[#This Row],[چکهای در جریان وصول]]+Table220[[#This Row],[چکهای نزد صندوق]]</f>
        <v>-3492360</v>
      </c>
      <c r="G128" s="12">
        <f>IFERROR(INDEX('مانده سوفاله'!F:F,MATCH(Table220[[#This Row],[كد تفصيلي]],'مانده سوفاله'!A:A,0)),0)</f>
        <v>0</v>
      </c>
    </row>
    <row r="129" spans="1:7" ht="21.75" customHeight="1" x14ac:dyDescent="0.35">
      <c r="A129" s="26">
        <v>10049</v>
      </c>
      <c r="B129" s="56" t="s">
        <v>157</v>
      </c>
      <c r="C129" s="10">
        <f>IFERROR(INDEX('حسابهای دریافتنی'!H:H,MATCH(Table220[[#This Row],[كد تفصيلي]],'حسابهای دریافتنی'!A:A,0)),0)</f>
        <v>-32909500</v>
      </c>
      <c r="D129" s="11">
        <f>IFERROR(INDEX('درجریان وصول'!F:F,MATCH(Table220[[#This Row],[كد تفصيلي]],'درجریان وصول'!A:A,0)),0)</f>
        <v>0</v>
      </c>
      <c r="E129" s="11">
        <f>IFERROR(INDEX('چکهای دریافتنی'!F:F,MATCH(Table220[[#This Row],[كد تفصيلي]],'چکهای دریافتنی'!A:A,0)),0)</f>
        <v>0</v>
      </c>
      <c r="F129" s="11">
        <f>Table220[[#This Row],[حسابهای دریافتنی]]+Table220[[#This Row],[چکهای در جریان وصول]]+Table220[[#This Row],[چکهای نزد صندوق]]</f>
        <v>-32909500</v>
      </c>
      <c r="G129" s="12">
        <f>IFERROR(INDEX('مانده سوفاله'!F:F,MATCH(Table220[[#This Row],[كد تفصيلي]],'مانده سوفاله'!A:A,0)),0)</f>
        <v>0</v>
      </c>
    </row>
    <row r="130" spans="1:7" ht="21.75" customHeight="1" x14ac:dyDescent="0.35">
      <c r="A130" s="26">
        <v>10015</v>
      </c>
      <c r="B130" s="56" t="s">
        <v>22</v>
      </c>
      <c r="C130" s="10">
        <f>IFERROR(INDEX('حسابهای دریافتنی'!H:H,MATCH(Table220[[#This Row],[كد تفصيلي]],'حسابهای دریافتنی'!A:A,0)),0)</f>
        <v>-4735000</v>
      </c>
      <c r="D130" s="11">
        <f>IFERROR(INDEX('درجریان وصول'!F:F,MATCH(Table220[[#This Row],[كد تفصيلي]],'درجریان وصول'!A:A,0)),0)</f>
        <v>0</v>
      </c>
      <c r="E130" s="11">
        <f>IFERROR(INDEX('چکهای دریافتنی'!F:F,MATCH(Table220[[#This Row],[كد تفصيلي]],'چکهای دریافتنی'!A:A,0)),0)</f>
        <v>0</v>
      </c>
      <c r="F130" s="11">
        <f>Table220[[#This Row],[حسابهای دریافتنی]]+Table220[[#This Row],[چکهای در جریان وصول]]+Table220[[#This Row],[چکهای نزد صندوق]]</f>
        <v>-4735000</v>
      </c>
      <c r="G130" s="12">
        <f>IFERROR(INDEX('مانده سوفاله'!F:F,MATCH(Table220[[#This Row],[كد تفصيلي]],'مانده سوفاله'!A:A,0)),0)</f>
        <v>12</v>
      </c>
    </row>
    <row r="131" spans="1:7" ht="21.75" customHeight="1" x14ac:dyDescent="0.35">
      <c r="A131" s="27">
        <v>30153</v>
      </c>
      <c r="B131" s="55" t="s">
        <v>279</v>
      </c>
      <c r="C131" s="10">
        <f>IFERROR(INDEX('حسابهای دریافتنی'!H:H,MATCH(Table220[[#This Row],[كد تفصيلي]],'حسابهای دریافتنی'!A:A,0)),0)</f>
        <v>-4818000</v>
      </c>
      <c r="D131" s="11">
        <f>IFERROR(INDEX('درجریان وصول'!F:F,MATCH(Table220[[#This Row],[كد تفصيلي]],'درجریان وصول'!A:A,0)),0)</f>
        <v>0</v>
      </c>
      <c r="E131" s="11">
        <f>IFERROR(INDEX('چکهای دریافتنی'!F:F,MATCH(Table220[[#This Row],[كد تفصيلي]],'چکهای دریافتنی'!A:A,0)),0)</f>
        <v>0</v>
      </c>
      <c r="F131" s="11">
        <f>Table220[[#This Row],[حسابهای دریافتنی]]+Table220[[#This Row],[چکهای در جریان وصول]]+Table220[[#This Row],[چکهای نزد صندوق]]</f>
        <v>-4818000</v>
      </c>
      <c r="G131" s="12">
        <f>IFERROR(INDEX('مانده سوفاله'!F:F,MATCH(Table220[[#This Row],[كد تفصيلي]],'مانده سوفاله'!A:A,0)),0)</f>
        <v>0</v>
      </c>
    </row>
    <row r="132" spans="1:7" ht="21.75" customHeight="1" x14ac:dyDescent="0.35">
      <c r="A132" s="26">
        <v>30023</v>
      </c>
      <c r="B132" s="56" t="s">
        <v>71</v>
      </c>
      <c r="C132" s="10">
        <f>IFERROR(INDEX('حسابهای دریافتنی'!H:H,MATCH(Table220[[#This Row],[كد تفصيلي]],'حسابهای دریافتنی'!A:A,0)),0)</f>
        <v>-5793600</v>
      </c>
      <c r="D132" s="11">
        <f>IFERROR(INDEX('درجریان وصول'!F:F,MATCH(Table220[[#This Row],[كد تفصيلي]],'درجریان وصول'!A:A,0)),0)</f>
        <v>0</v>
      </c>
      <c r="E132" s="11">
        <f>IFERROR(INDEX('چکهای دریافتنی'!F:F,MATCH(Table220[[#This Row],[كد تفصيلي]],'چکهای دریافتنی'!A:A,0)),0)</f>
        <v>0</v>
      </c>
      <c r="F132" s="11">
        <f>Table220[[#This Row],[حسابهای دریافتنی]]+Table220[[#This Row],[چکهای در جریان وصول]]+Table220[[#This Row],[چکهای نزد صندوق]]</f>
        <v>-5793600</v>
      </c>
      <c r="G132" s="12">
        <f>IFERROR(INDEX('مانده سوفاله'!F:F,MATCH(Table220[[#This Row],[كد تفصيلي]],'مانده سوفاله'!A:A,0)),0)</f>
        <v>0</v>
      </c>
    </row>
    <row r="133" spans="1:7" customFormat="1" ht="21.75" customHeight="1" x14ac:dyDescent="0.35">
      <c r="A133" s="53">
        <v>30176</v>
      </c>
      <c r="B133" s="56" t="s">
        <v>332</v>
      </c>
      <c r="C133" s="10">
        <f>IFERROR(INDEX('حسابهای دریافتنی'!H:H,MATCH(Table220[[#This Row],[كد تفصيلي]],'حسابهای دریافتنی'!A:A,0)),0)</f>
        <v>-7540075</v>
      </c>
      <c r="D133" s="11">
        <f>IFERROR(INDEX('درجریان وصول'!F:F,MATCH(Table220[[#This Row],[كد تفصيلي]],'درجریان وصول'!A:A,0)),0)</f>
        <v>0</v>
      </c>
      <c r="E133" s="11">
        <f>IFERROR(INDEX('چکهای دریافتنی'!F:F,MATCH(Table220[[#This Row],[كد تفصيلي]],'چکهای دریافتنی'!A:A,0)),0)</f>
        <v>0</v>
      </c>
      <c r="F133" s="11">
        <f>Table220[[#This Row],[حسابهای دریافتنی]]+Table220[[#This Row],[چکهای در جریان وصول]]+Table220[[#This Row],[چکهای نزد صندوق]]</f>
        <v>-7540075</v>
      </c>
      <c r="G133" s="12">
        <f>IFERROR(INDEX('مانده سوفاله'!F:F,MATCH(Table220[[#This Row],[كد تفصيلي]],'مانده سوفاله'!A:A,0)),0)</f>
        <v>0</v>
      </c>
    </row>
    <row r="134" spans="1:7" customFormat="1" ht="21.75" customHeight="1" x14ac:dyDescent="0.35">
      <c r="A134" s="53">
        <v>10106</v>
      </c>
      <c r="B134" s="56" t="s">
        <v>298</v>
      </c>
      <c r="C134" s="10">
        <f>IFERROR(INDEX('حسابهای دریافتنی'!H:H,MATCH(Table220[[#This Row],[كد تفصيلي]],'حسابهای دریافتنی'!A:A,0)),0)</f>
        <v>-9134000</v>
      </c>
      <c r="D134" s="11">
        <f>IFERROR(INDEX('درجریان وصول'!F:F,MATCH(Table220[[#This Row],[كد تفصيلي]],'درجریان وصول'!A:A,0)),0)</f>
        <v>0</v>
      </c>
      <c r="E134" s="11">
        <f>IFERROR(INDEX('چکهای دریافتنی'!F:F,MATCH(Table220[[#This Row],[كد تفصيلي]],'چکهای دریافتنی'!A:A,0)),0)</f>
        <v>0</v>
      </c>
      <c r="F134" s="11">
        <f>Table220[[#This Row],[حسابهای دریافتنی]]+Table220[[#This Row],[چکهای در جریان وصول]]+Table220[[#This Row],[چکهای نزد صندوق]]</f>
        <v>-9134000</v>
      </c>
      <c r="G134" s="12">
        <f>IFERROR(INDEX('مانده سوفاله'!F:F,MATCH(Table220[[#This Row],[كد تفصيلي]],'مانده سوفاله'!A:A,0)),0)</f>
        <v>0</v>
      </c>
    </row>
    <row r="135" spans="1:7" customFormat="1" ht="21.75" customHeight="1" x14ac:dyDescent="0.35">
      <c r="A135" s="53">
        <v>30189</v>
      </c>
      <c r="B135" s="56" t="s">
        <v>458</v>
      </c>
      <c r="C135" s="10">
        <f>IFERROR(INDEX('حسابهای دریافتنی'!H:H,MATCH(Table220[[#This Row],[كد تفصيلي]],'حسابهای دریافتنی'!A:A,0)),0)</f>
        <v>20776490</v>
      </c>
      <c r="D135" s="11">
        <f>IFERROR(INDEX('درجریان وصول'!F:F,MATCH(Table220[[#This Row],[كد تفصيلي]],'درجریان وصول'!A:A,0)),0)</f>
        <v>0</v>
      </c>
      <c r="E135" s="11">
        <f>IFERROR(INDEX('چکهای دریافتنی'!F:F,MATCH(Table220[[#This Row],[كد تفصيلي]],'چکهای دریافتنی'!A:A,0)),0)</f>
        <v>0</v>
      </c>
      <c r="F135" s="11">
        <f>Table220[[#This Row],[حسابهای دریافتنی]]+Table220[[#This Row],[چکهای در جریان وصول]]+Table220[[#This Row],[چکهای نزد صندوق]]</f>
        <v>20776490</v>
      </c>
      <c r="G135" s="12">
        <f>IFERROR(INDEX('مانده سوفاله'!F:F,MATCH(Table220[[#This Row],[كد تفصيلي]],'مانده سوفاله'!A:A,0)),0)</f>
        <v>0</v>
      </c>
    </row>
    <row r="136" spans="1:7" customFormat="1" ht="21.75" customHeight="1" x14ac:dyDescent="0.35">
      <c r="A136" s="54">
        <v>10102</v>
      </c>
      <c r="B136" s="55" t="s">
        <v>282</v>
      </c>
      <c r="C136" s="10">
        <f>IFERROR(INDEX('حسابهای دریافتنی'!H:H,MATCH(Table220[[#This Row],[كد تفصيلي]],'حسابهای دریافتنی'!A:A,0)),0)</f>
        <v>-10374000</v>
      </c>
      <c r="D136" s="11">
        <f>IFERROR(INDEX('درجریان وصول'!F:F,MATCH(Table220[[#This Row],[كد تفصيلي]],'درجریان وصول'!A:A,0)),0)</f>
        <v>0</v>
      </c>
      <c r="E136" s="11">
        <f>IFERROR(INDEX('چکهای دریافتنی'!F:F,MATCH(Table220[[#This Row],[كد تفصيلي]],'چکهای دریافتنی'!A:A,0)),0)</f>
        <v>0</v>
      </c>
      <c r="F136" s="11">
        <f>Table220[[#This Row],[حسابهای دریافتنی]]+Table220[[#This Row],[چکهای در جریان وصول]]+Table220[[#This Row],[چکهای نزد صندوق]]</f>
        <v>-10374000</v>
      </c>
      <c r="G136" s="12">
        <f>IFERROR(INDEX('مانده سوفاله'!F:F,MATCH(Table220[[#This Row],[كد تفصيلي]],'مانده سوفاله'!A:A,0)),0)</f>
        <v>0</v>
      </c>
    </row>
    <row r="137" spans="1:7" customFormat="1" ht="21.75" customHeight="1" x14ac:dyDescent="0.35">
      <c r="A137" s="54">
        <v>10104</v>
      </c>
      <c r="B137" s="55" t="s">
        <v>293</v>
      </c>
      <c r="C137" s="10">
        <f>IFERROR(INDEX('حسابهای دریافتنی'!H:H,MATCH(Table220[[#This Row],[كد تفصيلي]],'حسابهای دریافتنی'!A:A,0)),0)</f>
        <v>0</v>
      </c>
      <c r="D137" s="11">
        <f>IFERROR(INDEX('درجریان وصول'!F:F,MATCH(Table220[[#This Row],[كد تفصيلي]],'درجریان وصول'!A:A,0)),0)</f>
        <v>0</v>
      </c>
      <c r="E137" s="11">
        <f>IFERROR(INDEX('چکهای دریافتنی'!F:F,MATCH(Table220[[#This Row],[كد تفصيلي]],'چکهای دریافتنی'!A:A,0)),0)</f>
        <v>0</v>
      </c>
      <c r="F137" s="11">
        <f>Table220[[#This Row],[حسابهای دریافتنی]]+Table220[[#This Row],[چکهای در جریان وصول]]+Table220[[#This Row],[چکهای نزد صندوق]]</f>
        <v>0</v>
      </c>
      <c r="G137" s="12">
        <f>IFERROR(INDEX('مانده سوفاله'!F:F,MATCH(Table220[[#This Row],[كد تفصيلي]],'مانده سوفاله'!A:A,0)),0)</f>
        <v>4065</v>
      </c>
    </row>
    <row r="138" spans="1:7" customFormat="1" ht="21.75" customHeight="1" x14ac:dyDescent="0.35">
      <c r="A138" s="53">
        <v>10105</v>
      </c>
      <c r="B138" s="56" t="s">
        <v>294</v>
      </c>
      <c r="C138" s="10">
        <f>IFERROR(INDEX('حسابهای دریافتنی'!H:H,MATCH(Table220[[#This Row],[كد تفصيلي]],'حسابهای دریافتنی'!A:A,0)),0)</f>
        <v>7630000</v>
      </c>
      <c r="D138" s="11">
        <f>IFERROR(INDEX('درجریان وصول'!F:F,MATCH(Table220[[#This Row],[كد تفصيلي]],'درجریان وصول'!A:A,0)),0)</f>
        <v>0</v>
      </c>
      <c r="E138" s="11">
        <f>IFERROR(INDEX('چکهای دریافتنی'!F:F,MATCH(Table220[[#This Row],[كد تفصيلي]],'چکهای دریافتنی'!A:A,0)),0)</f>
        <v>0</v>
      </c>
      <c r="F138" s="11">
        <f>Table220[[#This Row],[حسابهای دریافتنی]]+Table220[[#This Row],[چکهای در جریان وصول]]+Table220[[#This Row],[چکهای نزد صندوق]]</f>
        <v>7630000</v>
      </c>
      <c r="G138" s="12">
        <f>IFERROR(INDEX('مانده سوفاله'!F:F,MATCH(Table220[[#This Row],[كد تفصيلي]],'مانده سوفاله'!A:A,0)),0)</f>
        <v>0</v>
      </c>
    </row>
    <row r="139" spans="1:7" customFormat="1" ht="21.75" customHeight="1" x14ac:dyDescent="0.35">
      <c r="A139" s="54">
        <v>10058</v>
      </c>
      <c r="B139" s="55" t="s">
        <v>173</v>
      </c>
      <c r="C139" s="10">
        <f>IFERROR(INDEX('حسابهای دریافتنی'!H:H,MATCH(Table220[[#This Row],[كد تفصيلي]],'حسابهای دریافتنی'!A:A,0)),0)</f>
        <v>-13650000</v>
      </c>
      <c r="D139" s="11">
        <f>IFERROR(INDEX('درجریان وصول'!F:F,MATCH(Table220[[#This Row],[كد تفصيلي]],'درجریان وصول'!A:A,0)),0)</f>
        <v>0</v>
      </c>
      <c r="E139" s="11">
        <f>IFERROR(INDEX('چکهای دریافتنی'!F:F,MATCH(Table220[[#This Row],[كد تفصيلي]],'چکهای دریافتنی'!A:A,0)),0)</f>
        <v>0</v>
      </c>
      <c r="F139" s="11">
        <f>Table220[[#This Row],[حسابهای دریافتنی]]+Table220[[#This Row],[چکهای در جریان وصول]]+Table220[[#This Row],[چکهای نزد صندوق]]</f>
        <v>-13650000</v>
      </c>
      <c r="G139" s="12">
        <f>IFERROR(INDEX('مانده سوفاله'!F:F,MATCH(Table220[[#This Row],[كد تفصيلي]],'مانده سوفاله'!A:A,0)),0)</f>
        <v>0</v>
      </c>
    </row>
    <row r="140" spans="1:7" customFormat="1" ht="21.75" customHeight="1" x14ac:dyDescent="0.35">
      <c r="A140" s="53">
        <v>30082</v>
      </c>
      <c r="B140" s="56" t="s">
        <v>127</v>
      </c>
      <c r="C140" s="10">
        <f>IFERROR(INDEX('حسابهای دریافتنی'!H:H,MATCH(Table220[[#This Row],[كد تفصيلي]],'حسابهای دریافتنی'!A:A,0)),0)</f>
        <v>-15037000</v>
      </c>
      <c r="D140" s="11">
        <f>IFERROR(INDEX('درجریان وصول'!F:F,MATCH(Table220[[#This Row],[كد تفصيلي]],'درجریان وصول'!A:A,0)),0)</f>
        <v>0</v>
      </c>
      <c r="E140" s="11">
        <f>IFERROR(INDEX('چکهای دریافتنی'!F:F,MATCH(Table220[[#This Row],[كد تفصيلي]],'چکهای دریافتنی'!A:A,0)),0)</f>
        <v>0</v>
      </c>
      <c r="F140" s="11">
        <f>Table220[[#This Row],[حسابهای دریافتنی]]+Table220[[#This Row],[چکهای در جریان وصول]]+Table220[[#This Row],[چکهای نزد صندوق]]</f>
        <v>-15037000</v>
      </c>
      <c r="G140" s="12">
        <f>IFERROR(INDEX('مانده سوفاله'!F:F,MATCH(Table220[[#This Row],[كد تفصيلي]],'مانده سوفاله'!A:A,0)),0)</f>
        <v>-16</v>
      </c>
    </row>
    <row r="141" spans="1:7" customFormat="1" ht="21.75" customHeight="1" x14ac:dyDescent="0.35">
      <c r="A141" s="54">
        <v>30034</v>
      </c>
      <c r="B141" s="55" t="s">
        <v>81</v>
      </c>
      <c r="C141" s="10">
        <f>IFERROR(INDEX('حسابهای دریافتنی'!H:H,MATCH(Table220[[#This Row],[كد تفصيلي]],'حسابهای دریافتنی'!A:A,0)),0)</f>
        <v>388329200</v>
      </c>
      <c r="D141" s="11">
        <f>IFERROR(INDEX('درجریان وصول'!F:F,MATCH(Table220[[#This Row],[كد تفصيلي]],'درجریان وصول'!A:A,0)),0)</f>
        <v>0</v>
      </c>
      <c r="E141" s="11">
        <f>IFERROR(INDEX('چکهای دریافتنی'!F:F,MATCH(Table220[[#This Row],[كد تفصيلي]],'چکهای دریافتنی'!A:A,0)),0)</f>
        <v>0</v>
      </c>
      <c r="F141" s="11">
        <f>Table220[[#This Row],[حسابهای دریافتنی]]+Table220[[#This Row],[چکهای در جریان وصول]]+Table220[[#This Row],[چکهای نزد صندوق]]</f>
        <v>388329200</v>
      </c>
      <c r="G141" s="12">
        <f>IFERROR(INDEX('مانده سوفاله'!F:F,MATCH(Table220[[#This Row],[كد تفصيلي]],'مانده سوفاله'!A:A,0)),0)</f>
        <v>2886</v>
      </c>
    </row>
    <row r="142" spans="1:7" customFormat="1" ht="21.75" customHeight="1" x14ac:dyDescent="0.35">
      <c r="A142" s="54">
        <v>30042</v>
      </c>
      <c r="B142" s="55" t="s">
        <v>89</v>
      </c>
      <c r="C142" s="10">
        <f>IFERROR(INDEX('حسابهای دریافتنی'!H:H,MATCH(Table220[[#This Row],[كد تفصيلي]],'حسابهای دریافتنی'!A:A,0)),0)</f>
        <v>-18303540</v>
      </c>
      <c r="D142" s="11">
        <f>IFERROR(INDEX('درجریان وصول'!F:F,MATCH(Table220[[#This Row],[كد تفصيلي]],'درجریان وصول'!A:A,0)),0)</f>
        <v>0</v>
      </c>
      <c r="E142" s="11">
        <f>IFERROR(INDEX('چکهای دریافتنی'!F:F,MATCH(Table220[[#This Row],[كد تفصيلي]],'چکهای دریافتنی'!A:A,0)),0)</f>
        <v>0</v>
      </c>
      <c r="F142" s="11">
        <f>Table220[[#This Row],[حسابهای دریافتنی]]+Table220[[#This Row],[چکهای در جریان وصول]]+Table220[[#This Row],[چکهای نزد صندوق]]</f>
        <v>-18303540</v>
      </c>
      <c r="G142" s="12">
        <f>IFERROR(INDEX('مانده سوفاله'!F:F,MATCH(Table220[[#This Row],[كد تفصيلي]],'مانده سوفاله'!A:A,0)),0)</f>
        <v>0</v>
      </c>
    </row>
    <row r="143" spans="1:7" customFormat="1" ht="21.75" customHeight="1" x14ac:dyDescent="0.35">
      <c r="A143" s="54">
        <v>30028</v>
      </c>
      <c r="B143" s="55" t="s">
        <v>76</v>
      </c>
      <c r="C143" s="10">
        <f>IFERROR(INDEX('حسابهای دریافتنی'!H:H,MATCH(Table220[[#This Row],[كد تفصيلي]],'حسابهای دریافتنی'!A:A,0)),0)</f>
        <v>-23665000</v>
      </c>
      <c r="D143" s="11">
        <f>IFERROR(INDEX('درجریان وصول'!F:F,MATCH(Table220[[#This Row],[كد تفصيلي]],'درجریان وصول'!A:A,0)),0)</f>
        <v>0</v>
      </c>
      <c r="E143" s="11">
        <f>IFERROR(INDEX('چکهای دریافتنی'!F:F,MATCH(Table220[[#This Row],[كد تفصيلي]],'چکهای دریافتنی'!A:A,0)),0)</f>
        <v>0</v>
      </c>
      <c r="F143" s="11">
        <f>Table220[[#This Row],[حسابهای دریافتنی]]+Table220[[#This Row],[چکهای در جریان وصول]]+Table220[[#This Row],[چکهای نزد صندوق]]</f>
        <v>-23665000</v>
      </c>
      <c r="G143" s="12">
        <f>IFERROR(INDEX('مانده سوفاله'!F:F,MATCH(Table220[[#This Row],[كد تفصيلي]],'مانده سوفاله'!A:A,0)),0)</f>
        <v>0</v>
      </c>
    </row>
    <row r="144" spans="1:7" customFormat="1" ht="21.75" customHeight="1" x14ac:dyDescent="0.35">
      <c r="A144" s="53">
        <v>30072</v>
      </c>
      <c r="B144" s="56" t="s">
        <v>117</v>
      </c>
      <c r="C144" s="10">
        <f>IFERROR(INDEX('حسابهای دریافتنی'!H:H,MATCH(Table220[[#This Row],[كد تفصيلي]],'حسابهای دریافتنی'!A:A,0)),0)</f>
        <v>-30178900</v>
      </c>
      <c r="D144" s="11">
        <f>IFERROR(INDEX('درجریان وصول'!F:F,MATCH(Table220[[#This Row],[كد تفصيلي]],'درجریان وصول'!A:A,0)),0)</f>
        <v>0</v>
      </c>
      <c r="E144" s="11">
        <f>IFERROR(INDEX('چکهای دریافتنی'!F:F,MATCH(Table220[[#This Row],[كد تفصيلي]],'چکهای دریافتنی'!A:A,0)),0)</f>
        <v>0</v>
      </c>
      <c r="F144" s="11">
        <f>Table220[[#This Row],[حسابهای دریافتنی]]+Table220[[#This Row],[چکهای در جریان وصول]]+Table220[[#This Row],[چکهای نزد صندوق]]</f>
        <v>-30178900</v>
      </c>
      <c r="G144" s="12">
        <f>IFERROR(INDEX('مانده سوفاله'!F:F,MATCH(Table220[[#This Row],[كد تفصيلي]],'مانده سوفاله'!A:A,0)),0)</f>
        <v>-79</v>
      </c>
    </row>
    <row r="145" spans="1:7" customFormat="1" ht="21.75" customHeight="1" x14ac:dyDescent="0.35">
      <c r="A145" s="53">
        <v>30064</v>
      </c>
      <c r="B145" s="56" t="s">
        <v>109</v>
      </c>
      <c r="C145" s="10">
        <f>IFERROR(INDEX('حسابهای دریافتنی'!H:H,MATCH(Table220[[#This Row],[كد تفصيلي]],'حسابهای دریافتنی'!A:A,0)),0)</f>
        <v>-49679500</v>
      </c>
      <c r="D145" s="11">
        <f>IFERROR(INDEX('درجریان وصول'!F:F,MATCH(Table220[[#This Row],[كد تفصيلي]],'درجریان وصول'!A:A,0)),0)</f>
        <v>0</v>
      </c>
      <c r="E145" s="11">
        <f>IFERROR(INDEX('چکهای دریافتنی'!F:F,MATCH(Table220[[#This Row],[كد تفصيلي]],'چکهای دریافتنی'!A:A,0)),0)</f>
        <v>0</v>
      </c>
      <c r="F145" s="11">
        <f>Table220[[#This Row],[حسابهای دریافتنی]]+Table220[[#This Row],[چکهای در جریان وصول]]+Table220[[#This Row],[چکهای نزد صندوق]]</f>
        <v>-49679500</v>
      </c>
      <c r="G145" s="12">
        <f>IFERROR(INDEX('مانده سوفاله'!F:F,MATCH(Table220[[#This Row],[كد تفصيلي]],'مانده سوفاله'!A:A,0)),0)</f>
        <v>0</v>
      </c>
    </row>
    <row r="146" spans="1:7" customFormat="1" ht="21.75" customHeight="1" x14ac:dyDescent="0.35">
      <c r="A146" s="54">
        <v>10123</v>
      </c>
      <c r="B146" s="55" t="s">
        <v>340</v>
      </c>
      <c r="C146" s="10">
        <f>IFERROR(INDEX('حسابهای دریافتنی'!H:H,MATCH(Table220[[#This Row],[كد تفصيلي]],'حسابهای دریافتنی'!A:A,0)),0)</f>
        <v>-50813000</v>
      </c>
      <c r="D146" s="11">
        <f>IFERROR(INDEX('درجریان وصول'!F:F,MATCH(Table220[[#This Row],[كد تفصيلي]],'درجریان وصول'!A:A,0)),0)</f>
        <v>0</v>
      </c>
      <c r="E146" s="11">
        <f>IFERROR(INDEX('چکهای دریافتنی'!F:F,MATCH(Table220[[#This Row],[كد تفصيلي]],'چکهای دریافتنی'!A:A,0)),0)</f>
        <v>0</v>
      </c>
      <c r="F146" s="11">
        <f>Table220[[#This Row],[حسابهای دریافتنی]]+Table220[[#This Row],[چکهای در جریان وصول]]+Table220[[#This Row],[چکهای نزد صندوق]]</f>
        <v>-50813000</v>
      </c>
      <c r="G146" s="12">
        <f>IFERROR(INDEX('مانده سوفاله'!F:F,MATCH(Table220[[#This Row],[كد تفصيلي]],'مانده سوفاله'!A:A,0)),0)</f>
        <v>0</v>
      </c>
    </row>
    <row r="147" spans="1:7" customFormat="1" ht="21.75" customHeight="1" x14ac:dyDescent="0.35">
      <c r="A147" s="54">
        <v>30000</v>
      </c>
      <c r="B147" s="55" t="s">
        <v>189</v>
      </c>
      <c r="C147" s="10">
        <f>IFERROR(INDEX('حسابهای دریافتنی'!H:H,MATCH(Table220[[#This Row],[كد تفصيلي]],'حسابهای دریافتنی'!A:A,0)),0)</f>
        <v>-55440000</v>
      </c>
      <c r="D147" s="11">
        <f>IFERROR(INDEX('درجریان وصول'!F:F,MATCH(Table220[[#This Row],[كد تفصيلي]],'درجریان وصول'!A:A,0)),0)</f>
        <v>0</v>
      </c>
      <c r="E147" s="11">
        <f>IFERROR(INDEX('چکهای دریافتنی'!F:F,MATCH(Table220[[#This Row],[كد تفصيلي]],'چکهای دریافتنی'!A:A,0)),0)</f>
        <v>0</v>
      </c>
      <c r="F147" s="11">
        <f>Table220[[#This Row],[حسابهای دریافتنی]]+Table220[[#This Row],[چکهای در جریان وصول]]+Table220[[#This Row],[چکهای نزد صندوق]]</f>
        <v>-55440000</v>
      </c>
      <c r="G147" s="12">
        <f>IFERROR(INDEX('مانده سوفاله'!F:F,MATCH(Table220[[#This Row],[كد تفصيلي]],'مانده سوفاله'!A:A,0)),0)</f>
        <v>0</v>
      </c>
    </row>
    <row r="148" spans="1:7" customFormat="1" ht="21.75" customHeight="1" x14ac:dyDescent="0.35">
      <c r="A148" s="53">
        <v>30003</v>
      </c>
      <c r="B148" s="56" t="s">
        <v>53</v>
      </c>
      <c r="C148" s="10">
        <f>IFERROR(INDEX('حسابهای دریافتنی'!H:H,MATCH(Table220[[#This Row],[كد تفصيلي]],'حسابهای دریافتنی'!A:A,0)),0)</f>
        <v>754765900</v>
      </c>
      <c r="D148" s="11">
        <f>IFERROR(INDEX('درجریان وصول'!F:F,MATCH(Table220[[#This Row],[كد تفصيلي]],'درجریان وصول'!A:A,0)),0)</f>
        <v>0</v>
      </c>
      <c r="E148" s="11">
        <f>IFERROR(INDEX('چکهای دریافتنی'!F:F,MATCH(Table220[[#This Row],[كد تفصيلي]],'چکهای دریافتنی'!A:A,0)),0)</f>
        <v>571000000</v>
      </c>
      <c r="F148" s="11">
        <f>Table220[[#This Row],[حسابهای دریافتنی]]+Table220[[#This Row],[چکهای در جریان وصول]]+Table220[[#This Row],[چکهای نزد صندوق]]</f>
        <v>1325765900</v>
      </c>
      <c r="G148" s="12">
        <f>IFERROR(INDEX('مانده سوفاله'!F:F,MATCH(Table220[[#This Row],[كد تفصيلي]],'مانده سوفاله'!A:A,0)),0)</f>
        <v>-3538</v>
      </c>
    </row>
    <row r="149" spans="1:7" customFormat="1" ht="21.75" customHeight="1" x14ac:dyDescent="0.35">
      <c r="A149" s="53">
        <v>10093</v>
      </c>
      <c r="B149" s="56" t="s">
        <v>264</v>
      </c>
      <c r="C149" s="10">
        <f>IFERROR(INDEX('حسابهای دریافتنی'!H:H,MATCH(Table220[[#This Row],[كد تفصيلي]],'حسابهای دریافتنی'!A:A,0)),0)</f>
        <v>-2214000</v>
      </c>
      <c r="D149" s="11">
        <f>IFERROR(INDEX('درجریان وصول'!F:F,MATCH(Table220[[#This Row],[كد تفصيلي]],'درجریان وصول'!A:A,0)),0)</f>
        <v>0</v>
      </c>
      <c r="E149" s="11">
        <f>IFERROR(INDEX('چکهای دریافتنی'!F:F,MATCH(Table220[[#This Row],[كد تفصيلي]],'چکهای دریافتنی'!A:A,0)),0)</f>
        <v>0</v>
      </c>
      <c r="F149" s="11">
        <f>Table220[[#This Row],[حسابهای دریافتنی]]+Table220[[#This Row],[چکهای در جریان وصول]]+Table220[[#This Row],[چکهای نزد صندوق]]</f>
        <v>-2214000</v>
      </c>
      <c r="G149" s="12">
        <f>IFERROR(INDEX('مانده سوفاله'!F:F,MATCH(Table220[[#This Row],[كد تفصيلي]],'مانده سوفاله'!A:A,0)),0)</f>
        <v>0</v>
      </c>
    </row>
    <row r="150" spans="1:7" customFormat="1" ht="21.75" customHeight="1" x14ac:dyDescent="0.35">
      <c r="A150" s="54">
        <v>30133</v>
      </c>
      <c r="B150" s="55" t="s">
        <v>251</v>
      </c>
      <c r="C150" s="10">
        <f>IFERROR(INDEX('حسابهای دریافتنی'!H:H,MATCH(Table220[[#This Row],[كد تفصيلي]],'حسابهای دریافتنی'!A:A,0)),0)</f>
        <v>-66889500</v>
      </c>
      <c r="D150" s="11">
        <f>IFERROR(INDEX('درجریان وصول'!F:F,MATCH(Table220[[#This Row],[كد تفصيلي]],'درجریان وصول'!A:A,0)),0)</f>
        <v>0</v>
      </c>
      <c r="E150" s="11">
        <f>IFERROR(INDEX('چکهای دریافتنی'!F:F,MATCH(Table220[[#This Row],[كد تفصيلي]],'چکهای دریافتنی'!A:A,0)),0)</f>
        <v>0</v>
      </c>
      <c r="F150" s="11">
        <f>Table220[[#This Row],[حسابهای دریافتنی]]+Table220[[#This Row],[چکهای در جریان وصول]]+Table220[[#This Row],[چکهای نزد صندوق]]</f>
        <v>-66889500</v>
      </c>
      <c r="G150" s="12">
        <f>IFERROR(INDEX('مانده سوفاله'!F:F,MATCH(Table220[[#This Row],[كد تفصيلي]],'مانده سوفاله'!A:A,0)),0)</f>
        <v>0</v>
      </c>
    </row>
    <row r="151" spans="1:7" customFormat="1" ht="21.75" customHeight="1" x14ac:dyDescent="0.35">
      <c r="A151" s="54">
        <v>10119</v>
      </c>
      <c r="B151" s="55" t="s">
        <v>333</v>
      </c>
      <c r="C151" s="10">
        <f>IFERROR(INDEX('حسابهای دریافتنی'!H:H,MATCH(Table220[[#This Row],[كد تفصيلي]],'حسابهای دریافتنی'!A:A,0)),0)</f>
        <v>-2592000</v>
      </c>
      <c r="D151" s="11">
        <f>IFERROR(INDEX('درجریان وصول'!F:F,MATCH(Table220[[#This Row],[كد تفصيلي]],'درجریان وصول'!A:A,0)),0)</f>
        <v>0</v>
      </c>
      <c r="E151" s="11">
        <f>IFERROR(INDEX('چکهای دریافتنی'!F:F,MATCH(Table220[[#This Row],[كد تفصيلي]],'چکهای دریافتنی'!A:A,0)),0)</f>
        <v>0</v>
      </c>
      <c r="F151" s="11">
        <f>Table220[[#This Row],[حسابهای دریافتنی]]+Table220[[#This Row],[چکهای در جریان وصول]]+Table220[[#This Row],[چکهای نزد صندوق]]</f>
        <v>-2592000</v>
      </c>
      <c r="G151" s="12">
        <f>IFERROR(INDEX('مانده سوفاله'!F:F,MATCH(Table220[[#This Row],[كد تفصيلي]],'مانده سوفاله'!A:A,0)),0)</f>
        <v>353</v>
      </c>
    </row>
    <row r="152" spans="1:7" customFormat="1" ht="21.75" customHeight="1" x14ac:dyDescent="0.35">
      <c r="A152" s="53">
        <v>10089</v>
      </c>
      <c r="B152" s="56" t="s">
        <v>255</v>
      </c>
      <c r="C152" s="10">
        <f>IFERROR(INDEX('حسابهای دریافتنی'!H:H,MATCH(Table220[[#This Row],[كد تفصيلي]],'حسابهای دریافتنی'!A:A,0)),0)</f>
        <v>-143944000</v>
      </c>
      <c r="D152" s="11">
        <f>IFERROR(INDEX('درجریان وصول'!F:F,MATCH(Table220[[#This Row],[كد تفصيلي]],'درجریان وصول'!A:A,0)),0)</f>
        <v>0</v>
      </c>
      <c r="E152" s="11">
        <f>IFERROR(INDEX('چکهای دریافتنی'!F:F,MATCH(Table220[[#This Row],[كد تفصيلي]],'چکهای دریافتنی'!A:A,0)),0)</f>
        <v>0</v>
      </c>
      <c r="F152" s="11">
        <f>Table220[[#This Row],[حسابهای دریافتنی]]+Table220[[#This Row],[چکهای در جریان وصول]]+Table220[[#This Row],[چکهای نزد صندوق]]</f>
        <v>-143944000</v>
      </c>
      <c r="G152" s="12">
        <f>IFERROR(INDEX('مانده سوفاله'!F:F,MATCH(Table220[[#This Row],[كد تفصيلي]],'مانده سوفاله'!A:A,0)),0)</f>
        <v>-948</v>
      </c>
    </row>
    <row r="153" spans="1:7" customFormat="1" ht="21.75" customHeight="1" x14ac:dyDescent="0.35">
      <c r="A153" s="53">
        <v>30017</v>
      </c>
      <c r="B153" s="56" t="s">
        <v>65</v>
      </c>
      <c r="C153" s="10">
        <f>IFERROR(INDEX('حسابهای دریافتنی'!H:H,MATCH(Table220[[#This Row],[كد تفصيلي]],'حسابهای دریافتنی'!A:A,0)),0)</f>
        <v>905000830</v>
      </c>
      <c r="D153" s="11">
        <f>IFERROR(INDEX('درجریان وصول'!F:F,MATCH(Table220[[#This Row],[كد تفصيلي]],'درجریان وصول'!A:A,0)),0)</f>
        <v>0</v>
      </c>
      <c r="E153" s="11">
        <f>IFERROR(INDEX('چکهای دریافتنی'!F:F,MATCH(Table220[[#This Row],[كد تفصيلي]],'چکهای دریافتنی'!A:A,0)),0)</f>
        <v>0</v>
      </c>
      <c r="F153" s="11">
        <f>Table220[[#This Row],[حسابهای دریافتنی]]+Table220[[#This Row],[چکهای در جریان وصول]]+Table220[[#This Row],[چکهای نزد صندوق]]</f>
        <v>905000830</v>
      </c>
      <c r="G153" s="12">
        <f>IFERROR(INDEX('مانده سوفاله'!F:F,MATCH(Table220[[#This Row],[كد تفصيلي]],'مانده سوفاله'!A:A,0)),0)</f>
        <v>-2186</v>
      </c>
    </row>
    <row r="154" spans="1:7" customFormat="1" ht="21.75" customHeight="1" x14ac:dyDescent="0.35">
      <c r="A154" s="54">
        <v>30101</v>
      </c>
      <c r="B154" s="55" t="s">
        <v>196</v>
      </c>
      <c r="C154" s="10">
        <f>IFERROR(INDEX('حسابهای دریافتنی'!H:H,MATCH(Table220[[#This Row],[كد تفصيلي]],'حسابهای دریافتنی'!A:A,0)),0)</f>
        <v>203336095</v>
      </c>
      <c r="D154" s="11">
        <f>IFERROR(INDEX('درجریان وصول'!F:F,MATCH(Table220[[#This Row],[كد تفصيلي]],'درجریان وصول'!A:A,0)),0)</f>
        <v>0</v>
      </c>
      <c r="E154" s="11">
        <f>IFERROR(INDEX('چکهای دریافتنی'!F:F,MATCH(Table220[[#This Row],[كد تفصيلي]],'چکهای دریافتنی'!A:A,0)),0)</f>
        <v>0</v>
      </c>
      <c r="F154" s="11">
        <f>Table220[[#This Row],[حسابهای دریافتنی]]+Table220[[#This Row],[چکهای در جریان وصول]]+Table220[[#This Row],[چکهای نزد صندوق]]</f>
        <v>203336095</v>
      </c>
      <c r="G154" s="12">
        <f>IFERROR(INDEX('مانده سوفاله'!F:F,MATCH(Table220[[#This Row],[كد تفصيلي]],'مانده سوفاله'!A:A,0)),0)</f>
        <v>15</v>
      </c>
    </row>
    <row r="155" spans="1:7" customFormat="1" ht="21.75" customHeight="1" x14ac:dyDescent="0.35">
      <c r="A155" s="54">
        <v>10018</v>
      </c>
      <c r="B155" s="55" t="s">
        <v>25</v>
      </c>
      <c r="C155" s="10">
        <f>IFERROR(INDEX('حسابهای دریافتنی'!H:H,MATCH(Table220[[#This Row],[كد تفصيلي]],'حسابهای دریافتنی'!A:A,0)),0)</f>
        <v>95282000</v>
      </c>
      <c r="D155" s="11">
        <f>IFERROR(INDEX('درجریان وصول'!F:F,MATCH(Table220[[#This Row],[كد تفصيلي]],'درجریان وصول'!A:A,0)),0)</f>
        <v>0</v>
      </c>
      <c r="E155" s="11">
        <f>IFERROR(INDEX('چکهای دریافتنی'!F:F,MATCH(Table220[[#This Row],[كد تفصيلي]],'چکهای دریافتنی'!A:A,0)),0)</f>
        <v>0</v>
      </c>
      <c r="F155" s="11">
        <f>Table220[[#This Row],[حسابهای دریافتنی]]+Table220[[#This Row],[چکهای در جریان وصول]]+Table220[[#This Row],[چکهای نزد صندوق]]</f>
        <v>95282000</v>
      </c>
      <c r="G155" s="12">
        <f>IFERROR(INDEX('مانده سوفاله'!F:F,MATCH(Table220[[#This Row],[كد تفصيلي]],'مانده سوفاله'!A:A,0)),0)</f>
        <v>-32</v>
      </c>
    </row>
    <row r="156" spans="1:7" customFormat="1" ht="21.75" customHeight="1" x14ac:dyDescent="0.35">
      <c r="A156" s="53">
        <v>10128</v>
      </c>
      <c r="B156" s="56" t="s">
        <v>372</v>
      </c>
      <c r="C156" s="10">
        <f>IFERROR(INDEX('حسابهای دریافتنی'!H:H,MATCH(Table220[[#This Row],[كد تفصيلي]],'حسابهای دریافتنی'!A:A,0)),0)</f>
        <v>-45000</v>
      </c>
      <c r="D156" s="11">
        <f>IFERROR(INDEX('درجریان وصول'!F:F,MATCH(Table220[[#This Row],[كد تفصيلي]],'درجریان وصول'!A:A,0)),0)</f>
        <v>0</v>
      </c>
      <c r="E156" s="11">
        <f>IFERROR(INDEX('چکهای دریافتنی'!F:F,MATCH(Table220[[#This Row],[كد تفصيلي]],'چکهای دریافتنی'!A:A,0)),0)</f>
        <v>0</v>
      </c>
      <c r="F156" s="11">
        <f>Table220[[#This Row],[حسابهای دریافتنی]]+Table220[[#This Row],[چکهای در جریان وصول]]+Table220[[#This Row],[چکهای نزد صندوق]]</f>
        <v>-45000</v>
      </c>
      <c r="G156" s="12">
        <f>IFERROR(INDEX('مانده سوفاله'!F:F,MATCH(Table220[[#This Row],[كد تفصيلي]],'مانده سوفاله'!A:A,0)),0)</f>
        <v>6</v>
      </c>
    </row>
    <row r="157" spans="1:7" customFormat="1" ht="21.75" customHeight="1" x14ac:dyDescent="0.35">
      <c r="A157" s="53">
        <v>10079</v>
      </c>
      <c r="B157" s="56" t="s">
        <v>174</v>
      </c>
      <c r="C157" s="10">
        <f>IFERROR(INDEX('حسابهای دریافتنی'!H:H,MATCH(Table220[[#This Row],[كد تفصيلي]],'حسابهای دریافتنی'!A:A,0)),0)</f>
        <v>-226593500</v>
      </c>
      <c r="D157" s="11">
        <f>IFERROR(INDEX('درجریان وصول'!F:F,MATCH(Table220[[#This Row],[كد تفصيلي]],'درجریان وصول'!A:A,0)),0)</f>
        <v>0</v>
      </c>
      <c r="E157" s="11">
        <f>IFERROR(INDEX('چکهای دریافتنی'!F:F,MATCH(Table220[[#This Row],[كد تفصيلي]],'چکهای دریافتنی'!A:A,0)),0)</f>
        <v>0</v>
      </c>
      <c r="F157" s="11">
        <f>Table220[[#This Row],[حسابهای دریافتنی]]+Table220[[#This Row],[چکهای در جریان وصول]]+Table220[[#This Row],[چکهای نزد صندوق]]</f>
        <v>-226593500</v>
      </c>
      <c r="G157" s="12">
        <f>IFERROR(INDEX('مانده سوفاله'!F:F,MATCH(Table220[[#This Row],[كد تفصيلي]],'مانده سوفاله'!A:A,0)),0)</f>
        <v>0</v>
      </c>
    </row>
    <row r="158" spans="1:7" customFormat="1" ht="21.75" customHeight="1" x14ac:dyDescent="0.35">
      <c r="A158" s="53">
        <v>10019</v>
      </c>
      <c r="B158" s="56" t="s">
        <v>26</v>
      </c>
      <c r="C158" s="10">
        <f>IFERROR(INDEX('حسابهای دریافتنی'!H:H,MATCH(Table220[[#This Row],[كد تفصيلي]],'حسابهای دریافتنی'!A:A,0)),0)</f>
        <v>0</v>
      </c>
      <c r="D158" s="11">
        <f>IFERROR(INDEX('درجریان وصول'!F:F,MATCH(Table220[[#This Row],[كد تفصيلي]],'درجریان وصول'!A:A,0)),0)</f>
        <v>0</v>
      </c>
      <c r="E158" s="11">
        <f>IFERROR(INDEX('چکهای دریافتنی'!F:F,MATCH(Table220[[#This Row],[كد تفصيلي]],'چکهای دریافتنی'!A:A,0)),0)</f>
        <v>0</v>
      </c>
      <c r="F158" s="11">
        <f>Table220[[#This Row],[حسابهای دریافتنی]]+Table220[[#This Row],[چکهای در جریان وصول]]+Table220[[#This Row],[چکهای نزد صندوق]]</f>
        <v>0</v>
      </c>
      <c r="G158" s="12">
        <f>IFERROR(INDEX('مانده سوفاله'!F:F,MATCH(Table220[[#This Row],[كد تفصيلي]],'مانده سوفاله'!A:A,0)),0)</f>
        <v>285</v>
      </c>
    </row>
    <row r="159" spans="1:7" customFormat="1" ht="21.75" customHeight="1" x14ac:dyDescent="0.35">
      <c r="A159" s="53">
        <v>10009</v>
      </c>
      <c r="B159" s="56" t="s">
        <v>16</v>
      </c>
      <c r="C159" s="10">
        <f>IFERROR(INDEX('حسابهای دریافتنی'!H:H,MATCH(Table220[[#This Row],[كد تفصيلي]],'حسابهای دریافتنی'!A:A,0)),0)</f>
        <v>-4260580000</v>
      </c>
      <c r="D159" s="11">
        <f>IFERROR(INDEX('درجریان وصول'!F:F,MATCH(Table220[[#This Row],[كد تفصيلي]],'درجریان وصول'!A:A,0)),0)</f>
        <v>0</v>
      </c>
      <c r="E159" s="11">
        <f>IFERROR(INDEX('چکهای دریافتنی'!F:F,MATCH(Table220[[#This Row],[كد تفصيلي]],'چکهای دریافتنی'!A:A,0)),0)</f>
        <v>1600000000</v>
      </c>
      <c r="F159" s="11">
        <f>Table220[[#This Row],[حسابهای دریافتنی]]+Table220[[#This Row],[چکهای در جریان وصول]]+Table220[[#This Row],[چکهای نزد صندوق]]</f>
        <v>-2660580000</v>
      </c>
      <c r="G159" s="12">
        <f>IFERROR(INDEX('مانده سوفاله'!F:F,MATCH(Table220[[#This Row],[كد تفصيلي]],'مانده سوفاله'!A:A,0)),0)</f>
        <v>9952</v>
      </c>
    </row>
    <row r="160" spans="1:7" ht="21.75" customHeight="1" x14ac:dyDescent="0.35">
      <c r="A160" s="26">
        <v>50005</v>
      </c>
      <c r="B160" s="56" t="s">
        <v>148</v>
      </c>
      <c r="C160" s="10">
        <f>IFERROR(INDEX('حسابهای دریافتنی'!H:H,MATCH(Table220[[#This Row],[كد تفصيلي]],'حسابهای دریافتنی'!A:A,0)),0)</f>
        <v>0</v>
      </c>
      <c r="D160" s="11">
        <f>IFERROR(INDEX('درجریان وصول'!F:F,MATCH(Table220[[#This Row],[كد تفصيلي]],'درجریان وصول'!A:A,0)),0)</f>
        <v>0</v>
      </c>
      <c r="E160" s="11">
        <f>IFERROR(INDEX('چکهای دریافتنی'!F:F,MATCH(Table220[[#This Row],[كد تفصيلي]],'چکهای دریافتنی'!A:A,0)),0)</f>
        <v>0</v>
      </c>
      <c r="F160" s="11">
        <f>Table220[[#This Row],[حسابهای دریافتنی]]+Table220[[#This Row],[چکهای در جریان وصول]]+Table220[[#This Row],[چکهای نزد صندوق]]</f>
        <v>0</v>
      </c>
      <c r="G160" s="12">
        <f>IFERROR(INDEX('مانده سوفاله'!F:F,MATCH(Table220[[#This Row],[كد تفصيلي]],'مانده سوفاله'!A:A,0)),0)</f>
        <v>0</v>
      </c>
    </row>
    <row r="161" spans="1:7" ht="21.75" customHeight="1" x14ac:dyDescent="0.35">
      <c r="A161" s="27">
        <v>30198</v>
      </c>
      <c r="B161" s="55" t="s">
        <v>503</v>
      </c>
      <c r="C161" s="10">
        <f>IFERROR(INDEX('حسابهای دریافتنی'!H:H,MATCH(Table220[[#This Row],[كد تفصيلي]],'حسابهای دریافتنی'!A:A,0)),0)</f>
        <v>0</v>
      </c>
      <c r="D161" s="11">
        <f>IFERROR(INDEX('درجریان وصول'!F:F,MATCH(Table220[[#This Row],[كد تفصيلي]],'درجریان وصول'!A:A,0)),0)</f>
        <v>0</v>
      </c>
      <c r="E161" s="11">
        <f>IFERROR(INDEX('چکهای دریافتنی'!F:F,MATCH(Table220[[#This Row],[كد تفصيلي]],'چکهای دریافتنی'!A:A,0)),0)</f>
        <v>0</v>
      </c>
      <c r="F161" s="11">
        <f>Table220[[#This Row],[حسابهای دریافتنی]]+Table220[[#This Row],[چکهای در جریان وصول]]+Table220[[#This Row],[چکهای نزد صندوق]]</f>
        <v>0</v>
      </c>
      <c r="G161" s="12">
        <f>IFERROR(INDEX('مانده سوفاله'!F:F,MATCH(Table220[[#This Row],[كد تفصيلي]],'مانده سوفاله'!A:A,0)),0)</f>
        <v>0</v>
      </c>
    </row>
    <row r="162" spans="1:7" ht="21.75" customHeight="1" x14ac:dyDescent="0.35">
      <c r="A162" s="26">
        <v>30182</v>
      </c>
      <c r="B162" s="56" t="s">
        <v>342</v>
      </c>
      <c r="C162" s="10">
        <f>IFERROR(INDEX('حسابهای دریافتنی'!H:H,MATCH(Table220[[#This Row],[كد تفصيلي]],'حسابهای دریافتنی'!A:A,0)),0)</f>
        <v>-528256400</v>
      </c>
      <c r="D162" s="11">
        <f>IFERROR(INDEX('درجریان وصول'!F:F,MATCH(Table220[[#This Row],[كد تفصيلي]],'درجریان وصول'!A:A,0)),0)</f>
        <v>0</v>
      </c>
      <c r="E162" s="11">
        <f>IFERROR(INDEX('چکهای دریافتنی'!F:F,MATCH(Table220[[#This Row],[كد تفصيلي]],'چکهای دریافتنی'!A:A,0)),0)</f>
        <v>0</v>
      </c>
      <c r="F162" s="11">
        <f>Table220[[#This Row],[حسابهای دریافتنی]]+Table220[[#This Row],[چکهای در جریان وصول]]+Table220[[#This Row],[چکهای نزد صندوق]]</f>
        <v>-528256400</v>
      </c>
      <c r="G162" s="12">
        <f>IFERROR(INDEX('مانده سوفاله'!F:F,MATCH(Table220[[#This Row],[كد تفصيلي]],'مانده سوفاله'!A:A,0)),0)</f>
        <v>0</v>
      </c>
    </row>
    <row r="163" spans="1:7" ht="21.75" customHeight="1" x14ac:dyDescent="0.35">
      <c r="A163" s="27">
        <v>50008</v>
      </c>
      <c r="B163" s="55" t="s">
        <v>146</v>
      </c>
      <c r="C163" s="10">
        <f>IFERROR(INDEX('حسابهای دریافتنی'!H:H,MATCH(Table220[[#This Row],[كد تفصيلي]],'حسابهای دریافتنی'!A:A,0)),0)</f>
        <v>-406230000</v>
      </c>
      <c r="D163" s="11">
        <f>IFERROR(INDEX('درجریان وصول'!F:F,MATCH(Table220[[#This Row],[كد تفصيلي]],'درجریان وصول'!A:A,0)),0)</f>
        <v>0</v>
      </c>
      <c r="E163" s="11">
        <f>IFERROR(INDEX('چکهای دریافتنی'!F:F,MATCH(Table220[[#This Row],[كد تفصيلي]],'چکهای دریافتنی'!A:A,0)),0)</f>
        <v>0</v>
      </c>
      <c r="F163" s="11">
        <f>Table220[[#This Row],[حسابهای دریافتنی]]+Table220[[#This Row],[چکهای در جریان وصول]]+Table220[[#This Row],[چکهای نزد صندوق]]</f>
        <v>-406230000</v>
      </c>
      <c r="G163" s="12">
        <f>IFERROR(INDEX('مانده سوفاله'!F:F,MATCH(Table220[[#This Row],[كد تفصيلي]],'مانده سوفاله'!A:A,0)),0)</f>
        <v>0</v>
      </c>
    </row>
    <row r="164" spans="1:7" ht="21.75" customHeight="1" x14ac:dyDescent="0.35">
      <c r="A164" s="27">
        <v>30040</v>
      </c>
      <c r="B164" s="55" t="s">
        <v>87</v>
      </c>
      <c r="C164" s="10">
        <f>IFERROR(INDEX('حسابهای دریافتنی'!H:H,MATCH(Table220[[#This Row],[كد تفصيلي]],'حسابهای دریافتنی'!A:A,0)),0)</f>
        <v>0</v>
      </c>
      <c r="D164" s="11">
        <f>IFERROR(INDEX('درجریان وصول'!F:F,MATCH(Table220[[#This Row],[كد تفصيلي]],'درجریان وصول'!A:A,0)),0)</f>
        <v>0</v>
      </c>
      <c r="E164" s="11">
        <f>IFERROR(INDEX('چکهای دریافتنی'!F:F,MATCH(Table220[[#This Row],[كد تفصيلي]],'چکهای دریافتنی'!A:A,0)),0)</f>
        <v>0</v>
      </c>
      <c r="F164" s="11">
        <f>Table220[[#This Row],[حسابهای دریافتنی]]+Table220[[#This Row],[چکهای در جریان وصول]]+Table220[[#This Row],[چکهای نزد صندوق]]</f>
        <v>0</v>
      </c>
      <c r="G164" s="12">
        <f>IFERROR(INDEX('مانده سوفاله'!F:F,MATCH(Table220[[#This Row],[كد تفصيلي]],'مانده سوفاله'!A:A,0)),0)</f>
        <v>0</v>
      </c>
    </row>
    <row r="165" spans="1:7" ht="21.75" customHeight="1" x14ac:dyDescent="0.35">
      <c r="A165" s="26">
        <v>79120</v>
      </c>
      <c r="B165" s="56" t="s">
        <v>195</v>
      </c>
      <c r="C165" s="10">
        <f>IFERROR(INDEX('حسابهای دریافتنی'!H:H,MATCH(Table220[[#This Row],[كد تفصيلي]],'حسابهای دریافتنی'!A:A,0)),0)</f>
        <v>-15776160000</v>
      </c>
      <c r="D165" s="11">
        <f>IFERROR(INDEX('درجریان وصول'!F:F,MATCH(Table220[[#This Row],[كد تفصيلي]],'درجریان وصول'!A:A,0)),0)</f>
        <v>0</v>
      </c>
      <c r="E165" s="11">
        <f>IFERROR(INDEX('چکهای دریافتنی'!F:F,MATCH(Table220[[#This Row],[كد تفصيلي]],'چکهای دریافتنی'!A:A,0)),0)</f>
        <v>0</v>
      </c>
      <c r="F165" s="11">
        <f>Table220[[#This Row],[حسابهای دریافتنی]]+Table220[[#This Row],[چکهای در جریان وصول]]+Table220[[#This Row],[چکهای نزد صندوق]]</f>
        <v>-15776160000</v>
      </c>
      <c r="G165" s="12">
        <f>IFERROR(INDEX('مانده سوفاله'!F:F,MATCH(Table220[[#This Row],[كد تفصيلي]],'مانده سوفاله'!A:A,0)),0)</f>
        <v>0</v>
      </c>
    </row>
    <row r="166" spans="1:7" ht="21.75" customHeight="1" x14ac:dyDescent="0.35">
      <c r="A166" s="27">
        <v>30006</v>
      </c>
      <c r="B166" s="55" t="s">
        <v>56</v>
      </c>
      <c r="C166" s="10">
        <f>IFERROR(INDEX('حسابهای دریافتنی'!H:H,MATCH(Table220[[#This Row],[كد تفصيلي]],'حسابهای دریافتنی'!A:A,0)),0)</f>
        <v>-162677545</v>
      </c>
      <c r="D166" s="11">
        <f>IFERROR(INDEX('درجریان وصول'!F:F,MATCH(Table220[[#This Row],[كد تفصيلي]],'درجریان وصول'!A:A,0)),0)</f>
        <v>0</v>
      </c>
      <c r="E166" s="11">
        <f>IFERROR(INDEX('چکهای دریافتنی'!F:F,MATCH(Table220[[#This Row],[كد تفصيلي]],'چکهای دریافتنی'!A:A,0)),0)</f>
        <v>0</v>
      </c>
      <c r="F166" s="11">
        <f>Table220[[#This Row],[حسابهای دریافتنی]]+Table220[[#This Row],[چکهای در جریان وصول]]+Table220[[#This Row],[چکهای نزد صندوق]]</f>
        <v>-162677545</v>
      </c>
      <c r="G166" s="12">
        <f>IFERROR(INDEX('مانده سوفاله'!F:F,MATCH(Table220[[#This Row],[كد تفصيلي]],'مانده سوفاله'!A:A,0)),0)</f>
        <v>-6</v>
      </c>
    </row>
    <row r="167" spans="1:7" ht="21.75" customHeight="1" x14ac:dyDescent="0.35">
      <c r="A167" s="27">
        <v>30169</v>
      </c>
      <c r="B167" s="55" t="s">
        <v>318</v>
      </c>
      <c r="C167" s="10">
        <f>IFERROR(INDEX('حسابهای دریافتنی'!H:H,MATCH(Table220[[#This Row],[كد تفصيلي]],'حسابهای دریافتنی'!A:A,0)),0)</f>
        <v>-658993316</v>
      </c>
      <c r="D167" s="11">
        <f>IFERROR(INDEX('درجریان وصول'!F:F,MATCH(Table220[[#This Row],[كد تفصيلي]],'درجریان وصول'!A:A,0)),0)</f>
        <v>0</v>
      </c>
      <c r="E167" s="11">
        <f>IFERROR(INDEX('چکهای دریافتنی'!F:F,MATCH(Table220[[#This Row],[كد تفصيلي]],'چکهای دریافتنی'!A:A,0)),0)</f>
        <v>2085000000</v>
      </c>
      <c r="F167" s="11">
        <f>Table220[[#This Row],[حسابهای دریافتنی]]+Table220[[#This Row],[چکهای در جریان وصول]]+Table220[[#This Row],[چکهای نزد صندوق]]</f>
        <v>1426006684</v>
      </c>
      <c r="G167" s="12">
        <f>IFERROR(INDEX('مانده سوفاله'!F:F,MATCH(Table220[[#This Row],[كد تفصيلي]],'مانده سوفاله'!A:A,0)),0)</f>
        <v>0</v>
      </c>
    </row>
    <row r="168" spans="1:7" ht="21.75" customHeight="1" x14ac:dyDescent="0.35">
      <c r="A168" s="26">
        <v>10126</v>
      </c>
      <c r="B168" s="56" t="s">
        <v>370</v>
      </c>
      <c r="C168" s="10">
        <f>IFERROR(INDEX('حسابهای دریافتنی'!H:H,MATCH(Table220[[#This Row],[كد تفصيلي]],'حسابهای دریافتنی'!A:A,0)),0)</f>
        <v>12165000</v>
      </c>
      <c r="D168" s="11">
        <f>IFERROR(INDEX('درجریان وصول'!F:F,MATCH(Table220[[#This Row],[كد تفصيلي]],'درجریان وصول'!A:A,0)),0)</f>
        <v>0</v>
      </c>
      <c r="E168" s="11">
        <f>IFERROR(INDEX('چکهای دریافتنی'!F:F,MATCH(Table220[[#This Row],[كد تفصيلي]],'چکهای دریافتنی'!A:A,0)),0)</f>
        <v>0</v>
      </c>
      <c r="F168" s="11">
        <f>Table220[[#This Row],[حسابهای دریافتنی]]+Table220[[#This Row],[چکهای در جریان وصول]]+Table220[[#This Row],[چکهای نزد صندوق]]</f>
        <v>12165000</v>
      </c>
      <c r="G168" s="12">
        <f>IFERROR(INDEX('مانده سوفاله'!F:F,MATCH(Table220[[#This Row],[كد تفصيلي]],'مانده سوفاله'!A:A,0)),0)</f>
        <v>0</v>
      </c>
    </row>
    <row r="169" spans="1:7" ht="21.75" customHeight="1" x14ac:dyDescent="0.35">
      <c r="A169" s="27">
        <v>30131</v>
      </c>
      <c r="B169" s="55" t="s">
        <v>213</v>
      </c>
      <c r="C169" s="10">
        <f>IFERROR(INDEX('حسابهای دریافتنی'!H:H,MATCH(Table220[[#This Row],[كد تفصيلي]],'حسابهای دریافتنی'!A:A,0)),0)</f>
        <v>-6228486500</v>
      </c>
      <c r="D169" s="11">
        <f>IFERROR(INDEX('درجریان وصول'!F:F,MATCH(Table220[[#This Row],[كد تفصيلي]],'درجریان وصول'!A:A,0)),0)</f>
        <v>0</v>
      </c>
      <c r="E169" s="11">
        <f>IFERROR(INDEX('چکهای دریافتنی'!F:F,MATCH(Table220[[#This Row],[كد تفصيلي]],'چکهای دریافتنی'!A:A,0)),0)</f>
        <v>0</v>
      </c>
      <c r="F169" s="11">
        <f>Table220[[#This Row],[حسابهای دریافتنی]]+Table220[[#This Row],[چکهای در جریان وصول]]+Table220[[#This Row],[چکهای نزد صندوق]]</f>
        <v>-6228486500</v>
      </c>
      <c r="G169" s="12">
        <f>IFERROR(INDEX('مانده سوفاله'!F:F,MATCH(Table220[[#This Row],[كد تفصيلي]],'مانده سوفاله'!A:A,0)),0)</f>
        <v>222</v>
      </c>
    </row>
    <row r="170" spans="1:7" ht="21.75" customHeight="1" x14ac:dyDescent="0.35">
      <c r="A170" s="26">
        <v>30066</v>
      </c>
      <c r="B170" s="56" t="s">
        <v>111</v>
      </c>
      <c r="C170" s="10">
        <f>IFERROR(INDEX('حسابهای دریافتنی'!H:H,MATCH(Table220[[#This Row],[كد تفصيلي]],'حسابهای دریافتنی'!A:A,0)),0)</f>
        <v>6484147500</v>
      </c>
      <c r="D170" s="11">
        <f>IFERROR(INDEX('درجریان وصول'!F:F,MATCH(Table220[[#This Row],[كد تفصيلي]],'درجریان وصول'!A:A,0)),0)</f>
        <v>0</v>
      </c>
      <c r="E170" s="11">
        <f>IFERROR(INDEX('چکهای دریافتنی'!F:F,MATCH(Table220[[#This Row],[كد تفصيلي]],'چکهای دریافتنی'!A:A,0)),0)</f>
        <v>0</v>
      </c>
      <c r="F170" s="11">
        <f>Table220[[#This Row],[حسابهای دریافتنی]]+Table220[[#This Row],[چکهای در جریان وصول]]+Table220[[#This Row],[چکهای نزد صندوق]]</f>
        <v>6484147500</v>
      </c>
      <c r="G170" s="12">
        <f>IFERROR(INDEX('مانده سوفاله'!F:F,MATCH(Table220[[#This Row],[كد تفصيلي]],'مانده سوفاله'!A:A,0)),0)</f>
        <v>-1320</v>
      </c>
    </row>
    <row r="171" spans="1:7" ht="21.75" customHeight="1" x14ac:dyDescent="0.35">
      <c r="A171" s="26">
        <v>30156</v>
      </c>
      <c r="B171" s="56" t="s">
        <v>290</v>
      </c>
      <c r="C171" s="10">
        <f>IFERROR(INDEX('حسابهای دریافتنی'!H:H,MATCH(Table220[[#This Row],[كد تفصيلي]],'حسابهای دریافتنی'!A:A,0)),0)</f>
        <v>-180917500</v>
      </c>
      <c r="D171" s="11">
        <f>IFERROR(INDEX('درجریان وصول'!F:F,MATCH(Table220[[#This Row],[كد تفصيلي]],'درجریان وصول'!A:A,0)),0)</f>
        <v>0</v>
      </c>
      <c r="E171" s="11">
        <f>IFERROR(INDEX('چکهای دریافتنی'!F:F,MATCH(Table220[[#This Row],[كد تفصيلي]],'چکهای دریافتنی'!A:A,0)),0)</f>
        <v>0</v>
      </c>
      <c r="F171" s="11">
        <f>Table220[[#This Row],[حسابهای دریافتنی]]+Table220[[#This Row],[چکهای در جریان وصول]]+Table220[[#This Row],[چکهای نزد صندوق]]</f>
        <v>-180917500</v>
      </c>
      <c r="G171" s="12">
        <f>IFERROR(INDEX('مانده سوفاله'!F:F,MATCH(Table220[[#This Row],[كد تفصيلي]],'مانده سوفاله'!A:A,0)),0)</f>
        <v>0</v>
      </c>
    </row>
    <row r="172" spans="1:7" ht="21.75" customHeight="1" x14ac:dyDescent="0.35">
      <c r="A172" s="27">
        <v>79043</v>
      </c>
      <c r="B172" s="55" t="s">
        <v>156</v>
      </c>
      <c r="C172" s="10">
        <f>IFERROR(INDEX('حسابهای دریافتنی'!H:H,MATCH(Table220[[#This Row],[كد تفصيلي]],'حسابهای دریافتنی'!A:A,0)),0)</f>
        <v>-16110730000</v>
      </c>
      <c r="D172" s="11">
        <f>IFERROR(INDEX('درجریان وصول'!F:F,MATCH(Table220[[#This Row],[كد تفصيلي]],'درجریان وصول'!A:A,0)),0)</f>
        <v>0</v>
      </c>
      <c r="E172" s="11">
        <f>IFERROR(INDEX('چکهای دریافتنی'!F:F,MATCH(Table220[[#This Row],[كد تفصيلي]],'چکهای دریافتنی'!A:A,0)),0)</f>
        <v>0</v>
      </c>
      <c r="F172" s="11">
        <f>Table220[[#This Row],[حسابهای دریافتنی]]+Table220[[#This Row],[چکهای در جریان وصول]]+Table220[[#This Row],[چکهای نزد صندوق]]</f>
        <v>-16110730000</v>
      </c>
      <c r="G172" s="12">
        <f>IFERROR(INDEX('مانده سوفاله'!F:F,MATCH(Table220[[#This Row],[كد تفصيلي]],'مانده سوفاله'!A:A,0)),0)</f>
        <v>0</v>
      </c>
    </row>
    <row r="173" spans="1:7" ht="21.75" customHeight="1" x14ac:dyDescent="0.35">
      <c r="A173" s="36"/>
      <c r="B173" s="37"/>
      <c r="C173" s="38">
        <f>SUBTOTAL(109,Table220[حسابهای دریافتنی])</f>
        <v>57142137259</v>
      </c>
      <c r="D173" s="38">
        <f>SUBTOTAL(109,Table220[چکهای در جریان وصول])</f>
        <v>0</v>
      </c>
      <c r="E173" s="38">
        <f>SUBTOTAL(109,Table220[چکهای نزد صندوق])</f>
        <v>62507828942</v>
      </c>
      <c r="F173" s="38"/>
      <c r="G173" s="39">
        <f>SUBTOTAL(109,Table220[مانده سوفاله])</f>
        <v>-133803.5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76"/>
  <sheetViews>
    <sheetView rightToLeft="1" workbookViewId="0">
      <selection sqref="A1:G1"/>
    </sheetView>
  </sheetViews>
  <sheetFormatPr defaultColWidth="9.08984375" defaultRowHeight="27.75" customHeight="1" x14ac:dyDescent="0.35"/>
  <cols>
    <col min="1" max="1" width="14.36328125" style="5" customWidth="1"/>
    <col min="2" max="2" width="30.36328125" style="5" customWidth="1"/>
    <col min="3" max="3" width="20.26953125" style="3" customWidth="1"/>
    <col min="4" max="4" width="20.726562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6" customHeight="1" thickBot="1" x14ac:dyDescent="0.4">
      <c r="A1" s="97" t="s">
        <v>504</v>
      </c>
      <c r="B1" s="98"/>
      <c r="C1" s="98"/>
      <c r="D1" s="98"/>
      <c r="E1" s="98"/>
      <c r="F1" s="98"/>
      <c r="G1" s="99"/>
    </row>
    <row r="2" spans="1:7" s="2" customFormat="1" ht="63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7.75" customHeight="1" x14ac:dyDescent="0.35">
      <c r="A3" s="27">
        <v>30127</v>
      </c>
      <c r="B3" s="55" t="s">
        <v>163</v>
      </c>
      <c r="C3" s="10">
        <f>IFERROR(INDEX('حسابهای دریافتنی'!H:H,MATCH(Table221[[#This Row],[كد تفصيلي]],'حسابهای دریافتنی'!A:A,0)),0)</f>
        <v>31800110000</v>
      </c>
      <c r="D3" s="11">
        <f>IFERROR(INDEX('درجریان وصول'!F:F,MATCH(Table221[[#This Row],[كد تفصيلي]],'درجریان وصول'!A:A,0)),0)</f>
        <v>0</v>
      </c>
      <c r="E3" s="11">
        <f>IFERROR(INDEX('چکهای دریافتنی'!F:F,MATCH(Table221[[#This Row],[كد تفصيلي]],'چکهای دریافتنی'!A:A,0)),0)</f>
        <v>0</v>
      </c>
      <c r="F3" s="11">
        <f>Table221[[#This Row],[حسابهای دریافتنی]]+Table221[[#This Row],[چکهای در جریان وصول]]+Table221[[#This Row],[چکهای نزد صندوق]]</f>
        <v>31800110000</v>
      </c>
      <c r="G3" s="12">
        <f>IFERROR(INDEX('مانده سوفاله'!F:F,MATCH(Table221[[#This Row],[كد تفصيلي]],'مانده سوفاله'!A:A,0)),0)</f>
        <v>-18472</v>
      </c>
    </row>
    <row r="4" spans="1:7" ht="27.75" customHeight="1" x14ac:dyDescent="0.35">
      <c r="A4" s="26">
        <v>10003</v>
      </c>
      <c r="B4" s="56" t="s">
        <v>10</v>
      </c>
      <c r="C4" s="10">
        <f>IFERROR(INDEX('حسابهای دریافتنی'!H:H,MATCH(Table221[[#This Row],[كد تفصيلي]],'حسابهای دریافتنی'!A:A,0)),0)</f>
        <v>10804267992</v>
      </c>
      <c r="D4" s="11">
        <f>IFERROR(INDEX('درجریان وصول'!F:F,MATCH(Table221[[#This Row],[كد تفصيلي]],'درجریان وصول'!A:A,0)),0)</f>
        <v>0</v>
      </c>
      <c r="E4" s="11">
        <f>IFERROR(INDEX('چکهای دریافتنی'!F:F,MATCH(Table221[[#This Row],[كد تفصيلي]],'چکهای دریافتنی'!A:A,0)),0)</f>
        <v>13698001280</v>
      </c>
      <c r="F4" s="11">
        <f>Table221[[#This Row],[حسابهای دریافتنی]]+Table221[[#This Row],[چکهای در جریان وصول]]+Table221[[#This Row],[چکهای نزد صندوق]]</f>
        <v>24502269272</v>
      </c>
      <c r="G4" s="12">
        <f>IFERROR(INDEX('مانده سوفاله'!F:F,MATCH(Table221[[#This Row],[كد تفصيلي]],'مانده سوفاله'!A:A,0)),0)</f>
        <v>-39886</v>
      </c>
    </row>
    <row r="5" spans="1:7" ht="27.75" customHeight="1" x14ac:dyDescent="0.35">
      <c r="A5" s="27">
        <v>30004</v>
      </c>
      <c r="B5" s="55" t="s">
        <v>54</v>
      </c>
      <c r="C5" s="10">
        <f>IFERROR(INDEX('حسابهای دریافتنی'!H:H,MATCH(Table221[[#This Row],[كد تفصيلي]],'حسابهای دریافتنی'!A:A,0)),0)</f>
        <v>7598548260</v>
      </c>
      <c r="D5" s="11">
        <f>IFERROR(INDEX('درجریان وصول'!F:F,MATCH(Table221[[#This Row],[كد تفصيلي]],'درجریان وصول'!A:A,0)),0)</f>
        <v>0</v>
      </c>
      <c r="E5" s="11">
        <f>IFERROR(INDEX('چکهای دریافتنی'!F:F,MATCH(Table221[[#This Row],[كد تفصيلي]],'چکهای دریافتنی'!A:A,0)),0)</f>
        <v>11698760000</v>
      </c>
      <c r="F5" s="11">
        <f>Table221[[#This Row],[حسابهای دریافتنی]]+Table221[[#This Row],[چکهای در جریان وصول]]+Table221[[#This Row],[چکهای نزد صندوق]]</f>
        <v>19297308260</v>
      </c>
      <c r="G5" s="12">
        <f>IFERROR(INDEX('مانده سوفاله'!F:F,MATCH(Table221[[#This Row],[كد تفصيلي]],'مانده سوفاله'!A:A,0)),0)</f>
        <v>-4237</v>
      </c>
    </row>
    <row r="6" spans="1:7" ht="27.75" customHeight="1" x14ac:dyDescent="0.35">
      <c r="A6" s="26">
        <v>10055</v>
      </c>
      <c r="B6" s="56" t="s">
        <v>162</v>
      </c>
      <c r="C6" s="10">
        <f>IFERROR(INDEX('حسابهای دریافتنی'!H:H,MATCH(Table221[[#This Row],[كد تفصيلي]],'حسابهای دریافتنی'!A:A,0)),0)</f>
        <v>10460111325</v>
      </c>
      <c r="D6" s="11">
        <f>IFERROR(INDEX('درجریان وصول'!F:F,MATCH(Table221[[#This Row],[كد تفصيلي]],'درجریان وصول'!A:A,0)),0)</f>
        <v>0</v>
      </c>
      <c r="E6" s="11">
        <f>IFERROR(INDEX('چکهای دریافتنی'!F:F,MATCH(Table221[[#This Row],[كد تفصيلي]],'چکهای دریافتنی'!A:A,0)),0)</f>
        <v>2783298655</v>
      </c>
      <c r="F6" s="11">
        <f>Table221[[#This Row],[حسابهای دریافتنی]]+Table221[[#This Row],[چکهای در جریان وصول]]+Table221[[#This Row],[چکهای نزد صندوق]]</f>
        <v>13243409980</v>
      </c>
      <c r="G6" s="12">
        <f>IFERROR(INDEX('مانده سوفاله'!F:F,MATCH(Table221[[#This Row],[كد تفصيلي]],'مانده سوفاله'!A:A,0)),0)</f>
        <v>-12714</v>
      </c>
    </row>
    <row r="7" spans="1:7" ht="27.75" customHeight="1" x14ac:dyDescent="0.35">
      <c r="A7" s="26">
        <v>30009</v>
      </c>
      <c r="B7" s="56" t="s">
        <v>164</v>
      </c>
      <c r="C7" s="10">
        <f>IFERROR(INDEX('حسابهای دریافتنی'!H:H,MATCH(Table221[[#This Row],[كد تفصيلي]],'حسابهای دریافتنی'!A:A,0)),0)</f>
        <v>7853844277</v>
      </c>
      <c r="D7" s="11">
        <f>IFERROR(INDEX('درجریان وصول'!F:F,MATCH(Table221[[#This Row],[كد تفصيلي]],'درجریان وصول'!A:A,0)),0)</f>
        <v>0</v>
      </c>
      <c r="E7" s="11">
        <f>IFERROR(INDEX('چکهای دریافتنی'!F:F,MATCH(Table221[[#This Row],[كد تفصيلي]],'چکهای دریافتنی'!A:A,0)),0)</f>
        <v>6474835380</v>
      </c>
      <c r="F7" s="11">
        <f>Table221[[#This Row],[حسابهای دریافتنی]]+Table221[[#This Row],[چکهای در جریان وصول]]+Table221[[#This Row],[چکهای نزد صندوق]]</f>
        <v>14328679657</v>
      </c>
      <c r="G7" s="12">
        <f>IFERROR(INDEX('مانده سوفاله'!F:F,MATCH(Table221[[#This Row],[كد تفصيلي]],'مانده سوفاله'!A:A,0)),0)</f>
        <v>-11452</v>
      </c>
    </row>
    <row r="8" spans="1:7" ht="27.75" customHeight="1" x14ac:dyDescent="0.35">
      <c r="A8" s="27">
        <v>30081</v>
      </c>
      <c r="B8" s="55" t="s">
        <v>126</v>
      </c>
      <c r="C8" s="10">
        <f>IFERROR(INDEX('حسابهای دریافتنی'!H:H,MATCH(Table221[[#This Row],[كد تفصيلي]],'حسابهای دریافتنی'!A:A,0)),0)</f>
        <v>1148992373</v>
      </c>
      <c r="D8" s="11">
        <f>IFERROR(INDEX('درجریان وصول'!F:F,MATCH(Table221[[#This Row],[كد تفصيلي]],'درجریان وصول'!A:A,0)),0)</f>
        <v>0</v>
      </c>
      <c r="E8" s="11">
        <f>IFERROR(INDEX('چکهای دریافتنی'!F:F,MATCH(Table221[[#This Row],[كد تفصيلي]],'چکهای دریافتنی'!A:A,0)),0)</f>
        <v>0</v>
      </c>
      <c r="F8" s="11">
        <f>Table221[[#This Row],[حسابهای دریافتنی]]+Table221[[#This Row],[چکهای در جریان وصول]]+Table221[[#This Row],[چکهای نزد صندوق]]</f>
        <v>1148992373</v>
      </c>
      <c r="G8" s="12">
        <f>IFERROR(INDEX('مانده سوفاله'!F:F,MATCH(Table221[[#This Row],[كد تفصيلي]],'مانده سوفاله'!A:A,0)),0)</f>
        <v>-6924</v>
      </c>
    </row>
    <row r="9" spans="1:7" ht="27.75" customHeight="1" x14ac:dyDescent="0.35">
      <c r="A9" s="27">
        <v>50016</v>
      </c>
      <c r="B9" s="55" t="s">
        <v>160</v>
      </c>
      <c r="C9" s="10">
        <f>IFERROR(INDEX('حسابهای دریافتنی'!H:H,MATCH(Table221[[#This Row],[كد تفصيلي]],'حسابهای دریافتنی'!A:A,0)),0)</f>
        <v>6344545550</v>
      </c>
      <c r="D9" s="11">
        <f>IFERROR(INDEX('درجریان وصول'!F:F,MATCH(Table221[[#This Row],[كد تفصيلي]],'درجریان وصول'!A:A,0)),0)</f>
        <v>0</v>
      </c>
      <c r="E9" s="11">
        <f>IFERROR(INDEX('چکهای دریافتنی'!F:F,MATCH(Table221[[#This Row],[كد تفصيلي]],'چکهای دریافتنی'!A:A,0)),0)</f>
        <v>0</v>
      </c>
      <c r="F9" s="11">
        <f>Table221[[#This Row],[حسابهای دریافتنی]]+Table221[[#This Row],[چکهای در جریان وصول]]+Table221[[#This Row],[چکهای نزد صندوق]]</f>
        <v>6344545550</v>
      </c>
      <c r="G9" s="12">
        <f>IFERROR(INDEX('مانده سوفاله'!F:F,MATCH(Table221[[#This Row],[كد تفصيلي]],'مانده سوفاله'!A:A,0)),0)</f>
        <v>5508</v>
      </c>
    </row>
    <row r="10" spans="1:7" ht="27.75" customHeight="1" x14ac:dyDescent="0.35">
      <c r="A10" s="27">
        <v>30099</v>
      </c>
      <c r="B10" s="55" t="s">
        <v>167</v>
      </c>
      <c r="C10" s="10">
        <f>IFERROR(INDEX('حسابهای دریافتنی'!H:H,MATCH(Table221[[#This Row],[كد تفصيلي]],'حسابهای دریافتنی'!A:A,0)),0)</f>
        <v>1398393484</v>
      </c>
      <c r="D10" s="11">
        <f>IFERROR(INDEX('درجریان وصول'!F:F,MATCH(Table221[[#This Row],[كد تفصيلي]],'درجریان وصول'!A:A,0)),0)</f>
        <v>0</v>
      </c>
      <c r="E10" s="11">
        <f>IFERROR(INDEX('چکهای دریافتنی'!F:F,MATCH(Table221[[#This Row],[كد تفصيلي]],'چکهای دریافتنی'!A:A,0)),0)</f>
        <v>583000000</v>
      </c>
      <c r="F10" s="11">
        <f>Table221[[#This Row],[حسابهای دریافتنی]]+Table221[[#This Row],[چکهای در جریان وصول]]+Table221[[#This Row],[چکهای نزد صندوق]]</f>
        <v>1981393484</v>
      </c>
      <c r="G10" s="12">
        <f>IFERROR(INDEX('مانده سوفاله'!F:F,MATCH(Table221[[#This Row],[كد تفصيلي]],'مانده سوفاله'!A:A,0)),0)</f>
        <v>-332</v>
      </c>
    </row>
    <row r="11" spans="1:7" ht="27.75" customHeight="1" x14ac:dyDescent="0.35">
      <c r="A11" s="27">
        <v>30014</v>
      </c>
      <c r="B11" s="55" t="s">
        <v>63</v>
      </c>
      <c r="C11" s="10">
        <f>IFERROR(INDEX('حسابهای دریافتنی'!H:H,MATCH(Table221[[#This Row],[كد تفصيلي]],'حسابهای دریافتنی'!A:A,0)),0)</f>
        <v>1762223932</v>
      </c>
      <c r="D11" s="11">
        <f>IFERROR(INDEX('درجریان وصول'!F:F,MATCH(Table221[[#This Row],[كد تفصيلي]],'درجریان وصول'!A:A,0)),0)</f>
        <v>0</v>
      </c>
      <c r="E11" s="11">
        <f>IFERROR(INDEX('چکهای دریافتنی'!F:F,MATCH(Table221[[#This Row],[كد تفصيلي]],'چکهای دریافتنی'!A:A,0)),0)</f>
        <v>0</v>
      </c>
      <c r="F11" s="11">
        <f>Table221[[#This Row],[حسابهای دریافتنی]]+Table221[[#This Row],[چکهای در جریان وصول]]+Table221[[#This Row],[چکهای نزد صندوق]]</f>
        <v>1762223932</v>
      </c>
      <c r="G11" s="12">
        <f>IFERROR(INDEX('مانده سوفاله'!F:F,MATCH(Table221[[#This Row],[كد تفصيلي]],'مانده سوفاله'!A:A,0)),0)</f>
        <v>-1368</v>
      </c>
    </row>
    <row r="12" spans="1:7" ht="27.75" customHeight="1" x14ac:dyDescent="0.35">
      <c r="A12" s="27">
        <v>30022</v>
      </c>
      <c r="B12" s="55" t="s">
        <v>70</v>
      </c>
      <c r="C12" s="10">
        <f>IFERROR(INDEX('حسابهای دریافتنی'!H:H,MATCH(Table221[[#This Row],[كد تفصيلي]],'حسابهای دریافتنی'!A:A,0)),0)</f>
        <v>2933770530</v>
      </c>
      <c r="D12" s="11">
        <f>IFERROR(INDEX('درجریان وصول'!F:F,MATCH(Table221[[#This Row],[كد تفصيلي]],'درجریان وصول'!A:A,0)),0)</f>
        <v>0</v>
      </c>
      <c r="E12" s="11">
        <f>IFERROR(INDEX('چکهای دریافتنی'!F:F,MATCH(Table221[[#This Row],[كد تفصيلي]],'چکهای دریافتنی'!A:A,0)),0)</f>
        <v>0</v>
      </c>
      <c r="F12" s="11">
        <f>Table221[[#This Row],[حسابهای دریافتنی]]+Table221[[#This Row],[چکهای در جریان وصول]]+Table221[[#This Row],[چکهای نزد صندوق]]</f>
        <v>2933770530</v>
      </c>
      <c r="G12" s="12">
        <f>IFERROR(INDEX('مانده سوفاله'!F:F,MATCH(Table221[[#This Row],[كد تفصيلي]],'مانده سوفاله'!A:A,0)),0)</f>
        <v>-14747</v>
      </c>
    </row>
    <row r="13" spans="1:7" ht="27.75" customHeight="1" x14ac:dyDescent="0.35">
      <c r="A13" s="26">
        <v>50011</v>
      </c>
      <c r="B13" s="56" t="s">
        <v>147</v>
      </c>
      <c r="C13" s="10">
        <f>IFERROR(INDEX('حسابهای دریافتنی'!H:H,MATCH(Table221[[#This Row],[كد تفصيلي]],'حسابهای دریافتنی'!A:A,0)),0)</f>
        <v>832182413</v>
      </c>
      <c r="D13" s="11">
        <f>IFERROR(INDEX('درجریان وصول'!F:F,MATCH(Table221[[#This Row],[كد تفصيلي]],'درجریان وصول'!A:A,0)),0)</f>
        <v>0</v>
      </c>
      <c r="E13" s="11">
        <f>IFERROR(INDEX('چکهای دریافتنی'!F:F,MATCH(Table221[[#This Row],[كد تفصيلي]],'چکهای دریافتنی'!A:A,0)),0)</f>
        <v>0</v>
      </c>
      <c r="F13" s="11">
        <f>Table221[[#This Row],[حسابهای دریافتنی]]+Table221[[#This Row],[چکهای در جریان وصول]]+Table221[[#This Row],[چکهای نزد صندوق]]</f>
        <v>832182413</v>
      </c>
      <c r="G13" s="12">
        <f>IFERROR(INDEX('مانده سوفاله'!F:F,MATCH(Table221[[#This Row],[كد تفصيلي]],'مانده سوفاله'!A:A,0)),0)</f>
        <v>30</v>
      </c>
    </row>
    <row r="14" spans="1:7" ht="27.75" customHeight="1" x14ac:dyDescent="0.35">
      <c r="A14" s="26">
        <v>30058</v>
      </c>
      <c r="B14" s="56" t="s">
        <v>103</v>
      </c>
      <c r="C14" s="10">
        <f>IFERROR(INDEX('حسابهای دریافتنی'!H:H,MATCH(Table221[[#This Row],[كد تفصيلي]],'حسابهای دریافتنی'!A:A,0)),0)</f>
        <v>1700045560</v>
      </c>
      <c r="D14" s="11">
        <f>IFERROR(INDEX('درجریان وصول'!F:F,MATCH(Table221[[#This Row],[كد تفصيلي]],'درجریان وصول'!A:A,0)),0)</f>
        <v>0</v>
      </c>
      <c r="E14" s="11">
        <f>IFERROR(INDEX('چکهای دریافتنی'!F:F,MATCH(Table221[[#This Row],[كد تفصيلي]],'چکهای دریافتنی'!A:A,0)),0)</f>
        <v>0</v>
      </c>
      <c r="F14" s="11">
        <f>Table221[[#This Row],[حسابهای دریافتنی]]+Table221[[#This Row],[چکهای در جریان وصول]]+Table221[[#This Row],[چکهای نزد صندوق]]</f>
        <v>1700045560</v>
      </c>
      <c r="G14" s="12">
        <f>IFERROR(INDEX('مانده سوفاله'!F:F,MATCH(Table221[[#This Row],[كد تفصيلي]],'مانده سوفاله'!A:A,0)),0)</f>
        <v>-225</v>
      </c>
    </row>
    <row r="15" spans="1:7" ht="27.75" customHeight="1" x14ac:dyDescent="0.35">
      <c r="A15" s="27">
        <v>10056</v>
      </c>
      <c r="B15" s="55" t="s">
        <v>166</v>
      </c>
      <c r="C15" s="10">
        <f>IFERROR(INDEX('حسابهای دریافتنی'!H:H,MATCH(Table221[[#This Row],[كد تفصيلي]],'حسابهای دریافتنی'!A:A,0)),0)</f>
        <v>812653500</v>
      </c>
      <c r="D15" s="11">
        <f>IFERROR(INDEX('درجریان وصول'!F:F,MATCH(Table221[[#This Row],[كد تفصيلي]],'درجریان وصول'!A:A,0)),0)</f>
        <v>0</v>
      </c>
      <c r="E15" s="11">
        <f>IFERROR(INDEX('چکهای دریافتنی'!F:F,MATCH(Table221[[#This Row],[كد تفصيلي]],'چکهای دریافتنی'!A:A,0)),0)</f>
        <v>0</v>
      </c>
      <c r="F15" s="11">
        <f>Table221[[#This Row],[حسابهای دریافتنی]]+Table221[[#This Row],[چکهای در جریان وصول]]+Table221[[#This Row],[چکهای نزد صندوق]]</f>
        <v>812653500</v>
      </c>
      <c r="G15" s="12">
        <f>IFERROR(INDEX('مانده سوفاله'!F:F,MATCH(Table221[[#This Row],[كد تفصيلي]],'مانده سوفاله'!A:A,0)),0)</f>
        <v>0</v>
      </c>
    </row>
    <row r="16" spans="1:7" ht="27.75" customHeight="1" x14ac:dyDescent="0.35">
      <c r="A16" s="26">
        <v>10057</v>
      </c>
      <c r="B16" s="56" t="s">
        <v>225</v>
      </c>
      <c r="C16" s="10">
        <f>IFERROR(INDEX('حسابهای دریافتنی'!H:H,MATCH(Table221[[#This Row],[كد تفصيلي]],'حسابهای دریافتنی'!A:A,0)),0)</f>
        <v>1390485500</v>
      </c>
      <c r="D16" s="11">
        <f>IFERROR(INDEX('درجریان وصول'!F:F,MATCH(Table221[[#This Row],[كد تفصيلي]],'درجریان وصول'!A:A,0)),0)</f>
        <v>0</v>
      </c>
      <c r="E16" s="11">
        <f>IFERROR(INDEX('چکهای دریافتنی'!F:F,MATCH(Table221[[#This Row],[كد تفصيلي]],'چکهای دریافتنی'!A:A,0)),0)</f>
        <v>0</v>
      </c>
      <c r="F16" s="11">
        <f>Table221[[#This Row],[حسابهای دریافتنی]]+Table221[[#This Row],[چکهای در جریان وصول]]+Table221[[#This Row],[چکهای نزد صندوق]]</f>
        <v>1390485500</v>
      </c>
      <c r="G16" s="12">
        <f>IFERROR(INDEX('مانده سوفاله'!F:F,MATCH(Table221[[#This Row],[كد تفصيلي]],'مانده سوفاله'!A:A,0)),0)</f>
        <v>-2044</v>
      </c>
    </row>
    <row r="17" spans="1:7" ht="27.75" customHeight="1" x14ac:dyDescent="0.35">
      <c r="A17" s="27">
        <v>10020</v>
      </c>
      <c r="B17" s="55" t="s">
        <v>27</v>
      </c>
      <c r="C17" s="10">
        <f>IFERROR(INDEX('حسابهای دریافتنی'!H:H,MATCH(Table221[[#This Row],[كد تفصيلي]],'حسابهای دریافتنی'!A:A,0)),0)</f>
        <v>57999963</v>
      </c>
      <c r="D17" s="11">
        <f>IFERROR(INDEX('درجریان وصول'!F:F,MATCH(Table221[[#This Row],[كد تفصيلي]],'درجریان وصول'!A:A,0)),0)</f>
        <v>0</v>
      </c>
      <c r="E17" s="11">
        <f>IFERROR(INDEX('چکهای دریافتنی'!F:F,MATCH(Table221[[#This Row],[كد تفصيلي]],'چکهای دریافتنی'!A:A,0)),0)</f>
        <v>728000000</v>
      </c>
      <c r="F17" s="11">
        <f>Table221[[#This Row],[حسابهای دریافتنی]]+Table221[[#This Row],[چکهای در جریان وصول]]+Table221[[#This Row],[چکهای نزد صندوق]]</f>
        <v>785999963</v>
      </c>
      <c r="G17" s="12">
        <f>IFERROR(INDEX('مانده سوفاله'!F:F,MATCH(Table221[[#This Row],[كد تفصيلي]],'مانده سوفاله'!A:A,0)),0)</f>
        <v>-1031</v>
      </c>
    </row>
    <row r="18" spans="1:7" ht="27.75" customHeight="1" x14ac:dyDescent="0.35">
      <c r="A18" s="27">
        <v>10008</v>
      </c>
      <c r="B18" s="55" t="s">
        <v>15</v>
      </c>
      <c r="C18" s="10">
        <f>IFERROR(INDEX('حسابهای دریافتنی'!H:H,MATCH(Table221[[#This Row],[كد تفصيلي]],'حسابهای دریافتنی'!A:A,0)),0)</f>
        <v>597342000</v>
      </c>
      <c r="D18" s="11">
        <f>IFERROR(INDEX('درجریان وصول'!F:F,MATCH(Table221[[#This Row],[كد تفصيلي]],'درجریان وصول'!A:A,0)),0)</f>
        <v>0</v>
      </c>
      <c r="E18" s="11">
        <f>IFERROR(INDEX('چکهای دریافتنی'!F:F,MATCH(Table221[[#This Row],[كد تفصيلي]],'چکهای دریافتنی'!A:A,0)),0)</f>
        <v>0</v>
      </c>
      <c r="F18" s="11">
        <f>Table221[[#This Row],[حسابهای دریافتنی]]+Table221[[#This Row],[چکهای در جریان وصول]]+Table221[[#This Row],[چکهای نزد صندوق]]</f>
        <v>597342000</v>
      </c>
      <c r="G18" s="12">
        <f>IFERROR(INDEX('مانده سوفاله'!F:F,MATCH(Table221[[#This Row],[كد تفصيلي]],'مانده سوفاله'!A:A,0)),0)</f>
        <v>-578</v>
      </c>
    </row>
    <row r="19" spans="1:7" ht="27.75" customHeight="1" x14ac:dyDescent="0.35">
      <c r="A19" s="26">
        <v>30070</v>
      </c>
      <c r="B19" s="56" t="s">
        <v>115</v>
      </c>
      <c r="C19" s="10">
        <f>IFERROR(INDEX('حسابهای دریافتنی'!H:H,MATCH(Table221[[#This Row],[كد تفصيلي]],'حسابهای دریافتنی'!A:A,0)),0)</f>
        <v>2651728820</v>
      </c>
      <c r="D19" s="11">
        <f>IFERROR(INDEX('درجریان وصول'!F:F,MATCH(Table221[[#This Row],[كد تفصيلي]],'درجریان وصول'!A:A,0)),0)</f>
        <v>0</v>
      </c>
      <c r="E19" s="11">
        <f>IFERROR(INDEX('چکهای دریافتنی'!F:F,MATCH(Table221[[#This Row],[كد تفصيلي]],'چکهای دریافتنی'!A:A,0)),0)</f>
        <v>3660000000</v>
      </c>
      <c r="F19" s="11">
        <f>Table221[[#This Row],[حسابهای دریافتنی]]+Table221[[#This Row],[چکهای در جریان وصول]]+Table221[[#This Row],[چکهای نزد صندوق]]</f>
        <v>6311728820</v>
      </c>
      <c r="G19" s="12">
        <f>IFERROR(INDEX('مانده سوفاله'!F:F,MATCH(Table221[[#This Row],[كد تفصيلي]],'مانده سوفاله'!A:A,0)),0)</f>
        <v>4378</v>
      </c>
    </row>
    <row r="20" spans="1:7" ht="27.75" customHeight="1" x14ac:dyDescent="0.35">
      <c r="A20" s="27">
        <v>30018</v>
      </c>
      <c r="B20" s="55" t="s">
        <v>66</v>
      </c>
      <c r="C20" s="10">
        <f>IFERROR(INDEX('حسابهای دریافتنی'!H:H,MATCH(Table221[[#This Row],[كد تفصيلي]],'حسابهای دریافتنی'!A:A,0)),0)</f>
        <v>1901077182</v>
      </c>
      <c r="D20" s="11">
        <f>IFERROR(INDEX('درجریان وصول'!F:F,MATCH(Table221[[#This Row],[كد تفصيلي]],'درجریان وصول'!A:A,0)),0)</f>
        <v>0</v>
      </c>
      <c r="E20" s="11">
        <f>IFERROR(INDEX('چکهای دریافتنی'!F:F,MATCH(Table221[[#This Row],[كد تفصيلي]],'چکهای دریافتنی'!A:A,0)),0)</f>
        <v>0</v>
      </c>
      <c r="F20" s="11">
        <f>Table221[[#This Row],[حسابهای دریافتنی]]+Table221[[#This Row],[چکهای در جریان وصول]]+Table221[[#This Row],[چکهای نزد صندوق]]</f>
        <v>1901077182</v>
      </c>
      <c r="G20" s="12">
        <f>IFERROR(INDEX('مانده سوفاله'!F:F,MATCH(Table221[[#This Row],[كد تفصيلي]],'مانده سوفاله'!A:A,0)),0)</f>
        <v>-3024</v>
      </c>
    </row>
    <row r="21" spans="1:7" ht="27.75" customHeight="1" x14ac:dyDescent="0.35">
      <c r="A21" s="26">
        <v>30184</v>
      </c>
      <c r="B21" s="56" t="s">
        <v>368</v>
      </c>
      <c r="C21" s="10">
        <f>IFERROR(INDEX('حسابهای دریافتنی'!H:H,MATCH(Table221[[#This Row],[كد تفصيلي]],'حسابهای دریافتنی'!A:A,0)),0)</f>
        <v>904890480</v>
      </c>
      <c r="D21" s="11">
        <f>IFERROR(INDEX('درجریان وصول'!F:F,MATCH(Table221[[#This Row],[كد تفصيلي]],'درجریان وصول'!A:A,0)),0)</f>
        <v>0</v>
      </c>
      <c r="E21" s="11">
        <f>IFERROR(INDEX('چکهای دریافتنی'!F:F,MATCH(Table221[[#This Row],[كد تفصيلي]],'چکهای دریافتنی'!A:A,0)),0)</f>
        <v>0</v>
      </c>
      <c r="F21" s="11">
        <f>Table221[[#This Row],[حسابهای دریافتنی]]+Table221[[#This Row],[چکهای در جریان وصول]]+Table221[[#This Row],[چکهای نزد صندوق]]</f>
        <v>904890480</v>
      </c>
      <c r="G21" s="12">
        <f>IFERROR(INDEX('مانده سوفاله'!F:F,MATCH(Table221[[#This Row],[كد تفصيلي]],'مانده سوفاله'!A:A,0)),0)</f>
        <v>-100</v>
      </c>
    </row>
    <row r="22" spans="1:7" ht="27.75" customHeight="1" x14ac:dyDescent="0.35">
      <c r="A22" s="27">
        <v>10072</v>
      </c>
      <c r="B22" s="55" t="s">
        <v>177</v>
      </c>
      <c r="C22" s="10">
        <f>IFERROR(INDEX('حسابهای دریافتنی'!H:H,MATCH(Table221[[#This Row],[كد تفصيلي]],'حسابهای دریافتنی'!A:A,0)),0)</f>
        <v>55880</v>
      </c>
      <c r="D22" s="11">
        <f>IFERROR(INDEX('درجریان وصول'!F:F,MATCH(Table221[[#This Row],[كد تفصيلي]],'درجریان وصول'!A:A,0)),0)</f>
        <v>0</v>
      </c>
      <c r="E22" s="11">
        <f>IFERROR(INDEX('چکهای دریافتنی'!F:F,MATCH(Table221[[#This Row],[كد تفصيلي]],'چکهای دریافتنی'!A:A,0)),0)</f>
        <v>427700000</v>
      </c>
      <c r="F22" s="11">
        <f>Table221[[#This Row],[حسابهای دریافتنی]]+Table221[[#This Row],[چکهای در جریان وصول]]+Table221[[#This Row],[چکهای نزد صندوق]]</f>
        <v>427755880</v>
      </c>
      <c r="G22" s="12">
        <f>IFERROR(INDEX('مانده سوفاله'!F:F,MATCH(Table221[[#This Row],[كد تفصيلي]],'مانده سوفاله'!A:A,0)),0)</f>
        <v>0</v>
      </c>
    </row>
    <row r="23" spans="1:7" ht="27.75" customHeight="1" x14ac:dyDescent="0.35">
      <c r="A23" s="26">
        <v>30186</v>
      </c>
      <c r="B23" s="56" t="s">
        <v>367</v>
      </c>
      <c r="C23" s="10">
        <f>IFERROR(INDEX('حسابهای دریافتنی'!H:H,MATCH(Table221[[#This Row],[كد تفصيلي]],'حسابهای دریافتنی'!A:A,0)),0)</f>
        <v>986425000</v>
      </c>
      <c r="D23" s="11">
        <f>IFERROR(INDEX('درجریان وصول'!F:F,MATCH(Table221[[#This Row],[كد تفصيلي]],'درجریان وصول'!A:A,0)),0)</f>
        <v>0</v>
      </c>
      <c r="E23" s="11">
        <f>IFERROR(INDEX('چکهای دریافتنی'!F:F,MATCH(Table221[[#This Row],[كد تفصيلي]],'چکهای دریافتنی'!A:A,0)),0)</f>
        <v>5982430000</v>
      </c>
      <c r="F23" s="11">
        <f>Table221[[#This Row],[حسابهای دریافتنی]]+Table221[[#This Row],[چکهای در جریان وصول]]+Table221[[#This Row],[چکهای نزد صندوق]]</f>
        <v>6968855000</v>
      </c>
      <c r="G23" s="12">
        <f>IFERROR(INDEX('مانده سوفاله'!F:F,MATCH(Table221[[#This Row],[كد تفصيلي]],'مانده سوفاله'!A:A,0)),0)</f>
        <v>-7388</v>
      </c>
    </row>
    <row r="24" spans="1:7" ht="27.75" customHeight="1" x14ac:dyDescent="0.35">
      <c r="A24" s="27">
        <v>30069</v>
      </c>
      <c r="B24" s="55" t="s">
        <v>114</v>
      </c>
      <c r="C24" s="10">
        <f>IFERROR(INDEX('حسابهای دریافتنی'!H:H,MATCH(Table221[[#This Row],[كد تفصيلي]],'حسابهای دریافتنی'!A:A,0)),0)</f>
        <v>377909400</v>
      </c>
      <c r="D24" s="11">
        <f>IFERROR(INDEX('درجریان وصول'!F:F,MATCH(Table221[[#This Row],[كد تفصيلي]],'درجریان وصول'!A:A,0)),0)</f>
        <v>0</v>
      </c>
      <c r="E24" s="11">
        <f>IFERROR(INDEX('چکهای دریافتنی'!F:F,MATCH(Table221[[#This Row],[كد تفصيلي]],'چکهای دریافتنی'!A:A,0)),0)</f>
        <v>0</v>
      </c>
      <c r="F24" s="11">
        <f>Table221[[#This Row],[حسابهای دریافتنی]]+Table221[[#This Row],[چکهای در جریان وصول]]+Table221[[#This Row],[چکهای نزد صندوق]]</f>
        <v>377909400</v>
      </c>
      <c r="G24" s="12">
        <f>IFERROR(INDEX('مانده سوفاله'!F:F,MATCH(Table221[[#This Row],[كد تفصيلي]],'مانده سوفاله'!A:A,0)),0)</f>
        <v>66</v>
      </c>
    </row>
    <row r="25" spans="1:7" ht="27.75" customHeight="1" x14ac:dyDescent="0.35">
      <c r="A25" s="26">
        <v>30027</v>
      </c>
      <c r="B25" s="56" t="s">
        <v>75</v>
      </c>
      <c r="C25" s="10">
        <f>IFERROR(INDEX('حسابهای دریافتنی'!H:H,MATCH(Table221[[#This Row],[كد تفصيلي]],'حسابهای دریافتنی'!A:A,0)),0)</f>
        <v>326950</v>
      </c>
      <c r="D25" s="11">
        <f>IFERROR(INDEX('درجریان وصول'!F:F,MATCH(Table221[[#This Row],[كد تفصيلي]],'درجریان وصول'!A:A,0)),0)</f>
        <v>0</v>
      </c>
      <c r="E25" s="11">
        <f>IFERROR(INDEX('چکهای دریافتنی'!F:F,MATCH(Table221[[#This Row],[كد تفصيلي]],'چکهای دریافتنی'!A:A,0)),0)</f>
        <v>0</v>
      </c>
      <c r="F25" s="11">
        <f>Table221[[#This Row],[حسابهای دریافتنی]]+Table221[[#This Row],[چکهای در جریان وصول]]+Table221[[#This Row],[چکهای نزد صندوق]]</f>
        <v>326950</v>
      </c>
      <c r="G25" s="12">
        <f>IFERROR(INDEX('مانده سوفاله'!F:F,MATCH(Table221[[#This Row],[كد تفصيلي]],'مانده سوفاله'!A:A,0)),0)</f>
        <v>0</v>
      </c>
    </row>
    <row r="26" spans="1:7" ht="27.75" customHeight="1" x14ac:dyDescent="0.35">
      <c r="A26" s="27">
        <v>10127</v>
      </c>
      <c r="B26" s="55" t="s">
        <v>371</v>
      </c>
      <c r="C26" s="10">
        <f>IFERROR(INDEX('حسابهای دریافتنی'!H:H,MATCH(Table221[[#This Row],[كد تفصيلي]],'حسابهای دریافتنی'!A:A,0)),0)</f>
        <v>803728000</v>
      </c>
      <c r="D26" s="11">
        <f>IFERROR(INDEX('درجریان وصول'!F:F,MATCH(Table221[[#This Row],[كد تفصيلي]],'درجریان وصول'!A:A,0)),0)</f>
        <v>0</v>
      </c>
      <c r="E26" s="11">
        <f>IFERROR(INDEX('چکهای دریافتنی'!F:F,MATCH(Table221[[#This Row],[كد تفصيلي]],'چکهای دریافتنی'!A:A,0)),0)</f>
        <v>0</v>
      </c>
      <c r="F26" s="11">
        <f>Table221[[#This Row],[حسابهای دریافتنی]]+Table221[[#This Row],[چکهای در جریان وصول]]+Table221[[#This Row],[چکهای نزد صندوق]]</f>
        <v>803728000</v>
      </c>
      <c r="G26" s="12">
        <f>IFERROR(INDEX('مانده سوفاله'!F:F,MATCH(Table221[[#This Row],[كد تفصيلي]],'مانده سوفاله'!A:A,0)),0)</f>
        <v>-1469</v>
      </c>
    </row>
    <row r="27" spans="1:7" ht="27.75" customHeight="1" x14ac:dyDescent="0.35">
      <c r="A27" s="26">
        <v>30191</v>
      </c>
      <c r="B27" s="56" t="s">
        <v>460</v>
      </c>
      <c r="C27" s="10">
        <f>IFERROR(INDEX('حسابهای دریافتنی'!H:H,MATCH(Table221[[#This Row],[كد تفصيلي]],'حسابهای دریافتنی'!A:A,0)),0)</f>
        <v>792933000</v>
      </c>
      <c r="D27" s="11">
        <f>IFERROR(INDEX('درجریان وصول'!F:F,MATCH(Table221[[#This Row],[كد تفصيلي]],'درجریان وصول'!A:A,0)),0)</f>
        <v>0</v>
      </c>
      <c r="E27" s="11">
        <f>IFERROR(INDEX('چکهای دریافتنی'!F:F,MATCH(Table221[[#This Row],[كد تفصيلي]],'چکهای دریافتنی'!A:A,0)),0)</f>
        <v>0</v>
      </c>
      <c r="F27" s="11">
        <f>Table221[[#This Row],[حسابهای دریافتنی]]+Table221[[#This Row],[چکهای در جریان وصول]]+Table221[[#This Row],[چکهای نزد صندوق]]</f>
        <v>792933000</v>
      </c>
      <c r="G27" s="12">
        <f>IFERROR(INDEX('مانده سوفاله'!F:F,MATCH(Table221[[#This Row],[كد تفصيلي]],'مانده سوفاله'!A:A,0)),0)</f>
        <v>134</v>
      </c>
    </row>
    <row r="28" spans="1:7" ht="27.75" customHeight="1" x14ac:dyDescent="0.35">
      <c r="A28" s="27">
        <v>30012</v>
      </c>
      <c r="B28" s="55" t="s">
        <v>61</v>
      </c>
      <c r="C28" s="10">
        <f>IFERROR(INDEX('حسابهای دریافتنی'!H:H,MATCH(Table221[[#This Row],[كد تفصيلي]],'حسابهای دریافتنی'!A:A,0)),0)</f>
        <v>-46099000</v>
      </c>
      <c r="D28" s="11">
        <f>IFERROR(INDEX('درجریان وصول'!F:F,MATCH(Table221[[#This Row],[كد تفصيلي]],'درجریان وصول'!A:A,0)),0)</f>
        <v>0</v>
      </c>
      <c r="E28" s="11">
        <f>IFERROR(INDEX('چکهای دریافتنی'!F:F,MATCH(Table221[[#This Row],[كد تفصيلي]],'چکهای دریافتنی'!A:A,0)),0)</f>
        <v>348650000</v>
      </c>
      <c r="F28" s="11">
        <f>Table221[[#This Row],[حسابهای دریافتنی]]+Table221[[#This Row],[چکهای در جریان وصول]]+Table221[[#This Row],[چکهای نزد صندوق]]</f>
        <v>302551000</v>
      </c>
      <c r="G28" s="12">
        <f>IFERROR(INDEX('مانده سوفاله'!F:F,MATCH(Table221[[#This Row],[كد تفصيلي]],'مانده سوفاله'!A:A,0)),0)</f>
        <v>141</v>
      </c>
    </row>
    <row r="29" spans="1:7" ht="27.75" customHeight="1" x14ac:dyDescent="0.35">
      <c r="A29" s="27">
        <v>10002</v>
      </c>
      <c r="B29" s="55" t="s">
        <v>9</v>
      </c>
      <c r="C29" s="10">
        <f>IFERROR(INDEX('حسابهای دریافتنی'!H:H,MATCH(Table221[[#This Row],[كد تفصيلي]],'حسابهای دریافتنی'!A:A,0)),0)</f>
        <v>-3600000000</v>
      </c>
      <c r="D29" s="11">
        <f>IFERROR(INDEX('درجریان وصول'!F:F,MATCH(Table221[[#This Row],[كد تفصيلي]],'درجریان وصول'!A:A,0)),0)</f>
        <v>0</v>
      </c>
      <c r="E29" s="11">
        <f>IFERROR(INDEX('چکهای دریافتنی'!F:F,MATCH(Table221[[#This Row],[كد تفصيلي]],'چکهای دریافتنی'!A:A,0)),0)</f>
        <v>0</v>
      </c>
      <c r="F29" s="11">
        <f>Table221[[#This Row],[حسابهای دریافتنی]]+Table221[[#This Row],[چکهای در جریان وصول]]+Table221[[#This Row],[چکهای نزد صندوق]]</f>
        <v>-3600000000</v>
      </c>
      <c r="G29" s="12">
        <f>IFERROR(INDEX('مانده سوفاله'!F:F,MATCH(Table221[[#This Row],[كد تفصيلي]],'مانده سوفاله'!A:A,0)),0)</f>
        <v>0</v>
      </c>
    </row>
    <row r="30" spans="1:7" ht="27.75" customHeight="1" x14ac:dyDescent="0.35">
      <c r="A30" s="27">
        <v>30055</v>
      </c>
      <c r="B30" s="55" t="s">
        <v>100</v>
      </c>
      <c r="C30" s="10">
        <f>IFERROR(INDEX('حسابهای دریافتنی'!H:H,MATCH(Table221[[#This Row],[كد تفصيلي]],'حسابهای دریافتنی'!A:A,0)),0)</f>
        <v>0</v>
      </c>
      <c r="D30" s="11">
        <f>IFERROR(INDEX('درجریان وصول'!F:F,MATCH(Table221[[#This Row],[كد تفصيلي]],'درجریان وصول'!A:A,0)),0)</f>
        <v>0</v>
      </c>
      <c r="E30" s="11">
        <f>IFERROR(INDEX('چکهای دریافتنی'!F:F,MATCH(Table221[[#This Row],[كد تفصيلي]],'چکهای دریافتنی'!A:A,0)),0)</f>
        <v>0</v>
      </c>
      <c r="F30" s="11">
        <f>Table221[[#This Row],[حسابهای دریافتنی]]+Table221[[#This Row],[چکهای در جریان وصول]]+Table221[[#This Row],[چکهای نزد صندوق]]</f>
        <v>0</v>
      </c>
      <c r="G30" s="12">
        <f>IFERROR(INDEX('مانده سوفاله'!F:F,MATCH(Table221[[#This Row],[كد تفصيلي]],'مانده سوفاله'!A:A,0)),0)</f>
        <v>48</v>
      </c>
    </row>
    <row r="31" spans="1:7" ht="27.75" customHeight="1" x14ac:dyDescent="0.35">
      <c r="A31" s="27">
        <v>10084</v>
      </c>
      <c r="B31" s="55" t="s">
        <v>217</v>
      </c>
      <c r="C31" s="10">
        <f>IFERROR(INDEX('حسابهای دریافتنی'!H:H,MATCH(Table221[[#This Row],[كد تفصيلي]],'حسابهای دریافتنی'!A:A,0)),0)</f>
        <v>358092810</v>
      </c>
      <c r="D31" s="11">
        <f>IFERROR(INDEX('درجریان وصول'!F:F,MATCH(Table221[[#This Row],[كد تفصيلي]],'درجریان وصول'!A:A,0)),0)</f>
        <v>0</v>
      </c>
      <c r="E31" s="11">
        <f>IFERROR(INDEX('چکهای دریافتنی'!F:F,MATCH(Table221[[#This Row],[كد تفصيلي]],'چکهای دریافتنی'!A:A,0)),0)</f>
        <v>870000000</v>
      </c>
      <c r="F31" s="11">
        <f>Table221[[#This Row],[حسابهای دریافتنی]]+Table221[[#This Row],[چکهای در جریان وصول]]+Table221[[#This Row],[چکهای نزد صندوق]]</f>
        <v>1228092810</v>
      </c>
      <c r="G31" s="12">
        <f>IFERROR(INDEX('مانده سوفاله'!F:F,MATCH(Table221[[#This Row],[كد تفصيلي]],'مانده سوفاله'!A:A,0)),0)</f>
        <v>-1656</v>
      </c>
    </row>
    <row r="32" spans="1:7" ht="27.75" customHeight="1" x14ac:dyDescent="0.35">
      <c r="A32" s="26">
        <v>10029</v>
      </c>
      <c r="B32" s="56" t="s">
        <v>35</v>
      </c>
      <c r="C32" s="10">
        <f>IFERROR(INDEX('حسابهای دریافتنی'!H:H,MATCH(Table221[[#This Row],[كد تفصيلي]],'حسابهای دریافتنی'!A:A,0)),0)</f>
        <v>-1038298620</v>
      </c>
      <c r="D32" s="11">
        <f>IFERROR(INDEX('درجریان وصول'!F:F,MATCH(Table221[[#This Row],[كد تفصيلي]],'درجریان وصول'!A:A,0)),0)</f>
        <v>0</v>
      </c>
      <c r="E32" s="11">
        <f>IFERROR(INDEX('چکهای دریافتنی'!F:F,MATCH(Table221[[#This Row],[كد تفصيلي]],'چکهای دریافتنی'!A:A,0)),0)</f>
        <v>2019000000</v>
      </c>
      <c r="F32" s="11">
        <f>Table221[[#This Row],[حسابهای دریافتنی]]+Table221[[#This Row],[چکهای در جریان وصول]]+Table221[[#This Row],[چکهای نزد صندوق]]</f>
        <v>980701380</v>
      </c>
      <c r="G32" s="12">
        <f>IFERROR(INDEX('مانده سوفاله'!F:F,MATCH(Table221[[#This Row],[كد تفصيلي]],'مانده سوفاله'!A:A,0)),0)</f>
        <v>6603</v>
      </c>
    </row>
    <row r="33" spans="1:7" ht="27.75" customHeight="1" x14ac:dyDescent="0.35">
      <c r="A33" s="27">
        <v>30198</v>
      </c>
      <c r="B33" s="55" t="s">
        <v>507</v>
      </c>
      <c r="C33" s="10">
        <f>IFERROR(INDEX('حسابهای دریافتنی'!H:H,MATCH(Table221[[#This Row],[كد تفصيلي]],'حسابهای دریافتنی'!A:A,0)),0)</f>
        <v>0</v>
      </c>
      <c r="D33" s="11">
        <f>IFERROR(INDEX('درجریان وصول'!F:F,MATCH(Table221[[#This Row],[كد تفصيلي]],'درجریان وصول'!A:A,0)),0)</f>
        <v>0</v>
      </c>
      <c r="E33" s="11">
        <f>IFERROR(INDEX('چکهای دریافتنی'!F:F,MATCH(Table221[[#This Row],[كد تفصيلي]],'چکهای دریافتنی'!A:A,0)),0)</f>
        <v>0</v>
      </c>
      <c r="F33" s="11">
        <f>Table221[[#This Row],[حسابهای دریافتنی]]+Table221[[#This Row],[چکهای در جریان وصول]]+Table221[[#This Row],[چکهای نزد صندوق]]</f>
        <v>0</v>
      </c>
      <c r="G33" s="12">
        <f>IFERROR(INDEX('مانده سوفاله'!F:F,MATCH(Table221[[#This Row],[كد تفصيلي]],'مانده سوفاله'!A:A,0)),0)</f>
        <v>0</v>
      </c>
    </row>
    <row r="34" spans="1:7" ht="27.75" customHeight="1" x14ac:dyDescent="0.35">
      <c r="A34" s="26">
        <v>30162</v>
      </c>
      <c r="B34" s="56" t="s">
        <v>301</v>
      </c>
      <c r="C34" s="10">
        <f>IFERROR(INDEX('حسابهای دریافتنی'!H:H,MATCH(Table221[[#This Row],[كد تفصيلي]],'حسابهای دریافتنی'!A:A,0)),0)</f>
        <v>204890235</v>
      </c>
      <c r="D34" s="11">
        <f>IFERROR(INDEX('درجریان وصول'!F:F,MATCH(Table221[[#This Row],[كد تفصيلي]],'درجریان وصول'!A:A,0)),0)</f>
        <v>0</v>
      </c>
      <c r="E34" s="11">
        <f>IFERROR(INDEX('چکهای دریافتنی'!F:F,MATCH(Table221[[#This Row],[كد تفصيلي]],'چکهای دریافتنی'!A:A,0)),0)</f>
        <v>0</v>
      </c>
      <c r="F34" s="11">
        <f>Table221[[#This Row],[حسابهای دریافتنی]]+Table221[[#This Row],[چکهای در جریان وصول]]+Table221[[#This Row],[چکهای نزد صندوق]]</f>
        <v>204890235</v>
      </c>
      <c r="G34" s="12">
        <f>IFERROR(INDEX('مانده سوفاله'!F:F,MATCH(Table221[[#This Row],[كد تفصيلي]],'مانده سوفاله'!A:A,0)),0)</f>
        <v>-251</v>
      </c>
    </row>
    <row r="35" spans="1:7" ht="27.75" customHeight="1" x14ac:dyDescent="0.35">
      <c r="A35" s="26">
        <v>30086</v>
      </c>
      <c r="B35" s="56" t="s">
        <v>131</v>
      </c>
      <c r="C35" s="10">
        <f>IFERROR(INDEX('حسابهای دریافتنی'!H:H,MATCH(Table221[[#This Row],[كد تفصيلي]],'حسابهای دریافتنی'!A:A,0)),0)</f>
        <v>187376603</v>
      </c>
      <c r="D35" s="11">
        <f>IFERROR(INDEX('درجریان وصول'!F:F,MATCH(Table221[[#This Row],[كد تفصيلي]],'درجریان وصول'!A:A,0)),0)</f>
        <v>0</v>
      </c>
      <c r="E35" s="11">
        <f>IFERROR(INDEX('چکهای دریافتنی'!F:F,MATCH(Table221[[#This Row],[كد تفصيلي]],'چکهای دریافتنی'!A:A,0)),0)</f>
        <v>0</v>
      </c>
      <c r="F35" s="11">
        <f>Table221[[#This Row],[حسابهای دریافتنی]]+Table221[[#This Row],[چکهای در جریان وصول]]+Table221[[#This Row],[چکهای نزد صندوق]]</f>
        <v>187376603</v>
      </c>
      <c r="G35" s="12">
        <f>IFERROR(INDEX('مانده سوفاله'!F:F,MATCH(Table221[[#This Row],[كد تفصيلي]],'مانده سوفاله'!A:A,0)),0)</f>
        <v>1549</v>
      </c>
    </row>
    <row r="36" spans="1:7" ht="27.75" customHeight="1" x14ac:dyDescent="0.35">
      <c r="A36" s="27">
        <v>30155</v>
      </c>
      <c r="B36" s="55" t="s">
        <v>289</v>
      </c>
      <c r="C36" s="10">
        <f>IFERROR(INDEX('حسابهای دریافتنی'!H:H,MATCH(Table221[[#This Row],[كد تفصيلي]],'حسابهای دریافتنی'!A:A,0)),0)</f>
        <v>-454985417</v>
      </c>
      <c r="D36" s="11">
        <f>IFERROR(INDEX('درجریان وصول'!F:F,MATCH(Table221[[#This Row],[كد تفصيلي]],'درجریان وصول'!A:A,0)),0)</f>
        <v>0</v>
      </c>
      <c r="E36" s="11">
        <f>IFERROR(INDEX('چکهای دریافتنی'!F:F,MATCH(Table221[[#This Row],[كد تفصيلي]],'چکهای دریافتنی'!A:A,0)),0)</f>
        <v>1379936267</v>
      </c>
      <c r="F36" s="11">
        <f>Table221[[#This Row],[حسابهای دریافتنی]]+Table221[[#This Row],[چکهای در جریان وصول]]+Table221[[#This Row],[چکهای نزد صندوق]]</f>
        <v>924950850</v>
      </c>
      <c r="G36" s="12">
        <f>IFERROR(INDEX('مانده سوفاله'!F:F,MATCH(Table221[[#This Row],[كد تفصيلي]],'مانده سوفاله'!A:A,0)),0)</f>
        <v>0</v>
      </c>
    </row>
    <row r="37" spans="1:7" ht="27.75" customHeight="1" x14ac:dyDescent="0.35">
      <c r="A37" s="26">
        <v>30001</v>
      </c>
      <c r="B37" s="56" t="s">
        <v>190</v>
      </c>
      <c r="C37" s="10">
        <f>IFERROR(INDEX('حسابهای دریافتنی'!H:H,MATCH(Table221[[#This Row],[كد تفصيلي]],'حسابهای دریافتنی'!A:A,0)),0)</f>
        <v>119647176</v>
      </c>
      <c r="D37" s="11">
        <f>IFERROR(INDEX('درجریان وصول'!F:F,MATCH(Table221[[#This Row],[كد تفصيلي]],'درجریان وصول'!A:A,0)),0)</f>
        <v>0</v>
      </c>
      <c r="E37" s="11">
        <f>IFERROR(INDEX('چکهای دریافتنی'!F:F,MATCH(Table221[[#This Row],[كد تفصيلي]],'چکهای دریافتنی'!A:A,0)),0)</f>
        <v>0</v>
      </c>
      <c r="F37" s="11">
        <f>Table221[[#This Row],[حسابهای دریافتنی]]+Table221[[#This Row],[چکهای در جریان وصول]]+Table221[[#This Row],[چکهای نزد صندوق]]</f>
        <v>119647176</v>
      </c>
      <c r="G37" s="12">
        <f>IFERROR(INDEX('مانده سوفاله'!F:F,MATCH(Table221[[#This Row],[كد تفصيلي]],'مانده سوفاله'!A:A,0)),0)</f>
        <v>123</v>
      </c>
    </row>
    <row r="38" spans="1:7" ht="27.75" customHeight="1" x14ac:dyDescent="0.35">
      <c r="A38" s="26">
        <v>10027</v>
      </c>
      <c r="B38" s="56" t="s">
        <v>33</v>
      </c>
      <c r="C38" s="10">
        <f>IFERROR(INDEX('حسابهای دریافتنی'!H:H,MATCH(Table221[[#This Row],[كد تفصيلي]],'حسابهای دریافتنی'!A:A,0)),0)</f>
        <v>33078340</v>
      </c>
      <c r="D38" s="11">
        <f>IFERROR(INDEX('درجریان وصول'!F:F,MATCH(Table221[[#This Row],[كد تفصيلي]],'درجریان وصول'!A:A,0)),0)</f>
        <v>0</v>
      </c>
      <c r="E38" s="11">
        <f>IFERROR(INDEX('چکهای دریافتنی'!F:F,MATCH(Table221[[#This Row],[كد تفصيلي]],'چکهای دریافتنی'!A:A,0)),0)</f>
        <v>1588359160</v>
      </c>
      <c r="F38" s="11">
        <f>Table221[[#This Row],[حسابهای دریافتنی]]+Table221[[#This Row],[چکهای در جریان وصول]]+Table221[[#This Row],[چکهای نزد صندوق]]</f>
        <v>1621437500</v>
      </c>
      <c r="G38" s="12">
        <f>IFERROR(INDEX('مانده سوفاله'!F:F,MATCH(Table221[[#This Row],[كد تفصيلي]],'مانده سوفاله'!A:A,0)),0)</f>
        <v>-647</v>
      </c>
    </row>
    <row r="39" spans="1:7" ht="27.75" customHeight="1" x14ac:dyDescent="0.35">
      <c r="A39" s="27">
        <v>30077</v>
      </c>
      <c r="B39" s="55" t="s">
        <v>122</v>
      </c>
      <c r="C39" s="10">
        <f>IFERROR(INDEX('حسابهای دریافتنی'!H:H,MATCH(Table221[[#This Row],[كد تفصيلي]],'حسابهای دریافتنی'!A:A,0)),0)</f>
        <v>360000</v>
      </c>
      <c r="D39" s="11">
        <f>IFERROR(INDEX('درجریان وصول'!F:F,MATCH(Table221[[#This Row],[كد تفصيلي]],'درجریان وصول'!A:A,0)),0)</f>
        <v>0</v>
      </c>
      <c r="E39" s="11">
        <f>IFERROR(INDEX('چکهای دریافتنی'!F:F,MATCH(Table221[[#This Row],[كد تفصيلي]],'چکهای دریافتنی'!A:A,0)),0)</f>
        <v>0</v>
      </c>
      <c r="F39" s="11">
        <f>Table221[[#This Row],[حسابهای دریافتنی]]+Table221[[#This Row],[چکهای در جریان وصول]]+Table221[[#This Row],[چکهای نزد صندوق]]</f>
        <v>360000</v>
      </c>
      <c r="G39" s="12">
        <f>IFERROR(INDEX('مانده سوفاله'!F:F,MATCH(Table221[[#This Row],[كد تفصيلي]],'مانده سوفاله'!A:A,0)),0)</f>
        <v>-32</v>
      </c>
    </row>
    <row r="40" spans="1:7" ht="27.75" customHeight="1" x14ac:dyDescent="0.35">
      <c r="A40" s="26">
        <v>30140</v>
      </c>
      <c r="B40" s="56" t="s">
        <v>259</v>
      </c>
      <c r="C40" s="10">
        <f>IFERROR(INDEX('حسابهای دریافتنی'!H:H,MATCH(Table221[[#This Row],[كد تفصيلي]],'حسابهای دریافتنی'!A:A,0)),0)</f>
        <v>553728200</v>
      </c>
      <c r="D40" s="11">
        <f>IFERROR(INDEX('درجریان وصول'!F:F,MATCH(Table221[[#This Row],[كد تفصيلي]],'درجریان وصول'!A:A,0)),0)</f>
        <v>0</v>
      </c>
      <c r="E40" s="11">
        <f>IFERROR(INDEX('چکهای دریافتنی'!F:F,MATCH(Table221[[#This Row],[كد تفصيلي]],'چکهای دریافتنی'!A:A,0)),0)</f>
        <v>1030000000</v>
      </c>
      <c r="F40" s="11">
        <f>Table221[[#This Row],[حسابهای دریافتنی]]+Table221[[#This Row],[چکهای در جریان وصول]]+Table221[[#This Row],[چکهای نزد صندوق]]</f>
        <v>1583728200</v>
      </c>
      <c r="G40" s="12">
        <f>IFERROR(INDEX('مانده سوفاله'!F:F,MATCH(Table221[[#This Row],[كد تفصيلي]],'مانده سوفاله'!A:A,0)),0)</f>
        <v>-12630</v>
      </c>
    </row>
    <row r="41" spans="1:7" ht="27.75" customHeight="1" x14ac:dyDescent="0.35">
      <c r="A41" s="27">
        <v>30196</v>
      </c>
      <c r="B41" s="55" t="s">
        <v>481</v>
      </c>
      <c r="C41" s="10">
        <f>IFERROR(INDEX('حسابهای دریافتنی'!H:H,MATCH(Table221[[#This Row],[كد تفصيلي]],'حسابهای دریافتنی'!A:A,0)),0)</f>
        <v>3592950000</v>
      </c>
      <c r="D41" s="11">
        <f>IFERROR(INDEX('درجریان وصول'!F:F,MATCH(Table221[[#This Row],[كد تفصيلي]],'درجریان وصول'!A:A,0)),0)</f>
        <v>0</v>
      </c>
      <c r="E41" s="11">
        <f>IFERROR(INDEX('چکهای دریافتنی'!F:F,MATCH(Table221[[#This Row],[كد تفصيلي]],'چکهای دریافتنی'!A:A,0)),0)</f>
        <v>0</v>
      </c>
      <c r="F41" s="11">
        <f>Table221[[#This Row],[حسابهای دریافتنی]]+Table221[[#This Row],[چکهای در جریان وصول]]+Table221[[#This Row],[چکهای نزد صندوق]]</f>
        <v>3592950000</v>
      </c>
      <c r="G41" s="12">
        <f>IFERROR(INDEX('مانده سوفاله'!F:F,MATCH(Table221[[#This Row],[كد تفصيلي]],'مانده سوفاله'!A:A,0)),0)</f>
        <v>-8965</v>
      </c>
    </row>
    <row r="42" spans="1:7" ht="27.75" customHeight="1" x14ac:dyDescent="0.35">
      <c r="A42" s="26">
        <v>30160</v>
      </c>
      <c r="B42" s="56" t="s">
        <v>296</v>
      </c>
      <c r="C42" s="10">
        <f>IFERROR(INDEX('حسابهای دریافتنی'!H:H,MATCH(Table221[[#This Row],[كد تفصيلي]],'حسابهای دریافتنی'!A:A,0)),0)</f>
        <v>0</v>
      </c>
      <c r="D42" s="11">
        <f>IFERROR(INDEX('درجریان وصول'!F:F,MATCH(Table221[[#This Row],[كد تفصيلي]],'درجریان وصول'!A:A,0)),0)</f>
        <v>0</v>
      </c>
      <c r="E42" s="11">
        <f>IFERROR(INDEX('چکهای دریافتنی'!F:F,MATCH(Table221[[#This Row],[كد تفصيلي]],'چکهای دریافتنی'!A:A,0)),0)</f>
        <v>0</v>
      </c>
      <c r="F42" s="11">
        <f>Table221[[#This Row],[حسابهای دریافتنی]]+Table221[[#This Row],[چکهای در جریان وصول]]+Table221[[#This Row],[چکهای نزد صندوق]]</f>
        <v>0</v>
      </c>
      <c r="G42" s="12">
        <f>IFERROR(INDEX('مانده سوفاله'!F:F,MATCH(Table221[[#This Row],[كد تفصيلي]],'مانده سوفاله'!A:A,0)),0)</f>
        <v>-425</v>
      </c>
    </row>
    <row r="43" spans="1:7" ht="27.75" customHeight="1" x14ac:dyDescent="0.35">
      <c r="A43" s="27">
        <v>10096</v>
      </c>
      <c r="B43" s="55" t="s">
        <v>271</v>
      </c>
      <c r="C43" s="10">
        <f>IFERROR(INDEX('حسابهای دریافتنی'!H:H,MATCH(Table221[[#This Row],[كد تفصيلي]],'حسابهای دریافتنی'!A:A,0)),0)</f>
        <v>36455500</v>
      </c>
      <c r="D43" s="11">
        <f>IFERROR(INDEX('درجریان وصول'!F:F,MATCH(Table221[[#This Row],[كد تفصيلي]],'درجریان وصول'!A:A,0)),0)</f>
        <v>0</v>
      </c>
      <c r="E43" s="11">
        <f>IFERROR(INDEX('چکهای دریافتنی'!F:F,MATCH(Table221[[#This Row],[كد تفصيلي]],'چکهای دریافتنی'!A:A,0)),0)</f>
        <v>0</v>
      </c>
      <c r="F43" s="11">
        <f>Table221[[#This Row],[حسابهای دریافتنی]]+Table221[[#This Row],[چکهای در جریان وصول]]+Table221[[#This Row],[چکهای نزد صندوق]]</f>
        <v>36455500</v>
      </c>
      <c r="G43" s="12">
        <f>IFERROR(INDEX('مانده سوفاله'!F:F,MATCH(Table221[[#This Row],[كد تفصيلي]],'مانده سوفاله'!A:A,0)),0)</f>
        <v>0</v>
      </c>
    </row>
    <row r="44" spans="1:7" ht="27.75" customHeight="1" x14ac:dyDescent="0.35">
      <c r="A44" s="26">
        <v>30025</v>
      </c>
      <c r="B44" s="56" t="s">
        <v>73</v>
      </c>
      <c r="C44" s="10">
        <f>IFERROR(INDEX('حسابهای دریافتنی'!H:H,MATCH(Table221[[#This Row],[كد تفصيلي]],'حسابهای دریافتنی'!A:A,0)),0)</f>
        <v>35598920</v>
      </c>
      <c r="D44" s="11">
        <f>IFERROR(INDEX('درجریان وصول'!F:F,MATCH(Table221[[#This Row],[كد تفصيلي]],'درجریان وصول'!A:A,0)),0)</f>
        <v>0</v>
      </c>
      <c r="E44" s="11">
        <f>IFERROR(INDEX('چکهای دریافتنی'!F:F,MATCH(Table221[[#This Row],[كد تفصيلي]],'چکهای دریافتنی'!A:A,0)),0)</f>
        <v>0</v>
      </c>
      <c r="F44" s="11">
        <f>Table221[[#This Row],[حسابهای دریافتنی]]+Table221[[#This Row],[چکهای در جریان وصول]]+Table221[[#This Row],[چکهای نزد صندوق]]</f>
        <v>35598920</v>
      </c>
      <c r="G44" s="12">
        <f>IFERROR(INDEX('مانده سوفاله'!F:F,MATCH(Table221[[#This Row],[كد تفصيلي]],'مانده سوفاله'!A:A,0)),0)</f>
        <v>-165</v>
      </c>
    </row>
    <row r="45" spans="1:7" ht="27.75" customHeight="1" x14ac:dyDescent="0.35">
      <c r="A45" s="26">
        <v>30005</v>
      </c>
      <c r="B45" s="56" t="s">
        <v>55</v>
      </c>
      <c r="C45" s="10">
        <f>IFERROR(INDEX('حسابهای دریافتنی'!H:H,MATCH(Table221[[#This Row],[كد تفصيلي]],'حسابهای دریافتنی'!A:A,0)),0)</f>
        <v>35368209</v>
      </c>
      <c r="D45" s="11">
        <f>IFERROR(INDEX('درجریان وصول'!F:F,MATCH(Table221[[#This Row],[كد تفصيلي]],'درجریان وصول'!A:A,0)),0)</f>
        <v>0</v>
      </c>
      <c r="E45" s="11">
        <f>IFERROR(INDEX('چکهای دریافتنی'!F:F,MATCH(Table221[[#This Row],[كد تفصيلي]],'چکهای دریافتنی'!A:A,0)),0)</f>
        <v>0</v>
      </c>
      <c r="F45" s="11">
        <f>Table221[[#This Row],[حسابهای دریافتنی]]+Table221[[#This Row],[چکهای در جریان وصول]]+Table221[[#This Row],[چکهای نزد صندوق]]</f>
        <v>35368209</v>
      </c>
      <c r="G45" s="12">
        <f>IFERROR(INDEX('مانده سوفاله'!F:F,MATCH(Table221[[#This Row],[كد تفصيلي]],'مانده سوفاله'!A:A,0)),0)</f>
        <v>61</v>
      </c>
    </row>
    <row r="46" spans="1:7" ht="27.75" customHeight="1" x14ac:dyDescent="0.35">
      <c r="A46" s="27">
        <v>30093</v>
      </c>
      <c r="B46" s="55" t="s">
        <v>151</v>
      </c>
      <c r="C46" s="10">
        <f>IFERROR(INDEX('حسابهای دریافتنی'!H:H,MATCH(Table221[[#This Row],[كد تفصيلي]],'حسابهای دریافتنی'!A:A,0)),0)</f>
        <v>0</v>
      </c>
      <c r="D46" s="11">
        <f>IFERROR(INDEX('درجریان وصول'!F:F,MATCH(Table221[[#This Row],[كد تفصيلي]],'درجریان وصول'!A:A,0)),0)</f>
        <v>0</v>
      </c>
      <c r="E46" s="11">
        <f>IFERROR(INDEX('چکهای دریافتنی'!F:F,MATCH(Table221[[#This Row],[كد تفصيلي]],'چکهای دریافتنی'!A:A,0)),0)</f>
        <v>0</v>
      </c>
      <c r="F46" s="11">
        <f>Table221[[#This Row],[حسابهای دریافتنی]]+Table221[[#This Row],[چکهای در جریان وصول]]+Table221[[#This Row],[چکهای نزد صندوق]]</f>
        <v>0</v>
      </c>
      <c r="G46" s="12">
        <v>77</v>
      </c>
    </row>
    <row r="47" spans="1:7" ht="27.75" customHeight="1" x14ac:dyDescent="0.35">
      <c r="A47" s="27">
        <v>10070</v>
      </c>
      <c r="B47" s="55" t="s">
        <v>230</v>
      </c>
      <c r="C47" s="10">
        <f>IFERROR(INDEX('حسابهای دریافتنی'!H:H,MATCH(Table221[[#This Row],[كد تفصيلي]],'حسابهای دریافتنی'!A:A,0)),0)</f>
        <v>508152500</v>
      </c>
      <c r="D47" s="11">
        <f>IFERROR(INDEX('درجریان وصول'!F:F,MATCH(Table221[[#This Row],[كد تفصيلي]],'درجریان وصول'!A:A,0)),0)</f>
        <v>0</v>
      </c>
      <c r="E47" s="11">
        <f>IFERROR(INDEX('چکهای دریافتنی'!F:F,MATCH(Table221[[#This Row],[كد تفصيلي]],'چکهای دریافتنی'!A:A,0)),0)</f>
        <v>570000000</v>
      </c>
      <c r="F47" s="11">
        <f>Table221[[#This Row],[حسابهای دریافتنی]]+Table221[[#This Row],[چکهای در جریان وصول]]+Table221[[#This Row],[چکهای نزد صندوق]]</f>
        <v>1078152500</v>
      </c>
      <c r="G47" s="12">
        <f>IFERROR(INDEX('مانده سوفاله'!F:F,MATCH(Table221[[#This Row],[كد تفصيلي]],'مانده سوفاله'!A:A,0)),0)</f>
        <v>-3170</v>
      </c>
    </row>
    <row r="48" spans="1:7" ht="27.75" customHeight="1" x14ac:dyDescent="0.35">
      <c r="A48" s="27">
        <v>30101</v>
      </c>
      <c r="B48" s="55" t="s">
        <v>196</v>
      </c>
      <c r="C48" s="10">
        <f>IFERROR(INDEX('حسابهای دریافتنی'!H:H,MATCH(Table221[[#This Row],[كد تفصيلي]],'حسابهای دریافتنی'!A:A,0)),0)</f>
        <v>203336095</v>
      </c>
      <c r="D48" s="11">
        <f>IFERROR(INDEX('درجریان وصول'!F:F,MATCH(Table221[[#This Row],[كد تفصيلي]],'درجریان وصول'!A:A,0)),0)</f>
        <v>0</v>
      </c>
      <c r="E48" s="11">
        <f>IFERROR(INDEX('چکهای دریافتنی'!F:F,MATCH(Table221[[#This Row],[كد تفصيلي]],'چکهای دریافتنی'!A:A,0)),0)</f>
        <v>0</v>
      </c>
      <c r="F48" s="11">
        <f>Table221[[#This Row],[حسابهای دریافتنی]]+Table221[[#This Row],[چکهای در جریان وصول]]+Table221[[#This Row],[چکهای نزد صندوق]]</f>
        <v>203336095</v>
      </c>
      <c r="G48" s="12">
        <f>IFERROR(INDEX('مانده سوفاله'!F:F,MATCH(Table221[[#This Row],[كد تفصيلي]],'مانده سوفاله'!A:A,0)),0)</f>
        <v>15</v>
      </c>
    </row>
    <row r="49" spans="1:7" ht="27.75" customHeight="1" x14ac:dyDescent="0.35">
      <c r="A49" s="26">
        <v>10091</v>
      </c>
      <c r="B49" s="56" t="s">
        <v>258</v>
      </c>
      <c r="C49" s="10">
        <f>IFERROR(INDEX('حسابهای دریافتنی'!H:H,MATCH(Table221[[#This Row],[كد تفصيلي]],'حسابهای دریافتنی'!A:A,0)),0)</f>
        <v>59321500</v>
      </c>
      <c r="D49" s="11">
        <f>IFERROR(INDEX('درجریان وصول'!F:F,MATCH(Table221[[#This Row],[كد تفصيلي]],'درجریان وصول'!A:A,0)),0)</f>
        <v>0</v>
      </c>
      <c r="E49" s="11">
        <f>IFERROR(INDEX('چکهای دریافتنی'!F:F,MATCH(Table221[[#This Row],[كد تفصيلي]],'چکهای دریافتنی'!A:A,0)),0)</f>
        <v>0</v>
      </c>
      <c r="F49" s="11">
        <f>Table221[[#This Row],[حسابهای دریافتنی]]+Table221[[#This Row],[چکهای در جریان وصول]]+Table221[[#This Row],[چکهای نزد صندوق]]</f>
        <v>59321500</v>
      </c>
      <c r="G49" s="12">
        <f>IFERROR(INDEX('مانده سوفاله'!F:F,MATCH(Table221[[#This Row],[كد تفصيلي]],'مانده سوفاله'!A:A,0)),0)</f>
        <v>0</v>
      </c>
    </row>
    <row r="50" spans="1:7" ht="27.75" customHeight="1" x14ac:dyDescent="0.35">
      <c r="A50" s="27">
        <v>30008</v>
      </c>
      <c r="B50" s="55" t="s">
        <v>58</v>
      </c>
      <c r="C50" s="10">
        <f>IFERROR(INDEX('حسابهای دریافتنی'!H:H,MATCH(Table221[[#This Row],[كد تفصيلي]],'حسابهای دریافتنی'!A:A,0)),0)</f>
        <v>15520000</v>
      </c>
      <c r="D50" s="11">
        <f>IFERROR(INDEX('درجریان وصول'!F:F,MATCH(Table221[[#This Row],[كد تفصيلي]],'درجریان وصول'!A:A,0)),0)</f>
        <v>0</v>
      </c>
      <c r="E50" s="11">
        <f>IFERROR(INDEX('چکهای دریافتنی'!F:F,MATCH(Table221[[#This Row],[كد تفصيلي]],'چکهای دریافتنی'!A:A,0)),0)</f>
        <v>0</v>
      </c>
      <c r="F50" s="11">
        <f>Table221[[#This Row],[حسابهای دریافتنی]]+Table221[[#This Row],[چکهای در جریان وصول]]+Table221[[#This Row],[چکهای نزد صندوق]]</f>
        <v>15520000</v>
      </c>
      <c r="G50" s="12">
        <f>IFERROR(INDEX('مانده سوفاله'!F:F,MATCH(Table221[[#This Row],[كد تفصيلي]],'مانده سوفاله'!A:A,0)),0)</f>
        <v>0</v>
      </c>
    </row>
    <row r="51" spans="1:7" ht="27.75" customHeight="1" x14ac:dyDescent="0.35">
      <c r="A51" s="26">
        <v>10007</v>
      </c>
      <c r="B51" s="56" t="s">
        <v>14</v>
      </c>
      <c r="C51" s="10">
        <f>IFERROR(INDEX('حسابهای دریافتنی'!H:H,MATCH(Table221[[#This Row],[كد تفصيلي]],'حسابهای دریافتنی'!A:A,0)),0)</f>
        <v>12770000</v>
      </c>
      <c r="D51" s="11">
        <f>IFERROR(INDEX('درجریان وصول'!F:F,MATCH(Table221[[#This Row],[كد تفصيلي]],'درجریان وصول'!A:A,0)),0)</f>
        <v>0</v>
      </c>
      <c r="E51" s="11">
        <f>IFERROR(INDEX('چکهای دریافتنی'!F:F,MATCH(Table221[[#This Row],[كد تفصيلي]],'چکهای دریافتنی'!A:A,0)),0)</f>
        <v>0</v>
      </c>
      <c r="F51" s="11">
        <f>Table221[[#This Row],[حسابهای دریافتنی]]+Table221[[#This Row],[چکهای در جریان وصول]]+Table221[[#This Row],[چکهای نزد صندوق]]</f>
        <v>12770000</v>
      </c>
      <c r="G51" s="12">
        <f>IFERROR(INDEX('مانده سوفاله'!F:F,MATCH(Table221[[#This Row],[كد تفصيلي]],'مانده سوفاله'!A:A,0)),0)</f>
        <v>-52.5</v>
      </c>
    </row>
    <row r="52" spans="1:7" ht="27.75" customHeight="1" x14ac:dyDescent="0.35">
      <c r="A52" s="27">
        <v>30145</v>
      </c>
      <c r="B52" s="55" t="s">
        <v>265</v>
      </c>
      <c r="C52" s="10">
        <f>IFERROR(INDEX('حسابهای دریافتنی'!H:H,MATCH(Table221[[#This Row],[كد تفصيلي]],'حسابهای دریافتنی'!A:A,0)),0)</f>
        <v>6442500</v>
      </c>
      <c r="D52" s="11">
        <f>IFERROR(INDEX('درجریان وصول'!F:F,MATCH(Table221[[#This Row],[كد تفصيلي]],'درجریان وصول'!A:A,0)),0)</f>
        <v>0</v>
      </c>
      <c r="E52" s="11">
        <f>IFERROR(INDEX('چکهای دریافتنی'!F:F,MATCH(Table221[[#This Row],[كد تفصيلي]],'چکهای دریافتنی'!A:A,0)),0)</f>
        <v>0</v>
      </c>
      <c r="F52" s="11">
        <f>Table221[[#This Row],[حسابهای دریافتنی]]+Table221[[#This Row],[چکهای در جریان وصول]]+Table221[[#This Row],[چکهای نزد صندوق]]</f>
        <v>6442500</v>
      </c>
      <c r="G52" s="12">
        <f>IFERROR(INDEX('مانده سوفاله'!F:F,MATCH(Table221[[#This Row],[كد تفصيلي]],'مانده سوفاله'!A:A,0)),0)</f>
        <v>0</v>
      </c>
    </row>
    <row r="53" spans="1:7" ht="27.75" customHeight="1" x14ac:dyDescent="0.35">
      <c r="A53" s="26">
        <v>30047</v>
      </c>
      <c r="B53" s="56" t="s">
        <v>94</v>
      </c>
      <c r="C53" s="10">
        <f>IFERROR(INDEX('حسابهای دریافتنی'!H:H,MATCH(Table221[[#This Row],[كد تفصيلي]],'حسابهای دریافتنی'!A:A,0)),0)</f>
        <v>5794900</v>
      </c>
      <c r="D53" s="11">
        <f>IFERROR(INDEX('درجریان وصول'!F:F,MATCH(Table221[[#This Row],[كد تفصيلي]],'درجریان وصول'!A:A,0)),0)</f>
        <v>0</v>
      </c>
      <c r="E53" s="11">
        <f>IFERROR(INDEX('چکهای دریافتنی'!F:F,MATCH(Table221[[#This Row],[كد تفصيلي]],'چکهای دریافتنی'!A:A,0)),0)</f>
        <v>0</v>
      </c>
      <c r="F53" s="11">
        <f>Table221[[#This Row],[حسابهای دریافتنی]]+Table221[[#This Row],[چکهای در جریان وصول]]+Table221[[#This Row],[چکهای نزد صندوق]]</f>
        <v>5794900</v>
      </c>
      <c r="G53" s="12">
        <f>IFERROR(INDEX('مانده سوفاله'!F:F,MATCH(Table221[[#This Row],[كد تفصيلي]],'مانده سوفاله'!A:A,0)),0)</f>
        <v>-630</v>
      </c>
    </row>
    <row r="54" spans="1:7" ht="27.75" customHeight="1" x14ac:dyDescent="0.35">
      <c r="A54" s="26">
        <v>30011</v>
      </c>
      <c r="B54" s="56" t="s">
        <v>60</v>
      </c>
      <c r="C54" s="10">
        <f>IFERROR(INDEX('حسابهای دریافتنی'!H:H,MATCH(Table221[[#This Row],[كد تفصيلي]],'حسابهای دریافتنی'!A:A,0)),0)</f>
        <v>5595200</v>
      </c>
      <c r="D54" s="11">
        <f>IFERROR(INDEX('درجریان وصول'!F:F,MATCH(Table221[[#This Row],[كد تفصيلي]],'درجریان وصول'!A:A,0)),0)</f>
        <v>0</v>
      </c>
      <c r="E54" s="11">
        <f>IFERROR(INDEX('چکهای دریافتنی'!F:F,MATCH(Table221[[#This Row],[كد تفصيلي]],'چکهای دریافتنی'!A:A,0)),0)</f>
        <v>0</v>
      </c>
      <c r="F54" s="11">
        <f>Table221[[#This Row],[حسابهای دریافتنی]]+Table221[[#This Row],[چکهای در جریان وصول]]+Table221[[#This Row],[چکهای نزد صندوق]]</f>
        <v>5595200</v>
      </c>
      <c r="G54" s="12">
        <f>IFERROR(INDEX('مانده سوفاله'!F:F,MATCH(Table221[[#This Row],[كد تفصيلي]],'مانده سوفاله'!A:A,0)),0)</f>
        <v>-5</v>
      </c>
    </row>
    <row r="55" spans="1:7" ht="27.75" customHeight="1" x14ac:dyDescent="0.35">
      <c r="A55" s="27">
        <v>10080</v>
      </c>
      <c r="B55" s="55" t="s">
        <v>214</v>
      </c>
      <c r="C55" s="10">
        <f>IFERROR(INDEX('حسابهای دریافتنی'!H:H,MATCH(Table221[[#This Row],[كد تفصيلي]],'حسابهای دریافتنی'!A:A,0)),0)</f>
        <v>5395000</v>
      </c>
      <c r="D55" s="11">
        <f>IFERROR(INDEX('درجریان وصول'!F:F,MATCH(Table221[[#This Row],[كد تفصيلي]],'درجریان وصول'!A:A,0)),0)</f>
        <v>0</v>
      </c>
      <c r="E55" s="11">
        <f>IFERROR(INDEX('چکهای دریافتنی'!F:F,MATCH(Table221[[#This Row],[كد تفصيلي]],'چکهای دریافتنی'!A:A,0)),0)</f>
        <v>0</v>
      </c>
      <c r="F55" s="11">
        <f>Table221[[#This Row],[حسابهای دریافتنی]]+Table221[[#This Row],[چکهای در جریان وصول]]+Table221[[#This Row],[چکهای نزد صندوق]]</f>
        <v>5395000</v>
      </c>
      <c r="G55" s="12">
        <f>IFERROR(INDEX('مانده سوفاله'!F:F,MATCH(Table221[[#This Row],[كد تفصيلي]],'مانده سوفاله'!A:A,0)),0)</f>
        <v>0</v>
      </c>
    </row>
    <row r="56" spans="1:7" ht="27.75" customHeight="1" x14ac:dyDescent="0.35">
      <c r="A56" s="26">
        <v>30114</v>
      </c>
      <c r="B56" s="56" t="s">
        <v>175</v>
      </c>
      <c r="C56" s="10">
        <f>IFERROR(INDEX('حسابهای دریافتنی'!H:H,MATCH(Table221[[#This Row],[كد تفصيلي]],'حسابهای دریافتنی'!A:A,0)),0)</f>
        <v>5385600</v>
      </c>
      <c r="D56" s="11">
        <f>IFERROR(INDEX('درجریان وصول'!F:F,MATCH(Table221[[#This Row],[كد تفصيلي]],'درجریان وصول'!A:A,0)),0)</f>
        <v>0</v>
      </c>
      <c r="E56" s="11">
        <f>IFERROR(INDEX('چکهای دریافتنی'!F:F,MATCH(Table221[[#This Row],[كد تفصيلي]],'چکهای دریافتنی'!A:A,0)),0)</f>
        <v>0</v>
      </c>
      <c r="F56" s="11">
        <f>Table221[[#This Row],[حسابهای دریافتنی]]+Table221[[#This Row],[چکهای در جریان وصول]]+Table221[[#This Row],[چکهای نزد صندوق]]</f>
        <v>5385600</v>
      </c>
      <c r="G56" s="12">
        <f>IFERROR(INDEX('مانده سوفاله'!F:F,MATCH(Table221[[#This Row],[كد تفصيلي]],'مانده سوفاله'!A:A,0)),0)</f>
        <v>0</v>
      </c>
    </row>
    <row r="57" spans="1:7" ht="27.75" customHeight="1" x14ac:dyDescent="0.35">
      <c r="A57" s="27">
        <v>30123</v>
      </c>
      <c r="B57" s="55" t="s">
        <v>208</v>
      </c>
      <c r="C57" s="10">
        <f>IFERROR(INDEX('حسابهای دریافتنی'!H:H,MATCH(Table221[[#This Row],[كد تفصيلي]],'حسابهای دریافتنی'!A:A,0)),0)</f>
        <v>4138250</v>
      </c>
      <c r="D57" s="11">
        <f>IFERROR(INDEX('درجریان وصول'!F:F,MATCH(Table221[[#This Row],[كد تفصيلي]],'درجریان وصول'!A:A,0)),0)</f>
        <v>0</v>
      </c>
      <c r="E57" s="11">
        <f>IFERROR(INDEX('چکهای دریافتنی'!F:F,MATCH(Table221[[#This Row],[كد تفصيلي]],'چکهای دریافتنی'!A:A,0)),0)</f>
        <v>0</v>
      </c>
      <c r="F57" s="11">
        <f>Table221[[#This Row],[حسابهای دریافتنی]]+Table221[[#This Row],[چکهای در جریان وصول]]+Table221[[#This Row],[چکهای نزد صندوق]]</f>
        <v>4138250</v>
      </c>
      <c r="G57" s="12">
        <f>IFERROR(INDEX('مانده سوفاله'!F:F,MATCH(Table221[[#This Row],[كد تفصيلي]],'مانده سوفاله'!A:A,0)),0)</f>
        <v>-20</v>
      </c>
    </row>
    <row r="58" spans="1:7" ht="27.75" customHeight="1" x14ac:dyDescent="0.35">
      <c r="A58" s="26">
        <v>10116</v>
      </c>
      <c r="B58" s="56" t="s">
        <v>321</v>
      </c>
      <c r="C58" s="10">
        <f>IFERROR(INDEX('حسابهای دریافتنی'!H:H,MATCH(Table221[[#This Row],[كد تفصيلي]],'حسابهای دریافتنی'!A:A,0)),0)</f>
        <v>3892500</v>
      </c>
      <c r="D58" s="11">
        <f>IFERROR(INDEX('درجریان وصول'!F:F,MATCH(Table221[[#This Row],[كد تفصيلي]],'درجریان وصول'!A:A,0)),0)</f>
        <v>0</v>
      </c>
      <c r="E58" s="11">
        <f>IFERROR(INDEX('چکهای دریافتنی'!F:F,MATCH(Table221[[#This Row],[كد تفصيلي]],'چکهای دریافتنی'!A:A,0)),0)</f>
        <v>0</v>
      </c>
      <c r="F58" s="11">
        <f>Table221[[#This Row],[حسابهای دریافتنی]]+Table221[[#This Row],[چکهای در جریان وصول]]+Table221[[#This Row],[چکهای نزد صندوق]]</f>
        <v>3892500</v>
      </c>
      <c r="G58" s="12">
        <f>IFERROR(INDEX('مانده سوفاله'!F:F,MATCH(Table221[[#This Row],[كد تفصيلي]],'مانده سوفاله'!A:A,0)),0)</f>
        <v>0</v>
      </c>
    </row>
    <row r="59" spans="1:7" ht="27.75" customHeight="1" x14ac:dyDescent="0.35">
      <c r="A59" s="27">
        <v>10004</v>
      </c>
      <c r="B59" s="55" t="s">
        <v>11</v>
      </c>
      <c r="C59" s="10">
        <f>IFERROR(INDEX('حسابهای دریافتنی'!H:H,MATCH(Table221[[#This Row],[كد تفصيلي]],'حسابهای دریافتنی'!A:A,0)),0)</f>
        <v>853000</v>
      </c>
      <c r="D59" s="11">
        <f>IFERROR(INDEX('درجریان وصول'!F:F,MATCH(Table221[[#This Row],[كد تفصيلي]],'درجریان وصول'!A:A,0)),0)</f>
        <v>0</v>
      </c>
      <c r="E59" s="11">
        <f>IFERROR(INDEX('چکهای دریافتنی'!F:F,MATCH(Table221[[#This Row],[كد تفصيلي]],'چکهای دریافتنی'!A:A,0)),0)</f>
        <v>341000000</v>
      </c>
      <c r="F59" s="11">
        <f>Table221[[#This Row],[حسابهای دریافتنی]]+Table221[[#This Row],[چکهای در جریان وصول]]+Table221[[#This Row],[چکهای نزد صندوق]]</f>
        <v>341853000</v>
      </c>
      <c r="G59" s="12">
        <f>IFERROR(INDEX('مانده سوفاله'!F:F,MATCH(Table221[[#This Row],[كد تفصيلي]],'مانده سوفاله'!A:A,0)),0)</f>
        <v>-12</v>
      </c>
    </row>
    <row r="60" spans="1:7" ht="27.75" customHeight="1" x14ac:dyDescent="0.35">
      <c r="A60" s="26">
        <v>10101</v>
      </c>
      <c r="B60" s="56" t="s">
        <v>281</v>
      </c>
      <c r="C60" s="10">
        <f>IFERROR(INDEX('حسابهای دریافتنی'!H:H,MATCH(Table221[[#This Row],[كد تفصيلي]],'حسابهای دریافتنی'!A:A,0)),0)</f>
        <v>0</v>
      </c>
      <c r="D60" s="11">
        <f>IFERROR(INDEX('درجریان وصول'!F:F,MATCH(Table221[[#This Row],[كد تفصيلي]],'درجریان وصول'!A:A,0)),0)</f>
        <v>0</v>
      </c>
      <c r="E60" s="11">
        <f>IFERROR(INDEX('چکهای دریافتنی'!F:F,MATCH(Table221[[#This Row],[كد تفصيلي]],'چکهای دریافتنی'!A:A,0)),0)</f>
        <v>0</v>
      </c>
      <c r="F60" s="11">
        <f>Table221[[#This Row],[حسابهای دریافتنی]]+Table221[[#This Row],[چکهای در جریان وصول]]+Table221[[#This Row],[چکهای نزد صندوق]]</f>
        <v>0</v>
      </c>
      <c r="G60" s="12">
        <f>IFERROR(INDEX('مانده سوفاله'!F:F,MATCH(Table221[[#This Row],[كد تفصيلي]],'مانده سوفاله'!A:A,0)),0)</f>
        <v>0</v>
      </c>
    </row>
    <row r="61" spans="1:7" ht="27.75" customHeight="1" x14ac:dyDescent="0.35">
      <c r="A61" s="27">
        <v>10030</v>
      </c>
      <c r="B61" s="55" t="s">
        <v>36</v>
      </c>
      <c r="C61" s="10">
        <f>IFERROR(INDEX('حسابهای دریافتنی'!H:H,MATCH(Table221[[#This Row],[كد تفصيلي]],'حسابهای دریافتنی'!A:A,0)),0)</f>
        <v>3272000</v>
      </c>
      <c r="D61" s="11">
        <f>IFERROR(INDEX('درجریان وصول'!F:F,MATCH(Table221[[#This Row],[كد تفصيلي]],'درجریان وصول'!A:A,0)),0)</f>
        <v>0</v>
      </c>
      <c r="E61" s="11">
        <f>IFERROR(INDEX('چکهای دریافتنی'!F:F,MATCH(Table221[[#This Row],[كد تفصيلي]],'چکهای دریافتنی'!A:A,0)),0)</f>
        <v>0</v>
      </c>
      <c r="F61" s="11">
        <f>Table221[[#This Row],[حسابهای دریافتنی]]+Table221[[#This Row],[چکهای در جریان وصول]]+Table221[[#This Row],[چکهای نزد صندوق]]</f>
        <v>3272000</v>
      </c>
      <c r="G61" s="12">
        <f>IFERROR(INDEX('مانده سوفاله'!F:F,MATCH(Table221[[#This Row],[كد تفصيلي]],'مانده سوفاله'!A:A,0)),0)</f>
        <v>-222</v>
      </c>
    </row>
    <row r="62" spans="1:7" ht="27.75" customHeight="1" x14ac:dyDescent="0.35">
      <c r="A62" s="26">
        <v>30178</v>
      </c>
      <c r="B62" s="56" t="s">
        <v>335</v>
      </c>
      <c r="C62" s="10">
        <f>IFERROR(INDEX('حسابهای دریافتنی'!H:H,MATCH(Table221[[#This Row],[كد تفصيلي]],'حسابهای دریافتنی'!A:A,0)),0)</f>
        <v>3040000</v>
      </c>
      <c r="D62" s="11">
        <f>IFERROR(INDEX('درجریان وصول'!F:F,MATCH(Table221[[#This Row],[كد تفصيلي]],'درجریان وصول'!A:A,0)),0)</f>
        <v>0</v>
      </c>
      <c r="E62" s="11">
        <f>IFERROR(INDEX('چکهای دریافتنی'!F:F,MATCH(Table221[[#This Row],[كد تفصيلي]],'چکهای دریافتنی'!A:A,0)),0)</f>
        <v>0</v>
      </c>
      <c r="F62" s="11">
        <f>Table221[[#This Row],[حسابهای دریافتنی]]+Table221[[#This Row],[چکهای در جریان وصول]]+Table221[[#This Row],[چکهای نزد صندوق]]</f>
        <v>3040000</v>
      </c>
      <c r="G62" s="12">
        <f>IFERROR(INDEX('مانده سوفاله'!F:F,MATCH(Table221[[#This Row],[كد تفصيلي]],'مانده سوفاله'!A:A,0)),0)</f>
        <v>0</v>
      </c>
    </row>
    <row r="63" spans="1:7" ht="27.75" customHeight="1" x14ac:dyDescent="0.35">
      <c r="A63" s="27">
        <v>30020</v>
      </c>
      <c r="B63" s="55" t="s">
        <v>68</v>
      </c>
      <c r="C63" s="10">
        <f>IFERROR(INDEX('حسابهای دریافتنی'!H:H,MATCH(Table221[[#This Row],[كد تفصيلي]],'حسابهای دریافتنی'!A:A,0)),0)</f>
        <v>2253500</v>
      </c>
      <c r="D63" s="11">
        <f>IFERROR(INDEX('درجریان وصول'!F:F,MATCH(Table221[[#This Row],[كد تفصيلي]],'درجریان وصول'!A:A,0)),0)</f>
        <v>0</v>
      </c>
      <c r="E63" s="11">
        <f>IFERROR(INDEX('چکهای دریافتنی'!F:F,MATCH(Table221[[#This Row],[كد تفصيلي]],'چکهای دریافتنی'!A:A,0)),0)</f>
        <v>0</v>
      </c>
      <c r="F63" s="11">
        <f>Table221[[#This Row],[حسابهای دریافتنی]]+Table221[[#This Row],[چکهای در جریان وصول]]+Table221[[#This Row],[چکهای نزد صندوق]]</f>
        <v>2253500</v>
      </c>
      <c r="G63" s="12">
        <f>IFERROR(INDEX('مانده سوفاله'!F:F,MATCH(Table221[[#This Row],[كد تفصيلي]],'مانده سوفاله'!A:A,0)),0)</f>
        <v>4</v>
      </c>
    </row>
    <row r="64" spans="1:7" ht="27.75" customHeight="1" x14ac:dyDescent="0.35">
      <c r="A64" s="26">
        <v>30084</v>
      </c>
      <c r="B64" s="56" t="s">
        <v>129</v>
      </c>
      <c r="C64" s="10">
        <f>IFERROR(INDEX('حسابهای دریافتنی'!H:H,MATCH(Table221[[#This Row],[كد تفصيلي]],'حسابهای دریافتنی'!A:A,0)),0)</f>
        <v>1220000</v>
      </c>
      <c r="D64" s="11">
        <f>IFERROR(INDEX('درجریان وصول'!F:F,MATCH(Table221[[#This Row],[كد تفصيلي]],'درجریان وصول'!A:A,0)),0)</f>
        <v>0</v>
      </c>
      <c r="E64" s="11">
        <f>IFERROR(INDEX('چکهای دریافتنی'!F:F,MATCH(Table221[[#This Row],[كد تفصيلي]],'چکهای دریافتنی'!A:A,0)),0)</f>
        <v>0</v>
      </c>
      <c r="F64" s="11">
        <f>Table221[[#This Row],[حسابهای دریافتنی]]+Table221[[#This Row],[چکهای در جریان وصول]]+Table221[[#This Row],[چکهای نزد صندوق]]</f>
        <v>1220000</v>
      </c>
      <c r="G64" s="12">
        <f>IFERROR(INDEX('مانده سوفاله'!F:F,MATCH(Table221[[#This Row],[كد تفصيلي]],'مانده سوفاله'!A:A,0)),0)</f>
        <v>0</v>
      </c>
    </row>
    <row r="65" spans="1:7" ht="27.75" customHeight="1" x14ac:dyDescent="0.35">
      <c r="A65" s="27">
        <v>79055</v>
      </c>
      <c r="B65" s="55" t="s">
        <v>297</v>
      </c>
      <c r="C65" s="10">
        <f>IFERROR(INDEX('حسابهای دریافتنی'!H:H,MATCH(Table221[[#This Row],[كد تفصيلي]],'حسابهای دریافتنی'!A:A,0)),0)</f>
        <v>896500</v>
      </c>
      <c r="D65" s="11">
        <f>IFERROR(INDEX('درجریان وصول'!F:F,MATCH(Table221[[#This Row],[كد تفصيلي]],'درجریان وصول'!A:A,0)),0)</f>
        <v>0</v>
      </c>
      <c r="E65" s="11">
        <f>IFERROR(INDEX('چکهای دریافتنی'!F:F,MATCH(Table221[[#This Row],[كد تفصيلي]],'چکهای دریافتنی'!A:A,0)),0)</f>
        <v>0</v>
      </c>
      <c r="F65" s="11">
        <f>Table221[[#This Row],[حسابهای دریافتنی]]+Table221[[#This Row],[چکهای در جریان وصول]]+Table221[[#This Row],[چکهای نزد صندوق]]</f>
        <v>896500</v>
      </c>
      <c r="G65" s="12">
        <f>IFERROR(INDEX('مانده سوفاله'!F:F,MATCH(Table221[[#This Row],[كد تفصيلي]],'مانده سوفاله'!A:A,0)),0)</f>
        <v>0</v>
      </c>
    </row>
    <row r="66" spans="1:7" ht="27.75" customHeight="1" x14ac:dyDescent="0.35">
      <c r="A66" s="27">
        <v>30030</v>
      </c>
      <c r="B66" s="55" t="s">
        <v>77</v>
      </c>
      <c r="C66" s="10">
        <f>IFERROR(INDEX('حسابهای دریافتنی'!H:H,MATCH(Table221[[#This Row],[كد تفصيلي]],'حسابهای دریافتنی'!A:A,0)),0)</f>
        <v>850500</v>
      </c>
      <c r="D66" s="11">
        <f>IFERROR(INDEX('درجریان وصول'!F:F,MATCH(Table221[[#This Row],[كد تفصيلي]],'درجریان وصول'!A:A,0)),0)</f>
        <v>0</v>
      </c>
      <c r="E66" s="11">
        <f>IFERROR(INDEX('چکهای دریافتنی'!F:F,MATCH(Table221[[#This Row],[كد تفصيلي]],'چکهای دریافتنی'!A:A,0)),0)</f>
        <v>0</v>
      </c>
      <c r="F66" s="11">
        <f>Table221[[#This Row],[حسابهای دریافتنی]]+Table221[[#This Row],[چکهای در جریان وصول]]+Table221[[#This Row],[چکهای نزد صندوق]]</f>
        <v>850500</v>
      </c>
      <c r="G66" s="12">
        <f>IFERROR(INDEX('مانده سوفاله'!F:F,MATCH(Table221[[#This Row],[كد تفصيلي]],'مانده سوفاله'!A:A,0)),0)</f>
        <v>-49</v>
      </c>
    </row>
    <row r="67" spans="1:7" ht="27.75" customHeight="1" x14ac:dyDescent="0.35">
      <c r="A67" s="27">
        <v>30129</v>
      </c>
      <c r="B67" s="55" t="s">
        <v>178</v>
      </c>
      <c r="C67" s="10">
        <f>IFERROR(INDEX('حسابهای دریافتنی'!H:H,MATCH(Table221[[#This Row],[كد تفصيلي]],'حسابهای دریافتنی'!A:A,0)),0)</f>
        <v>783000</v>
      </c>
      <c r="D67" s="11">
        <f>IFERROR(INDEX('درجریان وصول'!F:F,MATCH(Table221[[#This Row],[كد تفصيلي]],'درجریان وصول'!A:A,0)),0)</f>
        <v>0</v>
      </c>
      <c r="E67" s="11">
        <f>IFERROR(INDEX('چکهای دریافتنی'!F:F,MATCH(Table221[[#This Row],[كد تفصيلي]],'چکهای دریافتنی'!A:A,0)),0)</f>
        <v>0</v>
      </c>
      <c r="F67" s="11">
        <f>Table221[[#This Row],[حسابهای دریافتنی]]+Table221[[#This Row],[چکهای در جریان وصول]]+Table221[[#This Row],[چکهای نزد صندوق]]</f>
        <v>783000</v>
      </c>
      <c r="G67" s="12">
        <f>IFERROR(INDEX('مانده سوفاله'!F:F,MATCH(Table221[[#This Row],[كد تفصيلي]],'مانده سوفاله'!A:A,0)),0)</f>
        <v>0</v>
      </c>
    </row>
    <row r="68" spans="1:7" ht="27.75" customHeight="1" x14ac:dyDescent="0.35">
      <c r="A68" s="26">
        <v>30090</v>
      </c>
      <c r="B68" s="56" t="s">
        <v>144</v>
      </c>
      <c r="C68" s="10">
        <f>IFERROR(INDEX('حسابهای دریافتنی'!H:H,MATCH(Table221[[#This Row],[كد تفصيلي]],'حسابهای دریافتنی'!A:A,0)),0)</f>
        <v>640100</v>
      </c>
      <c r="D68" s="11">
        <f>IFERROR(INDEX('درجریان وصول'!F:F,MATCH(Table221[[#This Row],[كد تفصيلي]],'درجریان وصول'!A:A,0)),0)</f>
        <v>0</v>
      </c>
      <c r="E68" s="11">
        <f>IFERROR(INDEX('چکهای دریافتنی'!F:F,MATCH(Table221[[#This Row],[كد تفصيلي]],'چکهای دریافتنی'!A:A,0)),0)</f>
        <v>0</v>
      </c>
      <c r="F68" s="11">
        <f>Table221[[#This Row],[حسابهای دریافتنی]]+Table221[[#This Row],[چکهای در جریان وصول]]+Table221[[#This Row],[چکهای نزد صندوق]]</f>
        <v>640100</v>
      </c>
      <c r="G68" s="12">
        <f>IFERROR(INDEX('مانده سوفاله'!F:F,MATCH(Table221[[#This Row],[كد تفصيلي]],'مانده سوفاله'!A:A,0)),0)</f>
        <v>0</v>
      </c>
    </row>
    <row r="69" spans="1:7" ht="27.75" customHeight="1" x14ac:dyDescent="0.35">
      <c r="A69" s="27">
        <v>30109</v>
      </c>
      <c r="B69" s="55" t="s">
        <v>165</v>
      </c>
      <c r="C69" s="10">
        <f>IFERROR(INDEX('حسابهای دریافتنی'!H:H,MATCH(Table221[[#This Row],[كد تفصيلي]],'حسابهای دریافتنی'!A:A,0)),0)</f>
        <v>607300</v>
      </c>
      <c r="D69" s="11">
        <f>IFERROR(INDEX('درجریان وصول'!F:F,MATCH(Table221[[#This Row],[كد تفصيلي]],'درجریان وصول'!A:A,0)),0)</f>
        <v>0</v>
      </c>
      <c r="E69" s="11">
        <f>IFERROR(INDEX('چکهای دریافتنی'!F:F,MATCH(Table221[[#This Row],[كد تفصيلي]],'چکهای دریافتنی'!A:A,0)),0)</f>
        <v>0</v>
      </c>
      <c r="F69" s="11">
        <f>Table221[[#This Row],[حسابهای دریافتنی]]+Table221[[#This Row],[چکهای در جریان وصول]]+Table221[[#This Row],[چکهای نزد صندوق]]</f>
        <v>607300</v>
      </c>
      <c r="G69" s="12">
        <f>IFERROR(INDEX('مانده سوفاله'!F:F,MATCH(Table221[[#This Row],[كد تفصيلي]],'مانده سوفاله'!A:A,0)),0)</f>
        <v>0</v>
      </c>
    </row>
    <row r="70" spans="1:7" ht="27.75" customHeight="1" x14ac:dyDescent="0.35">
      <c r="A70" s="26">
        <v>10097</v>
      </c>
      <c r="B70" s="56" t="s">
        <v>270</v>
      </c>
      <c r="C70" s="10">
        <f>IFERROR(INDEX('حسابهای دریافتنی'!H:H,MATCH(Table221[[#This Row],[كد تفصيلي]],'حسابهای دریافتنی'!A:A,0)),0)</f>
        <v>270642500</v>
      </c>
      <c r="D70" s="11">
        <f>IFERROR(INDEX('درجریان وصول'!F:F,MATCH(Table221[[#This Row],[كد تفصيلي]],'درجریان وصول'!A:A,0)),0)</f>
        <v>0</v>
      </c>
      <c r="E70" s="11">
        <f>IFERROR(INDEX('چکهای دریافتنی'!F:F,MATCH(Table221[[#This Row],[كد تفصيلي]],'چکهای دریافتنی'!A:A,0)),0)</f>
        <v>287000000</v>
      </c>
      <c r="F70" s="11">
        <f>Table221[[#This Row],[حسابهای دریافتنی]]+Table221[[#This Row],[چکهای در جریان وصول]]+Table221[[#This Row],[چکهای نزد صندوق]]</f>
        <v>557642500</v>
      </c>
      <c r="G70" s="12">
        <f>IFERROR(INDEX('مانده سوفاله'!F:F,MATCH(Table221[[#This Row],[كد تفصيلي]],'مانده سوفاله'!A:A,0)),0)</f>
        <v>0</v>
      </c>
    </row>
    <row r="71" spans="1:7" ht="27.75" customHeight="1" x14ac:dyDescent="0.35">
      <c r="A71" s="27">
        <v>30010</v>
      </c>
      <c r="B71" s="55" t="s">
        <v>59</v>
      </c>
      <c r="C71" s="10">
        <f>IFERROR(INDEX('حسابهای دریافتنی'!H:H,MATCH(Table221[[#This Row],[كد تفصيلي]],'حسابهای دریافتنی'!A:A,0)),0)</f>
        <v>366215</v>
      </c>
      <c r="D71" s="11">
        <f>IFERROR(INDEX('درجریان وصول'!F:F,MATCH(Table221[[#This Row],[كد تفصيلي]],'درجریان وصول'!A:A,0)),0)</f>
        <v>0</v>
      </c>
      <c r="E71" s="11">
        <f>IFERROR(INDEX('چکهای دریافتنی'!F:F,MATCH(Table221[[#This Row],[كد تفصيلي]],'چکهای دریافتنی'!A:A,0)),0)</f>
        <v>0</v>
      </c>
      <c r="F71" s="11">
        <f>Table221[[#This Row],[حسابهای دریافتنی]]+Table221[[#This Row],[چکهای در جریان وصول]]+Table221[[#This Row],[چکهای نزد صندوق]]</f>
        <v>366215</v>
      </c>
      <c r="G71" s="12">
        <f>IFERROR(INDEX('مانده سوفاله'!F:F,MATCH(Table221[[#This Row],[كد تفصيلي]],'مانده سوفاله'!A:A,0)),0)</f>
        <v>8</v>
      </c>
    </row>
    <row r="72" spans="1:7" ht="27.75" customHeight="1" x14ac:dyDescent="0.35">
      <c r="A72" s="27">
        <v>10092</v>
      </c>
      <c r="B72" s="55" t="s">
        <v>260</v>
      </c>
      <c r="C72" s="10">
        <f>IFERROR(INDEX('حسابهای دریافتنی'!H:H,MATCH(Table221[[#This Row],[كد تفصيلي]],'حسابهای دریافتنی'!A:A,0)),0)</f>
        <v>-1749946500</v>
      </c>
      <c r="D72" s="11">
        <f>IFERROR(INDEX('درجریان وصول'!F:F,MATCH(Table221[[#This Row],[كد تفصيلي]],'درجریان وصول'!A:A,0)),0)</f>
        <v>0</v>
      </c>
      <c r="E72" s="11">
        <f>IFERROR(INDEX('چکهای دریافتنی'!F:F,MATCH(Table221[[#This Row],[كد تفصيلي]],'چکهای دریافتنی'!A:A,0)),0)</f>
        <v>300000000</v>
      </c>
      <c r="F72" s="11">
        <f>Table221[[#This Row],[حسابهای دریافتنی]]+Table221[[#This Row],[چکهای در جریان وصول]]+Table221[[#This Row],[چکهای نزد صندوق]]</f>
        <v>-1449946500</v>
      </c>
      <c r="G72" s="12">
        <f>IFERROR(INDEX('مانده سوفاله'!F:F,MATCH(Table221[[#This Row],[كد تفصيلي]],'مانده سوفاله'!A:A,0)),0)</f>
        <v>0</v>
      </c>
    </row>
    <row r="73" spans="1:7" ht="27.75" customHeight="1" x14ac:dyDescent="0.35">
      <c r="A73" s="27">
        <v>30135</v>
      </c>
      <c r="B73" s="55" t="s">
        <v>179</v>
      </c>
      <c r="C73" s="10">
        <f>IFERROR(INDEX('حسابهای دریافتنی'!H:H,MATCH(Table221[[#This Row],[كد تفصيلي]],'حسابهای دریافتنی'!A:A,0)),0)</f>
        <v>195000</v>
      </c>
      <c r="D73" s="11">
        <f>IFERROR(INDEX('درجریان وصول'!F:F,MATCH(Table221[[#This Row],[كد تفصيلي]],'درجریان وصول'!A:A,0)),0)</f>
        <v>0</v>
      </c>
      <c r="E73" s="11">
        <f>IFERROR(INDEX('چکهای دریافتنی'!F:F,MATCH(Table221[[#This Row],[كد تفصيلي]],'چکهای دریافتنی'!A:A,0)),0)</f>
        <v>0</v>
      </c>
      <c r="F73" s="11">
        <f>Table221[[#This Row],[حسابهای دریافتنی]]+Table221[[#This Row],[چکهای در جریان وصول]]+Table221[[#This Row],[چکهای نزد صندوق]]</f>
        <v>195000</v>
      </c>
      <c r="G73" s="12">
        <f>IFERROR(INDEX('مانده سوفاله'!F:F,MATCH(Table221[[#This Row],[كد تفصيلي]],'مانده سوفاله'!A:A,0)),0)</f>
        <v>-5</v>
      </c>
    </row>
    <row r="74" spans="1:7" ht="27.75" customHeight="1" x14ac:dyDescent="0.35">
      <c r="A74" s="27">
        <v>10088</v>
      </c>
      <c r="B74" s="55" t="s">
        <v>254</v>
      </c>
      <c r="C74" s="10">
        <f>IFERROR(INDEX('حسابهای دریافتنی'!H:H,MATCH(Table221[[#This Row],[كد تفصيلي]],'حسابهای دریافتنی'!A:A,0)),0)</f>
        <v>113500</v>
      </c>
      <c r="D74" s="11">
        <f>IFERROR(INDEX('درجریان وصول'!F:F,MATCH(Table221[[#This Row],[كد تفصيلي]],'درجریان وصول'!A:A,0)),0)</f>
        <v>0</v>
      </c>
      <c r="E74" s="11">
        <f>IFERROR(INDEX('چکهای دریافتنی'!F:F,MATCH(Table221[[#This Row],[كد تفصيلي]],'چکهای دریافتنی'!A:A,0)),0)</f>
        <v>0</v>
      </c>
      <c r="F74" s="11">
        <f>Table221[[#This Row],[حسابهای دریافتنی]]+Table221[[#This Row],[چکهای در جریان وصول]]+Table221[[#This Row],[چکهای نزد صندوق]]</f>
        <v>113500</v>
      </c>
      <c r="G74" s="12">
        <f>IFERROR(INDEX('مانده سوفاله'!F:F,MATCH(Table221[[#This Row],[كد تفصيلي]],'مانده سوفاله'!A:A,0)),0)</f>
        <v>0</v>
      </c>
    </row>
    <row r="75" spans="1:7" ht="27.75" customHeight="1" x14ac:dyDescent="0.35">
      <c r="A75" s="26">
        <v>30124</v>
      </c>
      <c r="B75" s="56" t="s">
        <v>246</v>
      </c>
      <c r="C75" s="10">
        <f>IFERROR(INDEX('حسابهای دریافتنی'!H:H,MATCH(Table221[[#This Row],[كد تفصيلي]],'حسابهای دریافتنی'!A:A,0)),0)</f>
        <v>0</v>
      </c>
      <c r="D75" s="11">
        <f>IFERROR(INDEX('درجریان وصول'!F:F,MATCH(Table221[[#This Row],[كد تفصيلي]],'درجریان وصول'!A:A,0)),0)</f>
        <v>0</v>
      </c>
      <c r="E75" s="11">
        <f>IFERROR(INDEX('چکهای دریافتنی'!F:F,MATCH(Table221[[#This Row],[كد تفصيلي]],'چکهای دریافتنی'!A:A,0)),0)</f>
        <v>505676000</v>
      </c>
      <c r="F75" s="11">
        <f>Table221[[#This Row],[حسابهای دریافتنی]]+Table221[[#This Row],[چکهای در جریان وصول]]+Table221[[#This Row],[چکهای نزد صندوق]]</f>
        <v>505676000</v>
      </c>
      <c r="G75" s="12">
        <f>IFERROR(INDEX('مانده سوفاله'!F:F,MATCH(Table221[[#This Row],[كد تفصيلي]],'مانده سوفاله'!A:A,0)),0)</f>
        <v>1498</v>
      </c>
    </row>
    <row r="76" spans="1:7" ht="27.75" customHeight="1" x14ac:dyDescent="0.35">
      <c r="A76" s="26">
        <v>30019</v>
      </c>
      <c r="B76" s="56" t="s">
        <v>67</v>
      </c>
      <c r="C76" s="10">
        <f>IFERROR(INDEX('حسابهای دریافتنی'!H:H,MATCH(Table221[[#This Row],[كد تفصيلي]],'حسابهای دریافتنی'!A:A,0)),0)</f>
        <v>823484840</v>
      </c>
      <c r="D76" s="11">
        <f>IFERROR(INDEX('درجریان وصول'!F:F,MATCH(Table221[[#This Row],[كد تفصيلي]],'درجریان وصول'!A:A,0)),0)</f>
        <v>0</v>
      </c>
      <c r="E76" s="11">
        <f>IFERROR(INDEX('چکهای دریافتنی'!F:F,MATCH(Table221[[#This Row],[كد تفصيلي]],'چکهای دریافتنی'!A:A,0)),0)</f>
        <v>0</v>
      </c>
      <c r="F76" s="11">
        <f>Table221[[#This Row],[حسابهای دریافتنی]]+Table221[[#This Row],[چکهای در جریان وصول]]+Table221[[#This Row],[چکهای نزد صندوق]]</f>
        <v>823484840</v>
      </c>
      <c r="G76" s="12">
        <f>IFERROR(INDEX('مانده سوفاله'!F:F,MATCH(Table221[[#This Row],[كد تفصيلي]],'مانده سوفاله'!A:A,0)),0)</f>
        <v>612</v>
      </c>
    </row>
    <row r="77" spans="1:7" ht="27.75" customHeight="1" x14ac:dyDescent="0.35">
      <c r="A77" s="27">
        <v>10048</v>
      </c>
      <c r="B77" s="55" t="s">
        <v>191</v>
      </c>
      <c r="C77" s="10">
        <f>IFERROR(INDEX('حسابهای دریافتنی'!H:H,MATCH(Table221[[#This Row],[كد تفصيلي]],'حسابهای دریافتنی'!A:A,0)),0)</f>
        <v>0</v>
      </c>
      <c r="D77" s="11">
        <f>IFERROR(INDEX('درجریان وصول'!F:F,MATCH(Table221[[#This Row],[كد تفصيلي]],'درجریان وصول'!A:A,0)),0)</f>
        <v>0</v>
      </c>
      <c r="E77" s="11">
        <f>IFERROR(INDEX('چکهای دریافتنی'!F:F,MATCH(Table221[[#This Row],[كد تفصيلي]],'چکهای دریافتنی'!A:A,0)),0)</f>
        <v>0</v>
      </c>
      <c r="F77" s="11">
        <f>Table221[[#This Row],[حسابهای دریافتنی]]+Table221[[#This Row],[چکهای در جریان وصول]]+Table221[[#This Row],[چکهای نزد صندوق]]</f>
        <v>0</v>
      </c>
      <c r="G77" s="12">
        <f>IFERROR(INDEX('مانده سوفاله'!F:F,MATCH(Table221[[#This Row],[كد تفصيلي]],'مانده سوفاله'!A:A,0)),0)</f>
        <v>-1097</v>
      </c>
    </row>
    <row r="78" spans="1:7" ht="27.75" customHeight="1" x14ac:dyDescent="0.35">
      <c r="A78" s="27">
        <v>10010</v>
      </c>
      <c r="B78" s="55" t="s">
        <v>17</v>
      </c>
      <c r="C78" s="10">
        <f>IFERROR(INDEX('حسابهای دریافتنی'!H:H,MATCH(Table221[[#This Row],[كد تفصيلي]],'حسابهای دریافتنی'!A:A,0)),0)</f>
        <v>0</v>
      </c>
      <c r="D78" s="11">
        <f>IFERROR(INDEX('درجریان وصول'!F:F,MATCH(Table221[[#This Row],[كد تفصيلي]],'درجریان وصول'!A:A,0)),0)</f>
        <v>0</v>
      </c>
      <c r="E78" s="11">
        <f>IFERROR(INDEX('چکهای دریافتنی'!F:F,MATCH(Table221[[#This Row],[كد تفصيلي]],'چکهای دریافتنی'!A:A,0)),0)</f>
        <v>0</v>
      </c>
      <c r="F78" s="11">
        <f>Table221[[#This Row],[حسابهای دریافتنی]]+Table221[[#This Row],[چکهای در جریان وصول]]+Table221[[#This Row],[چکهای نزد صندوق]]</f>
        <v>0</v>
      </c>
      <c r="G78" s="12">
        <f>IFERROR(INDEX('مانده سوفاله'!F:F,MATCH(Table221[[#This Row],[كد تفصيلي]],'مانده سوفاله'!A:A,0)),0)</f>
        <v>8</v>
      </c>
    </row>
    <row r="79" spans="1:7" ht="27.75" customHeight="1" x14ac:dyDescent="0.35">
      <c r="A79" s="27">
        <v>10014</v>
      </c>
      <c r="B79" s="55" t="s">
        <v>21</v>
      </c>
      <c r="C79" s="10">
        <f>IFERROR(INDEX('حسابهای دریافتنی'!H:H,MATCH(Table221[[#This Row],[كد تفصيلي]],'حسابهای دریافتنی'!A:A,0)),0)</f>
        <v>0</v>
      </c>
      <c r="D79" s="11">
        <f>IFERROR(INDEX('درجریان وصول'!F:F,MATCH(Table221[[#This Row],[كد تفصيلي]],'درجریان وصول'!A:A,0)),0)</f>
        <v>0</v>
      </c>
      <c r="E79" s="11">
        <f>IFERROR(INDEX('چکهای دریافتنی'!F:F,MATCH(Table221[[#This Row],[كد تفصيلي]],'چکهای دریافتنی'!A:A,0)),0)</f>
        <v>0</v>
      </c>
      <c r="F79" s="11">
        <f>Table221[[#This Row],[حسابهای دریافتنی]]+Table221[[#This Row],[چکهای در جریان وصول]]+Table221[[#This Row],[چکهای نزد صندوق]]</f>
        <v>0</v>
      </c>
      <c r="G79" s="12">
        <f>IFERROR(INDEX('مانده سوفاله'!F:F,MATCH(Table221[[#This Row],[كد تفصيلي]],'مانده سوفاله'!A:A,0)),0)</f>
        <v>21</v>
      </c>
    </row>
    <row r="80" spans="1:7" ht="27.75" customHeight="1" x14ac:dyDescent="0.35">
      <c r="A80" s="26">
        <v>10023</v>
      </c>
      <c r="B80" s="56" t="s">
        <v>155</v>
      </c>
      <c r="C80" s="10">
        <f>IFERROR(INDEX('حسابهای دریافتنی'!H:H,MATCH(Table221[[#This Row],[كد تفصيلي]],'حسابهای دریافتنی'!A:A,0)),0)</f>
        <v>0</v>
      </c>
      <c r="D80" s="11">
        <f>IFERROR(INDEX('درجریان وصول'!F:F,MATCH(Table221[[#This Row],[كد تفصيلي]],'درجریان وصول'!A:A,0)),0)</f>
        <v>0</v>
      </c>
      <c r="E80" s="11">
        <f>IFERROR(INDEX('چکهای دریافتنی'!F:F,MATCH(Table221[[#This Row],[كد تفصيلي]],'چکهای دریافتنی'!A:A,0)),0)</f>
        <v>0</v>
      </c>
      <c r="F80" s="11">
        <f>Table221[[#This Row],[حسابهای دریافتنی]]+Table221[[#This Row],[چکهای در جریان وصول]]+Table221[[#This Row],[چکهای نزد صندوق]]</f>
        <v>0</v>
      </c>
      <c r="G80" s="12">
        <f>IFERROR(INDEX('مانده سوفاله'!F:F,MATCH(Table221[[#This Row],[كد تفصيلي]],'مانده سوفاله'!A:A,0)),0)</f>
        <v>6</v>
      </c>
    </row>
    <row r="81" spans="1:7" ht="27.75" customHeight="1" x14ac:dyDescent="0.35">
      <c r="A81" s="26">
        <v>10039</v>
      </c>
      <c r="B81" s="56" t="s">
        <v>45</v>
      </c>
      <c r="C81" s="10">
        <f>IFERROR(INDEX('حسابهای دریافتنی'!H:H,MATCH(Table221[[#This Row],[كد تفصيلي]],'حسابهای دریافتنی'!A:A,0)),0)</f>
        <v>0</v>
      </c>
      <c r="D81" s="11">
        <f>IFERROR(INDEX('درجریان وصول'!F:F,MATCH(Table221[[#This Row],[كد تفصيلي]],'درجریان وصول'!A:A,0)),0)</f>
        <v>0</v>
      </c>
      <c r="E81" s="11">
        <f>IFERROR(INDEX('چکهای دریافتنی'!F:F,MATCH(Table221[[#This Row],[كد تفصيلي]],'چکهای دریافتنی'!A:A,0)),0)</f>
        <v>0</v>
      </c>
      <c r="F81" s="11">
        <f>Table221[[#This Row],[حسابهای دریافتنی]]+Table221[[#This Row],[چکهای در جریان وصول]]+Table221[[#This Row],[چکهای نزد صندوق]]</f>
        <v>0</v>
      </c>
      <c r="G81" s="12">
        <f>IFERROR(INDEX('مانده سوفاله'!F:F,MATCH(Table221[[#This Row],[كد تفصيلي]],'مانده سوفاله'!A:A,0)),0)</f>
        <v>4</v>
      </c>
    </row>
    <row r="82" spans="1:7" ht="27.75" customHeight="1" x14ac:dyDescent="0.35">
      <c r="A82" s="54">
        <v>10046</v>
      </c>
      <c r="B82" s="55" t="s">
        <v>51</v>
      </c>
      <c r="C82" s="10">
        <f>IFERROR(INDEX('حسابهای دریافتنی'!H:H,MATCH(Table221[[#This Row],[كد تفصيلي]],'حسابهای دریافتنی'!A:A,0)),0)</f>
        <v>0</v>
      </c>
      <c r="D82" s="11">
        <f>IFERROR(INDEX('درجریان وصول'!F:F,MATCH(Table221[[#This Row],[كد تفصيلي]],'درجریان وصول'!A:A,0)),0)</f>
        <v>0</v>
      </c>
      <c r="E82" s="11">
        <f>IFERROR(INDEX('چکهای دریافتنی'!F:F,MATCH(Table221[[#This Row],[كد تفصيلي]],'چکهای دریافتنی'!A:A,0)),0)</f>
        <v>0</v>
      </c>
      <c r="F82" s="11">
        <f>Table221[[#This Row],[حسابهای دریافتنی]]+Table221[[#This Row],[چکهای در جریان وصول]]+Table221[[#This Row],[چکهای نزد صندوق]]</f>
        <v>0</v>
      </c>
      <c r="G82" s="12">
        <f>IFERROR(INDEX('مانده سوفاله'!F:F,MATCH(Table221[[#This Row],[كد تفصيلي]],'مانده سوفاله'!A:A,0)),0)</f>
        <v>118</v>
      </c>
    </row>
    <row r="83" spans="1:7" customFormat="1" ht="27.75" customHeight="1" x14ac:dyDescent="0.35">
      <c r="A83" s="53">
        <v>10065</v>
      </c>
      <c r="B83" s="56" t="s">
        <v>228</v>
      </c>
      <c r="C83" s="10">
        <f>IFERROR(INDEX('حسابهای دریافتنی'!H:H,MATCH(Table221[[#This Row],[كد تفصيلي]],'حسابهای دریافتنی'!A:A,0)),0)</f>
        <v>0</v>
      </c>
      <c r="D83" s="11">
        <f>IFERROR(INDEX('درجریان وصول'!F:F,MATCH(Table221[[#This Row],[كد تفصيلي]],'درجریان وصول'!A:A,0)),0)</f>
        <v>0</v>
      </c>
      <c r="E83" s="11">
        <f>IFERROR(INDEX('چکهای دریافتنی'!F:F,MATCH(Table221[[#This Row],[كد تفصيلي]],'چکهای دریافتنی'!A:A,0)),0)</f>
        <v>0</v>
      </c>
      <c r="F83" s="11">
        <f>Table221[[#This Row],[حسابهای دریافتنی]]+Table221[[#This Row],[چکهای در جریان وصول]]+Table221[[#This Row],[چکهای نزد صندوق]]</f>
        <v>0</v>
      </c>
      <c r="G83" s="12">
        <f>IFERROR(INDEX('مانده سوفاله'!F:F,MATCH(Table221[[#This Row],[كد تفصيلي]],'مانده سوفاله'!A:A,0)),0)</f>
        <v>127</v>
      </c>
    </row>
    <row r="84" spans="1:7" customFormat="1" ht="27.75" customHeight="1" x14ac:dyDescent="0.35">
      <c r="A84" s="54">
        <v>10076</v>
      </c>
      <c r="B84" s="55" t="s">
        <v>182</v>
      </c>
      <c r="C84" s="10">
        <f>IFERROR(INDEX('حسابهای دریافتنی'!H:H,MATCH(Table221[[#This Row],[كد تفصيلي]],'حسابهای دریافتنی'!A:A,0)),0)</f>
        <v>0</v>
      </c>
      <c r="D84" s="11">
        <f>IFERROR(INDEX('درجریان وصول'!F:F,MATCH(Table221[[#This Row],[كد تفصيلي]],'درجریان وصول'!A:A,0)),0)</f>
        <v>0</v>
      </c>
      <c r="E84" s="11">
        <f>IFERROR(INDEX('چکهای دریافتنی'!F:F,MATCH(Table221[[#This Row],[كد تفصيلي]],'چکهای دریافتنی'!A:A,0)),0)</f>
        <v>0</v>
      </c>
      <c r="F84" s="11">
        <f>Table221[[#This Row],[حسابهای دریافتنی]]+Table221[[#This Row],[چکهای در جریان وصول]]+Table221[[#This Row],[چکهای نزد صندوق]]</f>
        <v>0</v>
      </c>
      <c r="G84" s="12">
        <f>IFERROR(INDEX('مانده سوفاله'!F:F,MATCH(Table221[[#This Row],[كد تفصيلي]],'مانده سوفاله'!A:A,0)),0)</f>
        <v>-13</v>
      </c>
    </row>
    <row r="85" spans="1:7" ht="27.75" customHeight="1" x14ac:dyDescent="0.35">
      <c r="A85" s="27">
        <v>30065</v>
      </c>
      <c r="B85" s="55" t="s">
        <v>110</v>
      </c>
      <c r="C85" s="10">
        <f>IFERROR(INDEX('حسابهای دریافتنی'!H:H,MATCH(Table221[[#This Row],[كد تفصيلي]],'حسابهای دریافتنی'!A:A,0)),0)</f>
        <v>0</v>
      </c>
      <c r="D85" s="11">
        <f>IFERROR(INDEX('درجریان وصول'!F:F,MATCH(Table221[[#This Row],[كد تفصيلي]],'درجریان وصول'!A:A,0)),0)</f>
        <v>0</v>
      </c>
      <c r="E85" s="11">
        <f>IFERROR(INDEX('چکهای دریافتنی'!F:F,MATCH(Table221[[#This Row],[كد تفصيلي]],'چکهای دریافتنی'!A:A,0)),0)</f>
        <v>0</v>
      </c>
      <c r="F85" s="11">
        <f>Table221[[#This Row],[حسابهای دریافتنی]]+Table221[[#This Row],[چکهای در جریان وصول]]+Table221[[#This Row],[چکهای نزد صندوق]]</f>
        <v>0</v>
      </c>
      <c r="G85" s="12">
        <f>IFERROR(INDEX('مانده سوفاله'!F:F,MATCH(Table221[[#This Row],[كد تفصيلي]],'مانده سوفاله'!A:A,0)),0)</f>
        <v>33</v>
      </c>
    </row>
    <row r="86" spans="1:7" ht="27.75" customHeight="1" x14ac:dyDescent="0.35">
      <c r="A86" s="27">
        <v>30071</v>
      </c>
      <c r="B86" s="55" t="s">
        <v>116</v>
      </c>
      <c r="C86" s="10">
        <f>IFERROR(INDEX('حسابهای دریافتنی'!H:H,MATCH(Table221[[#This Row],[كد تفصيلي]],'حسابهای دریافتنی'!A:A,0)),0)</f>
        <v>0</v>
      </c>
      <c r="D86" s="11">
        <f>IFERROR(INDEX('درجریان وصول'!F:F,MATCH(Table221[[#This Row],[كد تفصيلي]],'درجریان وصول'!A:A,0)),0)</f>
        <v>0</v>
      </c>
      <c r="E86" s="11">
        <f>IFERROR(INDEX('چکهای دریافتنی'!F:F,MATCH(Table221[[#This Row],[كد تفصيلي]],'چکهای دریافتنی'!A:A,0)),0)</f>
        <v>0</v>
      </c>
      <c r="F86" s="11">
        <f>Table221[[#This Row],[حسابهای دریافتنی]]+Table221[[#This Row],[چکهای در جریان وصول]]+Table221[[#This Row],[چکهای نزد صندوق]]</f>
        <v>0</v>
      </c>
      <c r="G86" s="12">
        <f>IFERROR(INDEX('مانده سوفاله'!F:F,MATCH(Table221[[#This Row],[كد تفصيلي]],'مانده سوفاله'!A:A,0)),0)</f>
        <v>3</v>
      </c>
    </row>
    <row r="87" spans="1:7" ht="27.75" customHeight="1" x14ac:dyDescent="0.35">
      <c r="A87" s="27">
        <v>30079</v>
      </c>
      <c r="B87" s="55" t="s">
        <v>124</v>
      </c>
      <c r="C87" s="10">
        <f>IFERROR(INDEX('حسابهای دریافتنی'!H:H,MATCH(Table221[[#This Row],[كد تفصيلي]],'حسابهای دریافتنی'!A:A,0)),0)</f>
        <v>0</v>
      </c>
      <c r="D87" s="11">
        <f>IFERROR(INDEX('درجریان وصول'!F:F,MATCH(Table221[[#This Row],[كد تفصيلي]],'درجریان وصول'!A:A,0)),0)</f>
        <v>0</v>
      </c>
      <c r="E87" s="11">
        <f>IFERROR(INDEX('چکهای دریافتنی'!F:F,MATCH(Table221[[#This Row],[كد تفصيلي]],'چکهای دریافتنی'!A:A,0)),0)</f>
        <v>0</v>
      </c>
      <c r="F87" s="11">
        <f>Table221[[#This Row],[حسابهای دریافتنی]]+Table221[[#This Row],[چکهای در جریان وصول]]+Table221[[#This Row],[چکهای نزد صندوق]]</f>
        <v>0</v>
      </c>
      <c r="G87" s="12">
        <f>IFERROR(INDEX('مانده سوفاله'!F:F,MATCH(Table221[[#This Row],[كد تفصيلي]],'مانده سوفاله'!A:A,0)),0)</f>
        <v>-85</v>
      </c>
    </row>
    <row r="88" spans="1:7" ht="27.75" customHeight="1" x14ac:dyDescent="0.35">
      <c r="A88" s="27">
        <v>30097</v>
      </c>
      <c r="B88" s="55" t="s">
        <v>188</v>
      </c>
      <c r="C88" s="10">
        <f>IFERROR(INDEX('حسابهای دریافتنی'!H:H,MATCH(Table221[[#This Row],[كد تفصيلي]],'حسابهای دریافتنی'!A:A,0)),0)</f>
        <v>0</v>
      </c>
      <c r="D88" s="11">
        <f>IFERROR(INDEX('درجریان وصول'!F:F,MATCH(Table221[[#This Row],[كد تفصيلي]],'درجریان وصول'!A:A,0)),0)</f>
        <v>0</v>
      </c>
      <c r="E88" s="11">
        <f>IFERROR(INDEX('چکهای دریافتنی'!F:F,MATCH(Table221[[#This Row],[كد تفصيلي]],'چکهای دریافتنی'!A:A,0)),0)</f>
        <v>0</v>
      </c>
      <c r="F88" s="11">
        <f>Table221[[#This Row],[حسابهای دریافتنی]]+Table221[[#This Row],[چکهای در جریان وصول]]+Table221[[#This Row],[چکهای نزد صندوق]]</f>
        <v>0</v>
      </c>
      <c r="G88" s="12">
        <f>IFERROR(INDEX('مانده سوفاله'!F:F,MATCH(Table221[[#This Row],[كد تفصيلي]],'مانده سوفاله'!A:A,0)),0)</f>
        <v>-82</v>
      </c>
    </row>
    <row r="89" spans="1:7" ht="27.75" customHeight="1" x14ac:dyDescent="0.35">
      <c r="A89" s="26">
        <v>30118</v>
      </c>
      <c r="B89" s="56" t="s">
        <v>205</v>
      </c>
      <c r="C89" s="10">
        <f>IFERROR(INDEX('حسابهای دریافتنی'!H:H,MATCH(Table221[[#This Row],[كد تفصيلي]],'حسابهای دریافتنی'!A:A,0)),0)</f>
        <v>0</v>
      </c>
      <c r="D89" s="11">
        <f>IFERROR(INDEX('درجریان وصول'!F:F,MATCH(Table221[[#This Row],[كد تفصيلي]],'درجریان وصول'!A:A,0)),0)</f>
        <v>0</v>
      </c>
      <c r="E89" s="11">
        <f>IFERROR(INDEX('چکهای دریافتنی'!F:F,MATCH(Table221[[#This Row],[كد تفصيلي]],'چکهای دریافتنی'!A:A,0)),0)</f>
        <v>0</v>
      </c>
      <c r="F89" s="11">
        <f>Table221[[#This Row],[حسابهای دریافتنی]]+Table221[[#This Row],[چکهای در جریان وصول]]+Table221[[#This Row],[چکهای نزد صندوق]]</f>
        <v>0</v>
      </c>
      <c r="G89" s="12">
        <f>IFERROR(INDEX('مانده سوفاله'!F:F,MATCH(Table221[[#This Row],[كد تفصيلي]],'مانده سوفاله'!A:A,0)),0)</f>
        <v>-20</v>
      </c>
    </row>
    <row r="90" spans="1:7" ht="27.75" customHeight="1" x14ac:dyDescent="0.35">
      <c r="A90" s="26">
        <v>30190</v>
      </c>
      <c r="B90" s="56" t="s">
        <v>460</v>
      </c>
      <c r="C90" s="10">
        <f>IFERROR(INDEX('حسابهای دریافتنی'!H:H,MATCH(Table221[[#This Row],[كد تفصيلي]],'حسابهای دریافتنی'!A:A,0)),0)</f>
        <v>328477520</v>
      </c>
      <c r="D90" s="11">
        <f>IFERROR(INDEX('درجریان وصول'!F:F,MATCH(Table221[[#This Row],[كد تفصيلي]],'درجریان وصول'!A:A,0)),0)</f>
        <v>0</v>
      </c>
      <c r="E90" s="11">
        <f>IFERROR(INDEX('چکهای دریافتنی'!F:F,MATCH(Table221[[#This Row],[كد تفصيلي]],'چکهای دریافتنی'!A:A,0)),0)</f>
        <v>0</v>
      </c>
      <c r="F90" s="11">
        <f>Table221[[#This Row],[حسابهای دریافتنی]]+Table221[[#This Row],[چکهای در جریان وصول]]+Table221[[#This Row],[چکهای نزد صندوق]]</f>
        <v>328477520</v>
      </c>
      <c r="G90" s="12">
        <f>IFERROR(INDEX('مانده سوفاله'!F:F,MATCH(Table221[[#This Row],[كد تفصيلي]],'مانده سوفاله'!A:A,0)),0)</f>
        <v>1790</v>
      </c>
    </row>
    <row r="91" spans="1:7" ht="27.75" customHeight="1" x14ac:dyDescent="0.35">
      <c r="A91" s="27">
        <v>30137</v>
      </c>
      <c r="B91" s="55" t="s">
        <v>218</v>
      </c>
      <c r="C91" s="10">
        <f>IFERROR(INDEX('حسابهای دریافتنی'!H:H,MATCH(Table221[[#This Row],[كد تفصيلي]],'حسابهای دریافتنی'!A:A,0)),0)</f>
        <v>0</v>
      </c>
      <c r="D91" s="11">
        <f>IFERROR(INDEX('درجریان وصول'!F:F,MATCH(Table221[[#This Row],[كد تفصيلي]],'درجریان وصول'!A:A,0)),0)</f>
        <v>0</v>
      </c>
      <c r="E91" s="11">
        <f>IFERROR(INDEX('چکهای دریافتنی'!F:F,MATCH(Table221[[#This Row],[كد تفصيلي]],'چکهای دریافتنی'!A:A,0)),0)</f>
        <v>213182200</v>
      </c>
      <c r="F91" s="11">
        <f>Table221[[#This Row],[حسابهای دریافتنی]]+Table221[[#This Row],[چکهای در جریان وصول]]+Table221[[#This Row],[چکهای نزد صندوق]]</f>
        <v>213182200</v>
      </c>
      <c r="G91" s="12">
        <f>IFERROR(INDEX('مانده سوفاله'!F:F,MATCH(Table221[[#This Row],[كد تفصيلي]],'مانده سوفاله'!A:A,0)),0)</f>
        <v>0</v>
      </c>
    </row>
    <row r="92" spans="1:7" ht="27.75" customHeight="1" x14ac:dyDescent="0.35">
      <c r="A92" s="27">
        <v>30141</v>
      </c>
      <c r="B92" s="55" t="s">
        <v>261</v>
      </c>
      <c r="C92" s="10">
        <f>IFERROR(INDEX('حسابهای دریافتنی'!H:H,MATCH(Table221[[#This Row],[كد تفصيلي]],'حسابهای دریافتنی'!A:A,0)),0)</f>
        <v>0</v>
      </c>
      <c r="D92" s="11">
        <f>IFERROR(INDEX('درجریان وصول'!F:F,MATCH(Table221[[#This Row],[كد تفصيلي]],'درجریان وصول'!A:A,0)),0)</f>
        <v>0</v>
      </c>
      <c r="E92" s="11">
        <f>IFERROR(INDEX('چکهای دریافتنی'!F:F,MATCH(Table221[[#This Row],[كد تفصيلي]],'چکهای دریافتنی'!A:A,0)),0)</f>
        <v>0</v>
      </c>
      <c r="F92" s="11">
        <f>Table221[[#This Row],[حسابهای دریافتنی]]+Table221[[#This Row],[چکهای در جریان وصول]]+Table221[[#This Row],[چکهای نزد صندوق]]</f>
        <v>0</v>
      </c>
      <c r="G92" s="12">
        <f>IFERROR(INDEX('مانده سوفاله'!F:F,MATCH(Table221[[#This Row],[كد تفصيلي]],'مانده سوفاله'!A:A,0)),0)</f>
        <v>-42</v>
      </c>
    </row>
    <row r="93" spans="1:7" ht="27.75" customHeight="1" x14ac:dyDescent="0.35">
      <c r="A93" s="26">
        <v>30142</v>
      </c>
      <c r="B93" s="56" t="s">
        <v>263</v>
      </c>
      <c r="C93" s="10">
        <f>IFERROR(INDEX('حسابهای دریافتنی'!H:H,MATCH(Table221[[#This Row],[كد تفصيلي]],'حسابهای دریافتنی'!A:A,0)),0)</f>
        <v>0</v>
      </c>
      <c r="D93" s="11">
        <f>IFERROR(INDEX('درجریان وصول'!F:F,MATCH(Table221[[#This Row],[كد تفصيلي]],'درجریان وصول'!A:A,0)),0)</f>
        <v>0</v>
      </c>
      <c r="E93" s="11">
        <f>IFERROR(INDEX('چکهای دریافتنی'!F:F,MATCH(Table221[[#This Row],[كد تفصيلي]],'چکهای دریافتنی'!A:A,0)),0)</f>
        <v>0</v>
      </c>
      <c r="F93" s="11">
        <f>Table221[[#This Row],[حسابهای دریافتنی]]+Table221[[#This Row],[چکهای در جریان وصول]]+Table221[[#This Row],[چکهای نزد صندوق]]</f>
        <v>0</v>
      </c>
      <c r="G93" s="12">
        <f>IFERROR(INDEX('مانده سوفاله'!F:F,MATCH(Table221[[#This Row],[كد تفصيلي]],'مانده سوفاله'!A:A,0)),0)</f>
        <v>13</v>
      </c>
    </row>
    <row r="94" spans="1:7" ht="27.75" customHeight="1" x14ac:dyDescent="0.35">
      <c r="A94" s="27">
        <v>79010</v>
      </c>
      <c r="B94" s="55" t="s">
        <v>176</v>
      </c>
      <c r="C94" s="10">
        <f>IFERROR(INDEX('حسابهای دریافتنی'!H:H,MATCH(Table221[[#This Row],[كد تفصيلي]],'حسابهای دریافتنی'!A:A,0)),0)</f>
        <v>0</v>
      </c>
      <c r="D94" s="11">
        <f>IFERROR(INDEX('درجریان وصول'!F:F,MATCH(Table221[[#This Row],[كد تفصيلي]],'درجریان وصول'!A:A,0)),0)</f>
        <v>0</v>
      </c>
      <c r="E94" s="11">
        <f>IFERROR(INDEX('چکهای دریافتنی'!F:F,MATCH(Table221[[#This Row],[كد تفصيلي]],'چکهای دریافتنی'!A:A,0)),0)</f>
        <v>0</v>
      </c>
      <c r="F94" s="11">
        <f>Table221[[#This Row],[حسابهای دریافتنی]]+Table221[[#This Row],[چکهای در جریان وصول]]+Table221[[#This Row],[چکهای نزد صندوق]]</f>
        <v>0</v>
      </c>
      <c r="G94" s="12">
        <f>IFERROR(INDEX('مانده سوفاله'!F:F,MATCH(Table221[[#This Row],[كد تفصيلي]],'مانده سوفاله'!A:A,0)),0)</f>
        <v>-110</v>
      </c>
    </row>
    <row r="95" spans="1:7" ht="27.75" customHeight="1" x14ac:dyDescent="0.35">
      <c r="A95" s="26">
        <v>30174</v>
      </c>
      <c r="B95" s="56" t="s">
        <v>327</v>
      </c>
      <c r="C95" s="10">
        <f>IFERROR(INDEX('حسابهای دریافتنی'!H:H,MATCH(Table221[[#This Row],[كد تفصيلي]],'حسابهای دریافتنی'!A:A,0)),0)</f>
        <v>-5000</v>
      </c>
      <c r="D95" s="11">
        <f>IFERROR(INDEX('درجریان وصول'!F:F,MATCH(Table221[[#This Row],[كد تفصيلي]],'درجریان وصول'!A:A,0)),0)</f>
        <v>0</v>
      </c>
      <c r="E95" s="11">
        <f>IFERROR(INDEX('چکهای دریافتنی'!F:F,MATCH(Table221[[#This Row],[كد تفصيلي]],'چکهای دریافتنی'!A:A,0)),0)</f>
        <v>0</v>
      </c>
      <c r="F95" s="11">
        <f>Table221[[#This Row],[حسابهای دریافتنی]]+Table221[[#This Row],[چکهای در جریان وصول]]+Table221[[#This Row],[چکهای نزد صندوق]]</f>
        <v>-5000</v>
      </c>
      <c r="G95" s="12">
        <f>IFERROR(INDEX('مانده سوفاله'!F:F,MATCH(Table221[[#This Row],[كد تفصيلي]],'مانده سوفاله'!A:A,0)),0)</f>
        <v>0</v>
      </c>
    </row>
    <row r="96" spans="1:7" ht="27.75" customHeight="1" x14ac:dyDescent="0.35">
      <c r="A96" s="27">
        <v>30195</v>
      </c>
      <c r="B96" s="55" t="s">
        <v>477</v>
      </c>
      <c r="C96" s="10">
        <f>IFERROR(INDEX('حسابهای دریافتنی'!H:H,MATCH(Table221[[#This Row],[كد تفصيلي]],'حسابهای دریافتنی'!A:A,0)),0)</f>
        <v>-1861000</v>
      </c>
      <c r="D96" s="11">
        <f>IFERROR(INDEX('درجریان وصول'!F:F,MATCH(Table221[[#This Row],[كد تفصيلي]],'درجریان وصول'!A:A,0)),0)</f>
        <v>0</v>
      </c>
      <c r="E96" s="11">
        <f>IFERROR(INDEX('چکهای دریافتنی'!F:F,MATCH(Table221[[#This Row],[كد تفصيلي]],'چکهای دریافتنی'!A:A,0)),0)</f>
        <v>0</v>
      </c>
      <c r="F96" s="11">
        <f>Table221[[#This Row],[حسابهای دریافتنی]]+Table221[[#This Row],[چکهای در جریان وصول]]+Table221[[#This Row],[چکهای نزد صندوق]]</f>
        <v>-1861000</v>
      </c>
      <c r="G96" s="12">
        <f>IFERROR(INDEX('مانده سوفاله'!F:F,MATCH(Table221[[#This Row],[كد تفصيلي]],'مانده سوفاله'!A:A,0)),0)</f>
        <v>0</v>
      </c>
    </row>
    <row r="97" spans="1:7" ht="27.75" customHeight="1" x14ac:dyDescent="0.35">
      <c r="A97" s="27">
        <v>30026</v>
      </c>
      <c r="B97" s="55" t="s">
        <v>74</v>
      </c>
      <c r="C97" s="10">
        <f>IFERROR(INDEX('حسابهای دریافتنی'!H:H,MATCH(Table221[[#This Row],[كد تفصيلي]],'حسابهای دریافتنی'!A:A,0)),0)</f>
        <v>5689439</v>
      </c>
      <c r="D97" s="11">
        <f>IFERROR(INDEX('درجریان وصول'!F:F,MATCH(Table221[[#This Row],[كد تفصيلي]],'درجریان وصول'!A:A,0)),0)</f>
        <v>0</v>
      </c>
      <c r="E97" s="11">
        <f>IFERROR(INDEX('چکهای دریافتنی'!F:F,MATCH(Table221[[#This Row],[كد تفصيلي]],'چکهای دریافتنی'!A:A,0)),0)</f>
        <v>0</v>
      </c>
      <c r="F97" s="11">
        <f>Table221[[#This Row],[حسابهای دریافتنی]]+Table221[[#This Row],[چکهای در جریان وصول]]+Table221[[#This Row],[چکهای نزد صندوق]]</f>
        <v>5689439</v>
      </c>
      <c r="G97" s="12">
        <f>IFERROR(INDEX('مانده سوفاله'!F:F,MATCH(Table221[[#This Row],[كد تفصيلي]],'مانده سوفاله'!A:A,0)),0)</f>
        <v>764</v>
      </c>
    </row>
    <row r="98" spans="1:7" ht="27.75" customHeight="1" x14ac:dyDescent="0.35">
      <c r="A98" s="26">
        <v>10133</v>
      </c>
      <c r="B98" s="56" t="s">
        <v>505</v>
      </c>
      <c r="C98" s="10">
        <f>IFERROR(INDEX('حسابهای دریافتنی'!H:H,MATCH(Table221[[#This Row],[كد تفصيلي]],'حسابهای دریافتنی'!A:A,0)),0)</f>
        <v>-1249039000</v>
      </c>
      <c r="D98" s="11">
        <f>IFERROR(INDEX('درجریان وصول'!F:F,MATCH(Table221[[#This Row],[كد تفصيلي]],'درجریان وصول'!A:A,0)),0)</f>
        <v>0</v>
      </c>
      <c r="E98" s="11">
        <f>IFERROR(INDEX('چکهای دریافتنی'!F:F,MATCH(Table221[[#This Row],[كد تفصيلي]],'چکهای دریافتنی'!A:A,0)),0)</f>
        <v>0</v>
      </c>
      <c r="F98" s="11">
        <f>Table221[[#This Row],[حسابهای دریافتنی]]+Table221[[#This Row],[چکهای در جریان وصول]]+Table221[[#This Row],[چکهای نزد صندوق]]</f>
        <v>-1249039000</v>
      </c>
      <c r="G98" s="12">
        <f>IFERROR(INDEX('مانده سوفاله'!F:F,MATCH(Table221[[#This Row],[كد تفصيلي]],'مانده سوفاله'!A:A,0)),0)</f>
        <v>0</v>
      </c>
    </row>
    <row r="99" spans="1:7" ht="27.75" customHeight="1" x14ac:dyDescent="0.35">
      <c r="A99" s="26">
        <v>30164</v>
      </c>
      <c r="B99" s="56" t="s">
        <v>304</v>
      </c>
      <c r="C99" s="10">
        <f>IFERROR(INDEX('حسابهای دریافتنی'!H:H,MATCH(Table221[[#This Row],[كد تفصيلي]],'حسابهای دریافتنی'!A:A,0)),0)</f>
        <v>184944000</v>
      </c>
      <c r="D99" s="11">
        <f>IFERROR(INDEX('درجریان وصول'!F:F,MATCH(Table221[[#This Row],[كد تفصيلي]],'درجریان وصول'!A:A,0)),0)</f>
        <v>0</v>
      </c>
      <c r="E99" s="11">
        <f>IFERROR(INDEX('چکهای دریافتنی'!F:F,MATCH(Table221[[#This Row],[كد تفصيلي]],'چکهای دریافتنی'!A:A,0)),0)</f>
        <v>0</v>
      </c>
      <c r="F99" s="11">
        <f>Table221[[#This Row],[حسابهای دریافتنی]]+Table221[[#This Row],[چکهای در جریان وصول]]+Table221[[#This Row],[چکهای نزد صندوق]]</f>
        <v>184944000</v>
      </c>
      <c r="G99" s="12">
        <f>IFERROR(INDEX('مانده سوفاله'!F:F,MATCH(Table221[[#This Row],[كد تفصيلي]],'مانده سوفاله'!A:A,0)),0)</f>
        <v>561</v>
      </c>
    </row>
    <row r="100" spans="1:7" ht="27.75" customHeight="1" x14ac:dyDescent="0.35">
      <c r="A100" s="27">
        <v>10109</v>
      </c>
      <c r="B100" s="55" t="s">
        <v>303</v>
      </c>
      <c r="C100" s="10">
        <f>IFERROR(INDEX('حسابهای دریافتنی'!H:H,MATCH(Table221[[#This Row],[كد تفصيلي]],'حسابهای دریافتنی'!A:A,0)),0)</f>
        <v>-1124737000</v>
      </c>
      <c r="D100" s="11">
        <f>IFERROR(INDEX('درجریان وصول'!F:F,MATCH(Table221[[#This Row],[كد تفصيلي]],'درجریان وصول'!A:A,0)),0)</f>
        <v>0</v>
      </c>
      <c r="E100" s="11">
        <f>IFERROR(INDEX('چکهای دریافتنی'!F:F,MATCH(Table221[[#This Row],[كد تفصيلي]],'چکهای دریافتنی'!A:A,0)),0)</f>
        <v>0</v>
      </c>
      <c r="F100" s="11">
        <f>Table221[[#This Row],[حسابهای دریافتنی]]+Table221[[#This Row],[چکهای در جریان وصول]]+Table221[[#This Row],[چکهای نزد صندوق]]</f>
        <v>-1124737000</v>
      </c>
      <c r="G100" s="12">
        <f>IFERROR(INDEX('مانده سوفاله'!F:F,MATCH(Table221[[#This Row],[كد تفصيلي]],'مانده سوفاله'!A:A,0)),0)</f>
        <v>-241</v>
      </c>
    </row>
    <row r="101" spans="1:7" ht="27.75" customHeight="1" x14ac:dyDescent="0.35">
      <c r="A101" s="26">
        <v>30021</v>
      </c>
      <c r="B101" s="56" t="s">
        <v>69</v>
      </c>
      <c r="C101" s="10">
        <f>IFERROR(INDEX('حسابهای دریافتنی'!H:H,MATCH(Table221[[#This Row],[كد تفصيلي]],'حسابهای دریافتنی'!A:A,0)),0)</f>
        <v>-122000</v>
      </c>
      <c r="D101" s="11">
        <f>IFERROR(INDEX('درجریان وصول'!F:F,MATCH(Table221[[#This Row],[كد تفصيلي]],'درجریان وصول'!A:A,0)),0)</f>
        <v>0</v>
      </c>
      <c r="E101" s="11">
        <f>IFERROR(INDEX('چکهای دریافتنی'!F:F,MATCH(Table221[[#This Row],[كد تفصيلي]],'چکهای دریافتنی'!A:A,0)),0)</f>
        <v>0</v>
      </c>
      <c r="F101" s="11">
        <f>Table221[[#This Row],[حسابهای دریافتنی]]+Table221[[#This Row],[چکهای در جریان وصول]]+Table221[[#This Row],[چکهای نزد صندوق]]</f>
        <v>-122000</v>
      </c>
      <c r="G101" s="12">
        <f>IFERROR(INDEX('مانده سوفاله'!F:F,MATCH(Table221[[#This Row],[كد تفصيلي]],'مانده سوفاله'!A:A,0)),0)</f>
        <v>0</v>
      </c>
    </row>
    <row r="102" spans="1:7" ht="27.75" customHeight="1" x14ac:dyDescent="0.35">
      <c r="A102" s="27">
        <v>10066</v>
      </c>
      <c r="B102" s="55" t="s">
        <v>262</v>
      </c>
      <c r="C102" s="10">
        <f>IFERROR(INDEX('حسابهای دریافتنی'!H:H,MATCH(Table221[[#This Row],[كد تفصيلي]],'حسابهای دریافتنی'!A:A,0)),0)</f>
        <v>-191500</v>
      </c>
      <c r="D102" s="11">
        <f>IFERROR(INDEX('درجریان وصول'!F:F,MATCH(Table221[[#This Row],[كد تفصيلي]],'درجریان وصول'!A:A,0)),0)</f>
        <v>0</v>
      </c>
      <c r="E102" s="11">
        <f>IFERROR(INDEX('چکهای دریافتنی'!F:F,MATCH(Table221[[#This Row],[كد تفصيلي]],'چکهای دریافتنی'!A:A,0)),0)</f>
        <v>0</v>
      </c>
      <c r="F102" s="11">
        <f>Table221[[#This Row],[حسابهای دریافتنی]]+Table221[[#This Row],[چکهای در جریان وصول]]+Table221[[#This Row],[چکهای نزد صندوق]]</f>
        <v>-191500</v>
      </c>
      <c r="G102" s="12">
        <f>IFERROR(INDEX('مانده سوفاله'!F:F,MATCH(Table221[[#This Row],[كد تفصيلي]],'مانده سوفاله'!A:A,0)),0)</f>
        <v>2</v>
      </c>
    </row>
    <row r="103" spans="1:7" ht="27.75" customHeight="1" x14ac:dyDescent="0.35">
      <c r="A103" s="27">
        <v>30167</v>
      </c>
      <c r="B103" s="55" t="s">
        <v>311</v>
      </c>
      <c r="C103" s="10">
        <f>IFERROR(INDEX('حسابهای دریافتنی'!H:H,MATCH(Table221[[#This Row],[كد تفصيلي]],'حسابهای دریافتنی'!A:A,0)),0)</f>
        <v>-221000</v>
      </c>
      <c r="D103" s="11">
        <f>IFERROR(INDEX('درجریان وصول'!F:F,MATCH(Table221[[#This Row],[كد تفصيلي]],'درجریان وصول'!A:A,0)),0)</f>
        <v>0</v>
      </c>
      <c r="E103" s="11">
        <f>IFERROR(INDEX('چکهای دریافتنی'!F:F,MATCH(Table221[[#This Row],[كد تفصيلي]],'چکهای دریافتنی'!A:A,0)),0)</f>
        <v>0</v>
      </c>
      <c r="F103" s="11">
        <f>Table221[[#This Row],[حسابهای دریافتنی]]+Table221[[#This Row],[چکهای در جریان وصول]]+Table221[[#This Row],[چکهای نزد صندوق]]</f>
        <v>-221000</v>
      </c>
      <c r="G103" s="12">
        <f>IFERROR(INDEX('مانده سوفاله'!F:F,MATCH(Table221[[#This Row],[كد تفصيلي]],'مانده سوفاله'!A:A,0)),0)</f>
        <v>6</v>
      </c>
    </row>
    <row r="104" spans="1:7" ht="27.75" customHeight="1" x14ac:dyDescent="0.35">
      <c r="A104" s="26">
        <v>10077</v>
      </c>
      <c r="B104" s="56" t="s">
        <v>210</v>
      </c>
      <c r="C104" s="10">
        <f>IFERROR(INDEX('حسابهای دریافتنی'!H:H,MATCH(Table221[[#This Row],[كد تفصيلي]],'حسابهای دریافتنی'!A:A,0)),0)</f>
        <v>-238500</v>
      </c>
      <c r="D104" s="11">
        <f>IFERROR(INDEX('درجریان وصول'!F:F,MATCH(Table221[[#This Row],[كد تفصيلي]],'درجریان وصول'!A:A,0)),0)</f>
        <v>0</v>
      </c>
      <c r="E104" s="11">
        <f>IFERROR(INDEX('چکهای دریافتنی'!F:F,MATCH(Table221[[#This Row],[كد تفصيلي]],'چکهای دریافتنی'!A:A,0)),0)</f>
        <v>0</v>
      </c>
      <c r="F104" s="11">
        <f>Table221[[#This Row],[حسابهای دریافتنی]]+Table221[[#This Row],[چکهای در جریان وصول]]+Table221[[#This Row],[چکهای نزد صندوق]]</f>
        <v>-238500</v>
      </c>
      <c r="G104" s="12">
        <f>IFERROR(INDEX('مانده سوفاله'!F:F,MATCH(Table221[[#This Row],[كد تفصيلي]],'مانده سوفاله'!A:A,0)),0)</f>
        <v>0</v>
      </c>
    </row>
    <row r="105" spans="1:7" ht="27.75" customHeight="1" x14ac:dyDescent="0.35">
      <c r="A105" s="27">
        <v>10012</v>
      </c>
      <c r="B105" s="55" t="s">
        <v>19</v>
      </c>
      <c r="C105" s="10">
        <f>IFERROR(INDEX('حسابهای دریافتنی'!H:H,MATCH(Table221[[#This Row],[كد تفصيلي]],'حسابهای دریافتنی'!A:A,0)),0)</f>
        <v>-244000</v>
      </c>
      <c r="D105" s="11">
        <f>IFERROR(INDEX('درجریان وصول'!F:F,MATCH(Table221[[#This Row],[كد تفصيلي]],'درجریان وصول'!A:A,0)),0)</f>
        <v>0</v>
      </c>
      <c r="E105" s="11">
        <f>IFERROR(INDEX('چکهای دریافتنی'!F:F,MATCH(Table221[[#This Row],[كد تفصيلي]],'چکهای دریافتنی'!A:A,0)),0)</f>
        <v>0</v>
      </c>
      <c r="F105" s="11">
        <f>Table221[[#This Row],[حسابهای دریافتنی]]+Table221[[#This Row],[چکهای در جریان وصول]]+Table221[[#This Row],[چکهای نزد صندوق]]</f>
        <v>-244000</v>
      </c>
      <c r="G105" s="12">
        <f>IFERROR(INDEX('مانده سوفاله'!F:F,MATCH(Table221[[#This Row],[كد تفصيلي]],'مانده سوفاله'!A:A,0)),0)</f>
        <v>0</v>
      </c>
    </row>
    <row r="106" spans="1:7" ht="27.75" customHeight="1" x14ac:dyDescent="0.35">
      <c r="A106" s="26">
        <v>30088</v>
      </c>
      <c r="B106" s="56" t="s">
        <v>142</v>
      </c>
      <c r="C106" s="10">
        <f>IFERROR(INDEX('حسابهای دریافتنی'!H:H,MATCH(Table221[[#This Row],[كد تفصيلي]],'حسابهای دریافتنی'!A:A,0)),0)</f>
        <v>-252000</v>
      </c>
      <c r="D106" s="11">
        <f>IFERROR(INDEX('درجریان وصول'!F:F,MATCH(Table221[[#This Row],[كد تفصيلي]],'درجریان وصول'!A:A,0)),0)</f>
        <v>0</v>
      </c>
      <c r="E106" s="11">
        <f>IFERROR(INDEX('چکهای دریافتنی'!F:F,MATCH(Table221[[#This Row],[كد تفصيلي]],'چکهای دریافتنی'!A:A,0)),0)</f>
        <v>0</v>
      </c>
      <c r="F106" s="11">
        <f>Table221[[#This Row],[حسابهای دریافتنی]]+Table221[[#This Row],[چکهای در جریان وصول]]+Table221[[#This Row],[چکهای نزد صندوق]]</f>
        <v>-252000</v>
      </c>
      <c r="G106" s="12">
        <f>IFERROR(INDEX('مانده سوفاله'!F:F,MATCH(Table221[[#This Row],[كد تفصيلي]],'مانده سوفاله'!A:A,0)),0)</f>
        <v>0</v>
      </c>
    </row>
    <row r="107" spans="1:7" ht="27.75" customHeight="1" x14ac:dyDescent="0.35">
      <c r="A107" s="26">
        <v>10045</v>
      </c>
      <c r="B107" s="56" t="s">
        <v>50</v>
      </c>
      <c r="C107" s="10">
        <f>IFERROR(INDEX('حسابهای دریافتنی'!H:H,MATCH(Table221[[#This Row],[كد تفصيلي]],'حسابهای دریافتنی'!A:A,0)),0)</f>
        <v>-383000</v>
      </c>
      <c r="D107" s="11">
        <f>IFERROR(INDEX('درجریان وصول'!F:F,MATCH(Table221[[#This Row],[كد تفصيلي]],'درجریان وصول'!A:A,0)),0)</f>
        <v>0</v>
      </c>
      <c r="E107" s="11">
        <f>IFERROR(INDEX('چکهای دریافتنی'!F:F,MATCH(Table221[[#This Row],[كد تفصيلي]],'چکهای دریافتنی'!A:A,0)),0)</f>
        <v>0</v>
      </c>
      <c r="F107" s="11">
        <f>Table221[[#This Row],[حسابهای دریافتنی]]+Table221[[#This Row],[چکهای در جریان وصول]]+Table221[[#This Row],[چکهای نزد صندوق]]</f>
        <v>-383000</v>
      </c>
      <c r="G107" s="12">
        <f>IFERROR(INDEX('مانده سوفاله'!F:F,MATCH(Table221[[#This Row],[كد تفصيلي]],'مانده سوفاله'!A:A,0)),0)</f>
        <v>-30</v>
      </c>
    </row>
    <row r="108" spans="1:7" ht="27.75" customHeight="1" x14ac:dyDescent="0.35">
      <c r="A108" s="26">
        <v>30051</v>
      </c>
      <c r="B108" s="56" t="s">
        <v>98</v>
      </c>
      <c r="C108" s="10">
        <f>IFERROR(INDEX('حسابهای دریافتنی'!H:H,MATCH(Table221[[#This Row],[كد تفصيلي]],'حسابهای دریافتنی'!A:A,0)),0)</f>
        <v>-384000</v>
      </c>
      <c r="D108" s="11">
        <f>IFERROR(INDEX('درجریان وصول'!F:F,MATCH(Table221[[#This Row],[كد تفصيلي]],'درجریان وصول'!A:A,0)),0)</f>
        <v>0</v>
      </c>
      <c r="E108" s="11">
        <f>IFERROR(INDEX('چکهای دریافتنی'!F:F,MATCH(Table221[[#This Row],[كد تفصيلي]],'چکهای دریافتنی'!A:A,0)),0)</f>
        <v>0</v>
      </c>
      <c r="F108" s="11">
        <f>Table221[[#This Row],[حسابهای دریافتنی]]+Table221[[#This Row],[چکهای در جریان وصول]]+Table221[[#This Row],[چکهای نزد صندوق]]</f>
        <v>-384000</v>
      </c>
      <c r="G108" s="12">
        <f>IFERROR(INDEX('مانده سوفاله'!F:F,MATCH(Table221[[#This Row],[كد تفصيلي]],'مانده سوفاله'!A:A,0)),0)</f>
        <v>0</v>
      </c>
    </row>
    <row r="109" spans="1:7" ht="27.75" customHeight="1" x14ac:dyDescent="0.35">
      <c r="A109" s="27">
        <v>30044</v>
      </c>
      <c r="B109" s="55" t="s">
        <v>91</v>
      </c>
      <c r="C109" s="10">
        <f>IFERROR(INDEX('حسابهای دریافتنی'!H:H,MATCH(Table221[[#This Row],[كد تفصيلي]],'حسابهای دریافتنی'!A:A,0)),0)</f>
        <v>-492500</v>
      </c>
      <c r="D109" s="11">
        <f>IFERROR(INDEX('درجریان وصول'!F:F,MATCH(Table221[[#This Row],[كد تفصيلي]],'درجریان وصول'!A:A,0)),0)</f>
        <v>0</v>
      </c>
      <c r="E109" s="11">
        <f>IFERROR(INDEX('چکهای دریافتنی'!F:F,MATCH(Table221[[#This Row],[كد تفصيلي]],'چکهای دریافتنی'!A:A,0)),0)</f>
        <v>0</v>
      </c>
      <c r="F109" s="11">
        <f>Table221[[#This Row],[حسابهای دریافتنی]]+Table221[[#This Row],[چکهای در جریان وصول]]+Table221[[#This Row],[چکهای نزد صندوق]]</f>
        <v>-492500</v>
      </c>
      <c r="G109" s="12">
        <f>IFERROR(INDEX('مانده سوفاله'!F:F,MATCH(Table221[[#This Row],[كد تفصيلي]],'مانده سوفاله'!A:A,0)),0)</f>
        <v>2</v>
      </c>
    </row>
    <row r="110" spans="1:7" ht="27.75" customHeight="1" x14ac:dyDescent="0.35">
      <c r="A110" s="26">
        <v>10095</v>
      </c>
      <c r="B110" s="56" t="s">
        <v>268</v>
      </c>
      <c r="C110" s="10">
        <f>IFERROR(INDEX('حسابهای دریافتنی'!H:H,MATCH(Table221[[#This Row],[كد تفصيلي]],'حسابهای دریافتنی'!A:A,0)),0)</f>
        <v>-496500</v>
      </c>
      <c r="D110" s="11">
        <f>IFERROR(INDEX('درجریان وصول'!F:F,MATCH(Table221[[#This Row],[كد تفصيلي]],'درجریان وصول'!A:A,0)),0)</f>
        <v>0</v>
      </c>
      <c r="E110" s="11">
        <f>IFERROR(INDEX('چکهای دریافتنی'!F:F,MATCH(Table221[[#This Row],[كد تفصيلي]],'چکهای دریافتنی'!A:A,0)),0)</f>
        <v>0</v>
      </c>
      <c r="F110" s="11">
        <f>Table221[[#This Row],[حسابهای دریافتنی]]+Table221[[#This Row],[چکهای در جریان وصول]]+Table221[[#This Row],[چکهای نزد صندوق]]</f>
        <v>-496500</v>
      </c>
      <c r="G110" s="12">
        <f>IFERROR(INDEX('مانده سوفاله'!F:F,MATCH(Table221[[#This Row],[كد تفصيلي]],'مانده سوفاله'!A:A,0)),0)</f>
        <v>0</v>
      </c>
    </row>
    <row r="111" spans="1:7" ht="27.75" customHeight="1" x14ac:dyDescent="0.35">
      <c r="A111" s="27">
        <v>30052</v>
      </c>
      <c r="B111" s="55" t="s">
        <v>149</v>
      </c>
      <c r="C111" s="10">
        <f>IFERROR(INDEX('حسابهای دریافتنی'!H:H,MATCH(Table221[[#This Row],[كد تفصيلي]],'حسابهای دریافتنی'!A:A,0)),0)</f>
        <v>-539000</v>
      </c>
      <c r="D111" s="11">
        <f>IFERROR(INDEX('درجریان وصول'!F:F,MATCH(Table221[[#This Row],[كد تفصيلي]],'درجریان وصول'!A:A,0)),0)</f>
        <v>0</v>
      </c>
      <c r="E111" s="11">
        <f>IFERROR(INDEX('چکهای دریافتنی'!F:F,MATCH(Table221[[#This Row],[كد تفصيلي]],'چکهای دریافتنی'!A:A,0)),0)</f>
        <v>0</v>
      </c>
      <c r="F111" s="11">
        <f>Table221[[#This Row],[حسابهای دریافتنی]]+Table221[[#This Row],[چکهای در جریان وصول]]+Table221[[#This Row],[چکهای نزد صندوق]]</f>
        <v>-539000</v>
      </c>
      <c r="G111" s="12">
        <f>IFERROR(INDEX('مانده سوفاله'!F:F,MATCH(Table221[[#This Row],[كد تفصيلي]],'مانده سوفاله'!A:A,0)),0)</f>
        <v>0</v>
      </c>
    </row>
    <row r="112" spans="1:7" ht="27.75" customHeight="1" x14ac:dyDescent="0.35">
      <c r="A112" s="26">
        <v>10061</v>
      </c>
      <c r="B112" s="56" t="s">
        <v>194</v>
      </c>
      <c r="C112" s="10">
        <f>IFERROR(INDEX('حسابهای دریافتنی'!H:H,MATCH(Table221[[#This Row],[كد تفصيلي]],'حسابهای دریافتنی'!A:A,0)),0)</f>
        <v>-565500</v>
      </c>
      <c r="D112" s="11">
        <f>IFERROR(INDEX('درجریان وصول'!F:F,MATCH(Table221[[#This Row],[كد تفصيلي]],'درجریان وصول'!A:A,0)),0)</f>
        <v>0</v>
      </c>
      <c r="E112" s="11">
        <f>IFERROR(INDEX('چکهای دریافتنی'!F:F,MATCH(Table221[[#This Row],[كد تفصيلي]],'چکهای دریافتنی'!A:A,0)),0)</f>
        <v>0</v>
      </c>
      <c r="F112" s="11">
        <f>Table221[[#This Row],[حسابهای دریافتنی]]+Table221[[#This Row],[چکهای در جریان وصول]]+Table221[[#This Row],[چکهای نزد صندوق]]</f>
        <v>-565500</v>
      </c>
      <c r="G112" s="12">
        <f>IFERROR(INDEX('مانده سوفاله'!F:F,MATCH(Table221[[#This Row],[كد تفصيلي]],'مانده سوفاله'!A:A,0)),0)</f>
        <v>0</v>
      </c>
    </row>
    <row r="113" spans="1:7" ht="27.75" customHeight="1" x14ac:dyDescent="0.35">
      <c r="A113" s="26">
        <v>10118</v>
      </c>
      <c r="B113" s="56" t="s">
        <v>334</v>
      </c>
      <c r="C113" s="10">
        <f>IFERROR(INDEX('حسابهای دریافتنی'!H:H,MATCH(Table221[[#This Row],[كد تفصيلي]],'حسابهای دریافتنی'!A:A,0)),0)</f>
        <v>-587500</v>
      </c>
      <c r="D113" s="11">
        <f>IFERROR(INDEX('درجریان وصول'!F:F,MATCH(Table221[[#This Row],[كد تفصيلي]],'درجریان وصول'!A:A,0)),0)</f>
        <v>0</v>
      </c>
      <c r="E113" s="11">
        <f>IFERROR(INDEX('چکهای دریافتنی'!F:F,MATCH(Table221[[#This Row],[كد تفصيلي]],'چکهای دریافتنی'!A:A,0)),0)</f>
        <v>0</v>
      </c>
      <c r="F113" s="11">
        <f>Table221[[#This Row],[حسابهای دریافتنی]]+Table221[[#This Row],[چکهای در جریان وصول]]+Table221[[#This Row],[چکهای نزد صندوق]]</f>
        <v>-587500</v>
      </c>
      <c r="G113" s="12">
        <f>IFERROR(INDEX('مانده سوفاله'!F:F,MATCH(Table221[[#This Row],[كد تفصيلي]],'مانده سوفاله'!A:A,0)),0)</f>
        <v>0</v>
      </c>
    </row>
    <row r="114" spans="1:7" ht="27.75" customHeight="1" x14ac:dyDescent="0.35">
      <c r="A114" s="27">
        <v>10131</v>
      </c>
      <c r="B114" s="55" t="s">
        <v>457</v>
      </c>
      <c r="C114" s="10">
        <f>IFERROR(INDEX('حسابهای دریافتنی'!H:H,MATCH(Table221[[#This Row],[كد تفصيلي]],'حسابهای دریافتنی'!A:A,0)),0)</f>
        <v>-1194000</v>
      </c>
      <c r="D114" s="11">
        <f>IFERROR(INDEX('درجریان وصول'!F:F,MATCH(Table221[[#This Row],[كد تفصيلي]],'درجریان وصول'!A:A,0)),0)</f>
        <v>0</v>
      </c>
      <c r="E114" s="11">
        <f>IFERROR(INDEX('چکهای دریافتنی'!F:F,MATCH(Table221[[#This Row],[كد تفصيلي]],'چکهای دریافتنی'!A:A,0)),0)</f>
        <v>0</v>
      </c>
      <c r="F114" s="11">
        <f>Table221[[#This Row],[حسابهای دریافتنی]]+Table221[[#This Row],[چکهای در جریان وصول]]+Table221[[#This Row],[چکهای نزد صندوق]]</f>
        <v>-1194000</v>
      </c>
      <c r="G114" s="12">
        <f>IFERROR(INDEX('مانده سوفاله'!F:F,MATCH(Table221[[#This Row],[كد تفصيلي]],'مانده سوفاله'!A:A,0)),0)</f>
        <v>1</v>
      </c>
    </row>
    <row r="115" spans="1:7" ht="27.75" customHeight="1" x14ac:dyDescent="0.35">
      <c r="A115" s="26">
        <v>30112</v>
      </c>
      <c r="B115" s="56" t="s">
        <v>201</v>
      </c>
      <c r="C115" s="10">
        <f>IFERROR(INDEX('حسابهای دریافتنی'!H:H,MATCH(Table221[[#This Row],[كد تفصيلي]],'حسابهای دریافتنی'!A:A,0)),0)</f>
        <v>-720500</v>
      </c>
      <c r="D115" s="11">
        <f>IFERROR(INDEX('درجریان وصول'!F:F,MATCH(Table221[[#This Row],[كد تفصيلي]],'درجریان وصول'!A:A,0)),0)</f>
        <v>0</v>
      </c>
      <c r="E115" s="11">
        <f>IFERROR(INDEX('چکهای دریافتنی'!F:F,MATCH(Table221[[#This Row],[كد تفصيلي]],'چکهای دریافتنی'!A:A,0)),0)</f>
        <v>0</v>
      </c>
      <c r="F115" s="11">
        <f>Table221[[#This Row],[حسابهای دریافتنی]]+Table221[[#This Row],[چکهای در جریان وصول]]+Table221[[#This Row],[چکهای نزد صندوق]]</f>
        <v>-720500</v>
      </c>
      <c r="G115" s="12">
        <f>IFERROR(INDEX('مانده سوفاله'!F:F,MATCH(Table221[[#This Row],[كد تفصيلي]],'مانده سوفاله'!A:A,0)),0)</f>
        <v>36</v>
      </c>
    </row>
    <row r="116" spans="1:7" ht="27.75" customHeight="1" x14ac:dyDescent="0.35">
      <c r="A116" s="26">
        <v>10013</v>
      </c>
      <c r="B116" s="56" t="s">
        <v>20</v>
      </c>
      <c r="C116" s="10">
        <f>IFERROR(INDEX('حسابهای دریافتنی'!H:H,MATCH(Table221[[#This Row],[كد تفصيلي]],'حسابهای دریافتنی'!A:A,0)),0)</f>
        <v>-915000</v>
      </c>
      <c r="D116" s="11">
        <f>IFERROR(INDEX('درجریان وصول'!F:F,MATCH(Table221[[#This Row],[كد تفصيلي]],'درجریان وصول'!A:A,0)),0)</f>
        <v>0</v>
      </c>
      <c r="E116" s="11">
        <f>IFERROR(INDEX('چکهای دریافتنی'!F:F,MATCH(Table221[[#This Row],[كد تفصيلي]],'چکهای دریافتنی'!A:A,0)),0)</f>
        <v>0</v>
      </c>
      <c r="F116" s="11">
        <f>Table221[[#This Row],[حسابهای دریافتنی]]+Table221[[#This Row],[چکهای در جریان وصول]]+Table221[[#This Row],[چکهای نزد صندوق]]</f>
        <v>-915000</v>
      </c>
      <c r="G116" s="12">
        <f>IFERROR(INDEX('مانده سوفاله'!F:F,MATCH(Table221[[#This Row],[كد تفصيلي]],'مانده سوفاله'!A:A,0)),0)</f>
        <v>0</v>
      </c>
    </row>
    <row r="117" spans="1:7" ht="27.75" customHeight="1" x14ac:dyDescent="0.35">
      <c r="A117" s="27">
        <v>10042</v>
      </c>
      <c r="B117" s="55" t="s">
        <v>47</v>
      </c>
      <c r="C117" s="10">
        <f>IFERROR(INDEX('حسابهای دریافتنی'!H:H,MATCH(Table221[[#This Row],[كد تفصيلي]],'حسابهای دریافتنی'!A:A,0)),0)</f>
        <v>-1120000</v>
      </c>
      <c r="D117" s="11">
        <f>IFERROR(INDEX('درجریان وصول'!F:F,MATCH(Table221[[#This Row],[كد تفصيلي]],'درجریان وصول'!A:A,0)),0)</f>
        <v>0</v>
      </c>
      <c r="E117" s="11">
        <f>IFERROR(INDEX('چکهای دریافتنی'!F:F,MATCH(Table221[[#This Row],[كد تفصيلي]],'چکهای دریافتنی'!A:A,0)),0)</f>
        <v>0</v>
      </c>
      <c r="F117" s="11">
        <f>Table221[[#This Row],[حسابهای دریافتنی]]+Table221[[#This Row],[چکهای در جریان وصول]]+Table221[[#This Row],[چکهای نزد صندوق]]</f>
        <v>-1120000</v>
      </c>
      <c r="G117" s="12">
        <f>IFERROR(INDEX('مانده سوفاله'!F:F,MATCH(Table221[[#This Row],[كد تفصيلي]],'مانده سوفاله'!A:A,0)),0)</f>
        <v>2</v>
      </c>
    </row>
    <row r="118" spans="1:7" ht="27.75" customHeight="1" x14ac:dyDescent="0.35">
      <c r="A118" s="27">
        <v>30032</v>
      </c>
      <c r="B118" s="55" t="s">
        <v>79</v>
      </c>
      <c r="C118" s="10">
        <f>IFERROR(INDEX('حسابهای دریافتنی'!H:H,MATCH(Table221[[#This Row],[كد تفصيلي]],'حسابهای دریافتنی'!A:A,0)),0)</f>
        <v>-1347000</v>
      </c>
      <c r="D118" s="11">
        <f>IFERROR(INDEX('درجریان وصول'!F:F,MATCH(Table221[[#This Row],[كد تفصيلي]],'درجریان وصول'!A:A,0)),0)</f>
        <v>0</v>
      </c>
      <c r="E118" s="11">
        <f>IFERROR(INDEX('چکهای دریافتنی'!F:F,MATCH(Table221[[#This Row],[كد تفصيلي]],'چکهای دریافتنی'!A:A,0)),0)</f>
        <v>0</v>
      </c>
      <c r="F118" s="11">
        <f>Table221[[#This Row],[حسابهای دریافتنی]]+Table221[[#This Row],[چکهای در جریان وصول]]+Table221[[#This Row],[چکهای نزد صندوق]]</f>
        <v>-1347000</v>
      </c>
      <c r="G118" s="12">
        <f>IFERROR(INDEX('مانده سوفاله'!F:F,MATCH(Table221[[#This Row],[كد تفصيلي]],'مانده سوفاله'!A:A,0)),0)</f>
        <v>0</v>
      </c>
    </row>
    <row r="119" spans="1:7" ht="27.75" customHeight="1" x14ac:dyDescent="0.35">
      <c r="A119" s="27">
        <v>30171</v>
      </c>
      <c r="B119" s="55" t="s">
        <v>322</v>
      </c>
      <c r="C119" s="10">
        <f>IFERROR(INDEX('حسابهای دریافتنی'!H:H,MATCH(Table221[[#This Row],[كد تفصيلي]],'حسابهای دریافتنی'!A:A,0)),0)</f>
        <v>-1500000</v>
      </c>
      <c r="D119" s="11">
        <f>IFERROR(INDEX('درجریان وصول'!F:F,MATCH(Table221[[#This Row],[كد تفصيلي]],'درجریان وصول'!A:A,0)),0)</f>
        <v>0</v>
      </c>
      <c r="E119" s="11">
        <f>IFERROR(INDEX('چکهای دریافتنی'!F:F,MATCH(Table221[[#This Row],[كد تفصيلي]],'چکهای دریافتنی'!A:A,0)),0)</f>
        <v>0</v>
      </c>
      <c r="F119" s="11">
        <f>Table221[[#This Row],[حسابهای دریافتنی]]+Table221[[#This Row],[چکهای در جریان وصول]]+Table221[[#This Row],[چکهای نزد صندوق]]</f>
        <v>-1500000</v>
      </c>
      <c r="G119" s="12">
        <f>IFERROR(INDEX('مانده سوفاله'!F:F,MATCH(Table221[[#This Row],[كد تفصيلي]],'مانده سوفاله'!A:A,0)),0)</f>
        <v>0</v>
      </c>
    </row>
    <row r="120" spans="1:7" ht="27.75" customHeight="1" x14ac:dyDescent="0.35">
      <c r="A120" s="26">
        <v>10103</v>
      </c>
      <c r="B120" s="56" t="s">
        <v>283</v>
      </c>
      <c r="C120" s="10">
        <f>IFERROR(INDEX('حسابهای دریافتنی'!H:H,MATCH(Table221[[#This Row],[كد تفصيلي]],'حسابهای دریافتنی'!A:A,0)),0)</f>
        <v>-1580000</v>
      </c>
      <c r="D120" s="11">
        <f>IFERROR(INDEX('درجریان وصول'!F:F,MATCH(Table221[[#This Row],[كد تفصيلي]],'درجریان وصول'!A:A,0)),0)</f>
        <v>0</v>
      </c>
      <c r="E120" s="11">
        <f>IFERROR(INDEX('چکهای دریافتنی'!F:F,MATCH(Table221[[#This Row],[كد تفصيلي]],'چکهای دریافتنی'!A:A,0)),0)</f>
        <v>0</v>
      </c>
      <c r="F120" s="11">
        <f>Table221[[#This Row],[حسابهای دریافتنی]]+Table221[[#This Row],[چکهای در جریان وصول]]+Table221[[#This Row],[چکهای نزد صندوق]]</f>
        <v>-1580000</v>
      </c>
      <c r="G120" s="12">
        <f>IFERROR(INDEX('مانده سوفاله'!F:F,MATCH(Table221[[#This Row],[كد تفصيلي]],'مانده سوفاله'!A:A,0)),0)</f>
        <v>0</v>
      </c>
    </row>
    <row r="121" spans="1:7" ht="27.75" customHeight="1" x14ac:dyDescent="0.35">
      <c r="A121" s="27">
        <v>10125</v>
      </c>
      <c r="B121" s="55" t="s">
        <v>345</v>
      </c>
      <c r="C121" s="10">
        <f>IFERROR(INDEX('حسابهای دریافتنی'!H:H,MATCH(Table221[[#This Row],[كد تفصيلي]],'حسابهای دریافتنی'!A:A,0)),0)</f>
        <v>-1650000</v>
      </c>
      <c r="D121" s="11">
        <f>IFERROR(INDEX('درجریان وصول'!F:F,MATCH(Table221[[#This Row],[كد تفصيلي]],'درجریان وصول'!A:A,0)),0)</f>
        <v>0</v>
      </c>
      <c r="E121" s="11">
        <f>IFERROR(INDEX('چکهای دریافتنی'!F:F,MATCH(Table221[[#This Row],[كد تفصيلي]],'چکهای دریافتنی'!A:A,0)),0)</f>
        <v>0</v>
      </c>
      <c r="F121" s="11">
        <f>Table221[[#This Row],[حسابهای دریافتنی]]+Table221[[#This Row],[چکهای در جریان وصول]]+Table221[[#This Row],[چکهای نزد صندوق]]</f>
        <v>-1650000</v>
      </c>
      <c r="G121" s="12">
        <f>IFERROR(INDEX('مانده سوفاله'!F:F,MATCH(Table221[[#This Row],[كد تفصيلي]],'مانده سوفاله'!A:A,0)),0)</f>
        <v>0</v>
      </c>
    </row>
    <row r="122" spans="1:7" ht="27.75" customHeight="1" x14ac:dyDescent="0.35">
      <c r="A122" s="27">
        <v>30179</v>
      </c>
      <c r="B122" s="55" t="s">
        <v>336</v>
      </c>
      <c r="C122" s="10">
        <f>IFERROR(INDEX('حسابهای دریافتنی'!H:H,MATCH(Table221[[#This Row],[كد تفصيلي]],'حسابهای دریافتنی'!A:A,0)),0)</f>
        <v>-637200</v>
      </c>
      <c r="D122" s="11">
        <f>IFERROR(INDEX('درجریان وصول'!F:F,MATCH(Table221[[#This Row],[كد تفصيلي]],'درجریان وصول'!A:A,0)),0)</f>
        <v>0</v>
      </c>
      <c r="E122" s="11">
        <f>IFERROR(INDEX('چکهای دریافتنی'!F:F,MATCH(Table221[[#This Row],[كد تفصيلي]],'چکهای دریافتنی'!A:A,0)),0)</f>
        <v>0</v>
      </c>
      <c r="F122" s="11">
        <f>Table221[[#This Row],[حسابهای دریافتنی]]+Table221[[#This Row],[چکهای در جریان وصول]]+Table221[[#This Row],[چکهای نزد صندوق]]</f>
        <v>-637200</v>
      </c>
      <c r="G122" s="12">
        <f>IFERROR(INDEX('مانده سوفاله'!F:F,MATCH(Table221[[#This Row],[كد تفصيلي]],'مانده سوفاله'!A:A,0)),0)</f>
        <v>0</v>
      </c>
    </row>
    <row r="123" spans="1:7" ht="27.75" customHeight="1" x14ac:dyDescent="0.35">
      <c r="A123" s="26">
        <v>10110</v>
      </c>
      <c r="B123" s="56" t="s">
        <v>306</v>
      </c>
      <c r="C123" s="10">
        <f>IFERROR(INDEX('حسابهای دریافتنی'!H:H,MATCH(Table221[[#This Row],[كد تفصيلي]],'حسابهای دریافتنی'!A:A,0)),0)</f>
        <v>-1817500</v>
      </c>
      <c r="D123" s="11">
        <f>IFERROR(INDEX('درجریان وصول'!F:F,MATCH(Table221[[#This Row],[كد تفصيلي]],'درجریان وصول'!A:A,0)),0)</f>
        <v>0</v>
      </c>
      <c r="E123" s="11">
        <f>IFERROR(INDEX('چکهای دریافتنی'!F:F,MATCH(Table221[[#This Row],[كد تفصيلي]],'چکهای دریافتنی'!A:A,0)),0)</f>
        <v>0</v>
      </c>
      <c r="F123" s="11">
        <f>Table221[[#This Row],[حسابهای دریافتنی]]+Table221[[#This Row],[چکهای در جریان وصول]]+Table221[[#This Row],[چکهای نزد صندوق]]</f>
        <v>-1817500</v>
      </c>
      <c r="G123" s="12">
        <f>IFERROR(INDEX('مانده سوفاله'!F:F,MATCH(Table221[[#This Row],[كد تفصيلي]],'مانده سوفاله'!A:A,0)),0)</f>
        <v>7</v>
      </c>
    </row>
    <row r="124" spans="1:7" ht="27.75" customHeight="1" x14ac:dyDescent="0.35">
      <c r="A124" s="27">
        <v>30103</v>
      </c>
      <c r="B124" s="55" t="s">
        <v>240</v>
      </c>
      <c r="C124" s="10">
        <f>IFERROR(INDEX('حسابهای دریافتنی'!H:H,MATCH(Table221[[#This Row],[كد تفصيلي]],'حسابهای دریافتنی'!A:A,0)),0)</f>
        <v>-1820000</v>
      </c>
      <c r="D124" s="11">
        <f>IFERROR(INDEX('درجریان وصول'!F:F,MATCH(Table221[[#This Row],[كد تفصيلي]],'درجریان وصول'!A:A,0)),0)</f>
        <v>0</v>
      </c>
      <c r="E124" s="11">
        <f>IFERROR(INDEX('چکهای دریافتنی'!F:F,MATCH(Table221[[#This Row],[كد تفصيلي]],'چکهای دریافتنی'!A:A,0)),0)</f>
        <v>0</v>
      </c>
      <c r="F124" s="11">
        <f>Table221[[#This Row],[حسابهای دریافتنی]]+Table221[[#This Row],[چکهای در جریان وصول]]+Table221[[#This Row],[چکهای نزد صندوق]]</f>
        <v>-1820000</v>
      </c>
      <c r="G124" s="12">
        <f>IFERROR(INDEX('مانده سوفاله'!F:F,MATCH(Table221[[#This Row],[كد تفصيلي]],'مانده سوفاله'!A:A,0)),0)</f>
        <v>0</v>
      </c>
    </row>
    <row r="125" spans="1:7" ht="27.75" customHeight="1" x14ac:dyDescent="0.35">
      <c r="A125" s="26">
        <v>30128</v>
      </c>
      <c r="B125" s="56" t="s">
        <v>212</v>
      </c>
      <c r="C125" s="10">
        <f>IFERROR(INDEX('حسابهای دریافتنی'!H:H,MATCH(Table221[[#This Row],[كد تفصيلي]],'حسابهای دریافتنی'!A:A,0)),0)</f>
        <v>-2451320</v>
      </c>
      <c r="D125" s="11">
        <f>IFERROR(INDEX('درجریان وصول'!F:F,MATCH(Table221[[#This Row],[كد تفصيلي]],'درجریان وصول'!A:A,0)),0)</f>
        <v>0</v>
      </c>
      <c r="E125" s="11">
        <f>IFERROR(INDEX('چکهای دریافتنی'!F:F,MATCH(Table221[[#This Row],[كد تفصيلي]],'چکهای دریافتنی'!A:A,0)),0)</f>
        <v>0</v>
      </c>
      <c r="F125" s="11">
        <f>Table221[[#This Row],[حسابهای دریافتنی]]+Table221[[#This Row],[چکهای در جریان وصول]]+Table221[[#This Row],[چکهای نزد صندوق]]</f>
        <v>-2451320</v>
      </c>
      <c r="G125" s="12">
        <f>IFERROR(INDEX('مانده سوفاله'!F:F,MATCH(Table221[[#This Row],[كد تفصيلي]],'مانده سوفاله'!A:A,0)),0)</f>
        <v>0</v>
      </c>
    </row>
    <row r="126" spans="1:7" ht="27.75" customHeight="1" x14ac:dyDescent="0.35">
      <c r="A126" s="26">
        <v>30013</v>
      </c>
      <c r="B126" s="56" t="s">
        <v>62</v>
      </c>
      <c r="C126" s="10">
        <f>IFERROR(INDEX('حسابهای دریافتنی'!H:H,MATCH(Table221[[#This Row],[كد تفصيلي]],'حسابهای دریافتنی'!A:A,0)),0)</f>
        <v>-2744620</v>
      </c>
      <c r="D126" s="11">
        <f>IFERROR(INDEX('درجریان وصول'!F:F,MATCH(Table221[[#This Row],[كد تفصيلي]],'درجریان وصول'!A:A,0)),0)</f>
        <v>0</v>
      </c>
      <c r="E126" s="11">
        <f>IFERROR(INDEX('چکهای دریافتنی'!F:F,MATCH(Table221[[#This Row],[كد تفصيلي]],'چکهای دریافتنی'!A:A,0)),0)</f>
        <v>0</v>
      </c>
      <c r="F126" s="11">
        <f>Table221[[#This Row],[حسابهای دریافتنی]]+Table221[[#This Row],[چکهای در جریان وصول]]+Table221[[#This Row],[چکهای نزد صندوق]]</f>
        <v>-2744620</v>
      </c>
      <c r="G126" s="12">
        <f>IFERROR(INDEX('مانده سوفاله'!F:F,MATCH(Table221[[#This Row],[كد تفصيلي]],'مانده سوفاله'!A:A,0)),0)</f>
        <v>0</v>
      </c>
    </row>
    <row r="127" spans="1:7" ht="27.75" customHeight="1" x14ac:dyDescent="0.35">
      <c r="A127" s="26">
        <v>30015</v>
      </c>
      <c r="B127" s="56" t="s">
        <v>64</v>
      </c>
      <c r="C127" s="10">
        <f>IFERROR(INDEX('حسابهای دریافتنی'!H:H,MATCH(Table221[[#This Row],[كد تفصيلي]],'حسابهای دریافتنی'!A:A,0)),0)</f>
        <v>-3105895</v>
      </c>
      <c r="D127" s="11">
        <f>IFERROR(INDEX('درجریان وصول'!F:F,MATCH(Table221[[#This Row],[كد تفصيلي]],'درجریان وصول'!A:A,0)),0)</f>
        <v>0</v>
      </c>
      <c r="E127" s="11">
        <f>IFERROR(INDEX('چکهای دریافتنی'!F:F,MATCH(Table221[[#This Row],[كد تفصيلي]],'چکهای دریافتنی'!A:A,0)),0)</f>
        <v>0</v>
      </c>
      <c r="F127" s="11">
        <f>Table221[[#This Row],[حسابهای دریافتنی]]+Table221[[#This Row],[چکهای در جریان وصول]]+Table221[[#This Row],[چکهای نزد صندوق]]</f>
        <v>-3105895</v>
      </c>
      <c r="G127" s="12">
        <f>IFERROR(INDEX('مانده سوفاله'!F:F,MATCH(Table221[[#This Row],[كد تفصيلي]],'مانده سوفاله'!A:A,0)),0)</f>
        <v>0</v>
      </c>
    </row>
    <row r="128" spans="1:7" ht="27.75" customHeight="1" x14ac:dyDescent="0.35">
      <c r="A128" s="26">
        <v>30110</v>
      </c>
      <c r="B128" s="56" t="s">
        <v>200</v>
      </c>
      <c r="C128" s="10">
        <f>IFERROR(INDEX('حسابهای دریافتنی'!H:H,MATCH(Table221[[#This Row],[كد تفصيلي]],'حسابهای دریافتنی'!A:A,0)),0)</f>
        <v>-3492360</v>
      </c>
      <c r="D128" s="11">
        <f>IFERROR(INDEX('درجریان وصول'!F:F,MATCH(Table221[[#This Row],[كد تفصيلي]],'درجریان وصول'!A:A,0)),0)</f>
        <v>0</v>
      </c>
      <c r="E128" s="11">
        <f>IFERROR(INDEX('چکهای دریافتنی'!F:F,MATCH(Table221[[#This Row],[كد تفصيلي]],'چکهای دریافتنی'!A:A,0)),0)</f>
        <v>0</v>
      </c>
      <c r="F128" s="11">
        <f>Table221[[#This Row],[حسابهای دریافتنی]]+Table221[[#This Row],[چکهای در جریان وصول]]+Table221[[#This Row],[چکهای نزد صندوق]]</f>
        <v>-3492360</v>
      </c>
      <c r="G128" s="12">
        <f>IFERROR(INDEX('مانده سوفاله'!F:F,MATCH(Table221[[#This Row],[كد تفصيلي]],'مانده سوفاله'!A:A,0)),0)</f>
        <v>0</v>
      </c>
    </row>
    <row r="129" spans="1:7" ht="27.75" customHeight="1" x14ac:dyDescent="0.35">
      <c r="A129" s="26">
        <v>10049</v>
      </c>
      <c r="B129" s="56" t="s">
        <v>157</v>
      </c>
      <c r="C129" s="10">
        <f>IFERROR(INDEX('حسابهای دریافتنی'!H:H,MATCH(Table221[[#This Row],[كد تفصيلي]],'حسابهای دریافتنی'!A:A,0)),0)</f>
        <v>-32909500</v>
      </c>
      <c r="D129" s="11">
        <f>IFERROR(INDEX('درجریان وصول'!F:F,MATCH(Table221[[#This Row],[كد تفصيلي]],'درجریان وصول'!A:A,0)),0)</f>
        <v>0</v>
      </c>
      <c r="E129" s="11">
        <f>IFERROR(INDEX('چکهای دریافتنی'!F:F,MATCH(Table221[[#This Row],[كد تفصيلي]],'چکهای دریافتنی'!A:A,0)),0)</f>
        <v>0</v>
      </c>
      <c r="F129" s="11">
        <f>Table221[[#This Row],[حسابهای دریافتنی]]+Table221[[#This Row],[چکهای در جریان وصول]]+Table221[[#This Row],[چکهای نزد صندوق]]</f>
        <v>-32909500</v>
      </c>
      <c r="G129" s="12">
        <f>IFERROR(INDEX('مانده سوفاله'!F:F,MATCH(Table221[[#This Row],[كد تفصيلي]],'مانده سوفاله'!A:A,0)),0)</f>
        <v>0</v>
      </c>
    </row>
    <row r="130" spans="1:7" ht="27.75" customHeight="1" x14ac:dyDescent="0.35">
      <c r="A130" s="26">
        <v>10015</v>
      </c>
      <c r="B130" s="56" t="s">
        <v>22</v>
      </c>
      <c r="C130" s="10">
        <f>IFERROR(INDEX('حسابهای دریافتنی'!H:H,MATCH(Table221[[#This Row],[كد تفصيلي]],'حسابهای دریافتنی'!A:A,0)),0)</f>
        <v>-4735000</v>
      </c>
      <c r="D130" s="11">
        <f>IFERROR(INDEX('درجریان وصول'!F:F,MATCH(Table221[[#This Row],[كد تفصيلي]],'درجریان وصول'!A:A,0)),0)</f>
        <v>0</v>
      </c>
      <c r="E130" s="11">
        <f>IFERROR(INDEX('چکهای دریافتنی'!F:F,MATCH(Table221[[#This Row],[كد تفصيلي]],'چکهای دریافتنی'!A:A,0)),0)</f>
        <v>0</v>
      </c>
      <c r="F130" s="11">
        <f>Table221[[#This Row],[حسابهای دریافتنی]]+Table221[[#This Row],[چکهای در جریان وصول]]+Table221[[#This Row],[چکهای نزد صندوق]]</f>
        <v>-4735000</v>
      </c>
      <c r="G130" s="12">
        <f>IFERROR(INDEX('مانده سوفاله'!F:F,MATCH(Table221[[#This Row],[كد تفصيلي]],'مانده سوفاله'!A:A,0)),0)</f>
        <v>12</v>
      </c>
    </row>
    <row r="131" spans="1:7" ht="27.75" customHeight="1" x14ac:dyDescent="0.35">
      <c r="A131" s="27">
        <v>30153</v>
      </c>
      <c r="B131" s="55" t="s">
        <v>279</v>
      </c>
      <c r="C131" s="10">
        <f>IFERROR(INDEX('حسابهای دریافتنی'!H:H,MATCH(Table221[[#This Row],[كد تفصيلي]],'حسابهای دریافتنی'!A:A,0)),0)</f>
        <v>-4818000</v>
      </c>
      <c r="D131" s="11">
        <f>IFERROR(INDEX('درجریان وصول'!F:F,MATCH(Table221[[#This Row],[كد تفصيلي]],'درجریان وصول'!A:A,0)),0)</f>
        <v>0</v>
      </c>
      <c r="E131" s="11">
        <f>IFERROR(INDEX('چکهای دریافتنی'!F:F,MATCH(Table221[[#This Row],[كد تفصيلي]],'چکهای دریافتنی'!A:A,0)),0)</f>
        <v>0</v>
      </c>
      <c r="F131" s="11">
        <f>Table221[[#This Row],[حسابهای دریافتنی]]+Table221[[#This Row],[چکهای در جریان وصول]]+Table221[[#This Row],[چکهای نزد صندوق]]</f>
        <v>-4818000</v>
      </c>
      <c r="G131" s="12">
        <f>IFERROR(INDEX('مانده سوفاله'!F:F,MATCH(Table221[[#This Row],[كد تفصيلي]],'مانده سوفاله'!A:A,0)),0)</f>
        <v>0</v>
      </c>
    </row>
    <row r="132" spans="1:7" ht="27.75" customHeight="1" x14ac:dyDescent="0.35">
      <c r="A132" s="26">
        <v>30023</v>
      </c>
      <c r="B132" s="56" t="s">
        <v>71</v>
      </c>
      <c r="C132" s="10">
        <f>IFERROR(INDEX('حسابهای دریافتنی'!H:H,MATCH(Table221[[#This Row],[كد تفصيلي]],'حسابهای دریافتنی'!A:A,0)),0)</f>
        <v>-5793600</v>
      </c>
      <c r="D132" s="11">
        <f>IFERROR(INDEX('درجریان وصول'!F:F,MATCH(Table221[[#This Row],[كد تفصيلي]],'درجریان وصول'!A:A,0)),0)</f>
        <v>0</v>
      </c>
      <c r="E132" s="11">
        <f>IFERROR(INDEX('چکهای دریافتنی'!F:F,MATCH(Table221[[#This Row],[كد تفصيلي]],'چکهای دریافتنی'!A:A,0)),0)</f>
        <v>0</v>
      </c>
      <c r="F132" s="11">
        <f>Table221[[#This Row],[حسابهای دریافتنی]]+Table221[[#This Row],[چکهای در جریان وصول]]+Table221[[#This Row],[چکهای نزد صندوق]]</f>
        <v>-5793600</v>
      </c>
      <c r="G132" s="12">
        <f>IFERROR(INDEX('مانده سوفاله'!F:F,MATCH(Table221[[#This Row],[كد تفصيلي]],'مانده سوفاله'!A:A,0)),0)</f>
        <v>0</v>
      </c>
    </row>
    <row r="133" spans="1:7" ht="27.75" customHeight="1" x14ac:dyDescent="0.35">
      <c r="A133" s="26">
        <v>30176</v>
      </c>
      <c r="B133" s="56" t="s">
        <v>332</v>
      </c>
      <c r="C133" s="10">
        <f>IFERROR(INDEX('حسابهای دریافتنی'!H:H,MATCH(Table221[[#This Row],[كد تفصيلي]],'حسابهای دریافتنی'!A:A,0)),0)</f>
        <v>-7540075</v>
      </c>
      <c r="D133" s="11">
        <f>IFERROR(INDEX('درجریان وصول'!F:F,MATCH(Table221[[#This Row],[كد تفصيلي]],'درجریان وصول'!A:A,0)),0)</f>
        <v>0</v>
      </c>
      <c r="E133" s="11">
        <f>IFERROR(INDEX('چکهای دریافتنی'!F:F,MATCH(Table221[[#This Row],[كد تفصيلي]],'چکهای دریافتنی'!A:A,0)),0)</f>
        <v>0</v>
      </c>
      <c r="F133" s="11">
        <f>Table221[[#This Row],[حسابهای دریافتنی]]+Table221[[#This Row],[چکهای در جریان وصول]]+Table221[[#This Row],[چکهای نزد صندوق]]</f>
        <v>-7540075</v>
      </c>
      <c r="G133" s="12">
        <f>IFERROR(INDEX('مانده سوفاله'!F:F,MATCH(Table221[[#This Row],[كد تفصيلي]],'مانده سوفاله'!A:A,0)),0)</f>
        <v>0</v>
      </c>
    </row>
    <row r="134" spans="1:7" ht="27.75" customHeight="1" x14ac:dyDescent="0.35">
      <c r="A134" s="26">
        <v>10106</v>
      </c>
      <c r="B134" s="56" t="s">
        <v>298</v>
      </c>
      <c r="C134" s="10">
        <f>IFERROR(INDEX('حسابهای دریافتنی'!H:H,MATCH(Table221[[#This Row],[كد تفصيلي]],'حسابهای دریافتنی'!A:A,0)),0)</f>
        <v>-9134000</v>
      </c>
      <c r="D134" s="11">
        <f>IFERROR(INDEX('درجریان وصول'!F:F,MATCH(Table221[[#This Row],[كد تفصيلي]],'درجریان وصول'!A:A,0)),0)</f>
        <v>0</v>
      </c>
      <c r="E134" s="11">
        <f>IFERROR(INDEX('چکهای دریافتنی'!F:F,MATCH(Table221[[#This Row],[كد تفصيلي]],'چکهای دریافتنی'!A:A,0)),0)</f>
        <v>0</v>
      </c>
      <c r="F134" s="11">
        <f>Table221[[#This Row],[حسابهای دریافتنی]]+Table221[[#This Row],[چکهای در جریان وصول]]+Table221[[#This Row],[چکهای نزد صندوق]]</f>
        <v>-9134000</v>
      </c>
      <c r="G134" s="12">
        <f>IFERROR(INDEX('مانده سوفاله'!F:F,MATCH(Table221[[#This Row],[كد تفصيلي]],'مانده سوفاله'!A:A,0)),0)</f>
        <v>0</v>
      </c>
    </row>
    <row r="135" spans="1:7" ht="27.75" customHeight="1" x14ac:dyDescent="0.35">
      <c r="A135" s="27">
        <v>30189</v>
      </c>
      <c r="B135" s="55" t="s">
        <v>506</v>
      </c>
      <c r="C135" s="10">
        <f>IFERROR(INDEX('حسابهای دریافتنی'!H:H,MATCH(Table221[[#This Row],[كد تفصيلي]],'حسابهای دریافتنی'!A:A,0)),0)</f>
        <v>20776490</v>
      </c>
      <c r="D135" s="11">
        <f>IFERROR(INDEX('درجریان وصول'!F:F,MATCH(Table221[[#This Row],[كد تفصيلي]],'درجریان وصول'!A:A,0)),0)</f>
        <v>0</v>
      </c>
      <c r="E135" s="11">
        <f>IFERROR(INDEX('چکهای دریافتنی'!F:F,MATCH(Table221[[#This Row],[كد تفصيلي]],'چکهای دریافتنی'!A:A,0)),0)</f>
        <v>0</v>
      </c>
      <c r="F135" s="11">
        <f>Table221[[#This Row],[حسابهای دریافتنی]]+Table221[[#This Row],[چکهای در جریان وصول]]+Table221[[#This Row],[چکهای نزد صندوق]]</f>
        <v>20776490</v>
      </c>
      <c r="G135" s="12">
        <f>IFERROR(INDEX('مانده سوفاله'!F:F,MATCH(Table221[[#This Row],[كد تفصيلي]],'مانده سوفاله'!A:A,0)),0)</f>
        <v>0</v>
      </c>
    </row>
    <row r="136" spans="1:7" customFormat="1" ht="27.75" customHeight="1" x14ac:dyDescent="0.35">
      <c r="A136" s="54">
        <v>10102</v>
      </c>
      <c r="B136" s="55" t="s">
        <v>282</v>
      </c>
      <c r="C136" s="10">
        <f>IFERROR(INDEX('حسابهای دریافتنی'!H:H,MATCH(Table221[[#This Row],[كد تفصيلي]],'حسابهای دریافتنی'!A:A,0)),0)</f>
        <v>-10374000</v>
      </c>
      <c r="D136" s="11">
        <f>IFERROR(INDEX('درجریان وصول'!F:F,MATCH(Table221[[#This Row],[كد تفصيلي]],'درجریان وصول'!A:A,0)),0)</f>
        <v>0</v>
      </c>
      <c r="E136" s="11">
        <f>IFERROR(INDEX('چکهای دریافتنی'!F:F,MATCH(Table221[[#This Row],[كد تفصيلي]],'چکهای دریافتنی'!A:A,0)),0)</f>
        <v>0</v>
      </c>
      <c r="F136" s="11">
        <f>Table221[[#This Row],[حسابهای دریافتنی]]+Table221[[#This Row],[چکهای در جریان وصول]]+Table221[[#This Row],[چکهای نزد صندوق]]</f>
        <v>-10374000</v>
      </c>
      <c r="G136" s="12">
        <f>IFERROR(INDEX('مانده سوفاله'!F:F,MATCH(Table221[[#This Row],[كد تفصيلي]],'مانده سوفاله'!A:A,0)),0)</f>
        <v>0</v>
      </c>
    </row>
    <row r="137" spans="1:7" customFormat="1" ht="27.75" customHeight="1" x14ac:dyDescent="0.35">
      <c r="A137" s="54">
        <v>10104</v>
      </c>
      <c r="B137" s="55" t="s">
        <v>293</v>
      </c>
      <c r="C137" s="10">
        <f>IFERROR(INDEX('حسابهای دریافتنی'!H:H,MATCH(Table221[[#This Row],[كد تفصيلي]],'حسابهای دریافتنی'!A:A,0)),0)</f>
        <v>0</v>
      </c>
      <c r="D137" s="11">
        <f>IFERROR(INDEX('درجریان وصول'!F:F,MATCH(Table221[[#This Row],[كد تفصيلي]],'درجریان وصول'!A:A,0)),0)</f>
        <v>0</v>
      </c>
      <c r="E137" s="11">
        <f>IFERROR(INDEX('چکهای دریافتنی'!F:F,MATCH(Table221[[#This Row],[كد تفصيلي]],'چکهای دریافتنی'!A:A,0)),0)</f>
        <v>0</v>
      </c>
      <c r="F137" s="11">
        <f>Table221[[#This Row],[حسابهای دریافتنی]]+Table221[[#This Row],[چکهای در جریان وصول]]+Table221[[#This Row],[چکهای نزد صندوق]]</f>
        <v>0</v>
      </c>
      <c r="G137" s="12">
        <f>IFERROR(INDEX('مانده سوفاله'!F:F,MATCH(Table221[[#This Row],[كد تفصيلي]],'مانده سوفاله'!A:A,0)),0)</f>
        <v>4065</v>
      </c>
    </row>
    <row r="138" spans="1:7" customFormat="1" ht="27.75" customHeight="1" x14ac:dyDescent="0.35">
      <c r="A138" s="53">
        <v>10105</v>
      </c>
      <c r="B138" s="56" t="s">
        <v>294</v>
      </c>
      <c r="C138" s="10">
        <f>IFERROR(INDEX('حسابهای دریافتنی'!H:H,MATCH(Table221[[#This Row],[كد تفصيلي]],'حسابهای دریافتنی'!A:A,0)),0)</f>
        <v>7630000</v>
      </c>
      <c r="D138" s="11">
        <f>IFERROR(INDEX('درجریان وصول'!F:F,MATCH(Table221[[#This Row],[كد تفصيلي]],'درجریان وصول'!A:A,0)),0)</f>
        <v>0</v>
      </c>
      <c r="E138" s="11">
        <f>IFERROR(INDEX('چکهای دریافتنی'!F:F,MATCH(Table221[[#This Row],[كد تفصيلي]],'چکهای دریافتنی'!A:A,0)),0)</f>
        <v>0</v>
      </c>
      <c r="F138" s="11">
        <f>Table221[[#This Row],[حسابهای دریافتنی]]+Table221[[#This Row],[چکهای در جریان وصول]]+Table221[[#This Row],[چکهای نزد صندوق]]</f>
        <v>7630000</v>
      </c>
      <c r="G138" s="12">
        <f>IFERROR(INDEX('مانده سوفاله'!F:F,MATCH(Table221[[#This Row],[كد تفصيلي]],'مانده سوفاله'!A:A,0)),0)</f>
        <v>0</v>
      </c>
    </row>
    <row r="139" spans="1:7" customFormat="1" ht="27.75" customHeight="1" x14ac:dyDescent="0.35">
      <c r="A139" s="54">
        <v>10058</v>
      </c>
      <c r="B139" s="55" t="s">
        <v>173</v>
      </c>
      <c r="C139" s="10">
        <f>IFERROR(INDEX('حسابهای دریافتنی'!H:H,MATCH(Table221[[#This Row],[كد تفصيلي]],'حسابهای دریافتنی'!A:A,0)),0)</f>
        <v>-13650000</v>
      </c>
      <c r="D139" s="11">
        <f>IFERROR(INDEX('درجریان وصول'!F:F,MATCH(Table221[[#This Row],[كد تفصيلي]],'درجریان وصول'!A:A,0)),0)</f>
        <v>0</v>
      </c>
      <c r="E139" s="11">
        <f>IFERROR(INDEX('چکهای دریافتنی'!F:F,MATCH(Table221[[#This Row],[كد تفصيلي]],'چکهای دریافتنی'!A:A,0)),0)</f>
        <v>0</v>
      </c>
      <c r="F139" s="11">
        <f>Table221[[#This Row],[حسابهای دریافتنی]]+Table221[[#This Row],[چکهای در جریان وصول]]+Table221[[#This Row],[چکهای نزد صندوق]]</f>
        <v>-13650000</v>
      </c>
      <c r="G139" s="12">
        <f>IFERROR(INDEX('مانده سوفاله'!F:F,MATCH(Table221[[#This Row],[كد تفصيلي]],'مانده سوفاله'!A:A,0)),0)</f>
        <v>0</v>
      </c>
    </row>
    <row r="140" spans="1:7" customFormat="1" ht="27.75" customHeight="1" x14ac:dyDescent="0.35">
      <c r="A140" s="53">
        <v>10126</v>
      </c>
      <c r="B140" s="56" t="s">
        <v>370</v>
      </c>
      <c r="C140" s="10">
        <f>IFERROR(INDEX('حسابهای دریافتنی'!H:H,MATCH(Table221[[#This Row],[كد تفصيلي]],'حسابهای دریافتنی'!A:A,0)),0)</f>
        <v>12165000</v>
      </c>
      <c r="D140" s="11">
        <f>IFERROR(INDEX('درجریان وصول'!F:F,MATCH(Table221[[#This Row],[كد تفصيلي]],'درجریان وصول'!A:A,0)),0)</f>
        <v>0</v>
      </c>
      <c r="E140" s="11">
        <f>IFERROR(INDEX('چکهای دریافتنی'!F:F,MATCH(Table221[[#This Row],[كد تفصيلي]],'چکهای دریافتنی'!A:A,0)),0)</f>
        <v>0</v>
      </c>
      <c r="F140" s="11">
        <f>Table221[[#This Row],[حسابهای دریافتنی]]+Table221[[#This Row],[چکهای در جریان وصول]]+Table221[[#This Row],[چکهای نزد صندوق]]</f>
        <v>12165000</v>
      </c>
      <c r="G140" s="12">
        <f>IFERROR(INDEX('مانده سوفاله'!F:F,MATCH(Table221[[#This Row],[كد تفصيلي]],'مانده سوفاله'!A:A,0)),0)</f>
        <v>0</v>
      </c>
    </row>
    <row r="141" spans="1:7" customFormat="1" ht="27.75" customHeight="1" x14ac:dyDescent="0.35">
      <c r="A141" s="53">
        <v>30082</v>
      </c>
      <c r="B141" s="56" t="s">
        <v>127</v>
      </c>
      <c r="C141" s="10">
        <f>IFERROR(INDEX('حسابهای دریافتنی'!H:H,MATCH(Table221[[#This Row],[كد تفصيلي]],'حسابهای دریافتنی'!A:A,0)),0)</f>
        <v>-15037000</v>
      </c>
      <c r="D141" s="11">
        <f>IFERROR(INDEX('درجریان وصول'!F:F,MATCH(Table221[[#This Row],[كد تفصيلي]],'درجریان وصول'!A:A,0)),0)</f>
        <v>0</v>
      </c>
      <c r="E141" s="11">
        <f>IFERROR(INDEX('چکهای دریافتنی'!F:F,MATCH(Table221[[#This Row],[كد تفصيلي]],'چکهای دریافتنی'!A:A,0)),0)</f>
        <v>0</v>
      </c>
      <c r="F141" s="11">
        <f>Table221[[#This Row],[حسابهای دریافتنی]]+Table221[[#This Row],[چکهای در جریان وصول]]+Table221[[#This Row],[چکهای نزد صندوق]]</f>
        <v>-15037000</v>
      </c>
      <c r="G141" s="12">
        <f>IFERROR(INDEX('مانده سوفاله'!F:F,MATCH(Table221[[#This Row],[كد تفصيلي]],'مانده سوفاله'!A:A,0)),0)</f>
        <v>-16</v>
      </c>
    </row>
    <row r="142" spans="1:7" customFormat="1" ht="27.75" customHeight="1" x14ac:dyDescent="0.35">
      <c r="A142" s="54">
        <v>30034</v>
      </c>
      <c r="B142" s="55" t="s">
        <v>81</v>
      </c>
      <c r="C142" s="10">
        <f>IFERROR(INDEX('حسابهای دریافتنی'!H:H,MATCH(Table221[[#This Row],[كد تفصيلي]],'حسابهای دریافتنی'!A:A,0)),0)</f>
        <v>388329200</v>
      </c>
      <c r="D142" s="11">
        <f>IFERROR(INDEX('درجریان وصول'!F:F,MATCH(Table221[[#This Row],[كد تفصيلي]],'درجریان وصول'!A:A,0)),0)</f>
        <v>0</v>
      </c>
      <c r="E142" s="11">
        <f>IFERROR(INDEX('چکهای دریافتنی'!F:F,MATCH(Table221[[#This Row],[كد تفصيلي]],'چکهای دریافتنی'!A:A,0)),0)</f>
        <v>0</v>
      </c>
      <c r="F142" s="11">
        <f>Table221[[#This Row],[حسابهای دریافتنی]]+Table221[[#This Row],[چکهای در جریان وصول]]+Table221[[#This Row],[چکهای نزد صندوق]]</f>
        <v>388329200</v>
      </c>
      <c r="G142" s="12">
        <f>IFERROR(INDEX('مانده سوفاله'!F:F,MATCH(Table221[[#This Row],[كد تفصيلي]],'مانده سوفاله'!A:A,0)),0)</f>
        <v>2886</v>
      </c>
    </row>
    <row r="143" spans="1:7" customFormat="1" ht="27.75" customHeight="1" x14ac:dyDescent="0.35">
      <c r="A143" s="54">
        <v>30042</v>
      </c>
      <c r="B143" s="55" t="s">
        <v>89</v>
      </c>
      <c r="C143" s="10">
        <f>IFERROR(INDEX('حسابهای دریافتنی'!H:H,MATCH(Table221[[#This Row],[كد تفصيلي]],'حسابهای دریافتنی'!A:A,0)),0)</f>
        <v>-18303540</v>
      </c>
      <c r="D143" s="11">
        <f>IFERROR(INDEX('درجریان وصول'!F:F,MATCH(Table221[[#This Row],[كد تفصيلي]],'درجریان وصول'!A:A,0)),0)</f>
        <v>0</v>
      </c>
      <c r="E143" s="11">
        <f>IFERROR(INDEX('چکهای دریافتنی'!F:F,MATCH(Table221[[#This Row],[كد تفصيلي]],'چکهای دریافتنی'!A:A,0)),0)</f>
        <v>0</v>
      </c>
      <c r="F143" s="11">
        <f>Table221[[#This Row],[حسابهای دریافتنی]]+Table221[[#This Row],[چکهای در جریان وصول]]+Table221[[#This Row],[چکهای نزد صندوق]]</f>
        <v>-18303540</v>
      </c>
      <c r="G143" s="12">
        <f>IFERROR(INDEX('مانده سوفاله'!F:F,MATCH(Table221[[#This Row],[كد تفصيلي]],'مانده سوفاله'!A:A,0)),0)</f>
        <v>0</v>
      </c>
    </row>
    <row r="144" spans="1:7" customFormat="1" ht="27.75" customHeight="1" x14ac:dyDescent="0.35">
      <c r="A144" s="54">
        <v>30028</v>
      </c>
      <c r="B144" s="55" t="s">
        <v>76</v>
      </c>
      <c r="C144" s="10">
        <f>IFERROR(INDEX('حسابهای دریافتنی'!H:H,MATCH(Table221[[#This Row],[كد تفصيلي]],'حسابهای دریافتنی'!A:A,0)),0)</f>
        <v>-23665000</v>
      </c>
      <c r="D144" s="11">
        <f>IFERROR(INDEX('درجریان وصول'!F:F,MATCH(Table221[[#This Row],[كد تفصيلي]],'درجریان وصول'!A:A,0)),0)</f>
        <v>0</v>
      </c>
      <c r="E144" s="11">
        <f>IFERROR(INDEX('چکهای دریافتنی'!F:F,MATCH(Table221[[#This Row],[كد تفصيلي]],'چکهای دریافتنی'!A:A,0)),0)</f>
        <v>0</v>
      </c>
      <c r="F144" s="11">
        <f>Table221[[#This Row],[حسابهای دریافتنی]]+Table221[[#This Row],[چکهای در جریان وصول]]+Table221[[#This Row],[چکهای نزد صندوق]]</f>
        <v>-23665000</v>
      </c>
      <c r="G144" s="12">
        <f>IFERROR(INDEX('مانده سوفاله'!F:F,MATCH(Table221[[#This Row],[كد تفصيلي]],'مانده سوفاله'!A:A,0)),0)</f>
        <v>0</v>
      </c>
    </row>
    <row r="145" spans="1:7" customFormat="1" ht="27.75" customHeight="1" x14ac:dyDescent="0.35">
      <c r="A145" s="53">
        <v>30072</v>
      </c>
      <c r="B145" s="56" t="s">
        <v>117</v>
      </c>
      <c r="C145" s="10">
        <f>IFERROR(INDEX('حسابهای دریافتنی'!H:H,MATCH(Table221[[#This Row],[كد تفصيلي]],'حسابهای دریافتنی'!A:A,0)),0)</f>
        <v>-30178900</v>
      </c>
      <c r="D145" s="11">
        <f>IFERROR(INDEX('درجریان وصول'!F:F,MATCH(Table221[[#This Row],[كد تفصيلي]],'درجریان وصول'!A:A,0)),0)</f>
        <v>0</v>
      </c>
      <c r="E145" s="11">
        <f>IFERROR(INDEX('چکهای دریافتنی'!F:F,MATCH(Table221[[#This Row],[كد تفصيلي]],'چکهای دریافتنی'!A:A,0)),0)</f>
        <v>0</v>
      </c>
      <c r="F145" s="11">
        <f>Table221[[#This Row],[حسابهای دریافتنی]]+Table221[[#This Row],[چکهای در جریان وصول]]+Table221[[#This Row],[چکهای نزد صندوق]]</f>
        <v>-30178900</v>
      </c>
      <c r="G145" s="12">
        <f>IFERROR(INDEX('مانده سوفاله'!F:F,MATCH(Table221[[#This Row],[كد تفصيلي]],'مانده سوفاله'!A:A,0)),0)</f>
        <v>-79</v>
      </c>
    </row>
    <row r="146" spans="1:7" customFormat="1" ht="27.75" customHeight="1" x14ac:dyDescent="0.35">
      <c r="A146" s="53">
        <v>30064</v>
      </c>
      <c r="B146" s="56" t="s">
        <v>109</v>
      </c>
      <c r="C146" s="10">
        <f>IFERROR(INDEX('حسابهای دریافتنی'!H:H,MATCH(Table221[[#This Row],[كد تفصيلي]],'حسابهای دریافتنی'!A:A,0)),0)</f>
        <v>-49679500</v>
      </c>
      <c r="D146" s="11">
        <f>IFERROR(INDEX('درجریان وصول'!F:F,MATCH(Table221[[#This Row],[كد تفصيلي]],'درجریان وصول'!A:A,0)),0)</f>
        <v>0</v>
      </c>
      <c r="E146" s="11">
        <f>IFERROR(INDEX('چکهای دریافتنی'!F:F,MATCH(Table221[[#This Row],[كد تفصيلي]],'چکهای دریافتنی'!A:A,0)),0)</f>
        <v>0</v>
      </c>
      <c r="F146" s="11">
        <f>Table221[[#This Row],[حسابهای دریافتنی]]+Table221[[#This Row],[چکهای در جریان وصول]]+Table221[[#This Row],[چکهای نزد صندوق]]</f>
        <v>-49679500</v>
      </c>
      <c r="G146" s="12">
        <f>IFERROR(INDEX('مانده سوفاله'!F:F,MATCH(Table221[[#This Row],[كد تفصيلي]],'مانده سوفاله'!A:A,0)),0)</f>
        <v>0</v>
      </c>
    </row>
    <row r="147" spans="1:7" customFormat="1" ht="27.75" customHeight="1" x14ac:dyDescent="0.35">
      <c r="A147" s="54">
        <v>10123</v>
      </c>
      <c r="B147" s="55" t="s">
        <v>340</v>
      </c>
      <c r="C147" s="10">
        <f>IFERROR(INDEX('حسابهای دریافتنی'!H:H,MATCH(Table221[[#This Row],[كد تفصيلي]],'حسابهای دریافتنی'!A:A,0)),0)</f>
        <v>-50813000</v>
      </c>
      <c r="D147" s="11">
        <f>IFERROR(INDEX('درجریان وصول'!F:F,MATCH(Table221[[#This Row],[كد تفصيلي]],'درجریان وصول'!A:A,0)),0)</f>
        <v>0</v>
      </c>
      <c r="E147" s="11">
        <f>IFERROR(INDEX('چکهای دریافتنی'!F:F,MATCH(Table221[[#This Row],[كد تفصيلي]],'چکهای دریافتنی'!A:A,0)),0)</f>
        <v>0</v>
      </c>
      <c r="F147" s="11">
        <f>Table221[[#This Row],[حسابهای دریافتنی]]+Table221[[#This Row],[چکهای در جریان وصول]]+Table221[[#This Row],[چکهای نزد صندوق]]</f>
        <v>-50813000</v>
      </c>
      <c r="G147" s="12">
        <f>IFERROR(INDEX('مانده سوفاله'!F:F,MATCH(Table221[[#This Row],[كد تفصيلي]],'مانده سوفاله'!A:A,0)),0)</f>
        <v>0</v>
      </c>
    </row>
    <row r="148" spans="1:7" customFormat="1" ht="27.75" customHeight="1" x14ac:dyDescent="0.35">
      <c r="A148" s="54">
        <v>30000</v>
      </c>
      <c r="B148" s="55" t="s">
        <v>189</v>
      </c>
      <c r="C148" s="10">
        <f>IFERROR(INDEX('حسابهای دریافتنی'!H:H,MATCH(Table221[[#This Row],[كد تفصيلي]],'حسابهای دریافتنی'!A:A,0)),0)</f>
        <v>-55440000</v>
      </c>
      <c r="D148" s="11">
        <f>IFERROR(INDEX('درجریان وصول'!F:F,MATCH(Table221[[#This Row],[كد تفصيلي]],'درجریان وصول'!A:A,0)),0)</f>
        <v>0</v>
      </c>
      <c r="E148" s="11">
        <f>IFERROR(INDEX('چکهای دریافتنی'!F:F,MATCH(Table221[[#This Row],[كد تفصيلي]],'چکهای دریافتنی'!A:A,0)),0)</f>
        <v>0</v>
      </c>
      <c r="F148" s="11">
        <f>Table221[[#This Row],[حسابهای دریافتنی]]+Table221[[#This Row],[چکهای در جریان وصول]]+Table221[[#This Row],[چکهای نزد صندوق]]</f>
        <v>-55440000</v>
      </c>
      <c r="G148" s="12">
        <f>IFERROR(INDEX('مانده سوفاله'!F:F,MATCH(Table221[[#This Row],[كد تفصيلي]],'مانده سوفاله'!A:A,0)),0)</f>
        <v>0</v>
      </c>
    </row>
    <row r="149" spans="1:7" customFormat="1" ht="27.75" customHeight="1" x14ac:dyDescent="0.35">
      <c r="A149" s="53">
        <v>30003</v>
      </c>
      <c r="B149" s="56" t="s">
        <v>53</v>
      </c>
      <c r="C149" s="10">
        <f>IFERROR(INDEX('حسابهای دریافتنی'!H:H,MATCH(Table221[[#This Row],[كد تفصيلي]],'حسابهای دریافتنی'!A:A,0)),0)</f>
        <v>754765900</v>
      </c>
      <c r="D149" s="11">
        <f>IFERROR(INDEX('درجریان وصول'!F:F,MATCH(Table221[[#This Row],[كد تفصيلي]],'درجریان وصول'!A:A,0)),0)</f>
        <v>0</v>
      </c>
      <c r="E149" s="11">
        <f>IFERROR(INDEX('چکهای دریافتنی'!F:F,MATCH(Table221[[#This Row],[كد تفصيلي]],'چکهای دریافتنی'!A:A,0)),0)</f>
        <v>571000000</v>
      </c>
      <c r="F149" s="11">
        <f>Table221[[#This Row],[حسابهای دریافتنی]]+Table221[[#This Row],[چکهای در جریان وصول]]+Table221[[#This Row],[چکهای نزد صندوق]]</f>
        <v>1325765900</v>
      </c>
      <c r="G149" s="12">
        <f>IFERROR(INDEX('مانده سوفاله'!F:F,MATCH(Table221[[#This Row],[كد تفصيلي]],'مانده سوفاله'!A:A,0)),0)</f>
        <v>-3538</v>
      </c>
    </row>
    <row r="150" spans="1:7" customFormat="1" ht="27.75" customHeight="1" x14ac:dyDescent="0.35">
      <c r="A150" s="53">
        <v>10093</v>
      </c>
      <c r="B150" s="56" t="s">
        <v>264</v>
      </c>
      <c r="C150" s="10">
        <f>IFERROR(INDEX('حسابهای دریافتنی'!H:H,MATCH(Table221[[#This Row],[كد تفصيلي]],'حسابهای دریافتنی'!A:A,0)),0)</f>
        <v>-2214000</v>
      </c>
      <c r="D150" s="11">
        <f>IFERROR(INDEX('درجریان وصول'!F:F,MATCH(Table221[[#This Row],[كد تفصيلي]],'درجریان وصول'!A:A,0)),0)</f>
        <v>0</v>
      </c>
      <c r="E150" s="11">
        <f>IFERROR(INDEX('چکهای دریافتنی'!F:F,MATCH(Table221[[#This Row],[كد تفصيلي]],'چکهای دریافتنی'!A:A,0)),0)</f>
        <v>0</v>
      </c>
      <c r="F150" s="11">
        <f>Table221[[#This Row],[حسابهای دریافتنی]]+Table221[[#This Row],[چکهای در جریان وصول]]+Table221[[#This Row],[چکهای نزد صندوق]]</f>
        <v>-2214000</v>
      </c>
      <c r="G150" s="12">
        <f>IFERROR(INDEX('مانده سوفاله'!F:F,MATCH(Table221[[#This Row],[كد تفصيلي]],'مانده سوفاله'!A:A,0)),0)</f>
        <v>0</v>
      </c>
    </row>
    <row r="151" spans="1:7" customFormat="1" ht="27.75" customHeight="1" x14ac:dyDescent="0.35">
      <c r="A151" s="54">
        <v>30133</v>
      </c>
      <c r="B151" s="55" t="s">
        <v>251</v>
      </c>
      <c r="C151" s="10">
        <f>IFERROR(INDEX('حسابهای دریافتنی'!H:H,MATCH(Table221[[#This Row],[كد تفصيلي]],'حسابهای دریافتنی'!A:A,0)),0)</f>
        <v>-66889500</v>
      </c>
      <c r="D151" s="11">
        <f>IFERROR(INDEX('درجریان وصول'!F:F,MATCH(Table221[[#This Row],[كد تفصيلي]],'درجریان وصول'!A:A,0)),0)</f>
        <v>0</v>
      </c>
      <c r="E151" s="11">
        <f>IFERROR(INDEX('چکهای دریافتنی'!F:F,MATCH(Table221[[#This Row],[كد تفصيلي]],'چکهای دریافتنی'!A:A,0)),0)</f>
        <v>0</v>
      </c>
      <c r="F151" s="11">
        <f>Table221[[#This Row],[حسابهای دریافتنی]]+Table221[[#This Row],[چکهای در جریان وصول]]+Table221[[#This Row],[چکهای نزد صندوق]]</f>
        <v>-66889500</v>
      </c>
      <c r="G151" s="12">
        <f>IFERROR(INDEX('مانده سوفاله'!F:F,MATCH(Table221[[#This Row],[كد تفصيلي]],'مانده سوفاله'!A:A,0)),0)</f>
        <v>0</v>
      </c>
    </row>
    <row r="152" spans="1:7" customFormat="1" ht="27.75" customHeight="1" x14ac:dyDescent="0.35">
      <c r="A152" s="53">
        <v>10089</v>
      </c>
      <c r="B152" s="56" t="s">
        <v>255</v>
      </c>
      <c r="C152" s="10">
        <f>IFERROR(INDEX('حسابهای دریافتنی'!H:H,MATCH(Table221[[#This Row],[كد تفصيلي]],'حسابهای دریافتنی'!A:A,0)),0)</f>
        <v>-143944000</v>
      </c>
      <c r="D152" s="11">
        <f>IFERROR(INDEX('درجریان وصول'!F:F,MATCH(Table221[[#This Row],[كد تفصيلي]],'درجریان وصول'!A:A,0)),0)</f>
        <v>0</v>
      </c>
      <c r="E152" s="11">
        <f>IFERROR(INDEX('چکهای دریافتنی'!F:F,MATCH(Table221[[#This Row],[كد تفصيلي]],'چکهای دریافتنی'!A:A,0)),0)</f>
        <v>0</v>
      </c>
      <c r="F152" s="11">
        <f>Table221[[#This Row],[حسابهای دریافتنی]]+Table221[[#This Row],[چکهای در جریان وصول]]+Table221[[#This Row],[چکهای نزد صندوق]]</f>
        <v>-143944000</v>
      </c>
      <c r="G152" s="12">
        <f>IFERROR(INDEX('مانده سوفاله'!F:F,MATCH(Table221[[#This Row],[كد تفصيلي]],'مانده سوفاله'!A:A,0)),0)</f>
        <v>-948</v>
      </c>
    </row>
    <row r="153" spans="1:7" customFormat="1" ht="27.75" customHeight="1" x14ac:dyDescent="0.35">
      <c r="A153" s="53">
        <v>30017</v>
      </c>
      <c r="B153" s="56" t="s">
        <v>65</v>
      </c>
      <c r="C153" s="10">
        <f>IFERROR(INDEX('حسابهای دریافتنی'!H:H,MATCH(Table221[[#This Row],[كد تفصيلي]],'حسابهای دریافتنی'!A:A,0)),0)</f>
        <v>905000830</v>
      </c>
      <c r="D153" s="11">
        <f>IFERROR(INDEX('درجریان وصول'!F:F,MATCH(Table221[[#This Row],[كد تفصيلي]],'درجریان وصول'!A:A,0)),0)</f>
        <v>0</v>
      </c>
      <c r="E153" s="11">
        <f>IFERROR(INDEX('چکهای دریافتنی'!F:F,MATCH(Table221[[#This Row],[كد تفصيلي]],'چکهای دریافتنی'!A:A,0)),0)</f>
        <v>0</v>
      </c>
      <c r="F153" s="11">
        <f>Table221[[#This Row],[حسابهای دریافتنی]]+Table221[[#This Row],[چکهای در جریان وصول]]+Table221[[#This Row],[چکهای نزد صندوق]]</f>
        <v>905000830</v>
      </c>
      <c r="G153" s="12">
        <f>IFERROR(INDEX('مانده سوفاله'!F:F,MATCH(Table221[[#This Row],[كد تفصيلي]],'مانده سوفاله'!A:A,0)),0)</f>
        <v>-2186</v>
      </c>
    </row>
    <row r="154" spans="1:7" customFormat="1" ht="27.75" customHeight="1" x14ac:dyDescent="0.35">
      <c r="A154" s="54">
        <v>10018</v>
      </c>
      <c r="B154" s="55" t="s">
        <v>25</v>
      </c>
      <c r="C154" s="10">
        <f>IFERROR(INDEX('حسابهای دریافتنی'!H:H,MATCH(Table221[[#This Row],[كد تفصيلي]],'حسابهای دریافتنی'!A:A,0)),0)</f>
        <v>95282000</v>
      </c>
      <c r="D154" s="11">
        <f>IFERROR(INDEX('درجریان وصول'!F:F,MATCH(Table221[[#This Row],[كد تفصيلي]],'درجریان وصول'!A:A,0)),0)</f>
        <v>0</v>
      </c>
      <c r="E154" s="11">
        <f>IFERROR(INDEX('چکهای دریافتنی'!F:F,MATCH(Table221[[#This Row],[كد تفصيلي]],'چکهای دریافتنی'!A:A,0)),0)</f>
        <v>0</v>
      </c>
      <c r="F154" s="11">
        <f>Table221[[#This Row],[حسابهای دریافتنی]]+Table221[[#This Row],[چکهای در جریان وصول]]+Table221[[#This Row],[چکهای نزد صندوق]]</f>
        <v>95282000</v>
      </c>
      <c r="G154" s="12">
        <f>IFERROR(INDEX('مانده سوفاله'!F:F,MATCH(Table221[[#This Row],[كد تفصيلي]],'مانده سوفاله'!A:A,0)),0)</f>
        <v>-32</v>
      </c>
    </row>
    <row r="155" spans="1:7" customFormat="1" ht="27.75" customHeight="1" x14ac:dyDescent="0.35">
      <c r="A155" s="53">
        <v>10079</v>
      </c>
      <c r="B155" s="56" t="s">
        <v>174</v>
      </c>
      <c r="C155" s="10">
        <f>IFERROR(INDEX('حسابهای دریافتنی'!H:H,MATCH(Table221[[#This Row],[كد تفصيلي]],'حسابهای دریافتنی'!A:A,0)),0)</f>
        <v>-226593500</v>
      </c>
      <c r="D155" s="11">
        <f>IFERROR(INDEX('درجریان وصول'!F:F,MATCH(Table221[[#This Row],[كد تفصيلي]],'درجریان وصول'!A:A,0)),0)</f>
        <v>0</v>
      </c>
      <c r="E155" s="11">
        <f>IFERROR(INDEX('چکهای دریافتنی'!F:F,MATCH(Table221[[#This Row],[كد تفصيلي]],'چکهای دریافتنی'!A:A,0)),0)</f>
        <v>0</v>
      </c>
      <c r="F155" s="11">
        <f>Table221[[#This Row],[حسابهای دریافتنی]]+Table221[[#This Row],[چکهای در جریان وصول]]+Table221[[#This Row],[چکهای نزد صندوق]]</f>
        <v>-226593500</v>
      </c>
      <c r="G155" s="12">
        <f>IFERROR(INDEX('مانده سوفاله'!F:F,MATCH(Table221[[#This Row],[كد تفصيلي]],'مانده سوفاله'!A:A,0)),0)</f>
        <v>0</v>
      </c>
    </row>
    <row r="156" spans="1:7" customFormat="1" ht="27.75" customHeight="1" x14ac:dyDescent="0.35">
      <c r="A156" s="53">
        <v>50005</v>
      </c>
      <c r="B156" s="56" t="s">
        <v>148</v>
      </c>
      <c r="C156" s="10">
        <f>IFERROR(INDEX('حسابهای دریافتنی'!H:H,MATCH(Table221[[#This Row],[كد تفصيلي]],'حسابهای دریافتنی'!A:A,0)),0)</f>
        <v>0</v>
      </c>
      <c r="D156" s="11">
        <f>IFERROR(INDEX('درجریان وصول'!F:F,MATCH(Table221[[#This Row],[كد تفصيلي]],'درجریان وصول'!A:A,0)),0)</f>
        <v>0</v>
      </c>
      <c r="E156" s="11">
        <f>IFERROR(INDEX('چکهای دریافتنی'!F:F,MATCH(Table221[[#This Row],[كد تفصيلي]],'چکهای دریافتنی'!A:A,0)),0)</f>
        <v>0</v>
      </c>
      <c r="F156" s="11">
        <f>Table221[[#This Row],[حسابهای دریافتنی]]+Table221[[#This Row],[چکهای در جریان وصول]]+Table221[[#This Row],[چکهای نزد صندوق]]</f>
        <v>0</v>
      </c>
      <c r="G156" s="12">
        <f>IFERROR(INDEX('مانده سوفاله'!F:F,MATCH(Table221[[#This Row],[كد تفصيلي]],'مانده سوفاله'!A:A,0)),0)</f>
        <v>0</v>
      </c>
    </row>
    <row r="157" spans="1:7" customFormat="1" ht="27.75" customHeight="1" x14ac:dyDescent="0.35">
      <c r="A157" s="53">
        <v>10128</v>
      </c>
      <c r="B157" s="56" t="s">
        <v>372</v>
      </c>
      <c r="C157" s="10">
        <f>IFERROR(INDEX('حسابهای دریافتنی'!H:H,MATCH(Table221[[#This Row],[كد تفصيلي]],'حسابهای دریافتنی'!A:A,0)),0)</f>
        <v>-45000</v>
      </c>
      <c r="D157" s="11">
        <f>IFERROR(INDEX('درجریان وصول'!F:F,MATCH(Table221[[#This Row],[كد تفصيلي]],'درجریان وصول'!A:A,0)),0)</f>
        <v>0</v>
      </c>
      <c r="E157" s="11">
        <f>IFERROR(INDEX('چکهای دریافتنی'!F:F,MATCH(Table221[[#This Row],[كد تفصيلي]],'چکهای دریافتنی'!A:A,0)),0)</f>
        <v>0</v>
      </c>
      <c r="F157" s="11">
        <f>Table221[[#This Row],[حسابهای دریافتنی]]+Table221[[#This Row],[چکهای در جریان وصول]]+Table221[[#This Row],[چکهای نزد صندوق]]</f>
        <v>-45000</v>
      </c>
      <c r="G157" s="12">
        <f>IFERROR(INDEX('مانده سوفاله'!F:F,MATCH(Table221[[#This Row],[كد تفصيلي]],'مانده سوفاله'!A:A,0)),0)</f>
        <v>6</v>
      </c>
    </row>
    <row r="158" spans="1:7" customFormat="1" ht="27.75" customHeight="1" x14ac:dyDescent="0.35">
      <c r="A158" s="54">
        <v>10119</v>
      </c>
      <c r="B158" s="55" t="s">
        <v>333</v>
      </c>
      <c r="C158" s="10">
        <f>IFERROR(INDEX('حسابهای دریافتنی'!H:H,MATCH(Table221[[#This Row],[كد تفصيلي]],'حسابهای دریافتنی'!A:A,0)),0)</f>
        <v>-2592000</v>
      </c>
      <c r="D158" s="11">
        <f>IFERROR(INDEX('درجریان وصول'!F:F,MATCH(Table221[[#This Row],[كد تفصيلي]],'درجریان وصول'!A:A,0)),0)</f>
        <v>0</v>
      </c>
      <c r="E158" s="11">
        <f>IFERROR(INDEX('چکهای دریافتنی'!F:F,MATCH(Table221[[#This Row],[كد تفصيلي]],'چکهای دریافتنی'!A:A,0)),0)</f>
        <v>0</v>
      </c>
      <c r="F158" s="11">
        <f>Table221[[#This Row],[حسابهای دریافتنی]]+Table221[[#This Row],[چکهای در جریان وصول]]+Table221[[#This Row],[چکهای نزد صندوق]]</f>
        <v>-2592000</v>
      </c>
      <c r="G158" s="12">
        <f>IFERROR(INDEX('مانده سوفاله'!F:F,MATCH(Table221[[#This Row],[كد تفصيلي]],'مانده سوفاله'!A:A,0)),0)</f>
        <v>353</v>
      </c>
    </row>
    <row r="159" spans="1:7" customFormat="1" ht="27.75" customHeight="1" x14ac:dyDescent="0.35">
      <c r="A159" s="53">
        <v>30182</v>
      </c>
      <c r="B159" s="56" t="s">
        <v>342</v>
      </c>
      <c r="C159" s="10">
        <f>IFERROR(INDEX('حسابهای دریافتنی'!H:H,MATCH(Table221[[#This Row],[كد تفصيلي]],'حسابهای دریافتنی'!A:A,0)),0)</f>
        <v>-528256400</v>
      </c>
      <c r="D159" s="11">
        <f>IFERROR(INDEX('درجریان وصول'!F:F,MATCH(Table221[[#This Row],[كد تفصيلي]],'درجریان وصول'!A:A,0)),0)</f>
        <v>0</v>
      </c>
      <c r="E159" s="11">
        <f>IFERROR(INDEX('چکهای دریافتنی'!F:F,MATCH(Table221[[#This Row],[كد تفصيلي]],'چکهای دریافتنی'!A:A,0)),0)</f>
        <v>0</v>
      </c>
      <c r="F159" s="11">
        <f>Table221[[#This Row],[حسابهای دریافتنی]]+Table221[[#This Row],[چکهای در جریان وصول]]+Table221[[#This Row],[چکهای نزد صندوق]]</f>
        <v>-528256400</v>
      </c>
      <c r="G159" s="12">
        <f>IFERROR(INDEX('مانده سوفاله'!F:F,MATCH(Table221[[#This Row],[كد تفصيلي]],'مانده سوفاله'!A:A,0)),0)</f>
        <v>0</v>
      </c>
    </row>
    <row r="160" spans="1:7" customFormat="1" ht="27.75" customHeight="1" x14ac:dyDescent="0.35">
      <c r="A160" s="54">
        <v>50008</v>
      </c>
      <c r="B160" s="55" t="s">
        <v>146</v>
      </c>
      <c r="C160" s="10">
        <f>IFERROR(INDEX('حسابهای دریافتنی'!H:H,MATCH(Table221[[#This Row],[كد تفصيلي]],'حسابهای دریافتنی'!A:A,0)),0)</f>
        <v>-406230000</v>
      </c>
      <c r="D160" s="11">
        <f>IFERROR(INDEX('درجریان وصول'!F:F,MATCH(Table221[[#This Row],[كد تفصيلي]],'درجریان وصول'!A:A,0)),0)</f>
        <v>0</v>
      </c>
      <c r="E160" s="11">
        <f>IFERROR(INDEX('چکهای دریافتنی'!F:F,MATCH(Table221[[#This Row],[كد تفصيلي]],'چکهای دریافتنی'!A:A,0)),0)</f>
        <v>0</v>
      </c>
      <c r="F160" s="11">
        <f>Table221[[#This Row],[حسابهای دریافتنی]]+Table221[[#This Row],[چکهای در جریان وصول]]+Table221[[#This Row],[چکهای نزد صندوق]]</f>
        <v>-406230000</v>
      </c>
      <c r="G160" s="12">
        <f>IFERROR(INDEX('مانده سوفاله'!F:F,MATCH(Table221[[#This Row],[كد تفصيلي]],'مانده سوفاله'!A:A,0)),0)</f>
        <v>0</v>
      </c>
    </row>
    <row r="161" spans="1:7" customFormat="1" ht="27.75" customHeight="1" x14ac:dyDescent="0.35">
      <c r="A161" s="54">
        <v>30040</v>
      </c>
      <c r="B161" s="55" t="s">
        <v>87</v>
      </c>
      <c r="C161" s="10">
        <f>IFERROR(INDEX('حسابهای دریافتنی'!H:H,MATCH(Table221[[#This Row],[كد تفصيلي]],'حسابهای دریافتنی'!A:A,0)),0)</f>
        <v>0</v>
      </c>
      <c r="D161" s="11">
        <f>IFERROR(INDEX('درجریان وصول'!F:F,MATCH(Table221[[#This Row],[كد تفصيلي]],'درجریان وصول'!A:A,0)),0)</f>
        <v>0</v>
      </c>
      <c r="E161" s="11">
        <f>IFERROR(INDEX('چکهای دریافتنی'!F:F,MATCH(Table221[[#This Row],[كد تفصيلي]],'چکهای دریافتنی'!A:A,0)),0)</f>
        <v>0</v>
      </c>
      <c r="F161" s="11">
        <f>Table221[[#This Row],[حسابهای دریافتنی]]+Table221[[#This Row],[چکهای در جریان وصول]]+Table221[[#This Row],[چکهای نزد صندوق]]</f>
        <v>0</v>
      </c>
      <c r="G161" s="12">
        <f>IFERROR(INDEX('مانده سوفاله'!F:F,MATCH(Table221[[#This Row],[كد تفصيلي]],'مانده سوفاله'!A:A,0)),0)</f>
        <v>0</v>
      </c>
    </row>
    <row r="162" spans="1:7" ht="27.75" customHeight="1" x14ac:dyDescent="0.35">
      <c r="A162" s="27">
        <v>30006</v>
      </c>
      <c r="B162" s="55" t="s">
        <v>56</v>
      </c>
      <c r="C162" s="10">
        <f>IFERROR(INDEX('حسابهای دریافتنی'!H:H,MATCH(Table221[[#This Row],[كد تفصيلي]],'حسابهای دریافتنی'!A:A,0)),0)</f>
        <v>-162677545</v>
      </c>
      <c r="D162" s="11">
        <f>IFERROR(INDEX('درجریان وصول'!F:F,MATCH(Table221[[#This Row],[كد تفصيلي]],'درجریان وصول'!A:A,0)),0)</f>
        <v>0</v>
      </c>
      <c r="E162" s="11">
        <f>IFERROR(INDEX('چکهای دریافتنی'!F:F,MATCH(Table221[[#This Row],[كد تفصيلي]],'چکهای دریافتنی'!A:A,0)),0)</f>
        <v>0</v>
      </c>
      <c r="F162" s="11">
        <f>Table221[[#This Row],[حسابهای دریافتنی]]+Table221[[#This Row],[چکهای در جریان وصول]]+Table221[[#This Row],[چکهای نزد صندوق]]</f>
        <v>-162677545</v>
      </c>
      <c r="G162" s="12">
        <f>IFERROR(INDEX('مانده سوفاله'!F:F,MATCH(Table221[[#This Row],[كد تفصيلي]],'مانده سوفاله'!A:A,0)),0)</f>
        <v>-6</v>
      </c>
    </row>
    <row r="163" spans="1:7" ht="27.75" customHeight="1" x14ac:dyDescent="0.35">
      <c r="A163" s="26">
        <v>79120</v>
      </c>
      <c r="B163" s="56" t="s">
        <v>195</v>
      </c>
      <c r="C163" s="10">
        <f>IFERROR(INDEX('حسابهای دریافتنی'!H:H,MATCH(Table221[[#This Row],[كد تفصيلي]],'حسابهای دریافتنی'!A:A,0)),0)</f>
        <v>-15776160000</v>
      </c>
      <c r="D163" s="11">
        <f>IFERROR(INDEX('درجریان وصول'!F:F,MATCH(Table221[[#This Row],[كد تفصيلي]],'درجریان وصول'!A:A,0)),0)</f>
        <v>0</v>
      </c>
      <c r="E163" s="11">
        <f>IFERROR(INDEX('چکهای دریافتنی'!F:F,MATCH(Table221[[#This Row],[كد تفصيلي]],'چکهای دریافتنی'!A:A,0)),0)</f>
        <v>0</v>
      </c>
      <c r="F163" s="11">
        <f>Table221[[#This Row],[حسابهای دریافتنی]]+Table221[[#This Row],[چکهای در جریان وصول]]+Table221[[#This Row],[چکهای نزد صندوق]]</f>
        <v>-15776160000</v>
      </c>
      <c r="G163" s="12">
        <f>IFERROR(INDEX('مانده سوفاله'!F:F,MATCH(Table221[[#This Row],[كد تفصيلي]],'مانده سوفاله'!A:A,0)),0)</f>
        <v>0</v>
      </c>
    </row>
    <row r="164" spans="1:7" ht="27.75" customHeight="1" x14ac:dyDescent="0.35">
      <c r="A164" s="26">
        <v>10069</v>
      </c>
      <c r="B164" s="56" t="s">
        <v>204</v>
      </c>
      <c r="C164" s="10">
        <f>IFERROR(INDEX('حسابهای دریافتنی'!H:H,MATCH(Table221[[#This Row],[كد تفصيلي]],'حسابهای دریافتنی'!A:A,0)),0)</f>
        <v>952500</v>
      </c>
      <c r="D164" s="11">
        <f>IFERROR(INDEX('درجریان وصول'!F:F,MATCH(Table221[[#This Row],[كد تفصيلي]],'درجریان وصول'!A:A,0)),0)</f>
        <v>0</v>
      </c>
      <c r="E164" s="11">
        <f>IFERROR(INDEX('چکهای دریافتنی'!F:F,MATCH(Table221[[#This Row],[كد تفصيلي]],'چکهای دریافتنی'!A:A,0)),0)</f>
        <v>73000000</v>
      </c>
      <c r="F164" s="11">
        <f>Table221[[#This Row],[حسابهای دریافتنی]]+Table221[[#This Row],[چکهای در جریان وصول]]+Table221[[#This Row],[چکهای نزد صندوق]]</f>
        <v>73952500</v>
      </c>
      <c r="G164" s="12">
        <f>IFERROR(INDEX('مانده سوفاله'!F:F,MATCH(Table221[[#This Row],[كد تفصيلي]],'مانده سوفاله'!A:A,0)),0)</f>
        <v>339</v>
      </c>
    </row>
    <row r="165" spans="1:7" ht="27.75" customHeight="1" x14ac:dyDescent="0.35">
      <c r="A165" s="26">
        <v>30066</v>
      </c>
      <c r="B165" s="56" t="s">
        <v>111</v>
      </c>
      <c r="C165" s="10">
        <f>IFERROR(INDEX('حسابهای دریافتنی'!H:H,MATCH(Table221[[#This Row],[كد تفصيلي]],'حسابهای دریافتنی'!A:A,0)),0)</f>
        <v>6484147500</v>
      </c>
      <c r="D165" s="11">
        <f>IFERROR(INDEX('درجریان وصول'!F:F,MATCH(Table221[[#This Row],[كد تفصيلي]],'درجریان وصول'!A:A,0)),0)</f>
        <v>0</v>
      </c>
      <c r="E165" s="11">
        <f>IFERROR(INDEX('چکهای دریافتنی'!F:F,MATCH(Table221[[#This Row],[كد تفصيلي]],'چکهای دریافتنی'!A:A,0)),0)</f>
        <v>0</v>
      </c>
      <c r="F165" s="11">
        <f>Table221[[#This Row],[حسابهای دریافتنی]]+Table221[[#This Row],[چکهای در جریان وصول]]+Table221[[#This Row],[چکهای نزد صندوق]]</f>
        <v>6484147500</v>
      </c>
      <c r="G165" s="12">
        <f>IFERROR(INDEX('مانده سوفاله'!F:F,MATCH(Table221[[#This Row],[كد تفصيلي]],'مانده سوفاله'!A:A,0)),0)</f>
        <v>-1320</v>
      </c>
    </row>
    <row r="166" spans="1:7" ht="27.75" customHeight="1" x14ac:dyDescent="0.35">
      <c r="A166" s="26">
        <v>10019</v>
      </c>
      <c r="B166" s="56" t="s">
        <v>26</v>
      </c>
      <c r="C166" s="10">
        <f>IFERROR(INDEX('حسابهای دریافتنی'!H:H,MATCH(Table221[[#This Row],[كد تفصيلي]],'حسابهای دریافتنی'!A:A,0)),0)</f>
        <v>0</v>
      </c>
      <c r="D166" s="11">
        <f>IFERROR(INDEX('درجریان وصول'!F:F,MATCH(Table221[[#This Row],[كد تفصيلي]],'درجریان وصول'!A:A,0)),0)</f>
        <v>0</v>
      </c>
      <c r="E166" s="11">
        <f>IFERROR(INDEX('چکهای دریافتنی'!F:F,MATCH(Table221[[#This Row],[كد تفصيلي]],'چکهای دریافتنی'!A:A,0)),0)</f>
        <v>0</v>
      </c>
      <c r="F166" s="11">
        <f>Table221[[#This Row],[حسابهای دریافتنی]]+Table221[[#This Row],[چکهای در جریان وصول]]+Table221[[#This Row],[چکهای نزد صندوق]]</f>
        <v>0</v>
      </c>
      <c r="G166" s="12">
        <f>IFERROR(INDEX('مانده سوفاله'!F:F,MATCH(Table221[[#This Row],[كد تفصيلي]],'مانده سوفاله'!A:A,0)),0)</f>
        <v>285</v>
      </c>
    </row>
    <row r="167" spans="1:7" ht="27.75" customHeight="1" x14ac:dyDescent="0.35">
      <c r="A167" s="26">
        <v>10136</v>
      </c>
      <c r="B167" s="56" t="s">
        <v>493</v>
      </c>
      <c r="C167" s="10">
        <f>IFERROR(INDEX('حسابهای دریافتنی'!H:H,MATCH(Table221[[#This Row],[كد تفصيلي]],'حسابهای دریافتنی'!A:A,0)),0)</f>
        <v>0</v>
      </c>
      <c r="D167" s="11">
        <f>IFERROR(INDEX('درجریان وصول'!F:F,MATCH(Table221[[#This Row],[كد تفصيلي]],'درجریان وصول'!A:A,0)),0)</f>
        <v>0</v>
      </c>
      <c r="E167" s="11">
        <f>IFERROR(INDEX('چکهای دریافتنی'!F:F,MATCH(Table221[[#This Row],[كد تفصيلي]],'چکهای دریافتنی'!A:A,0)),0)</f>
        <v>0</v>
      </c>
      <c r="F167" s="11">
        <f>Table221[[#This Row],[حسابهای دریافتنی]]+Table221[[#This Row],[چکهای در جریان وصول]]+Table221[[#This Row],[چکهای نزد صندوق]]</f>
        <v>0</v>
      </c>
      <c r="G167" s="12">
        <f>IFERROR(INDEX('مانده سوفاله'!F:F,MATCH(Table221[[#This Row],[كد تفصيلي]],'مانده سوفاله'!A:A,0)),0)</f>
        <v>0</v>
      </c>
    </row>
    <row r="168" spans="1:7" ht="27.75" customHeight="1" x14ac:dyDescent="0.35">
      <c r="A168" s="27">
        <v>30169</v>
      </c>
      <c r="B168" s="55" t="s">
        <v>318</v>
      </c>
      <c r="C168" s="10">
        <f>IFERROR(INDEX('حسابهای دریافتنی'!H:H,MATCH(Table221[[#This Row],[كد تفصيلي]],'حسابهای دریافتنی'!A:A,0)),0)</f>
        <v>-658993316</v>
      </c>
      <c r="D168" s="11">
        <f>IFERROR(INDEX('درجریان وصول'!F:F,MATCH(Table221[[#This Row],[كد تفصيلي]],'درجریان وصول'!A:A,0)),0)</f>
        <v>0</v>
      </c>
      <c r="E168" s="11">
        <f>IFERROR(INDEX('چکهای دریافتنی'!F:F,MATCH(Table221[[#This Row],[كد تفصيلي]],'چکهای دریافتنی'!A:A,0)),0)</f>
        <v>2085000000</v>
      </c>
      <c r="F168" s="11">
        <f>Table221[[#This Row],[حسابهای دریافتنی]]+Table221[[#This Row],[چکهای در جریان وصول]]+Table221[[#This Row],[چکهای نزد صندوق]]</f>
        <v>1426006684</v>
      </c>
      <c r="G168" s="12">
        <f>IFERROR(INDEX('مانده سوفاله'!F:F,MATCH(Table221[[#This Row],[كد تفصيلي]],'مانده سوفاله'!A:A,0)),0)</f>
        <v>0</v>
      </c>
    </row>
    <row r="169" spans="1:7" ht="27.75" customHeight="1" x14ac:dyDescent="0.35">
      <c r="A169" s="27">
        <v>30131</v>
      </c>
      <c r="B169" s="55" t="s">
        <v>213</v>
      </c>
      <c r="C169" s="10">
        <f>IFERROR(INDEX('حسابهای دریافتنی'!H:H,MATCH(Table221[[#This Row],[كد تفصيلي]],'حسابهای دریافتنی'!A:A,0)),0)</f>
        <v>-6228486500</v>
      </c>
      <c r="D169" s="11">
        <f>IFERROR(INDEX('درجریان وصول'!F:F,MATCH(Table221[[#This Row],[كد تفصيلي]],'درجریان وصول'!A:A,0)),0)</f>
        <v>0</v>
      </c>
      <c r="E169" s="11">
        <f>IFERROR(INDEX('چکهای دریافتنی'!F:F,MATCH(Table221[[#This Row],[كد تفصيلي]],'چکهای دریافتنی'!A:A,0)),0)</f>
        <v>0</v>
      </c>
      <c r="F169" s="11">
        <f>Table221[[#This Row],[حسابهای دریافتنی]]+Table221[[#This Row],[چکهای در جریان وصول]]+Table221[[#This Row],[چکهای نزد صندوق]]</f>
        <v>-6228486500</v>
      </c>
      <c r="G169" s="12">
        <f>IFERROR(INDEX('مانده سوفاله'!F:F,MATCH(Table221[[#This Row],[كد تفصيلي]],'مانده سوفاله'!A:A,0)),0)</f>
        <v>222</v>
      </c>
    </row>
    <row r="170" spans="1:7" ht="27.75" customHeight="1" x14ac:dyDescent="0.35">
      <c r="A170" s="26">
        <v>30146</v>
      </c>
      <c r="B170" s="56" t="s">
        <v>266</v>
      </c>
      <c r="C170" s="10">
        <f>IFERROR(INDEX('حسابهای دریافتنی'!H:H,MATCH(Table221[[#This Row],[كد تفصيلي]],'حسابهای دریافتنی'!A:A,0)),0)</f>
        <v>-4146512500</v>
      </c>
      <c r="D170" s="11">
        <f>IFERROR(INDEX('درجریان وصول'!F:F,MATCH(Table221[[#This Row],[كد تفصيلي]],'درجریان وصول'!A:A,0)),0)</f>
        <v>0</v>
      </c>
      <c r="E170" s="11">
        <f>IFERROR(INDEX('چکهای دریافتنی'!F:F,MATCH(Table221[[#This Row],[كد تفصيلي]],'چکهای دریافتنی'!A:A,0)),0)</f>
        <v>0</v>
      </c>
      <c r="F170" s="11">
        <f>Table221[[#This Row],[حسابهای دریافتنی]]+Table221[[#This Row],[چکهای در جریان وصول]]+Table221[[#This Row],[چکهای نزد صندوق]]</f>
        <v>-4146512500</v>
      </c>
      <c r="G170" s="12">
        <f>IFERROR(INDEX('مانده سوفاله'!F:F,MATCH(Table221[[#This Row],[كد تفصيلي]],'مانده سوفاله'!A:A,0)),0)</f>
        <v>2823</v>
      </c>
    </row>
    <row r="171" spans="1:7" ht="27.75" customHeight="1" x14ac:dyDescent="0.35">
      <c r="A171" s="26">
        <v>30180</v>
      </c>
      <c r="B171" s="56" t="s">
        <v>406</v>
      </c>
      <c r="C171" s="10">
        <f>IFERROR(INDEX('حسابهای دریافتنی'!H:H,MATCH(Table221[[#This Row],[كد تفصيلي]],'حسابهای دریافتنی'!A:A,0)),0)</f>
        <v>0</v>
      </c>
      <c r="D171" s="11">
        <f>IFERROR(INDEX('درجریان وصول'!F:F,MATCH(Table221[[#This Row],[كد تفصيلي]],'درجریان وصول'!A:A,0)),0)</f>
        <v>0</v>
      </c>
      <c r="E171" s="11">
        <f>IFERROR(INDEX('چکهای دریافتنی'!F:F,MATCH(Table221[[#This Row],[كد تفصيلي]],'چکهای دریافتنی'!A:A,0)),0)</f>
        <v>0</v>
      </c>
      <c r="F171" s="11">
        <f>Table221[[#This Row],[حسابهای دریافتنی]]+Table221[[#This Row],[چکهای در جریان وصول]]+Table221[[#This Row],[چکهای نزد صندوق]]</f>
        <v>0</v>
      </c>
      <c r="G171" s="12">
        <f>IFERROR(INDEX('مانده سوفاله'!F:F,MATCH(Table221[[#This Row],[كد تفصيلي]],'مانده سوفاله'!A:A,0)),0)</f>
        <v>0</v>
      </c>
    </row>
    <row r="172" spans="1:7" ht="27.75" customHeight="1" x14ac:dyDescent="0.35">
      <c r="A172" s="26">
        <v>30156</v>
      </c>
      <c r="B172" s="56" t="s">
        <v>290</v>
      </c>
      <c r="C172" s="10">
        <f>IFERROR(INDEX('حسابهای دریافتنی'!H:H,MATCH(Table221[[#This Row],[كد تفصيلي]],'حسابهای دریافتنی'!A:A,0)),0)</f>
        <v>-180917500</v>
      </c>
      <c r="D172" s="11">
        <f>IFERROR(INDEX('درجریان وصول'!F:F,MATCH(Table221[[#This Row],[كد تفصيلي]],'درجریان وصول'!A:A,0)),0)</f>
        <v>0</v>
      </c>
      <c r="E172" s="11">
        <f>IFERROR(INDEX('چکهای دریافتنی'!F:F,MATCH(Table221[[#This Row],[كد تفصيلي]],'چکهای دریافتنی'!A:A,0)),0)</f>
        <v>0</v>
      </c>
      <c r="F172" s="11">
        <f>Table221[[#This Row],[حسابهای دریافتنی]]+Table221[[#This Row],[چکهای در جریان وصول]]+Table221[[#This Row],[چکهای نزد صندوق]]</f>
        <v>-180917500</v>
      </c>
      <c r="G172" s="12">
        <f>IFERROR(INDEX('مانده سوفاله'!F:F,MATCH(Table221[[#This Row],[كد تفصيلي]],'مانده سوفاله'!A:A,0)),0)</f>
        <v>0</v>
      </c>
    </row>
    <row r="173" spans="1:7" ht="27.75" customHeight="1" x14ac:dyDescent="0.35">
      <c r="A173" s="27">
        <v>10026</v>
      </c>
      <c r="B173" s="55" t="s">
        <v>32</v>
      </c>
      <c r="C173" s="10">
        <f>IFERROR(INDEX('حسابهای دریافتنی'!H:H,MATCH(Table221[[#This Row],[كد تفصيلي]],'حسابهای دریافتنی'!A:A,0)),0)</f>
        <v>3795031844</v>
      </c>
      <c r="D173" s="11">
        <f>IFERROR(INDEX('درجریان وصول'!F:F,MATCH(Table221[[#This Row],[كد تفصيلي]],'درجریان وصول'!A:A,0)),0)</f>
        <v>0</v>
      </c>
      <c r="E173" s="11">
        <f>IFERROR(INDEX('چکهای دریافتنی'!F:F,MATCH(Table221[[#This Row],[كد تفصيلي]],'چکهای دریافتنی'!A:A,0)),0)</f>
        <v>2690000000</v>
      </c>
      <c r="F173" s="11">
        <f>Table221[[#This Row],[حسابهای دریافتنی]]+Table221[[#This Row],[چکهای در جریان وصول]]+Table221[[#This Row],[چکهای نزد صندوق]]</f>
        <v>6485031844</v>
      </c>
      <c r="G173" s="12">
        <f>IFERROR(INDEX('مانده سوفاله'!F:F,MATCH(Table221[[#This Row],[كد تفصيلي]],'مانده سوفاله'!A:A,0)),0)</f>
        <v>-12543</v>
      </c>
    </row>
    <row r="174" spans="1:7" ht="27.75" customHeight="1" x14ac:dyDescent="0.35">
      <c r="A174" s="27">
        <v>79043</v>
      </c>
      <c r="B174" s="55" t="s">
        <v>156</v>
      </c>
      <c r="C174" s="10">
        <f>IFERROR(INDEX('حسابهای دریافتنی'!H:H,MATCH(Table221[[#This Row],[كد تفصيلي]],'حسابهای دریافتنی'!A:A,0)),0)</f>
        <v>-16110730000</v>
      </c>
      <c r="D174" s="11">
        <f>IFERROR(INDEX('درجریان وصول'!F:F,MATCH(Table221[[#This Row],[كد تفصيلي]],'درجریان وصول'!A:A,0)),0)</f>
        <v>0</v>
      </c>
      <c r="E174" s="11">
        <f>IFERROR(INDEX('چکهای دریافتنی'!F:F,MATCH(Table221[[#This Row],[كد تفصيلي]],'چکهای دریافتنی'!A:A,0)),0)</f>
        <v>0</v>
      </c>
      <c r="F174" s="11">
        <f>Table221[[#This Row],[حسابهای دریافتنی]]+Table221[[#This Row],[چکهای در جریان وصول]]+Table221[[#This Row],[چکهای نزد صندوق]]</f>
        <v>-16110730000</v>
      </c>
      <c r="G174" s="12">
        <f>IFERROR(INDEX('مانده سوفاله'!F:F,MATCH(Table221[[#This Row],[كد تفصيلي]],'مانده سوفاله'!A:A,0)),0)</f>
        <v>0</v>
      </c>
    </row>
    <row r="175" spans="1:7" ht="27.75" customHeight="1" x14ac:dyDescent="0.35">
      <c r="A175" s="26">
        <v>10009</v>
      </c>
      <c r="B175" s="56" t="s">
        <v>16</v>
      </c>
      <c r="C175" s="10">
        <f>IFERROR(INDEX('حسابهای دریافتنی'!H:H,MATCH(Table221[[#This Row],[كد تفصيلي]],'حسابهای دریافتنی'!A:A,0)),0)</f>
        <v>-4260580000</v>
      </c>
      <c r="D175" s="11">
        <f>IFERROR(INDEX('درجریان وصول'!F:F,MATCH(Table221[[#This Row],[كد تفصيلي]],'درجریان وصول'!A:A,0)),0)</f>
        <v>0</v>
      </c>
      <c r="E175" s="11">
        <f>IFERROR(INDEX('چکهای دریافتنی'!F:F,MATCH(Table221[[#This Row],[كد تفصيلي]],'چکهای دریافتنی'!A:A,0)),0)</f>
        <v>1600000000</v>
      </c>
      <c r="F175" s="11">
        <f>Table221[[#This Row],[حسابهای دریافتنی]]+Table221[[#This Row],[چکهای در جریان وصول]]+Table221[[#This Row],[چکهای نزد صندوق]]</f>
        <v>-2660580000</v>
      </c>
      <c r="G175" s="12">
        <f>IFERROR(INDEX('مانده سوفاله'!F:F,MATCH(Table221[[#This Row],[كد تفصيلي]],'مانده سوفاله'!A:A,0)),0)</f>
        <v>9952</v>
      </c>
    </row>
    <row r="176" spans="1:7" ht="27.75" customHeight="1" x14ac:dyDescent="0.35">
      <c r="A176" s="36"/>
      <c r="B176" s="37"/>
      <c r="C176" s="38">
        <f>SUBTOTAL(109,Table221[حسابهای دریافتنی])</f>
        <v>57470614779</v>
      </c>
      <c r="D176" s="38">
        <f>SUBTOTAL(109,Table221[چکهای در جریان وصول])</f>
        <v>0</v>
      </c>
      <c r="E176" s="38">
        <f>SUBTOTAL(109,Table221[چکهای نزد صندوق])</f>
        <v>62507828942</v>
      </c>
      <c r="F176" s="38"/>
      <c r="G176" s="39">
        <f>SUBTOTAL(109,Table221[مانده سوفاله])</f>
        <v>-132013.5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74"/>
  <sheetViews>
    <sheetView rightToLeft="1" workbookViewId="0">
      <selection activeCell="A167" sqref="A167:XFD167"/>
    </sheetView>
  </sheetViews>
  <sheetFormatPr defaultColWidth="9.08984375" defaultRowHeight="23.25" customHeight="1" x14ac:dyDescent="0.35"/>
  <cols>
    <col min="1" max="1" width="14.36328125" style="5" customWidth="1"/>
    <col min="2" max="2" width="38" style="67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3.75" customHeight="1" thickBot="1" x14ac:dyDescent="0.4">
      <c r="A1" s="97" t="s">
        <v>508</v>
      </c>
      <c r="B1" s="98"/>
      <c r="C1" s="98"/>
      <c r="D1" s="98"/>
      <c r="E1" s="98"/>
      <c r="F1" s="98"/>
      <c r="G1" s="99"/>
    </row>
    <row r="2" spans="1:7" s="2" customFormat="1" ht="57.7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3.25" customHeight="1" x14ac:dyDescent="0.35">
      <c r="A3" s="27">
        <v>30127</v>
      </c>
      <c r="B3" s="69" t="s">
        <v>163</v>
      </c>
      <c r="C3" s="10">
        <f>IFERROR(INDEX('حسابهای دریافتنی'!H:H,MATCH(Table222[[#This Row],[كد تفصيلي]],'حسابهای دریافتنی'!A:A,0)),0)</f>
        <v>31800110000</v>
      </c>
      <c r="D3" s="11">
        <f>IFERROR(INDEX('درجریان وصول'!F:F,MATCH(Table222[[#This Row],[كد تفصيلي]],'درجریان وصول'!A:A,0)),0)</f>
        <v>0</v>
      </c>
      <c r="E3" s="11">
        <f>IFERROR(INDEX('چکهای دریافتنی'!F:F,MATCH(Table222[[#This Row],[كد تفصيلي]],'چکهای دریافتنی'!A:A,0)),0)</f>
        <v>0</v>
      </c>
      <c r="F3" s="11">
        <f>Table222[[#This Row],[حسابهای دریافتنی]]+Table222[[#This Row],[چکهای در جریان وصول]]+Table222[[#This Row],[چکهای نزد صندوق]]</f>
        <v>31800110000</v>
      </c>
      <c r="G3" s="12">
        <f>IFERROR(INDEX('مانده سوفاله'!F:F,MATCH(Table222[[#This Row],[كد تفصيلي]],'مانده سوفاله'!A:A,0)),0)</f>
        <v>-18472</v>
      </c>
    </row>
    <row r="4" spans="1:7" ht="23.25" customHeight="1" x14ac:dyDescent="0.35">
      <c r="A4" s="27">
        <v>10026</v>
      </c>
      <c r="B4" s="69" t="s">
        <v>32</v>
      </c>
      <c r="C4" s="10">
        <f>IFERROR(INDEX('حسابهای دریافتنی'!H:H,MATCH(Table222[[#This Row],[كد تفصيلي]],'حسابهای دریافتنی'!A:A,0)),0)</f>
        <v>3795031844</v>
      </c>
      <c r="D4" s="11">
        <f>IFERROR(INDEX('درجریان وصول'!F:F,MATCH(Table222[[#This Row],[كد تفصيلي]],'درجریان وصول'!A:A,0)),0)</f>
        <v>0</v>
      </c>
      <c r="E4" s="11">
        <f>IFERROR(INDEX('چکهای دریافتنی'!F:F,MATCH(Table222[[#This Row],[كد تفصيلي]],'چکهای دریافتنی'!A:A,0)),0)</f>
        <v>2690000000</v>
      </c>
      <c r="F4" s="11">
        <f>Table222[[#This Row],[حسابهای دریافتنی]]+Table222[[#This Row],[چکهای در جریان وصول]]+Table222[[#This Row],[چکهای نزد صندوق]]</f>
        <v>6485031844</v>
      </c>
      <c r="G4" s="12">
        <f>IFERROR(INDEX('مانده سوفاله'!F:F,MATCH(Table222[[#This Row],[كد تفصيلي]],'مانده سوفاله'!A:A,0)),0)</f>
        <v>-12543</v>
      </c>
    </row>
    <row r="5" spans="1:7" ht="23.25" customHeight="1" x14ac:dyDescent="0.35">
      <c r="A5" s="27">
        <v>30004</v>
      </c>
      <c r="B5" s="69" t="s">
        <v>54</v>
      </c>
      <c r="C5" s="10">
        <f>IFERROR(INDEX('حسابهای دریافتنی'!H:H,MATCH(Table222[[#This Row],[كد تفصيلي]],'حسابهای دریافتنی'!A:A,0)),0)</f>
        <v>7598548260</v>
      </c>
      <c r="D5" s="11">
        <f>IFERROR(INDEX('درجریان وصول'!F:F,MATCH(Table222[[#This Row],[كد تفصيلي]],'درجریان وصول'!A:A,0)),0)</f>
        <v>0</v>
      </c>
      <c r="E5" s="11">
        <f>IFERROR(INDEX('چکهای دریافتنی'!F:F,MATCH(Table222[[#This Row],[كد تفصيلي]],'چکهای دریافتنی'!A:A,0)),0)</f>
        <v>11698760000</v>
      </c>
      <c r="F5" s="11">
        <f>Table222[[#This Row],[حسابهای دریافتنی]]+Table222[[#This Row],[چکهای در جریان وصول]]+Table222[[#This Row],[چکهای نزد صندوق]]</f>
        <v>19297308260</v>
      </c>
      <c r="G5" s="12">
        <f>IFERROR(INDEX('مانده سوفاله'!F:F,MATCH(Table222[[#This Row],[كد تفصيلي]],'مانده سوفاله'!A:A,0)),0)</f>
        <v>-4237</v>
      </c>
    </row>
    <row r="6" spans="1:7" ht="23.25" customHeight="1" x14ac:dyDescent="0.35">
      <c r="A6" s="26">
        <v>10003</v>
      </c>
      <c r="B6" s="68" t="s">
        <v>10</v>
      </c>
      <c r="C6" s="10">
        <f>IFERROR(INDEX('حسابهای دریافتنی'!H:H,MATCH(Table222[[#This Row],[كد تفصيلي]],'حسابهای دریافتنی'!A:A,0)),0)</f>
        <v>10804267992</v>
      </c>
      <c r="D6" s="11">
        <f>IFERROR(INDEX('درجریان وصول'!F:F,MATCH(Table222[[#This Row],[كد تفصيلي]],'درجریان وصول'!A:A,0)),0)</f>
        <v>0</v>
      </c>
      <c r="E6" s="11">
        <f>IFERROR(INDEX('چکهای دریافتنی'!F:F,MATCH(Table222[[#This Row],[كد تفصيلي]],'چکهای دریافتنی'!A:A,0)),0)</f>
        <v>13698001280</v>
      </c>
      <c r="F6" s="11">
        <f>Table222[[#This Row],[حسابهای دریافتنی]]+Table222[[#This Row],[چکهای در جریان وصول]]+Table222[[#This Row],[چکهای نزد صندوق]]</f>
        <v>24502269272</v>
      </c>
      <c r="G6" s="12">
        <f>IFERROR(INDEX('مانده سوفاله'!F:F,MATCH(Table222[[#This Row],[كد تفصيلي]],'مانده سوفاله'!A:A,0)),0)</f>
        <v>-39886</v>
      </c>
    </row>
    <row r="7" spans="1:7" ht="23.25" customHeight="1" x14ac:dyDescent="0.35">
      <c r="A7" s="26">
        <v>10055</v>
      </c>
      <c r="B7" s="68" t="s">
        <v>162</v>
      </c>
      <c r="C7" s="10">
        <f>IFERROR(INDEX('حسابهای دریافتنی'!H:H,MATCH(Table222[[#This Row],[كد تفصيلي]],'حسابهای دریافتنی'!A:A,0)),0)</f>
        <v>10460111325</v>
      </c>
      <c r="D7" s="11">
        <f>IFERROR(INDEX('درجریان وصول'!F:F,MATCH(Table222[[#This Row],[كد تفصيلي]],'درجریان وصول'!A:A,0)),0)</f>
        <v>0</v>
      </c>
      <c r="E7" s="11">
        <f>IFERROR(INDEX('چکهای دریافتنی'!F:F,MATCH(Table222[[#This Row],[كد تفصيلي]],'چکهای دریافتنی'!A:A,0)),0)</f>
        <v>2783298655</v>
      </c>
      <c r="F7" s="11">
        <f>Table222[[#This Row],[حسابهای دریافتنی]]+Table222[[#This Row],[چکهای در جریان وصول]]+Table222[[#This Row],[چکهای نزد صندوق]]</f>
        <v>13243409980</v>
      </c>
      <c r="G7" s="12">
        <f>IFERROR(INDEX('مانده سوفاله'!F:F,MATCH(Table222[[#This Row],[كد تفصيلي]],'مانده سوفاله'!A:A,0)),0)</f>
        <v>-12714</v>
      </c>
    </row>
    <row r="8" spans="1:7" ht="23.25" customHeight="1" x14ac:dyDescent="0.35">
      <c r="A8" s="26">
        <v>30009</v>
      </c>
      <c r="B8" s="68" t="s">
        <v>164</v>
      </c>
      <c r="C8" s="10">
        <f>IFERROR(INDEX('حسابهای دریافتنی'!H:H,MATCH(Table222[[#This Row],[كد تفصيلي]],'حسابهای دریافتنی'!A:A,0)),0)</f>
        <v>7853844277</v>
      </c>
      <c r="D8" s="11">
        <f>IFERROR(INDEX('درجریان وصول'!F:F,MATCH(Table222[[#This Row],[كد تفصيلي]],'درجریان وصول'!A:A,0)),0)</f>
        <v>0</v>
      </c>
      <c r="E8" s="11">
        <f>IFERROR(INDEX('چکهای دریافتنی'!F:F,MATCH(Table222[[#This Row],[كد تفصيلي]],'چکهای دریافتنی'!A:A,0)),0)</f>
        <v>6474835380</v>
      </c>
      <c r="F8" s="11">
        <f>Table222[[#This Row],[حسابهای دریافتنی]]+Table222[[#This Row],[چکهای در جریان وصول]]+Table222[[#This Row],[چکهای نزد صندوق]]</f>
        <v>14328679657</v>
      </c>
      <c r="G8" s="12">
        <f>IFERROR(INDEX('مانده سوفاله'!F:F,MATCH(Table222[[#This Row],[كد تفصيلي]],'مانده سوفاله'!A:A,0)),0)</f>
        <v>-11452</v>
      </c>
    </row>
    <row r="9" spans="1:7" ht="23.25" customHeight="1" x14ac:dyDescent="0.35">
      <c r="A9" s="26">
        <v>30066</v>
      </c>
      <c r="B9" s="68" t="s">
        <v>111</v>
      </c>
      <c r="C9" s="10">
        <f>IFERROR(INDEX('حسابهای دریافتنی'!H:H,MATCH(Table222[[#This Row],[كد تفصيلي]],'حسابهای دریافتنی'!A:A,0)),0)</f>
        <v>6484147500</v>
      </c>
      <c r="D9" s="11">
        <f>IFERROR(INDEX('درجریان وصول'!F:F,MATCH(Table222[[#This Row],[كد تفصيلي]],'درجریان وصول'!A:A,0)),0)</f>
        <v>0</v>
      </c>
      <c r="E9" s="11">
        <f>IFERROR(INDEX('چکهای دریافتنی'!F:F,MATCH(Table222[[#This Row],[كد تفصيلي]],'چکهای دریافتنی'!A:A,0)),0)</f>
        <v>0</v>
      </c>
      <c r="F9" s="11">
        <f>Table222[[#This Row],[حسابهای دریافتنی]]+Table222[[#This Row],[چکهای در جریان وصول]]+Table222[[#This Row],[چکهای نزد صندوق]]</f>
        <v>6484147500</v>
      </c>
      <c r="G9" s="12">
        <f>IFERROR(INDEX('مانده سوفاله'!F:F,MATCH(Table222[[#This Row],[كد تفصيلي]],'مانده سوفاله'!A:A,0)),0)</f>
        <v>-1320</v>
      </c>
    </row>
    <row r="10" spans="1:7" ht="23.25" customHeight="1" x14ac:dyDescent="0.35">
      <c r="A10" s="27">
        <v>50016</v>
      </c>
      <c r="B10" s="69" t="s">
        <v>160</v>
      </c>
      <c r="C10" s="10">
        <f>IFERROR(INDEX('حسابهای دریافتنی'!H:H,MATCH(Table222[[#This Row],[كد تفصيلي]],'حسابهای دریافتنی'!A:A,0)),0)</f>
        <v>6344545550</v>
      </c>
      <c r="D10" s="11">
        <f>IFERROR(INDEX('درجریان وصول'!F:F,MATCH(Table222[[#This Row],[كد تفصيلي]],'درجریان وصول'!A:A,0)),0)</f>
        <v>0</v>
      </c>
      <c r="E10" s="11">
        <f>IFERROR(INDEX('چکهای دریافتنی'!F:F,MATCH(Table222[[#This Row],[كد تفصيلي]],'چکهای دریافتنی'!A:A,0)),0)</f>
        <v>0</v>
      </c>
      <c r="F10" s="11">
        <f>Table222[[#This Row],[حسابهای دریافتنی]]+Table222[[#This Row],[چکهای در جریان وصول]]+Table222[[#This Row],[چکهای نزد صندوق]]</f>
        <v>6344545550</v>
      </c>
      <c r="G10" s="12">
        <f>IFERROR(INDEX('مانده سوفاله'!F:F,MATCH(Table222[[#This Row],[كد تفصيلي]],'مانده سوفاله'!A:A,0)),0)</f>
        <v>5508</v>
      </c>
    </row>
    <row r="11" spans="1:7" ht="23.25" customHeight="1" x14ac:dyDescent="0.35">
      <c r="A11" s="27">
        <v>30099</v>
      </c>
      <c r="B11" s="69" t="s">
        <v>167</v>
      </c>
      <c r="C11" s="10">
        <f>IFERROR(INDEX('حسابهای دریافتنی'!H:H,MATCH(Table222[[#This Row],[كد تفصيلي]],'حسابهای دریافتنی'!A:A,0)),0)</f>
        <v>1398393484</v>
      </c>
      <c r="D11" s="11">
        <f>IFERROR(INDEX('درجریان وصول'!F:F,MATCH(Table222[[#This Row],[كد تفصيلي]],'درجریان وصول'!A:A,0)),0)</f>
        <v>0</v>
      </c>
      <c r="E11" s="11">
        <f>IFERROR(INDEX('چکهای دریافتنی'!F:F,MATCH(Table222[[#This Row],[كد تفصيلي]],'چکهای دریافتنی'!A:A,0)),0)</f>
        <v>583000000</v>
      </c>
      <c r="F11" s="11">
        <f>Table222[[#This Row],[حسابهای دریافتنی]]+Table222[[#This Row],[چکهای در جریان وصول]]+Table222[[#This Row],[چکهای نزد صندوق]]</f>
        <v>1981393484</v>
      </c>
      <c r="G11" s="12">
        <f>IFERROR(INDEX('مانده سوفاله'!F:F,MATCH(Table222[[#This Row],[كد تفصيلي]],'مانده سوفاله'!A:A,0)),0)</f>
        <v>-332</v>
      </c>
    </row>
    <row r="12" spans="1:7" ht="23.25" customHeight="1" x14ac:dyDescent="0.35">
      <c r="A12" s="27">
        <v>10056</v>
      </c>
      <c r="B12" s="69" t="s">
        <v>166</v>
      </c>
      <c r="C12" s="10">
        <f>IFERROR(INDEX('حسابهای دریافتنی'!H:H,MATCH(Table222[[#This Row],[كد تفصيلي]],'حسابهای دریافتنی'!A:A,0)),0)</f>
        <v>812653500</v>
      </c>
      <c r="D12" s="11">
        <f>IFERROR(INDEX('درجریان وصول'!F:F,MATCH(Table222[[#This Row],[كد تفصيلي]],'درجریان وصول'!A:A,0)),0)</f>
        <v>0</v>
      </c>
      <c r="E12" s="11">
        <f>IFERROR(INDEX('چکهای دریافتنی'!F:F,MATCH(Table222[[#This Row],[كد تفصيلي]],'چکهای دریافتنی'!A:A,0)),0)</f>
        <v>0</v>
      </c>
      <c r="F12" s="11">
        <f>Table222[[#This Row],[حسابهای دریافتنی]]+Table222[[#This Row],[چکهای در جریان وصول]]+Table222[[#This Row],[چکهای نزد صندوق]]</f>
        <v>812653500</v>
      </c>
      <c r="G12" s="12">
        <f>IFERROR(INDEX('مانده سوفاله'!F:F,MATCH(Table222[[#This Row],[كد تفصيلي]],'مانده سوفاله'!A:A,0)),0)</f>
        <v>0</v>
      </c>
    </row>
    <row r="13" spans="1:7" ht="23.25" customHeight="1" x14ac:dyDescent="0.35">
      <c r="A13" s="27">
        <v>30022</v>
      </c>
      <c r="B13" s="69" t="s">
        <v>70</v>
      </c>
      <c r="C13" s="10">
        <f>IFERROR(INDEX('حسابهای دریافتنی'!H:H,MATCH(Table222[[#This Row],[كد تفصيلي]],'حسابهای دریافتنی'!A:A,0)),0)</f>
        <v>2933770530</v>
      </c>
      <c r="D13" s="11">
        <f>IFERROR(INDEX('درجریان وصول'!F:F,MATCH(Table222[[#This Row],[كد تفصيلي]],'درجریان وصول'!A:A,0)),0)</f>
        <v>0</v>
      </c>
      <c r="E13" s="11">
        <f>IFERROR(INDEX('چکهای دریافتنی'!F:F,MATCH(Table222[[#This Row],[كد تفصيلي]],'چکهای دریافتنی'!A:A,0)),0)</f>
        <v>0</v>
      </c>
      <c r="F13" s="11">
        <f>Table222[[#This Row],[حسابهای دریافتنی]]+Table222[[#This Row],[چکهای در جریان وصول]]+Table222[[#This Row],[چکهای نزد صندوق]]</f>
        <v>2933770530</v>
      </c>
      <c r="G13" s="12">
        <f>IFERROR(INDEX('مانده سوفاله'!F:F,MATCH(Table222[[#This Row],[كد تفصيلي]],'مانده سوفاله'!A:A,0)),0)</f>
        <v>-14747</v>
      </c>
    </row>
    <row r="14" spans="1:7" ht="23.25" customHeight="1" x14ac:dyDescent="0.35">
      <c r="A14" s="27">
        <v>30014</v>
      </c>
      <c r="B14" s="69" t="s">
        <v>63</v>
      </c>
      <c r="C14" s="10">
        <f>IFERROR(INDEX('حسابهای دریافتنی'!H:H,MATCH(Table222[[#This Row],[كد تفصيلي]],'حسابهای دریافتنی'!A:A,0)),0)</f>
        <v>1762223932</v>
      </c>
      <c r="D14" s="11">
        <f>IFERROR(INDEX('درجریان وصول'!F:F,MATCH(Table222[[#This Row],[كد تفصيلي]],'درجریان وصول'!A:A,0)),0)</f>
        <v>0</v>
      </c>
      <c r="E14" s="11">
        <f>IFERROR(INDEX('چکهای دریافتنی'!F:F,MATCH(Table222[[#This Row],[كد تفصيلي]],'چکهای دریافتنی'!A:A,0)),0)</f>
        <v>0</v>
      </c>
      <c r="F14" s="11">
        <f>Table222[[#This Row],[حسابهای دریافتنی]]+Table222[[#This Row],[چکهای در جریان وصول]]+Table222[[#This Row],[چکهای نزد صندوق]]</f>
        <v>1762223932</v>
      </c>
      <c r="G14" s="12">
        <f>IFERROR(INDEX('مانده سوفاله'!F:F,MATCH(Table222[[#This Row],[كد تفصيلي]],'مانده سوفاله'!A:A,0)),0)</f>
        <v>-1368</v>
      </c>
    </row>
    <row r="15" spans="1:7" ht="23.25" customHeight="1" x14ac:dyDescent="0.35">
      <c r="A15" s="27">
        <v>10020</v>
      </c>
      <c r="B15" s="69" t="s">
        <v>27</v>
      </c>
      <c r="C15" s="10">
        <f>IFERROR(INDEX('حسابهای دریافتنی'!H:H,MATCH(Table222[[#This Row],[كد تفصيلي]],'حسابهای دریافتنی'!A:A,0)),0)</f>
        <v>57999963</v>
      </c>
      <c r="D15" s="11">
        <f>IFERROR(INDEX('درجریان وصول'!F:F,MATCH(Table222[[#This Row],[كد تفصيلي]],'درجریان وصول'!A:A,0)),0)</f>
        <v>0</v>
      </c>
      <c r="E15" s="11">
        <f>IFERROR(INDEX('چکهای دریافتنی'!F:F,MATCH(Table222[[#This Row],[كد تفصيلي]],'چکهای دریافتنی'!A:A,0)),0)</f>
        <v>728000000</v>
      </c>
      <c r="F15" s="11">
        <f>Table222[[#This Row],[حسابهای دریافتنی]]+Table222[[#This Row],[چکهای در جریان وصول]]+Table222[[#This Row],[چکهای نزد صندوق]]</f>
        <v>785999963</v>
      </c>
      <c r="G15" s="12">
        <f>IFERROR(INDEX('مانده سوفاله'!F:F,MATCH(Table222[[#This Row],[كد تفصيلي]],'مانده سوفاله'!A:A,0)),0)</f>
        <v>-1031</v>
      </c>
    </row>
    <row r="16" spans="1:7" ht="23.25" customHeight="1" x14ac:dyDescent="0.35">
      <c r="A16" s="26">
        <v>30058</v>
      </c>
      <c r="B16" s="68" t="s">
        <v>103</v>
      </c>
      <c r="C16" s="10">
        <f>IFERROR(INDEX('حسابهای دریافتنی'!H:H,MATCH(Table222[[#This Row],[كد تفصيلي]],'حسابهای دریافتنی'!A:A,0)),0)</f>
        <v>1700045560</v>
      </c>
      <c r="D16" s="11">
        <f>IFERROR(INDEX('درجریان وصول'!F:F,MATCH(Table222[[#This Row],[كد تفصيلي]],'درجریان وصول'!A:A,0)),0)</f>
        <v>0</v>
      </c>
      <c r="E16" s="11">
        <f>IFERROR(INDEX('چکهای دریافتنی'!F:F,MATCH(Table222[[#This Row],[كد تفصيلي]],'چکهای دریافتنی'!A:A,0)),0)</f>
        <v>0</v>
      </c>
      <c r="F16" s="11">
        <f>Table222[[#This Row],[حسابهای دریافتنی]]+Table222[[#This Row],[چکهای در جریان وصول]]+Table222[[#This Row],[چکهای نزد صندوق]]</f>
        <v>1700045560</v>
      </c>
      <c r="G16" s="12">
        <f>IFERROR(INDEX('مانده سوفاله'!F:F,MATCH(Table222[[#This Row],[كد تفصيلي]],'مانده سوفاله'!A:A,0)),0)</f>
        <v>-225</v>
      </c>
    </row>
    <row r="17" spans="1:7" ht="23.25" customHeight="1" x14ac:dyDescent="0.35">
      <c r="A17" s="26">
        <v>30186</v>
      </c>
      <c r="B17" s="68" t="s">
        <v>367</v>
      </c>
      <c r="C17" s="10">
        <f>IFERROR(INDEX('حسابهای دریافتنی'!H:H,MATCH(Table222[[#This Row],[كد تفصيلي]],'حسابهای دریافتنی'!A:A,0)),0)</f>
        <v>986425000</v>
      </c>
      <c r="D17" s="11">
        <f>IFERROR(INDEX('درجریان وصول'!F:F,MATCH(Table222[[#This Row],[كد تفصيلي]],'درجریان وصول'!A:A,0)),0)</f>
        <v>0</v>
      </c>
      <c r="E17" s="11">
        <f>IFERROR(INDEX('چکهای دریافتنی'!F:F,MATCH(Table222[[#This Row],[كد تفصيلي]],'چکهای دریافتنی'!A:A,0)),0)</f>
        <v>5982430000</v>
      </c>
      <c r="F17" s="11">
        <f>Table222[[#This Row],[حسابهای دریافتنی]]+Table222[[#This Row],[چکهای در جریان وصول]]+Table222[[#This Row],[چکهای نزد صندوق]]</f>
        <v>6968855000</v>
      </c>
      <c r="G17" s="12">
        <f>IFERROR(INDEX('مانده سوفاله'!F:F,MATCH(Table222[[#This Row],[كد تفصيلي]],'مانده سوفاله'!A:A,0)),0)</f>
        <v>-7388</v>
      </c>
    </row>
    <row r="18" spans="1:7" ht="23.25" customHeight="1" x14ac:dyDescent="0.35">
      <c r="A18" s="27">
        <v>30191</v>
      </c>
      <c r="B18" s="69" t="s">
        <v>459</v>
      </c>
      <c r="C18" s="10">
        <f>IFERROR(INDEX('حسابهای دریافتنی'!H:H,MATCH(Table222[[#This Row],[كد تفصيلي]],'حسابهای دریافتنی'!A:A,0)),0)</f>
        <v>792933000</v>
      </c>
      <c r="D18" s="11">
        <f>IFERROR(INDEX('درجریان وصول'!F:F,MATCH(Table222[[#This Row],[كد تفصيلي]],'درجریان وصول'!A:A,0)),0)</f>
        <v>0</v>
      </c>
      <c r="E18" s="11">
        <f>IFERROR(INDEX('چکهای دریافتنی'!F:F,MATCH(Table222[[#This Row],[كد تفصيلي]],'چکهای دریافتنی'!A:A,0)),0)</f>
        <v>0</v>
      </c>
      <c r="F18" s="11">
        <f>Table222[[#This Row],[حسابهای دریافتنی]]+Table222[[#This Row],[چکهای در جریان وصول]]+Table222[[#This Row],[چکهای نزد صندوق]]</f>
        <v>792933000</v>
      </c>
      <c r="G18" s="12">
        <f>IFERROR(INDEX('مانده سوفاله'!F:F,MATCH(Table222[[#This Row],[كد تفصيلي]],'مانده سوفاله'!A:A,0)),0)</f>
        <v>134</v>
      </c>
    </row>
    <row r="19" spans="1:7" ht="23.25" customHeight="1" x14ac:dyDescent="0.35">
      <c r="A19" s="26">
        <v>10057</v>
      </c>
      <c r="B19" s="68" t="s">
        <v>225</v>
      </c>
      <c r="C19" s="10">
        <f>IFERROR(INDEX('حسابهای دریافتنی'!H:H,MATCH(Table222[[#This Row],[كد تفصيلي]],'حسابهای دریافتنی'!A:A,0)),0)</f>
        <v>1390485500</v>
      </c>
      <c r="D19" s="11">
        <f>IFERROR(INDEX('درجریان وصول'!F:F,MATCH(Table222[[#This Row],[كد تفصيلي]],'درجریان وصول'!A:A,0)),0)</f>
        <v>0</v>
      </c>
      <c r="E19" s="11">
        <f>IFERROR(INDEX('چکهای دریافتنی'!F:F,MATCH(Table222[[#This Row],[كد تفصيلي]],'چکهای دریافتنی'!A:A,0)),0)</f>
        <v>0</v>
      </c>
      <c r="F19" s="11">
        <f>Table222[[#This Row],[حسابهای دریافتنی]]+Table222[[#This Row],[چکهای در جریان وصول]]+Table222[[#This Row],[چکهای نزد صندوق]]</f>
        <v>1390485500</v>
      </c>
      <c r="G19" s="12">
        <f>IFERROR(INDEX('مانده سوفاله'!F:F,MATCH(Table222[[#This Row],[كد تفصيلي]],'مانده سوفاله'!A:A,0)),0)</f>
        <v>-2044</v>
      </c>
    </row>
    <row r="20" spans="1:7" ht="23.25" customHeight="1" x14ac:dyDescent="0.35">
      <c r="A20" s="27">
        <v>10008</v>
      </c>
      <c r="B20" s="69" t="s">
        <v>15</v>
      </c>
      <c r="C20" s="10">
        <f>IFERROR(INDEX('حسابهای دریافتنی'!H:H,MATCH(Table222[[#This Row],[كد تفصيلي]],'حسابهای دریافتنی'!A:A,0)),0)</f>
        <v>597342000</v>
      </c>
      <c r="D20" s="11">
        <f>IFERROR(INDEX('درجریان وصول'!F:F,MATCH(Table222[[#This Row],[كد تفصيلي]],'درجریان وصول'!A:A,0)),0)</f>
        <v>0</v>
      </c>
      <c r="E20" s="11">
        <f>IFERROR(INDEX('چکهای دریافتنی'!F:F,MATCH(Table222[[#This Row],[كد تفصيلي]],'چکهای دریافتنی'!A:A,0)),0)</f>
        <v>0</v>
      </c>
      <c r="F20" s="11">
        <f>Table222[[#This Row],[حسابهای دریافتنی]]+Table222[[#This Row],[چکهای در جریان وصول]]+Table222[[#This Row],[چکهای نزد صندوق]]</f>
        <v>597342000</v>
      </c>
      <c r="G20" s="12">
        <f>IFERROR(INDEX('مانده سوفاله'!F:F,MATCH(Table222[[#This Row],[كد تفصيلي]],'مانده سوفاله'!A:A,0)),0)</f>
        <v>-578</v>
      </c>
    </row>
    <row r="21" spans="1:7" ht="23.25" customHeight="1" x14ac:dyDescent="0.35">
      <c r="A21" s="27">
        <v>10070</v>
      </c>
      <c r="B21" s="69" t="s">
        <v>230</v>
      </c>
      <c r="C21" s="10">
        <f>IFERROR(INDEX('حسابهای دریافتنی'!H:H,MATCH(Table222[[#This Row],[كد تفصيلي]],'حسابهای دریافتنی'!A:A,0)),0)</f>
        <v>508152500</v>
      </c>
      <c r="D21" s="11">
        <f>IFERROR(INDEX('درجریان وصول'!F:F,MATCH(Table222[[#This Row],[كد تفصيلي]],'درجریان وصول'!A:A,0)),0)</f>
        <v>0</v>
      </c>
      <c r="E21" s="11">
        <f>IFERROR(INDEX('چکهای دریافتنی'!F:F,MATCH(Table222[[#This Row],[كد تفصيلي]],'چکهای دریافتنی'!A:A,0)),0)</f>
        <v>570000000</v>
      </c>
      <c r="F21" s="11">
        <f>Table222[[#This Row],[حسابهای دریافتنی]]+Table222[[#This Row],[چکهای در جریان وصول]]+Table222[[#This Row],[چکهای نزد صندوق]]</f>
        <v>1078152500</v>
      </c>
      <c r="G21" s="12">
        <f>IFERROR(INDEX('مانده سوفاله'!F:F,MATCH(Table222[[#This Row],[كد تفصيلي]],'مانده سوفاله'!A:A,0)),0)</f>
        <v>-3170</v>
      </c>
    </row>
    <row r="22" spans="1:7" ht="23.25" customHeight="1" x14ac:dyDescent="0.35">
      <c r="A22" s="26">
        <v>30156</v>
      </c>
      <c r="B22" s="68" t="s">
        <v>290</v>
      </c>
      <c r="C22" s="10">
        <f>IFERROR(INDEX('حسابهای دریافتنی'!H:H,MATCH(Table222[[#This Row],[كد تفصيلي]],'حسابهای دریافتنی'!A:A,0)),0)</f>
        <v>-180917500</v>
      </c>
      <c r="D22" s="11">
        <f>IFERROR(INDEX('درجریان وصول'!F:F,MATCH(Table222[[#This Row],[كد تفصيلي]],'درجریان وصول'!A:A,0)),0)</f>
        <v>0</v>
      </c>
      <c r="E22" s="11">
        <f>IFERROR(INDEX('چکهای دریافتنی'!F:F,MATCH(Table222[[#This Row],[كد تفصيلي]],'چکهای دریافتنی'!A:A,0)),0)</f>
        <v>0</v>
      </c>
      <c r="F22" s="11">
        <f>Table222[[#This Row],[حسابهای دریافتنی]]+Table222[[#This Row],[چکهای در جریان وصول]]+Table222[[#This Row],[چکهای نزد صندوق]]</f>
        <v>-180917500</v>
      </c>
      <c r="G22" s="12">
        <f>IFERROR(INDEX('مانده سوفاله'!F:F,MATCH(Table222[[#This Row],[كد تفصيلي]],'مانده سوفاله'!A:A,0)),0)</f>
        <v>0</v>
      </c>
    </row>
    <row r="23" spans="1:7" ht="23.25" customHeight="1" x14ac:dyDescent="0.35">
      <c r="A23" s="27">
        <v>30018</v>
      </c>
      <c r="B23" s="69" t="s">
        <v>66</v>
      </c>
      <c r="C23" s="10">
        <f>IFERROR(INDEX('حسابهای دریافتنی'!H:H,MATCH(Table222[[#This Row],[كد تفصيلي]],'حسابهای دریافتنی'!A:A,0)),0)</f>
        <v>1901077182</v>
      </c>
      <c r="D23" s="11">
        <f>IFERROR(INDEX('درجریان وصول'!F:F,MATCH(Table222[[#This Row],[كد تفصيلي]],'درجریان وصول'!A:A,0)),0)</f>
        <v>0</v>
      </c>
      <c r="E23" s="11">
        <f>IFERROR(INDEX('چکهای دریافتنی'!F:F,MATCH(Table222[[#This Row],[كد تفصيلي]],'چکهای دریافتنی'!A:A,0)),0)</f>
        <v>0</v>
      </c>
      <c r="F23" s="11">
        <f>Table222[[#This Row],[حسابهای دریافتنی]]+Table222[[#This Row],[چکهای در جریان وصول]]+Table222[[#This Row],[چکهای نزد صندوق]]</f>
        <v>1901077182</v>
      </c>
      <c r="G23" s="12">
        <f>IFERROR(INDEX('مانده سوفاله'!F:F,MATCH(Table222[[#This Row],[كد تفصيلي]],'مانده سوفاله'!A:A,0)),0)</f>
        <v>-3024</v>
      </c>
    </row>
    <row r="24" spans="1:7" ht="23.25" customHeight="1" x14ac:dyDescent="0.35">
      <c r="A24" s="26">
        <v>50011</v>
      </c>
      <c r="B24" s="68" t="s">
        <v>147</v>
      </c>
      <c r="C24" s="10">
        <f>IFERROR(INDEX('حسابهای دریافتنی'!H:H,MATCH(Table222[[#This Row],[كد تفصيلي]],'حسابهای دریافتنی'!A:A,0)),0)</f>
        <v>832182413</v>
      </c>
      <c r="D24" s="11">
        <f>IFERROR(INDEX('درجریان وصول'!F:F,MATCH(Table222[[#This Row],[كد تفصيلي]],'درجریان وصول'!A:A,0)),0)</f>
        <v>0</v>
      </c>
      <c r="E24" s="11">
        <f>IFERROR(INDEX('چکهای دریافتنی'!F:F,MATCH(Table222[[#This Row],[كد تفصيلي]],'چکهای دریافتنی'!A:A,0)),0)</f>
        <v>0</v>
      </c>
      <c r="F24" s="11">
        <f>Table222[[#This Row],[حسابهای دریافتنی]]+Table222[[#This Row],[چکهای در جریان وصول]]+Table222[[#This Row],[چکهای نزد صندوق]]</f>
        <v>832182413</v>
      </c>
      <c r="G24" s="12">
        <f>IFERROR(INDEX('مانده سوفاله'!F:F,MATCH(Table222[[#This Row],[كد تفصيلي]],'مانده سوفاله'!A:A,0)),0)</f>
        <v>30</v>
      </c>
    </row>
    <row r="25" spans="1:7" ht="23.25" customHeight="1" x14ac:dyDescent="0.35">
      <c r="A25" s="27">
        <v>30069</v>
      </c>
      <c r="B25" s="69" t="s">
        <v>114</v>
      </c>
      <c r="C25" s="10">
        <f>IFERROR(INDEX('حسابهای دریافتنی'!H:H,MATCH(Table222[[#This Row],[كد تفصيلي]],'حسابهای دریافتنی'!A:A,0)),0)</f>
        <v>377909400</v>
      </c>
      <c r="D25" s="11">
        <f>IFERROR(INDEX('درجریان وصول'!F:F,MATCH(Table222[[#This Row],[كد تفصيلي]],'درجریان وصول'!A:A,0)),0)</f>
        <v>0</v>
      </c>
      <c r="E25" s="11">
        <f>IFERROR(INDEX('چکهای دریافتنی'!F:F,MATCH(Table222[[#This Row],[كد تفصيلي]],'چکهای دریافتنی'!A:A,0)),0)</f>
        <v>0</v>
      </c>
      <c r="F25" s="11">
        <f>Table222[[#This Row],[حسابهای دریافتنی]]+Table222[[#This Row],[چکهای در جریان وصول]]+Table222[[#This Row],[چکهای نزد صندوق]]</f>
        <v>377909400</v>
      </c>
      <c r="G25" s="12">
        <f>IFERROR(INDEX('مانده سوفاله'!F:F,MATCH(Table222[[#This Row],[كد تفصيلي]],'مانده سوفاله'!A:A,0)),0)</f>
        <v>66</v>
      </c>
    </row>
    <row r="26" spans="1:7" ht="23.25" customHeight="1" x14ac:dyDescent="0.35">
      <c r="A26" s="26">
        <v>30027</v>
      </c>
      <c r="B26" s="68" t="s">
        <v>75</v>
      </c>
      <c r="C26" s="10">
        <f>IFERROR(INDEX('حسابهای دریافتنی'!H:H,MATCH(Table222[[#This Row],[كد تفصيلي]],'حسابهای دریافتنی'!A:A,0)),0)</f>
        <v>326950</v>
      </c>
      <c r="D26" s="11">
        <f>IFERROR(INDEX('درجریان وصول'!F:F,MATCH(Table222[[#This Row],[كد تفصيلي]],'درجریان وصول'!A:A,0)),0)</f>
        <v>0</v>
      </c>
      <c r="E26" s="11">
        <f>IFERROR(INDEX('چکهای دریافتنی'!F:F,MATCH(Table222[[#This Row],[كد تفصيلي]],'چکهای دریافتنی'!A:A,0)),0)</f>
        <v>0</v>
      </c>
      <c r="F26" s="11">
        <f>Table222[[#This Row],[حسابهای دریافتنی]]+Table222[[#This Row],[چکهای در جریان وصول]]+Table222[[#This Row],[چکهای نزد صندوق]]</f>
        <v>326950</v>
      </c>
      <c r="G26" s="12">
        <f>IFERROR(INDEX('مانده سوفاله'!F:F,MATCH(Table222[[#This Row],[كد تفصيلي]],'مانده سوفاله'!A:A,0)),0)</f>
        <v>0</v>
      </c>
    </row>
    <row r="27" spans="1:7" ht="23.25" customHeight="1" x14ac:dyDescent="0.35">
      <c r="A27" s="27">
        <v>10127</v>
      </c>
      <c r="B27" s="69" t="s">
        <v>371</v>
      </c>
      <c r="C27" s="10">
        <f>IFERROR(INDEX('حسابهای دریافتنی'!H:H,MATCH(Table222[[#This Row],[كد تفصيلي]],'حسابهای دریافتنی'!A:A,0)),0)</f>
        <v>803728000</v>
      </c>
      <c r="D27" s="11">
        <f>IFERROR(INDEX('درجریان وصول'!F:F,MATCH(Table222[[#This Row],[كد تفصيلي]],'درجریان وصول'!A:A,0)),0)</f>
        <v>0</v>
      </c>
      <c r="E27" s="11">
        <f>IFERROR(INDEX('چکهای دریافتنی'!F:F,MATCH(Table222[[#This Row],[كد تفصيلي]],'چکهای دریافتنی'!A:A,0)),0)</f>
        <v>0</v>
      </c>
      <c r="F27" s="11">
        <f>Table222[[#This Row],[حسابهای دریافتنی]]+Table222[[#This Row],[چکهای در جریان وصول]]+Table222[[#This Row],[چکهای نزد صندوق]]</f>
        <v>803728000</v>
      </c>
      <c r="G27" s="12">
        <f>IFERROR(INDEX('مانده سوفاله'!F:F,MATCH(Table222[[#This Row],[كد تفصيلي]],'مانده سوفاله'!A:A,0)),0)</f>
        <v>-1469</v>
      </c>
    </row>
    <row r="28" spans="1:7" ht="23.25" customHeight="1" x14ac:dyDescent="0.35">
      <c r="A28" s="27">
        <v>10084</v>
      </c>
      <c r="B28" s="69" t="s">
        <v>217</v>
      </c>
      <c r="C28" s="10">
        <f>IFERROR(INDEX('حسابهای دریافتنی'!H:H,MATCH(Table222[[#This Row],[كد تفصيلي]],'حسابهای دریافتنی'!A:A,0)),0)</f>
        <v>358092810</v>
      </c>
      <c r="D28" s="11">
        <f>IFERROR(INDEX('درجریان وصول'!F:F,MATCH(Table222[[#This Row],[كد تفصيلي]],'درجریان وصول'!A:A,0)),0)</f>
        <v>0</v>
      </c>
      <c r="E28" s="11">
        <f>IFERROR(INDEX('چکهای دریافتنی'!F:F,MATCH(Table222[[#This Row],[كد تفصيلي]],'چکهای دریافتنی'!A:A,0)),0)</f>
        <v>870000000</v>
      </c>
      <c r="F28" s="11">
        <f>Table222[[#This Row],[حسابهای دریافتنی]]+Table222[[#This Row],[چکهای در جریان وصول]]+Table222[[#This Row],[چکهای نزد صندوق]]</f>
        <v>1228092810</v>
      </c>
      <c r="G28" s="12">
        <f>IFERROR(INDEX('مانده سوفاله'!F:F,MATCH(Table222[[#This Row],[كد تفصيلي]],'مانده سوفاله'!A:A,0)),0)</f>
        <v>-1656</v>
      </c>
    </row>
    <row r="29" spans="1:7" ht="23.25" customHeight="1" x14ac:dyDescent="0.35">
      <c r="A29" s="27">
        <v>30012</v>
      </c>
      <c r="B29" s="69" t="s">
        <v>61</v>
      </c>
      <c r="C29" s="10">
        <f>IFERROR(INDEX('حسابهای دریافتنی'!H:H,MATCH(Table222[[#This Row],[كد تفصيلي]],'حسابهای دریافتنی'!A:A,0)),0)</f>
        <v>-46099000</v>
      </c>
      <c r="D29" s="11">
        <f>IFERROR(INDEX('درجریان وصول'!F:F,MATCH(Table222[[#This Row],[كد تفصيلي]],'درجریان وصول'!A:A,0)),0)</f>
        <v>0</v>
      </c>
      <c r="E29" s="11">
        <f>IFERROR(INDEX('چکهای دریافتنی'!F:F,MATCH(Table222[[#This Row],[كد تفصيلي]],'چکهای دریافتنی'!A:A,0)),0)</f>
        <v>348650000</v>
      </c>
      <c r="F29" s="11">
        <f>Table222[[#This Row],[حسابهای دریافتنی]]+Table222[[#This Row],[چکهای در جریان وصول]]+Table222[[#This Row],[چکهای نزد صندوق]]</f>
        <v>302551000</v>
      </c>
      <c r="G29" s="12">
        <f>IFERROR(INDEX('مانده سوفاله'!F:F,MATCH(Table222[[#This Row],[كد تفصيلي]],'مانده سوفاله'!A:A,0)),0)</f>
        <v>141</v>
      </c>
    </row>
    <row r="30" spans="1:7" ht="23.25" customHeight="1" x14ac:dyDescent="0.35">
      <c r="A30" s="27">
        <v>10002</v>
      </c>
      <c r="B30" s="69" t="s">
        <v>9</v>
      </c>
      <c r="C30" s="10">
        <f>IFERROR(INDEX('حسابهای دریافتنی'!H:H,MATCH(Table222[[#This Row],[كد تفصيلي]],'حسابهای دریافتنی'!A:A,0)),0)</f>
        <v>-3600000000</v>
      </c>
      <c r="D30" s="11">
        <f>IFERROR(INDEX('درجریان وصول'!F:F,MATCH(Table222[[#This Row],[كد تفصيلي]],'درجریان وصول'!A:A,0)),0)</f>
        <v>0</v>
      </c>
      <c r="E30" s="11">
        <f>IFERROR(INDEX('چکهای دریافتنی'!F:F,MATCH(Table222[[#This Row],[كد تفصيلي]],'چکهای دریافتنی'!A:A,0)),0)</f>
        <v>0</v>
      </c>
      <c r="F30" s="11">
        <f>Table222[[#This Row],[حسابهای دریافتنی]]+Table222[[#This Row],[چکهای در جریان وصول]]+Table222[[#This Row],[چکهای نزد صندوق]]</f>
        <v>-3600000000</v>
      </c>
      <c r="G30" s="12">
        <f>IFERROR(INDEX('مانده سوفاله'!F:F,MATCH(Table222[[#This Row],[كد تفصيلي]],'مانده سوفاله'!A:A,0)),0)</f>
        <v>0</v>
      </c>
    </row>
    <row r="31" spans="1:7" ht="23.25" customHeight="1" x14ac:dyDescent="0.35">
      <c r="A31" s="26">
        <v>10029</v>
      </c>
      <c r="B31" s="68" t="s">
        <v>35</v>
      </c>
      <c r="C31" s="10">
        <f>IFERROR(INDEX('حسابهای دریافتنی'!H:H,MATCH(Table222[[#This Row],[كد تفصيلي]],'حسابهای دریافتنی'!A:A,0)),0)</f>
        <v>-1038298620</v>
      </c>
      <c r="D31" s="11">
        <f>IFERROR(INDEX('درجریان وصول'!F:F,MATCH(Table222[[#This Row],[كد تفصيلي]],'درجریان وصول'!A:A,0)),0)</f>
        <v>0</v>
      </c>
      <c r="E31" s="11">
        <f>IFERROR(INDEX('چکهای دریافتنی'!F:F,MATCH(Table222[[#This Row],[كد تفصيلي]],'چکهای دریافتنی'!A:A,0)),0)</f>
        <v>2019000000</v>
      </c>
      <c r="F31" s="11">
        <f>Table222[[#This Row],[حسابهای دریافتنی]]+Table222[[#This Row],[چکهای در جریان وصول]]+Table222[[#This Row],[چکهای نزد صندوق]]</f>
        <v>980701380</v>
      </c>
      <c r="G31" s="12">
        <f>IFERROR(INDEX('مانده سوفاله'!F:F,MATCH(Table222[[#This Row],[كد تفصيلي]],'مانده سوفاله'!A:A,0)),0)</f>
        <v>6603</v>
      </c>
    </row>
    <row r="32" spans="1:7" ht="23.25" customHeight="1" x14ac:dyDescent="0.35">
      <c r="A32" s="26">
        <v>30070</v>
      </c>
      <c r="B32" s="68" t="s">
        <v>115</v>
      </c>
      <c r="C32" s="10">
        <f>IFERROR(INDEX('حسابهای دریافتنی'!H:H,MATCH(Table222[[#This Row],[كد تفصيلي]],'حسابهای دریافتنی'!A:A,0)),0)</f>
        <v>2651728820</v>
      </c>
      <c r="D32" s="11">
        <f>IFERROR(INDEX('درجریان وصول'!F:F,MATCH(Table222[[#This Row],[كد تفصيلي]],'درجریان وصول'!A:A,0)),0)</f>
        <v>0</v>
      </c>
      <c r="E32" s="11">
        <f>IFERROR(INDEX('چکهای دریافتنی'!F:F,MATCH(Table222[[#This Row],[كد تفصيلي]],'چکهای دریافتنی'!A:A,0)),0)</f>
        <v>3660000000</v>
      </c>
      <c r="F32" s="11">
        <f>Table222[[#This Row],[حسابهای دریافتنی]]+Table222[[#This Row],[چکهای در جریان وصول]]+Table222[[#This Row],[چکهای نزد صندوق]]</f>
        <v>6311728820</v>
      </c>
      <c r="G32" s="12">
        <f>IFERROR(INDEX('مانده سوفاله'!F:F,MATCH(Table222[[#This Row],[كد تفصيلي]],'مانده سوفاله'!A:A,0)),0)</f>
        <v>4378</v>
      </c>
    </row>
    <row r="33" spans="1:7" ht="23.25" customHeight="1" x14ac:dyDescent="0.35">
      <c r="A33" s="26">
        <v>30198</v>
      </c>
      <c r="B33" s="68" t="s">
        <v>507</v>
      </c>
      <c r="C33" s="10">
        <f>IFERROR(INDEX('حسابهای دریافتنی'!H:H,MATCH(Table222[[#This Row],[كد تفصيلي]],'حسابهای دریافتنی'!A:A,0)),0)</f>
        <v>0</v>
      </c>
      <c r="D33" s="11">
        <f>IFERROR(INDEX('درجریان وصول'!F:F,MATCH(Table222[[#This Row],[كد تفصيلي]],'درجریان وصول'!A:A,0)),0)</f>
        <v>0</v>
      </c>
      <c r="E33" s="11">
        <f>IFERROR(INDEX('چکهای دریافتنی'!F:F,MATCH(Table222[[#This Row],[كد تفصيلي]],'چکهای دریافتنی'!A:A,0)),0)</f>
        <v>0</v>
      </c>
      <c r="F33" s="11">
        <f>Table222[[#This Row],[حسابهای دریافتنی]]+Table222[[#This Row],[چکهای در جریان وصول]]+Table222[[#This Row],[چکهای نزد صندوق]]</f>
        <v>0</v>
      </c>
      <c r="G33" s="12">
        <f>IFERROR(INDEX('مانده سوفاله'!F:F,MATCH(Table222[[#This Row],[كد تفصيلي]],'مانده سوفاله'!A:A,0)),0)</f>
        <v>0</v>
      </c>
    </row>
    <row r="34" spans="1:7" ht="23.25" customHeight="1" x14ac:dyDescent="0.35">
      <c r="A34" s="26">
        <v>30162</v>
      </c>
      <c r="B34" s="68" t="s">
        <v>301</v>
      </c>
      <c r="C34" s="10">
        <f>IFERROR(INDEX('حسابهای دریافتنی'!H:H,MATCH(Table222[[#This Row],[كد تفصيلي]],'حسابهای دریافتنی'!A:A,0)),0)</f>
        <v>204890235</v>
      </c>
      <c r="D34" s="11">
        <f>IFERROR(INDEX('درجریان وصول'!F:F,MATCH(Table222[[#This Row],[كد تفصيلي]],'درجریان وصول'!A:A,0)),0)</f>
        <v>0</v>
      </c>
      <c r="E34" s="11">
        <f>IFERROR(INDEX('چکهای دریافتنی'!F:F,MATCH(Table222[[#This Row],[كد تفصيلي]],'چکهای دریافتنی'!A:A,0)),0)</f>
        <v>0</v>
      </c>
      <c r="F34" s="11">
        <f>Table222[[#This Row],[حسابهای دریافتنی]]+Table222[[#This Row],[چکهای در جریان وصول]]+Table222[[#This Row],[چکهای نزد صندوق]]</f>
        <v>204890235</v>
      </c>
      <c r="G34" s="12">
        <f>IFERROR(INDEX('مانده سوفاله'!F:F,MATCH(Table222[[#This Row],[كد تفصيلي]],'مانده سوفاله'!A:A,0)),0)</f>
        <v>-251</v>
      </c>
    </row>
    <row r="35" spans="1:7" ht="23.25" customHeight="1" x14ac:dyDescent="0.35">
      <c r="A35" s="26">
        <v>10069</v>
      </c>
      <c r="B35" s="68" t="s">
        <v>204</v>
      </c>
      <c r="C35" s="10">
        <f>IFERROR(INDEX('حسابهای دریافتنی'!H:H,MATCH(Table222[[#This Row],[كد تفصيلي]],'حسابهای دریافتنی'!A:A,0)),0)</f>
        <v>952500</v>
      </c>
      <c r="D35" s="11">
        <f>IFERROR(INDEX('درجریان وصول'!F:F,MATCH(Table222[[#This Row],[كد تفصيلي]],'درجریان وصول'!A:A,0)),0)</f>
        <v>0</v>
      </c>
      <c r="E35" s="11">
        <f>IFERROR(INDEX('چکهای دریافتنی'!F:F,MATCH(Table222[[#This Row],[كد تفصيلي]],'چکهای دریافتنی'!A:A,0)),0)</f>
        <v>73000000</v>
      </c>
      <c r="F35" s="11">
        <f>Table222[[#This Row],[حسابهای دریافتنی]]+Table222[[#This Row],[چکهای در جریان وصول]]+Table222[[#This Row],[چکهای نزد صندوق]]</f>
        <v>73952500</v>
      </c>
      <c r="G35" s="12">
        <f>IFERROR(INDEX('مانده سوفاله'!F:F,MATCH(Table222[[#This Row],[كد تفصيلي]],'مانده سوفاله'!A:A,0)),0)</f>
        <v>339</v>
      </c>
    </row>
    <row r="36" spans="1:7" ht="23.25" customHeight="1" x14ac:dyDescent="0.35">
      <c r="A36" s="26">
        <v>30086</v>
      </c>
      <c r="B36" s="68" t="s">
        <v>131</v>
      </c>
      <c r="C36" s="10">
        <f>IFERROR(INDEX('حسابهای دریافتنی'!H:H,MATCH(Table222[[#This Row],[كد تفصيلي]],'حسابهای دریافتنی'!A:A,0)),0)</f>
        <v>187376603</v>
      </c>
      <c r="D36" s="11">
        <f>IFERROR(INDEX('درجریان وصول'!F:F,MATCH(Table222[[#This Row],[كد تفصيلي]],'درجریان وصول'!A:A,0)),0)</f>
        <v>0</v>
      </c>
      <c r="E36" s="11">
        <f>IFERROR(INDEX('چکهای دریافتنی'!F:F,MATCH(Table222[[#This Row],[كد تفصيلي]],'چکهای دریافتنی'!A:A,0)),0)</f>
        <v>0</v>
      </c>
      <c r="F36" s="11">
        <f>Table222[[#This Row],[حسابهای دریافتنی]]+Table222[[#This Row],[چکهای در جریان وصول]]+Table222[[#This Row],[چکهای نزد صندوق]]</f>
        <v>187376603</v>
      </c>
      <c r="G36" s="12">
        <f>IFERROR(INDEX('مانده سوفاله'!F:F,MATCH(Table222[[#This Row],[كد تفصيلي]],'مانده سوفاله'!A:A,0)),0)</f>
        <v>1549</v>
      </c>
    </row>
    <row r="37" spans="1:7" ht="23.25" customHeight="1" x14ac:dyDescent="0.35">
      <c r="A37" s="27">
        <v>30081</v>
      </c>
      <c r="B37" s="69" t="s">
        <v>126</v>
      </c>
      <c r="C37" s="10">
        <f>IFERROR(INDEX('حسابهای دریافتنی'!H:H,MATCH(Table222[[#This Row],[كد تفصيلي]],'حسابهای دریافتنی'!A:A,0)),0)</f>
        <v>1148992373</v>
      </c>
      <c r="D37" s="11">
        <f>IFERROR(INDEX('درجریان وصول'!F:F,MATCH(Table222[[#This Row],[كد تفصيلي]],'درجریان وصول'!A:A,0)),0)</f>
        <v>0</v>
      </c>
      <c r="E37" s="11">
        <f>IFERROR(INDEX('چکهای دریافتنی'!F:F,MATCH(Table222[[#This Row],[كد تفصيلي]],'چکهای دریافتنی'!A:A,0)),0)</f>
        <v>0</v>
      </c>
      <c r="F37" s="11">
        <f>Table222[[#This Row],[حسابهای دریافتنی]]+Table222[[#This Row],[چکهای در جریان وصول]]+Table222[[#This Row],[چکهای نزد صندوق]]</f>
        <v>1148992373</v>
      </c>
      <c r="G37" s="12">
        <f>IFERROR(INDEX('مانده سوفاله'!F:F,MATCH(Table222[[#This Row],[كد تفصيلي]],'مانده سوفاله'!A:A,0)),0)</f>
        <v>-6924</v>
      </c>
    </row>
    <row r="38" spans="1:7" ht="23.25" customHeight="1" x14ac:dyDescent="0.35">
      <c r="A38" s="26">
        <v>30140</v>
      </c>
      <c r="B38" s="68" t="s">
        <v>259</v>
      </c>
      <c r="C38" s="10">
        <f>IFERROR(INDEX('حسابهای دریافتنی'!H:H,MATCH(Table222[[#This Row],[كد تفصيلي]],'حسابهای دریافتنی'!A:A,0)),0)</f>
        <v>553728200</v>
      </c>
      <c r="D38" s="11">
        <f>IFERROR(INDEX('درجریان وصول'!F:F,MATCH(Table222[[#This Row],[كد تفصيلي]],'درجریان وصول'!A:A,0)),0)</f>
        <v>0</v>
      </c>
      <c r="E38" s="11">
        <f>IFERROR(INDEX('چکهای دریافتنی'!F:F,MATCH(Table222[[#This Row],[كد تفصيلي]],'چکهای دریافتنی'!A:A,0)),0)</f>
        <v>1030000000</v>
      </c>
      <c r="F38" s="11">
        <f>Table222[[#This Row],[حسابهای دریافتنی]]+Table222[[#This Row],[چکهای در جریان وصول]]+Table222[[#This Row],[چکهای نزد صندوق]]</f>
        <v>1583728200</v>
      </c>
      <c r="G38" s="12">
        <f>IFERROR(INDEX('مانده سوفاله'!F:F,MATCH(Table222[[#This Row],[كد تفصيلي]],'مانده سوفاله'!A:A,0)),0)</f>
        <v>-12630</v>
      </c>
    </row>
    <row r="39" spans="1:7" ht="23.25" customHeight="1" x14ac:dyDescent="0.35">
      <c r="A39" s="26">
        <v>30001</v>
      </c>
      <c r="B39" s="68" t="s">
        <v>190</v>
      </c>
      <c r="C39" s="10">
        <f>IFERROR(INDEX('حسابهای دریافتنی'!H:H,MATCH(Table222[[#This Row],[كد تفصيلي]],'حسابهای دریافتنی'!A:A,0)),0)</f>
        <v>119647176</v>
      </c>
      <c r="D39" s="11">
        <f>IFERROR(INDEX('درجریان وصول'!F:F,MATCH(Table222[[#This Row],[كد تفصيلي]],'درجریان وصول'!A:A,0)),0)</f>
        <v>0</v>
      </c>
      <c r="E39" s="11">
        <f>IFERROR(INDEX('چکهای دریافتنی'!F:F,MATCH(Table222[[#This Row],[كد تفصيلي]],'چکهای دریافتنی'!A:A,0)),0)</f>
        <v>0</v>
      </c>
      <c r="F39" s="11">
        <f>Table222[[#This Row],[حسابهای دریافتنی]]+Table222[[#This Row],[چکهای در جریان وصول]]+Table222[[#This Row],[چکهای نزد صندوق]]</f>
        <v>119647176</v>
      </c>
      <c r="G39" s="12">
        <f>IFERROR(INDEX('مانده سوفاله'!F:F,MATCH(Table222[[#This Row],[كد تفصيلي]],'مانده سوفاله'!A:A,0)),0)</f>
        <v>123</v>
      </c>
    </row>
    <row r="40" spans="1:7" ht="23.25" customHeight="1" x14ac:dyDescent="0.35">
      <c r="A40" s="26">
        <v>30164</v>
      </c>
      <c r="B40" s="68" t="s">
        <v>304</v>
      </c>
      <c r="C40" s="10">
        <f>IFERROR(INDEX('حسابهای دریافتنی'!H:H,MATCH(Table222[[#This Row],[كد تفصيلي]],'حسابهای دریافتنی'!A:A,0)),0)</f>
        <v>184944000</v>
      </c>
      <c r="D40" s="11">
        <f>IFERROR(INDEX('درجریان وصول'!F:F,MATCH(Table222[[#This Row],[كد تفصيلي]],'درجریان وصول'!A:A,0)),0)</f>
        <v>0</v>
      </c>
      <c r="E40" s="11">
        <f>IFERROR(INDEX('چکهای دریافتنی'!F:F,MATCH(Table222[[#This Row],[كد تفصيلي]],'چکهای دریافتنی'!A:A,0)),0)</f>
        <v>0</v>
      </c>
      <c r="F40" s="11">
        <f>Table222[[#This Row],[حسابهای دریافتنی]]+Table222[[#This Row],[چکهای در جریان وصول]]+Table222[[#This Row],[چکهای نزد صندوق]]</f>
        <v>184944000</v>
      </c>
      <c r="G40" s="12">
        <f>IFERROR(INDEX('مانده سوفاله'!F:F,MATCH(Table222[[#This Row],[كد تفصيلي]],'مانده سوفاله'!A:A,0)),0)</f>
        <v>561</v>
      </c>
    </row>
    <row r="41" spans="1:7" ht="23.25" customHeight="1" x14ac:dyDescent="0.35">
      <c r="A41" s="27">
        <v>30077</v>
      </c>
      <c r="B41" s="69" t="s">
        <v>122</v>
      </c>
      <c r="C41" s="10">
        <f>IFERROR(INDEX('حسابهای دریافتنی'!H:H,MATCH(Table222[[#This Row],[كد تفصيلي]],'حسابهای دریافتنی'!A:A,0)),0)</f>
        <v>360000</v>
      </c>
      <c r="D41" s="11">
        <f>IFERROR(INDEX('درجریان وصول'!F:F,MATCH(Table222[[#This Row],[كد تفصيلي]],'درجریان وصول'!A:A,0)),0)</f>
        <v>0</v>
      </c>
      <c r="E41" s="11">
        <f>IFERROR(INDEX('چکهای دریافتنی'!F:F,MATCH(Table222[[#This Row],[كد تفصيلي]],'چکهای دریافتنی'!A:A,0)),0)</f>
        <v>0</v>
      </c>
      <c r="F41" s="11">
        <f>Table222[[#This Row],[حسابهای دریافتنی]]+Table222[[#This Row],[چکهای در جریان وصول]]+Table222[[#This Row],[چکهای نزد صندوق]]</f>
        <v>360000</v>
      </c>
      <c r="G41" s="12">
        <f>IFERROR(INDEX('مانده سوفاله'!F:F,MATCH(Table222[[#This Row],[كد تفصيلي]],'مانده سوفاله'!A:A,0)),0)</f>
        <v>-32</v>
      </c>
    </row>
    <row r="42" spans="1:7" ht="23.25" customHeight="1" x14ac:dyDescent="0.35">
      <c r="A42" s="27">
        <v>10004</v>
      </c>
      <c r="B42" s="69" t="s">
        <v>11</v>
      </c>
      <c r="C42" s="10">
        <f>IFERROR(INDEX('حسابهای دریافتنی'!H:H,MATCH(Table222[[#This Row],[كد تفصيلي]],'حسابهای دریافتنی'!A:A,0)),0)</f>
        <v>853000</v>
      </c>
      <c r="D42" s="11">
        <f>IFERROR(INDEX('درجریان وصول'!F:F,MATCH(Table222[[#This Row],[كد تفصيلي]],'درجریان وصول'!A:A,0)),0)</f>
        <v>0</v>
      </c>
      <c r="E42" s="11">
        <f>IFERROR(INDEX('چکهای دریافتنی'!F:F,MATCH(Table222[[#This Row],[كد تفصيلي]],'چکهای دریافتنی'!A:A,0)),0)</f>
        <v>341000000</v>
      </c>
      <c r="F42" s="11">
        <f>Table222[[#This Row],[حسابهای دریافتنی]]+Table222[[#This Row],[چکهای در جریان وصول]]+Table222[[#This Row],[چکهای نزد صندوق]]</f>
        <v>341853000</v>
      </c>
      <c r="G42" s="12">
        <f>IFERROR(INDEX('مانده سوفاله'!F:F,MATCH(Table222[[#This Row],[كد تفصيلي]],'مانده سوفاله'!A:A,0)),0)</f>
        <v>-12</v>
      </c>
    </row>
    <row r="43" spans="1:7" ht="23.25" customHeight="1" x14ac:dyDescent="0.35">
      <c r="A43" s="27">
        <v>30196</v>
      </c>
      <c r="B43" s="69" t="s">
        <v>481</v>
      </c>
      <c r="C43" s="10">
        <f>IFERROR(INDEX('حسابهای دریافتنی'!H:H,MATCH(Table222[[#This Row],[كد تفصيلي]],'حسابهای دریافتنی'!A:A,0)),0)</f>
        <v>3592950000</v>
      </c>
      <c r="D43" s="11">
        <f>IFERROR(INDEX('درجریان وصول'!F:F,MATCH(Table222[[#This Row],[كد تفصيلي]],'درجریان وصول'!A:A,0)),0)</f>
        <v>0</v>
      </c>
      <c r="E43" s="11">
        <f>IFERROR(INDEX('چکهای دریافتنی'!F:F,MATCH(Table222[[#This Row],[كد تفصيلي]],'چکهای دریافتنی'!A:A,0)),0)</f>
        <v>0</v>
      </c>
      <c r="F43" s="11">
        <f>Table222[[#This Row],[حسابهای دریافتنی]]+Table222[[#This Row],[چکهای در جریان وصول]]+Table222[[#This Row],[چکهای نزد صندوق]]</f>
        <v>3592950000</v>
      </c>
      <c r="G43" s="12">
        <f>IFERROR(INDEX('مانده سوفاله'!F:F,MATCH(Table222[[#This Row],[كد تفصيلي]],'مانده سوفاله'!A:A,0)),0)</f>
        <v>-8965</v>
      </c>
    </row>
    <row r="44" spans="1:7" ht="23.25" customHeight="1" x14ac:dyDescent="0.35">
      <c r="A44" s="27">
        <v>10018</v>
      </c>
      <c r="B44" s="69" t="s">
        <v>25</v>
      </c>
      <c r="C44" s="10">
        <f>IFERROR(INDEX('حسابهای دریافتنی'!H:H,MATCH(Table222[[#This Row],[كد تفصيلي]],'حسابهای دریافتنی'!A:A,0)),0)</f>
        <v>95282000</v>
      </c>
      <c r="D44" s="11">
        <f>IFERROR(INDEX('درجریان وصول'!F:F,MATCH(Table222[[#This Row],[كد تفصيلي]],'درجریان وصول'!A:A,0)),0)</f>
        <v>0</v>
      </c>
      <c r="E44" s="11">
        <f>IFERROR(INDEX('چکهای دریافتنی'!F:F,MATCH(Table222[[#This Row],[كد تفصيلي]],'چکهای دریافتنی'!A:A,0)),0)</f>
        <v>0</v>
      </c>
      <c r="F44" s="11">
        <f>Table222[[#This Row],[حسابهای دریافتنی]]+Table222[[#This Row],[چکهای در جریان وصول]]+Table222[[#This Row],[چکهای نزد صندوق]]</f>
        <v>95282000</v>
      </c>
      <c r="G44" s="12">
        <f>IFERROR(INDEX('مانده سوفاله'!F:F,MATCH(Table222[[#This Row],[كد تفصيلي]],'مانده سوفاله'!A:A,0)),0)</f>
        <v>-32</v>
      </c>
    </row>
    <row r="45" spans="1:7" ht="23.25" customHeight="1" x14ac:dyDescent="0.35">
      <c r="A45" s="27">
        <v>10096</v>
      </c>
      <c r="B45" s="69" t="s">
        <v>271</v>
      </c>
      <c r="C45" s="10">
        <f>IFERROR(INDEX('حسابهای دریافتنی'!H:H,MATCH(Table222[[#This Row],[كد تفصيلي]],'حسابهای دریافتنی'!A:A,0)),0)</f>
        <v>36455500</v>
      </c>
      <c r="D45" s="11">
        <f>IFERROR(INDEX('درجریان وصول'!F:F,MATCH(Table222[[#This Row],[كد تفصيلي]],'درجریان وصول'!A:A,0)),0)</f>
        <v>0</v>
      </c>
      <c r="E45" s="11">
        <f>IFERROR(INDEX('چکهای دریافتنی'!F:F,MATCH(Table222[[#This Row],[كد تفصيلي]],'چکهای دریافتنی'!A:A,0)),0)</f>
        <v>0</v>
      </c>
      <c r="F45" s="11">
        <f>Table222[[#This Row],[حسابهای دریافتنی]]+Table222[[#This Row],[چکهای در جریان وصول]]+Table222[[#This Row],[چکهای نزد صندوق]]</f>
        <v>36455500</v>
      </c>
      <c r="G45" s="12">
        <f>IFERROR(INDEX('مانده سوفاله'!F:F,MATCH(Table222[[#This Row],[كد تفصيلي]],'مانده سوفاله'!A:A,0)),0)</f>
        <v>0</v>
      </c>
    </row>
    <row r="46" spans="1:7" ht="23.25" customHeight="1" x14ac:dyDescent="0.35">
      <c r="A46" s="26">
        <v>30025</v>
      </c>
      <c r="B46" s="68" t="s">
        <v>73</v>
      </c>
      <c r="C46" s="10">
        <f>IFERROR(INDEX('حسابهای دریافتنی'!H:H,MATCH(Table222[[#This Row],[كد تفصيلي]],'حسابهای دریافتنی'!A:A,0)),0)</f>
        <v>35598920</v>
      </c>
      <c r="D46" s="11">
        <f>IFERROR(INDEX('درجریان وصول'!F:F,MATCH(Table222[[#This Row],[كد تفصيلي]],'درجریان وصول'!A:A,0)),0)</f>
        <v>0</v>
      </c>
      <c r="E46" s="11">
        <f>IFERROR(INDEX('چکهای دریافتنی'!F:F,MATCH(Table222[[#This Row],[كد تفصيلي]],'چکهای دریافتنی'!A:A,0)),0)</f>
        <v>0</v>
      </c>
      <c r="F46" s="11">
        <f>Table222[[#This Row],[حسابهای دریافتنی]]+Table222[[#This Row],[چکهای در جریان وصول]]+Table222[[#This Row],[چکهای نزد صندوق]]</f>
        <v>35598920</v>
      </c>
      <c r="G46" s="12">
        <f>IFERROR(INDEX('مانده سوفاله'!F:F,MATCH(Table222[[#This Row],[كد تفصيلي]],'مانده سوفاله'!A:A,0)),0)</f>
        <v>-165</v>
      </c>
    </row>
    <row r="47" spans="1:7" ht="23.25" customHeight="1" x14ac:dyDescent="0.35">
      <c r="A47" s="26">
        <v>30005</v>
      </c>
      <c r="B47" s="68" t="s">
        <v>55</v>
      </c>
      <c r="C47" s="10">
        <f>IFERROR(INDEX('حسابهای دریافتنی'!H:H,MATCH(Table222[[#This Row],[كد تفصيلي]],'حسابهای دریافتنی'!A:A,0)),0)</f>
        <v>35368209</v>
      </c>
      <c r="D47" s="11">
        <f>IFERROR(INDEX('درجریان وصول'!F:F,MATCH(Table222[[#This Row],[كد تفصيلي]],'درجریان وصول'!A:A,0)),0)</f>
        <v>0</v>
      </c>
      <c r="E47" s="11">
        <f>IFERROR(INDEX('چکهای دریافتنی'!F:F,MATCH(Table222[[#This Row],[كد تفصيلي]],'چکهای دریافتنی'!A:A,0)),0)</f>
        <v>0</v>
      </c>
      <c r="F47" s="11">
        <f>Table222[[#This Row],[حسابهای دریافتنی]]+Table222[[#This Row],[چکهای در جریان وصول]]+Table222[[#This Row],[چکهای نزد صندوق]]</f>
        <v>35368209</v>
      </c>
      <c r="G47" s="12">
        <f>IFERROR(INDEX('مانده سوفاله'!F:F,MATCH(Table222[[#This Row],[كد تفصيلي]],'مانده سوفاله'!A:A,0)),0)</f>
        <v>61</v>
      </c>
    </row>
    <row r="48" spans="1:7" ht="23.25" customHeight="1" x14ac:dyDescent="0.35">
      <c r="A48" s="27">
        <v>30093</v>
      </c>
      <c r="B48" s="69" t="s">
        <v>151</v>
      </c>
      <c r="C48" s="10">
        <f>IFERROR(INDEX('حسابهای دریافتنی'!H:H,MATCH(Table222[[#This Row],[كد تفصيلي]],'حسابهای دریافتنی'!A:A,0)),0)</f>
        <v>0</v>
      </c>
      <c r="D48" s="11">
        <f>IFERROR(INDEX('درجریان وصول'!F:F,MATCH(Table222[[#This Row],[كد تفصيلي]],'درجریان وصول'!A:A,0)),0)</f>
        <v>0</v>
      </c>
      <c r="E48" s="11">
        <f>IFERROR(INDEX('چکهای دریافتنی'!F:F,MATCH(Table222[[#This Row],[كد تفصيلي]],'چکهای دریافتنی'!A:A,0)),0)</f>
        <v>0</v>
      </c>
      <c r="F48" s="11">
        <f>Table222[[#This Row],[حسابهای دریافتنی]]+Table222[[#This Row],[چکهای در جریان وصول]]+Table222[[#This Row],[چکهای نزد صندوق]]</f>
        <v>0</v>
      </c>
      <c r="G48" s="12">
        <v>77</v>
      </c>
    </row>
    <row r="49" spans="1:7" ht="23.25" customHeight="1" x14ac:dyDescent="0.35">
      <c r="A49" s="27">
        <v>30101</v>
      </c>
      <c r="B49" s="69" t="s">
        <v>196</v>
      </c>
      <c r="C49" s="10">
        <f>IFERROR(INDEX('حسابهای دریافتنی'!H:H,MATCH(Table222[[#This Row],[كد تفصيلي]],'حسابهای دریافتنی'!A:A,0)),0)</f>
        <v>203336095</v>
      </c>
      <c r="D49" s="11">
        <f>IFERROR(INDEX('درجریان وصول'!F:F,MATCH(Table222[[#This Row],[كد تفصيلي]],'درجریان وصول'!A:A,0)),0)</f>
        <v>0</v>
      </c>
      <c r="E49" s="11">
        <f>IFERROR(INDEX('چکهای دریافتنی'!F:F,MATCH(Table222[[#This Row],[كد تفصيلي]],'چکهای دریافتنی'!A:A,0)),0)</f>
        <v>0</v>
      </c>
      <c r="F49" s="11">
        <f>Table222[[#This Row],[حسابهای دریافتنی]]+Table222[[#This Row],[چکهای در جریان وصول]]+Table222[[#This Row],[چکهای نزد صندوق]]</f>
        <v>203336095</v>
      </c>
      <c r="G49" s="12">
        <f>IFERROR(INDEX('مانده سوفاله'!F:F,MATCH(Table222[[#This Row],[كد تفصيلي]],'مانده سوفاله'!A:A,0)),0)</f>
        <v>15</v>
      </c>
    </row>
    <row r="50" spans="1:7" ht="23.25" customHeight="1" x14ac:dyDescent="0.35">
      <c r="A50" s="26">
        <v>10091</v>
      </c>
      <c r="B50" s="68" t="s">
        <v>258</v>
      </c>
      <c r="C50" s="10">
        <f>IFERROR(INDEX('حسابهای دریافتنی'!H:H,MATCH(Table222[[#This Row],[كد تفصيلي]],'حسابهای دریافتنی'!A:A,0)),0)</f>
        <v>59321500</v>
      </c>
      <c r="D50" s="11">
        <f>IFERROR(INDEX('درجریان وصول'!F:F,MATCH(Table222[[#This Row],[كد تفصيلي]],'درجریان وصول'!A:A,0)),0)</f>
        <v>0</v>
      </c>
      <c r="E50" s="11">
        <f>IFERROR(INDEX('چکهای دریافتنی'!F:F,MATCH(Table222[[#This Row],[كد تفصيلي]],'چکهای دریافتنی'!A:A,0)),0)</f>
        <v>0</v>
      </c>
      <c r="F50" s="11">
        <f>Table222[[#This Row],[حسابهای دریافتنی]]+Table222[[#This Row],[چکهای در جریان وصول]]+Table222[[#This Row],[چکهای نزد صندوق]]</f>
        <v>59321500</v>
      </c>
      <c r="G50" s="12">
        <f>IFERROR(INDEX('مانده سوفاله'!F:F,MATCH(Table222[[#This Row],[كد تفصيلي]],'مانده سوفاله'!A:A,0)),0)</f>
        <v>0</v>
      </c>
    </row>
    <row r="51" spans="1:7" ht="23.25" customHeight="1" x14ac:dyDescent="0.35">
      <c r="A51" s="27">
        <v>30008</v>
      </c>
      <c r="B51" s="69" t="s">
        <v>58</v>
      </c>
      <c r="C51" s="10">
        <f>IFERROR(INDEX('حسابهای دریافتنی'!H:H,MATCH(Table222[[#This Row],[كد تفصيلي]],'حسابهای دریافتنی'!A:A,0)),0)</f>
        <v>15520000</v>
      </c>
      <c r="D51" s="11">
        <f>IFERROR(INDEX('درجریان وصول'!F:F,MATCH(Table222[[#This Row],[كد تفصيلي]],'درجریان وصول'!A:A,0)),0)</f>
        <v>0</v>
      </c>
      <c r="E51" s="11">
        <f>IFERROR(INDEX('چکهای دریافتنی'!F:F,MATCH(Table222[[#This Row],[كد تفصيلي]],'چکهای دریافتنی'!A:A,0)),0)</f>
        <v>0</v>
      </c>
      <c r="F51" s="11">
        <f>Table222[[#This Row],[حسابهای دریافتنی]]+Table222[[#This Row],[چکهای در جریان وصول]]+Table222[[#This Row],[چکهای نزد صندوق]]</f>
        <v>15520000</v>
      </c>
      <c r="G51" s="12">
        <f>IFERROR(INDEX('مانده سوفاله'!F:F,MATCH(Table222[[#This Row],[كد تفصيلي]],'مانده سوفاله'!A:A,0)),0)</f>
        <v>0</v>
      </c>
    </row>
    <row r="52" spans="1:7" ht="23.25" customHeight="1" x14ac:dyDescent="0.35">
      <c r="A52" s="26">
        <v>10007</v>
      </c>
      <c r="B52" s="68" t="s">
        <v>14</v>
      </c>
      <c r="C52" s="10">
        <f>IFERROR(INDEX('حسابهای دریافتنی'!H:H,MATCH(Table222[[#This Row],[كد تفصيلي]],'حسابهای دریافتنی'!A:A,0)),0)</f>
        <v>12770000</v>
      </c>
      <c r="D52" s="11">
        <f>IFERROR(INDEX('درجریان وصول'!F:F,MATCH(Table222[[#This Row],[كد تفصيلي]],'درجریان وصول'!A:A,0)),0)</f>
        <v>0</v>
      </c>
      <c r="E52" s="11">
        <f>IFERROR(INDEX('چکهای دریافتنی'!F:F,MATCH(Table222[[#This Row],[كد تفصيلي]],'چکهای دریافتنی'!A:A,0)),0)</f>
        <v>0</v>
      </c>
      <c r="F52" s="11">
        <f>Table222[[#This Row],[حسابهای دریافتنی]]+Table222[[#This Row],[چکهای در جریان وصول]]+Table222[[#This Row],[چکهای نزد صندوق]]</f>
        <v>12770000</v>
      </c>
      <c r="G52" s="12">
        <f>IFERROR(INDEX('مانده سوفاله'!F:F,MATCH(Table222[[#This Row],[كد تفصيلي]],'مانده سوفاله'!A:A,0)),0)</f>
        <v>-52.5</v>
      </c>
    </row>
    <row r="53" spans="1:7" ht="23.25" customHeight="1" x14ac:dyDescent="0.35">
      <c r="A53" s="26">
        <v>10027</v>
      </c>
      <c r="B53" s="68" t="s">
        <v>33</v>
      </c>
      <c r="C53" s="10">
        <f>IFERROR(INDEX('حسابهای دریافتنی'!H:H,MATCH(Table222[[#This Row],[كد تفصيلي]],'حسابهای دریافتنی'!A:A,0)),0)</f>
        <v>33078340</v>
      </c>
      <c r="D53" s="11">
        <f>IFERROR(INDEX('درجریان وصول'!F:F,MATCH(Table222[[#This Row],[كد تفصيلي]],'درجریان وصول'!A:A,0)),0)</f>
        <v>0</v>
      </c>
      <c r="E53" s="11">
        <f>IFERROR(INDEX('چکهای دریافتنی'!F:F,MATCH(Table222[[#This Row],[كد تفصيلي]],'چکهای دریافتنی'!A:A,0)),0)</f>
        <v>1588359160</v>
      </c>
      <c r="F53" s="11">
        <f>Table222[[#This Row],[حسابهای دریافتنی]]+Table222[[#This Row],[چکهای در جریان وصول]]+Table222[[#This Row],[چکهای نزد صندوق]]</f>
        <v>1621437500</v>
      </c>
      <c r="G53" s="12">
        <f>IFERROR(INDEX('مانده سوفاله'!F:F,MATCH(Table222[[#This Row],[كد تفصيلي]],'مانده سوفاله'!A:A,0)),0)</f>
        <v>-647</v>
      </c>
    </row>
    <row r="54" spans="1:7" ht="23.25" customHeight="1" x14ac:dyDescent="0.35">
      <c r="A54" s="27">
        <v>30145</v>
      </c>
      <c r="B54" s="69" t="s">
        <v>265</v>
      </c>
      <c r="C54" s="10">
        <f>IFERROR(INDEX('حسابهای دریافتنی'!H:H,MATCH(Table222[[#This Row],[كد تفصيلي]],'حسابهای دریافتنی'!A:A,0)),0)</f>
        <v>6442500</v>
      </c>
      <c r="D54" s="11">
        <f>IFERROR(INDEX('درجریان وصول'!F:F,MATCH(Table222[[#This Row],[كد تفصيلي]],'درجریان وصول'!A:A,0)),0)</f>
        <v>0</v>
      </c>
      <c r="E54" s="11">
        <f>IFERROR(INDEX('چکهای دریافتنی'!F:F,MATCH(Table222[[#This Row],[كد تفصيلي]],'چکهای دریافتنی'!A:A,0)),0)</f>
        <v>0</v>
      </c>
      <c r="F54" s="11">
        <f>Table222[[#This Row],[حسابهای دریافتنی]]+Table222[[#This Row],[چکهای در جریان وصول]]+Table222[[#This Row],[چکهای نزد صندوق]]</f>
        <v>6442500</v>
      </c>
      <c r="G54" s="12">
        <f>IFERROR(INDEX('مانده سوفاله'!F:F,MATCH(Table222[[#This Row],[كد تفصيلي]],'مانده سوفاله'!A:A,0)),0)</f>
        <v>0</v>
      </c>
    </row>
    <row r="55" spans="1:7" ht="23.25" customHeight="1" x14ac:dyDescent="0.35">
      <c r="A55" s="26">
        <v>30047</v>
      </c>
      <c r="B55" s="68" t="s">
        <v>94</v>
      </c>
      <c r="C55" s="10">
        <f>IFERROR(INDEX('حسابهای دریافتنی'!H:H,MATCH(Table222[[#This Row],[كد تفصيلي]],'حسابهای دریافتنی'!A:A,0)),0)</f>
        <v>5794900</v>
      </c>
      <c r="D55" s="11">
        <f>IFERROR(INDEX('درجریان وصول'!F:F,MATCH(Table222[[#This Row],[كد تفصيلي]],'درجریان وصول'!A:A,0)),0)</f>
        <v>0</v>
      </c>
      <c r="E55" s="11">
        <f>IFERROR(INDEX('چکهای دریافتنی'!F:F,MATCH(Table222[[#This Row],[كد تفصيلي]],'چکهای دریافتنی'!A:A,0)),0)</f>
        <v>0</v>
      </c>
      <c r="F55" s="11">
        <f>Table222[[#This Row],[حسابهای دریافتنی]]+Table222[[#This Row],[چکهای در جریان وصول]]+Table222[[#This Row],[چکهای نزد صندوق]]</f>
        <v>5794900</v>
      </c>
      <c r="G55" s="12">
        <f>IFERROR(INDEX('مانده سوفاله'!F:F,MATCH(Table222[[#This Row],[كد تفصيلي]],'مانده سوفاله'!A:A,0)),0)</f>
        <v>-630</v>
      </c>
    </row>
    <row r="56" spans="1:7" ht="23.25" customHeight="1" x14ac:dyDescent="0.35">
      <c r="A56" s="26">
        <v>30011</v>
      </c>
      <c r="B56" s="68" t="s">
        <v>60</v>
      </c>
      <c r="C56" s="10">
        <f>IFERROR(INDEX('حسابهای دریافتنی'!H:H,MATCH(Table222[[#This Row],[كد تفصيلي]],'حسابهای دریافتنی'!A:A,0)),0)</f>
        <v>5595200</v>
      </c>
      <c r="D56" s="11">
        <f>IFERROR(INDEX('درجریان وصول'!F:F,MATCH(Table222[[#This Row],[كد تفصيلي]],'درجریان وصول'!A:A,0)),0)</f>
        <v>0</v>
      </c>
      <c r="E56" s="11">
        <f>IFERROR(INDEX('چکهای دریافتنی'!F:F,MATCH(Table222[[#This Row],[كد تفصيلي]],'چکهای دریافتنی'!A:A,0)),0)</f>
        <v>0</v>
      </c>
      <c r="F56" s="11">
        <f>Table222[[#This Row],[حسابهای دریافتنی]]+Table222[[#This Row],[چکهای در جریان وصول]]+Table222[[#This Row],[چکهای نزد صندوق]]</f>
        <v>5595200</v>
      </c>
      <c r="G56" s="12">
        <f>IFERROR(INDEX('مانده سوفاله'!F:F,MATCH(Table222[[#This Row],[كد تفصيلي]],'مانده سوفاله'!A:A,0)),0)</f>
        <v>-5</v>
      </c>
    </row>
    <row r="57" spans="1:7" ht="23.25" customHeight="1" x14ac:dyDescent="0.35">
      <c r="A57" s="27">
        <v>10080</v>
      </c>
      <c r="B57" s="69" t="s">
        <v>214</v>
      </c>
      <c r="C57" s="10">
        <f>IFERROR(INDEX('حسابهای دریافتنی'!H:H,MATCH(Table222[[#This Row],[كد تفصيلي]],'حسابهای دریافتنی'!A:A,0)),0)</f>
        <v>5395000</v>
      </c>
      <c r="D57" s="11">
        <f>IFERROR(INDEX('درجریان وصول'!F:F,MATCH(Table222[[#This Row],[كد تفصيلي]],'درجریان وصول'!A:A,0)),0)</f>
        <v>0</v>
      </c>
      <c r="E57" s="11">
        <f>IFERROR(INDEX('چکهای دریافتنی'!F:F,MATCH(Table222[[#This Row],[كد تفصيلي]],'چکهای دریافتنی'!A:A,0)),0)</f>
        <v>0</v>
      </c>
      <c r="F57" s="11">
        <f>Table222[[#This Row],[حسابهای دریافتنی]]+Table222[[#This Row],[چکهای در جریان وصول]]+Table222[[#This Row],[چکهای نزد صندوق]]</f>
        <v>5395000</v>
      </c>
      <c r="G57" s="12">
        <f>IFERROR(INDEX('مانده سوفاله'!F:F,MATCH(Table222[[#This Row],[كد تفصيلي]],'مانده سوفاله'!A:A,0)),0)</f>
        <v>0</v>
      </c>
    </row>
    <row r="58" spans="1:7" ht="23.25" customHeight="1" x14ac:dyDescent="0.35">
      <c r="A58" s="26">
        <v>30114</v>
      </c>
      <c r="B58" s="68" t="s">
        <v>175</v>
      </c>
      <c r="C58" s="10">
        <f>IFERROR(INDEX('حسابهای دریافتنی'!H:H,MATCH(Table222[[#This Row],[كد تفصيلي]],'حسابهای دریافتنی'!A:A,0)),0)</f>
        <v>5385600</v>
      </c>
      <c r="D58" s="11">
        <f>IFERROR(INDEX('درجریان وصول'!F:F,MATCH(Table222[[#This Row],[كد تفصيلي]],'درجریان وصول'!A:A,0)),0)</f>
        <v>0</v>
      </c>
      <c r="E58" s="11">
        <f>IFERROR(INDEX('چکهای دریافتنی'!F:F,MATCH(Table222[[#This Row],[كد تفصيلي]],'چکهای دریافتنی'!A:A,0)),0)</f>
        <v>0</v>
      </c>
      <c r="F58" s="11">
        <f>Table222[[#This Row],[حسابهای دریافتنی]]+Table222[[#This Row],[چکهای در جریان وصول]]+Table222[[#This Row],[چکهای نزد صندوق]]</f>
        <v>5385600</v>
      </c>
      <c r="G58" s="12">
        <f>IFERROR(INDEX('مانده سوفاله'!F:F,MATCH(Table222[[#This Row],[كد تفصيلي]],'مانده سوفاله'!A:A,0)),0)</f>
        <v>0</v>
      </c>
    </row>
    <row r="59" spans="1:7" ht="23.25" customHeight="1" x14ac:dyDescent="0.35">
      <c r="A59" s="27">
        <v>30123</v>
      </c>
      <c r="B59" s="69" t="s">
        <v>208</v>
      </c>
      <c r="C59" s="10">
        <f>IFERROR(INDEX('حسابهای دریافتنی'!H:H,MATCH(Table222[[#This Row],[كد تفصيلي]],'حسابهای دریافتنی'!A:A,0)),0)</f>
        <v>4138250</v>
      </c>
      <c r="D59" s="11">
        <f>IFERROR(INDEX('درجریان وصول'!F:F,MATCH(Table222[[#This Row],[كد تفصيلي]],'درجریان وصول'!A:A,0)),0)</f>
        <v>0</v>
      </c>
      <c r="E59" s="11">
        <f>IFERROR(INDEX('چکهای دریافتنی'!F:F,MATCH(Table222[[#This Row],[كد تفصيلي]],'چکهای دریافتنی'!A:A,0)),0)</f>
        <v>0</v>
      </c>
      <c r="F59" s="11">
        <f>Table222[[#This Row],[حسابهای دریافتنی]]+Table222[[#This Row],[چکهای در جریان وصول]]+Table222[[#This Row],[چکهای نزد صندوق]]</f>
        <v>4138250</v>
      </c>
      <c r="G59" s="12">
        <f>IFERROR(INDEX('مانده سوفاله'!F:F,MATCH(Table222[[#This Row],[كد تفصيلي]],'مانده سوفاله'!A:A,0)),0)</f>
        <v>-20</v>
      </c>
    </row>
    <row r="60" spans="1:7" ht="23.25" customHeight="1" x14ac:dyDescent="0.35">
      <c r="A60" s="26">
        <v>10116</v>
      </c>
      <c r="B60" s="68" t="s">
        <v>321</v>
      </c>
      <c r="C60" s="10">
        <f>IFERROR(INDEX('حسابهای دریافتنی'!H:H,MATCH(Table222[[#This Row],[كد تفصيلي]],'حسابهای دریافتنی'!A:A,0)),0)</f>
        <v>3892500</v>
      </c>
      <c r="D60" s="11">
        <f>IFERROR(INDEX('درجریان وصول'!F:F,MATCH(Table222[[#This Row],[كد تفصيلي]],'درجریان وصول'!A:A,0)),0)</f>
        <v>0</v>
      </c>
      <c r="E60" s="11">
        <f>IFERROR(INDEX('چکهای دریافتنی'!F:F,MATCH(Table222[[#This Row],[كد تفصيلي]],'چکهای دریافتنی'!A:A,0)),0)</f>
        <v>0</v>
      </c>
      <c r="F60" s="11">
        <f>Table222[[#This Row],[حسابهای دریافتنی]]+Table222[[#This Row],[چکهای در جریان وصول]]+Table222[[#This Row],[چکهای نزد صندوق]]</f>
        <v>3892500</v>
      </c>
      <c r="G60" s="12">
        <f>IFERROR(INDEX('مانده سوفاله'!F:F,MATCH(Table222[[#This Row],[كد تفصيلي]],'مانده سوفاله'!A:A,0)),0)</f>
        <v>0</v>
      </c>
    </row>
    <row r="61" spans="1:7" ht="23.25" customHeight="1" x14ac:dyDescent="0.35">
      <c r="A61" s="26">
        <v>10101</v>
      </c>
      <c r="B61" s="68" t="s">
        <v>281</v>
      </c>
      <c r="C61" s="10">
        <f>IFERROR(INDEX('حسابهای دریافتنی'!H:H,MATCH(Table222[[#This Row],[كد تفصيلي]],'حسابهای دریافتنی'!A:A,0)),0)</f>
        <v>0</v>
      </c>
      <c r="D61" s="11">
        <f>IFERROR(INDEX('درجریان وصول'!F:F,MATCH(Table222[[#This Row],[كد تفصيلي]],'درجریان وصول'!A:A,0)),0)</f>
        <v>0</v>
      </c>
      <c r="E61" s="11">
        <f>IFERROR(INDEX('چکهای دریافتنی'!F:F,MATCH(Table222[[#This Row],[كد تفصيلي]],'چکهای دریافتنی'!A:A,0)),0)</f>
        <v>0</v>
      </c>
      <c r="F61" s="11">
        <f>Table222[[#This Row],[حسابهای دریافتنی]]+Table222[[#This Row],[چکهای در جریان وصول]]+Table222[[#This Row],[چکهای نزد صندوق]]</f>
        <v>0</v>
      </c>
      <c r="G61" s="12">
        <f>IFERROR(INDEX('مانده سوفاله'!F:F,MATCH(Table222[[#This Row],[كد تفصيلي]],'مانده سوفاله'!A:A,0)),0)</f>
        <v>0</v>
      </c>
    </row>
    <row r="62" spans="1:7" ht="23.25" customHeight="1" x14ac:dyDescent="0.35">
      <c r="A62" s="27">
        <v>10030</v>
      </c>
      <c r="B62" s="69" t="s">
        <v>36</v>
      </c>
      <c r="C62" s="10">
        <f>IFERROR(INDEX('حسابهای دریافتنی'!H:H,MATCH(Table222[[#This Row],[كد تفصيلي]],'حسابهای دریافتنی'!A:A,0)),0)</f>
        <v>3272000</v>
      </c>
      <c r="D62" s="11">
        <f>IFERROR(INDEX('درجریان وصول'!F:F,MATCH(Table222[[#This Row],[كد تفصيلي]],'درجریان وصول'!A:A,0)),0)</f>
        <v>0</v>
      </c>
      <c r="E62" s="11">
        <f>IFERROR(INDEX('چکهای دریافتنی'!F:F,MATCH(Table222[[#This Row],[كد تفصيلي]],'چکهای دریافتنی'!A:A,0)),0)</f>
        <v>0</v>
      </c>
      <c r="F62" s="11">
        <f>Table222[[#This Row],[حسابهای دریافتنی]]+Table222[[#This Row],[چکهای در جریان وصول]]+Table222[[#This Row],[چکهای نزد صندوق]]</f>
        <v>3272000</v>
      </c>
      <c r="G62" s="12">
        <f>IFERROR(INDEX('مانده سوفاله'!F:F,MATCH(Table222[[#This Row],[كد تفصيلي]],'مانده سوفاله'!A:A,0)),0)</f>
        <v>-222</v>
      </c>
    </row>
    <row r="63" spans="1:7" ht="23.25" customHeight="1" x14ac:dyDescent="0.35">
      <c r="A63" s="26">
        <v>30178</v>
      </c>
      <c r="B63" s="68" t="s">
        <v>335</v>
      </c>
      <c r="C63" s="10">
        <f>IFERROR(INDEX('حسابهای دریافتنی'!H:H,MATCH(Table222[[#This Row],[كد تفصيلي]],'حسابهای دریافتنی'!A:A,0)),0)</f>
        <v>3040000</v>
      </c>
      <c r="D63" s="11">
        <f>IFERROR(INDEX('درجریان وصول'!F:F,MATCH(Table222[[#This Row],[كد تفصيلي]],'درجریان وصول'!A:A,0)),0)</f>
        <v>0</v>
      </c>
      <c r="E63" s="11">
        <f>IFERROR(INDEX('چکهای دریافتنی'!F:F,MATCH(Table222[[#This Row],[كد تفصيلي]],'چکهای دریافتنی'!A:A,0)),0)</f>
        <v>0</v>
      </c>
      <c r="F63" s="11">
        <f>Table222[[#This Row],[حسابهای دریافتنی]]+Table222[[#This Row],[چکهای در جریان وصول]]+Table222[[#This Row],[چکهای نزد صندوق]]</f>
        <v>3040000</v>
      </c>
      <c r="G63" s="12">
        <f>IFERROR(INDEX('مانده سوفاله'!F:F,MATCH(Table222[[#This Row],[كد تفصيلي]],'مانده سوفاله'!A:A,0)),0)</f>
        <v>0</v>
      </c>
    </row>
    <row r="64" spans="1:7" ht="23.25" customHeight="1" x14ac:dyDescent="0.35">
      <c r="A64" s="27">
        <v>30020</v>
      </c>
      <c r="B64" s="69" t="s">
        <v>68</v>
      </c>
      <c r="C64" s="10">
        <f>IFERROR(INDEX('حسابهای دریافتنی'!H:H,MATCH(Table222[[#This Row],[كد تفصيلي]],'حسابهای دریافتنی'!A:A,0)),0)</f>
        <v>2253500</v>
      </c>
      <c r="D64" s="11">
        <f>IFERROR(INDEX('درجریان وصول'!F:F,MATCH(Table222[[#This Row],[كد تفصيلي]],'درجریان وصول'!A:A,0)),0)</f>
        <v>0</v>
      </c>
      <c r="E64" s="11">
        <f>IFERROR(INDEX('چکهای دریافتنی'!F:F,MATCH(Table222[[#This Row],[كد تفصيلي]],'چکهای دریافتنی'!A:A,0)),0)</f>
        <v>0</v>
      </c>
      <c r="F64" s="11">
        <f>Table222[[#This Row],[حسابهای دریافتنی]]+Table222[[#This Row],[چکهای در جریان وصول]]+Table222[[#This Row],[چکهای نزد صندوق]]</f>
        <v>2253500</v>
      </c>
      <c r="G64" s="12">
        <f>IFERROR(INDEX('مانده سوفاله'!F:F,MATCH(Table222[[#This Row],[كد تفصيلي]],'مانده سوفاله'!A:A,0)),0)</f>
        <v>4</v>
      </c>
    </row>
    <row r="65" spans="1:7" ht="23.25" customHeight="1" x14ac:dyDescent="0.35">
      <c r="A65" s="26">
        <v>30084</v>
      </c>
      <c r="B65" s="68" t="s">
        <v>129</v>
      </c>
      <c r="C65" s="10">
        <f>IFERROR(INDEX('حسابهای دریافتنی'!H:H,MATCH(Table222[[#This Row],[كد تفصيلي]],'حسابهای دریافتنی'!A:A,0)),0)</f>
        <v>1220000</v>
      </c>
      <c r="D65" s="11">
        <f>IFERROR(INDEX('درجریان وصول'!F:F,MATCH(Table222[[#This Row],[كد تفصيلي]],'درجریان وصول'!A:A,0)),0)</f>
        <v>0</v>
      </c>
      <c r="E65" s="11">
        <f>IFERROR(INDEX('چکهای دریافتنی'!F:F,MATCH(Table222[[#This Row],[كد تفصيلي]],'چکهای دریافتنی'!A:A,0)),0)</f>
        <v>0</v>
      </c>
      <c r="F65" s="11">
        <f>Table222[[#This Row],[حسابهای دریافتنی]]+Table222[[#This Row],[چکهای در جریان وصول]]+Table222[[#This Row],[چکهای نزد صندوق]]</f>
        <v>1220000</v>
      </c>
      <c r="G65" s="12">
        <f>IFERROR(INDEX('مانده سوفاله'!F:F,MATCH(Table222[[#This Row],[كد تفصيلي]],'مانده سوفاله'!A:A,0)),0)</f>
        <v>0</v>
      </c>
    </row>
    <row r="66" spans="1:7" ht="23.25" customHeight="1" x14ac:dyDescent="0.35">
      <c r="A66" s="27">
        <v>79055</v>
      </c>
      <c r="B66" s="69" t="s">
        <v>297</v>
      </c>
      <c r="C66" s="10">
        <f>IFERROR(INDEX('حسابهای دریافتنی'!H:H,MATCH(Table222[[#This Row],[كد تفصيلي]],'حسابهای دریافتنی'!A:A,0)),0)</f>
        <v>896500</v>
      </c>
      <c r="D66" s="11">
        <f>IFERROR(INDEX('درجریان وصول'!F:F,MATCH(Table222[[#This Row],[كد تفصيلي]],'درجریان وصول'!A:A,0)),0)</f>
        <v>0</v>
      </c>
      <c r="E66" s="11">
        <f>IFERROR(INDEX('چکهای دریافتنی'!F:F,MATCH(Table222[[#This Row],[كد تفصيلي]],'چکهای دریافتنی'!A:A,0)),0)</f>
        <v>0</v>
      </c>
      <c r="F66" s="11">
        <f>Table222[[#This Row],[حسابهای دریافتنی]]+Table222[[#This Row],[چکهای در جریان وصول]]+Table222[[#This Row],[چکهای نزد صندوق]]</f>
        <v>896500</v>
      </c>
      <c r="G66" s="12">
        <f>IFERROR(INDEX('مانده سوفاله'!F:F,MATCH(Table222[[#This Row],[كد تفصيلي]],'مانده سوفاله'!A:A,0)),0)</f>
        <v>0</v>
      </c>
    </row>
    <row r="67" spans="1:7" ht="23.25" customHeight="1" x14ac:dyDescent="0.35">
      <c r="A67" s="27">
        <v>30030</v>
      </c>
      <c r="B67" s="69" t="s">
        <v>77</v>
      </c>
      <c r="C67" s="10">
        <f>IFERROR(INDEX('حسابهای دریافتنی'!H:H,MATCH(Table222[[#This Row],[كد تفصيلي]],'حسابهای دریافتنی'!A:A,0)),0)</f>
        <v>850500</v>
      </c>
      <c r="D67" s="11">
        <f>IFERROR(INDEX('درجریان وصول'!F:F,MATCH(Table222[[#This Row],[كد تفصيلي]],'درجریان وصول'!A:A,0)),0)</f>
        <v>0</v>
      </c>
      <c r="E67" s="11">
        <f>IFERROR(INDEX('چکهای دریافتنی'!F:F,MATCH(Table222[[#This Row],[كد تفصيلي]],'چکهای دریافتنی'!A:A,0)),0)</f>
        <v>0</v>
      </c>
      <c r="F67" s="11">
        <f>Table222[[#This Row],[حسابهای دریافتنی]]+Table222[[#This Row],[چکهای در جریان وصول]]+Table222[[#This Row],[چکهای نزد صندوق]]</f>
        <v>850500</v>
      </c>
      <c r="G67" s="12">
        <f>IFERROR(INDEX('مانده سوفاله'!F:F,MATCH(Table222[[#This Row],[كد تفصيلي]],'مانده سوفاله'!A:A,0)),0)</f>
        <v>-49</v>
      </c>
    </row>
    <row r="68" spans="1:7" ht="23.25" customHeight="1" x14ac:dyDescent="0.35">
      <c r="A68" s="27">
        <v>30129</v>
      </c>
      <c r="B68" s="69" t="s">
        <v>178</v>
      </c>
      <c r="C68" s="10">
        <f>IFERROR(INDEX('حسابهای دریافتنی'!H:H,MATCH(Table222[[#This Row],[كد تفصيلي]],'حسابهای دریافتنی'!A:A,0)),0)</f>
        <v>783000</v>
      </c>
      <c r="D68" s="11">
        <f>IFERROR(INDEX('درجریان وصول'!F:F,MATCH(Table222[[#This Row],[كد تفصيلي]],'درجریان وصول'!A:A,0)),0)</f>
        <v>0</v>
      </c>
      <c r="E68" s="11">
        <f>IFERROR(INDEX('چکهای دریافتنی'!F:F,MATCH(Table222[[#This Row],[كد تفصيلي]],'چکهای دریافتنی'!A:A,0)),0)</f>
        <v>0</v>
      </c>
      <c r="F68" s="11">
        <f>Table222[[#This Row],[حسابهای دریافتنی]]+Table222[[#This Row],[چکهای در جریان وصول]]+Table222[[#This Row],[چکهای نزد صندوق]]</f>
        <v>783000</v>
      </c>
      <c r="G68" s="12">
        <f>IFERROR(INDEX('مانده سوفاله'!F:F,MATCH(Table222[[#This Row],[كد تفصيلي]],'مانده سوفاله'!A:A,0)),0)</f>
        <v>0</v>
      </c>
    </row>
    <row r="69" spans="1:7" ht="23.25" customHeight="1" x14ac:dyDescent="0.35">
      <c r="A69" s="26">
        <v>30090</v>
      </c>
      <c r="B69" s="68" t="s">
        <v>144</v>
      </c>
      <c r="C69" s="10">
        <f>IFERROR(INDEX('حسابهای دریافتنی'!H:H,MATCH(Table222[[#This Row],[كد تفصيلي]],'حسابهای دریافتنی'!A:A,0)),0)</f>
        <v>640100</v>
      </c>
      <c r="D69" s="11">
        <f>IFERROR(INDEX('درجریان وصول'!F:F,MATCH(Table222[[#This Row],[كد تفصيلي]],'درجریان وصول'!A:A,0)),0)</f>
        <v>0</v>
      </c>
      <c r="E69" s="11">
        <f>IFERROR(INDEX('چکهای دریافتنی'!F:F,MATCH(Table222[[#This Row],[كد تفصيلي]],'چکهای دریافتنی'!A:A,0)),0)</f>
        <v>0</v>
      </c>
      <c r="F69" s="11">
        <f>Table222[[#This Row],[حسابهای دریافتنی]]+Table222[[#This Row],[چکهای در جریان وصول]]+Table222[[#This Row],[چکهای نزد صندوق]]</f>
        <v>640100</v>
      </c>
      <c r="G69" s="12">
        <f>IFERROR(INDEX('مانده سوفاله'!F:F,MATCH(Table222[[#This Row],[كد تفصيلي]],'مانده سوفاله'!A:A,0)),0)</f>
        <v>0</v>
      </c>
    </row>
    <row r="70" spans="1:7" ht="23.25" customHeight="1" x14ac:dyDescent="0.35">
      <c r="A70" s="27">
        <v>30109</v>
      </c>
      <c r="B70" s="69" t="s">
        <v>165</v>
      </c>
      <c r="C70" s="10">
        <f>IFERROR(INDEX('حسابهای دریافتنی'!H:H,MATCH(Table222[[#This Row],[كد تفصيلي]],'حسابهای دریافتنی'!A:A,0)),0)</f>
        <v>607300</v>
      </c>
      <c r="D70" s="11">
        <f>IFERROR(INDEX('درجریان وصول'!F:F,MATCH(Table222[[#This Row],[كد تفصيلي]],'درجریان وصول'!A:A,0)),0)</f>
        <v>0</v>
      </c>
      <c r="E70" s="11">
        <f>IFERROR(INDEX('چکهای دریافتنی'!F:F,MATCH(Table222[[#This Row],[كد تفصيلي]],'چکهای دریافتنی'!A:A,0)),0)</f>
        <v>0</v>
      </c>
      <c r="F70" s="11">
        <f>Table222[[#This Row],[حسابهای دریافتنی]]+Table222[[#This Row],[چکهای در جریان وصول]]+Table222[[#This Row],[چکهای نزد صندوق]]</f>
        <v>607300</v>
      </c>
      <c r="G70" s="12">
        <f>IFERROR(INDEX('مانده سوفاله'!F:F,MATCH(Table222[[#This Row],[كد تفصيلي]],'مانده سوفاله'!A:A,0)),0)</f>
        <v>0</v>
      </c>
    </row>
    <row r="71" spans="1:7" ht="23.25" customHeight="1" x14ac:dyDescent="0.35">
      <c r="A71" s="27">
        <v>30010</v>
      </c>
      <c r="B71" s="69" t="s">
        <v>59</v>
      </c>
      <c r="C71" s="10">
        <f>IFERROR(INDEX('حسابهای دریافتنی'!H:H,MATCH(Table222[[#This Row],[كد تفصيلي]],'حسابهای دریافتنی'!A:A,0)),0)</f>
        <v>366215</v>
      </c>
      <c r="D71" s="11">
        <f>IFERROR(INDEX('درجریان وصول'!F:F,MATCH(Table222[[#This Row],[كد تفصيلي]],'درجریان وصول'!A:A,0)),0)</f>
        <v>0</v>
      </c>
      <c r="E71" s="11">
        <f>IFERROR(INDEX('چکهای دریافتنی'!F:F,MATCH(Table222[[#This Row],[كد تفصيلي]],'چکهای دریافتنی'!A:A,0)),0)</f>
        <v>0</v>
      </c>
      <c r="F71" s="11">
        <f>Table222[[#This Row],[حسابهای دریافتنی]]+Table222[[#This Row],[چکهای در جریان وصول]]+Table222[[#This Row],[چکهای نزد صندوق]]</f>
        <v>366215</v>
      </c>
      <c r="G71" s="12">
        <f>IFERROR(INDEX('مانده سوفاله'!F:F,MATCH(Table222[[#This Row],[كد تفصيلي]],'مانده سوفاله'!A:A,0)),0)</f>
        <v>8</v>
      </c>
    </row>
    <row r="72" spans="1:7" ht="23.25" customHeight="1" x14ac:dyDescent="0.35">
      <c r="A72" s="27">
        <v>10092</v>
      </c>
      <c r="B72" s="69" t="s">
        <v>260</v>
      </c>
      <c r="C72" s="10">
        <f>IFERROR(INDEX('حسابهای دریافتنی'!H:H,MATCH(Table222[[#This Row],[كد تفصيلي]],'حسابهای دریافتنی'!A:A,0)),0)</f>
        <v>-1749946500</v>
      </c>
      <c r="D72" s="11">
        <f>IFERROR(INDEX('درجریان وصول'!F:F,MATCH(Table222[[#This Row],[كد تفصيلي]],'درجریان وصول'!A:A,0)),0)</f>
        <v>0</v>
      </c>
      <c r="E72" s="11">
        <f>IFERROR(INDEX('چکهای دریافتنی'!F:F,MATCH(Table222[[#This Row],[كد تفصيلي]],'چکهای دریافتنی'!A:A,0)),0)</f>
        <v>300000000</v>
      </c>
      <c r="F72" s="11">
        <f>Table222[[#This Row],[حسابهای دریافتنی]]+Table222[[#This Row],[چکهای در جریان وصول]]+Table222[[#This Row],[چکهای نزد صندوق]]</f>
        <v>-1449946500</v>
      </c>
      <c r="G72" s="12">
        <f>IFERROR(INDEX('مانده سوفاله'!F:F,MATCH(Table222[[#This Row],[كد تفصيلي]],'مانده سوفاله'!A:A,0)),0)</f>
        <v>0</v>
      </c>
    </row>
    <row r="73" spans="1:7" ht="23.25" customHeight="1" x14ac:dyDescent="0.35">
      <c r="A73" s="27">
        <v>30135</v>
      </c>
      <c r="B73" s="69" t="s">
        <v>179</v>
      </c>
      <c r="C73" s="10">
        <f>IFERROR(INDEX('حسابهای دریافتنی'!H:H,MATCH(Table222[[#This Row],[كد تفصيلي]],'حسابهای دریافتنی'!A:A,0)),0)</f>
        <v>195000</v>
      </c>
      <c r="D73" s="11">
        <f>IFERROR(INDEX('درجریان وصول'!F:F,MATCH(Table222[[#This Row],[كد تفصيلي]],'درجریان وصول'!A:A,0)),0)</f>
        <v>0</v>
      </c>
      <c r="E73" s="11">
        <f>IFERROR(INDEX('چکهای دریافتنی'!F:F,MATCH(Table222[[#This Row],[كد تفصيلي]],'چکهای دریافتنی'!A:A,0)),0)</f>
        <v>0</v>
      </c>
      <c r="F73" s="11">
        <f>Table222[[#This Row],[حسابهای دریافتنی]]+Table222[[#This Row],[چکهای در جریان وصول]]+Table222[[#This Row],[چکهای نزد صندوق]]</f>
        <v>195000</v>
      </c>
      <c r="G73" s="12">
        <f>IFERROR(INDEX('مانده سوفاله'!F:F,MATCH(Table222[[#This Row],[كد تفصيلي]],'مانده سوفاله'!A:A,0)),0)</f>
        <v>-5</v>
      </c>
    </row>
    <row r="74" spans="1:7" ht="23.25" customHeight="1" x14ac:dyDescent="0.35">
      <c r="A74" s="27">
        <v>10088</v>
      </c>
      <c r="B74" s="69" t="s">
        <v>254</v>
      </c>
      <c r="C74" s="10">
        <f>IFERROR(INDEX('حسابهای دریافتنی'!H:H,MATCH(Table222[[#This Row],[كد تفصيلي]],'حسابهای دریافتنی'!A:A,0)),0)</f>
        <v>113500</v>
      </c>
      <c r="D74" s="11">
        <f>IFERROR(INDEX('درجریان وصول'!F:F,MATCH(Table222[[#This Row],[كد تفصيلي]],'درجریان وصول'!A:A,0)),0)</f>
        <v>0</v>
      </c>
      <c r="E74" s="11">
        <f>IFERROR(INDEX('چکهای دریافتنی'!F:F,MATCH(Table222[[#This Row],[كد تفصيلي]],'چکهای دریافتنی'!A:A,0)),0)</f>
        <v>0</v>
      </c>
      <c r="F74" s="11">
        <f>Table222[[#This Row],[حسابهای دریافتنی]]+Table222[[#This Row],[چکهای در جریان وصول]]+Table222[[#This Row],[چکهای نزد صندوق]]</f>
        <v>113500</v>
      </c>
      <c r="G74" s="12">
        <f>IFERROR(INDEX('مانده سوفاله'!F:F,MATCH(Table222[[#This Row],[كد تفصيلي]],'مانده سوفاله'!A:A,0)),0)</f>
        <v>0</v>
      </c>
    </row>
    <row r="75" spans="1:7" ht="23.25" customHeight="1" x14ac:dyDescent="0.35">
      <c r="A75" s="26">
        <v>30124</v>
      </c>
      <c r="B75" s="68" t="s">
        <v>246</v>
      </c>
      <c r="C75" s="10">
        <f>IFERROR(INDEX('حسابهای دریافتنی'!H:H,MATCH(Table222[[#This Row],[كد تفصيلي]],'حسابهای دریافتنی'!A:A,0)),0)</f>
        <v>0</v>
      </c>
      <c r="D75" s="11">
        <f>IFERROR(INDEX('درجریان وصول'!F:F,MATCH(Table222[[#This Row],[كد تفصيلي]],'درجریان وصول'!A:A,0)),0)</f>
        <v>0</v>
      </c>
      <c r="E75" s="11">
        <f>IFERROR(INDEX('چکهای دریافتنی'!F:F,MATCH(Table222[[#This Row],[كد تفصيلي]],'چکهای دریافتنی'!A:A,0)),0)</f>
        <v>505676000</v>
      </c>
      <c r="F75" s="11">
        <f>Table222[[#This Row],[حسابهای دریافتنی]]+Table222[[#This Row],[چکهای در جریان وصول]]+Table222[[#This Row],[چکهای نزد صندوق]]</f>
        <v>505676000</v>
      </c>
      <c r="G75" s="12">
        <f>IFERROR(INDEX('مانده سوفاله'!F:F,MATCH(Table222[[#This Row],[كد تفصيلي]],'مانده سوفاله'!A:A,0)),0)</f>
        <v>1498</v>
      </c>
    </row>
    <row r="76" spans="1:7" ht="23.25" customHeight="1" x14ac:dyDescent="0.35">
      <c r="A76" s="26">
        <v>30019</v>
      </c>
      <c r="B76" s="68" t="s">
        <v>67</v>
      </c>
      <c r="C76" s="10">
        <f>IFERROR(INDEX('حسابهای دریافتنی'!H:H,MATCH(Table222[[#This Row],[كد تفصيلي]],'حسابهای دریافتنی'!A:A,0)),0)</f>
        <v>823484840</v>
      </c>
      <c r="D76" s="11">
        <f>IFERROR(INDEX('درجریان وصول'!F:F,MATCH(Table222[[#This Row],[كد تفصيلي]],'درجریان وصول'!A:A,0)),0)</f>
        <v>0</v>
      </c>
      <c r="E76" s="11">
        <f>IFERROR(INDEX('چکهای دریافتنی'!F:F,MATCH(Table222[[#This Row],[كد تفصيلي]],'چکهای دریافتنی'!A:A,0)),0)</f>
        <v>0</v>
      </c>
      <c r="F76" s="11">
        <f>Table222[[#This Row],[حسابهای دریافتنی]]+Table222[[#This Row],[چکهای در جریان وصول]]+Table222[[#This Row],[چکهای نزد صندوق]]</f>
        <v>823484840</v>
      </c>
      <c r="G76" s="12">
        <f>IFERROR(INDEX('مانده سوفاله'!F:F,MATCH(Table222[[#This Row],[كد تفصيلي]],'مانده سوفاله'!A:A,0)),0)</f>
        <v>612</v>
      </c>
    </row>
    <row r="77" spans="1:7" ht="23.25" customHeight="1" x14ac:dyDescent="0.35">
      <c r="A77" s="27">
        <v>10048</v>
      </c>
      <c r="B77" s="69" t="s">
        <v>191</v>
      </c>
      <c r="C77" s="10">
        <f>IFERROR(INDEX('حسابهای دریافتنی'!H:H,MATCH(Table222[[#This Row],[كد تفصيلي]],'حسابهای دریافتنی'!A:A,0)),0)</f>
        <v>0</v>
      </c>
      <c r="D77" s="11">
        <f>IFERROR(INDEX('درجریان وصول'!F:F,MATCH(Table222[[#This Row],[كد تفصيلي]],'درجریان وصول'!A:A,0)),0)</f>
        <v>0</v>
      </c>
      <c r="E77" s="11">
        <f>IFERROR(INDEX('چکهای دریافتنی'!F:F,MATCH(Table222[[#This Row],[كد تفصيلي]],'چکهای دریافتنی'!A:A,0)),0)</f>
        <v>0</v>
      </c>
      <c r="F77" s="11">
        <f>Table222[[#This Row],[حسابهای دریافتنی]]+Table222[[#This Row],[چکهای در جریان وصول]]+Table222[[#This Row],[چکهای نزد صندوق]]</f>
        <v>0</v>
      </c>
      <c r="G77" s="12">
        <f>IFERROR(INDEX('مانده سوفاله'!F:F,MATCH(Table222[[#This Row],[كد تفصيلي]],'مانده سوفاله'!A:A,0)),0)</f>
        <v>-1097</v>
      </c>
    </row>
    <row r="78" spans="1:7" ht="23.25" customHeight="1" x14ac:dyDescent="0.35">
      <c r="A78" s="27">
        <v>10010</v>
      </c>
      <c r="B78" s="69" t="s">
        <v>17</v>
      </c>
      <c r="C78" s="10">
        <f>IFERROR(INDEX('حسابهای دریافتنی'!H:H,MATCH(Table222[[#This Row],[كد تفصيلي]],'حسابهای دریافتنی'!A:A,0)),0)</f>
        <v>0</v>
      </c>
      <c r="D78" s="11">
        <f>IFERROR(INDEX('درجریان وصول'!F:F,MATCH(Table222[[#This Row],[كد تفصيلي]],'درجریان وصول'!A:A,0)),0)</f>
        <v>0</v>
      </c>
      <c r="E78" s="11">
        <f>IFERROR(INDEX('چکهای دریافتنی'!F:F,MATCH(Table222[[#This Row],[كد تفصيلي]],'چکهای دریافتنی'!A:A,0)),0)</f>
        <v>0</v>
      </c>
      <c r="F78" s="11">
        <f>Table222[[#This Row],[حسابهای دریافتنی]]+Table222[[#This Row],[چکهای در جریان وصول]]+Table222[[#This Row],[چکهای نزد صندوق]]</f>
        <v>0</v>
      </c>
      <c r="G78" s="12">
        <f>IFERROR(INDEX('مانده سوفاله'!F:F,MATCH(Table222[[#This Row],[كد تفصيلي]],'مانده سوفاله'!A:A,0)),0)</f>
        <v>8</v>
      </c>
    </row>
    <row r="79" spans="1:7" ht="23.25" customHeight="1" x14ac:dyDescent="0.35">
      <c r="A79" s="27">
        <v>10014</v>
      </c>
      <c r="B79" s="69" t="s">
        <v>21</v>
      </c>
      <c r="C79" s="10">
        <f>IFERROR(INDEX('حسابهای دریافتنی'!H:H,MATCH(Table222[[#This Row],[كد تفصيلي]],'حسابهای دریافتنی'!A:A,0)),0)</f>
        <v>0</v>
      </c>
      <c r="D79" s="11">
        <f>IFERROR(INDEX('درجریان وصول'!F:F,MATCH(Table222[[#This Row],[كد تفصيلي]],'درجریان وصول'!A:A,0)),0)</f>
        <v>0</v>
      </c>
      <c r="E79" s="11">
        <f>IFERROR(INDEX('چکهای دریافتنی'!F:F,MATCH(Table222[[#This Row],[كد تفصيلي]],'چکهای دریافتنی'!A:A,0)),0)</f>
        <v>0</v>
      </c>
      <c r="F79" s="11">
        <f>Table222[[#This Row],[حسابهای دریافتنی]]+Table222[[#This Row],[چکهای در جریان وصول]]+Table222[[#This Row],[چکهای نزد صندوق]]</f>
        <v>0</v>
      </c>
      <c r="G79" s="12">
        <f>IFERROR(INDEX('مانده سوفاله'!F:F,MATCH(Table222[[#This Row],[كد تفصيلي]],'مانده سوفاله'!A:A,0)),0)</f>
        <v>21</v>
      </c>
    </row>
    <row r="80" spans="1:7" ht="23.25" customHeight="1" x14ac:dyDescent="0.35">
      <c r="A80" s="26">
        <v>10023</v>
      </c>
      <c r="B80" s="68" t="s">
        <v>155</v>
      </c>
      <c r="C80" s="10">
        <f>IFERROR(INDEX('حسابهای دریافتنی'!H:H,MATCH(Table222[[#This Row],[كد تفصيلي]],'حسابهای دریافتنی'!A:A,0)),0)</f>
        <v>0</v>
      </c>
      <c r="D80" s="11">
        <f>IFERROR(INDEX('درجریان وصول'!F:F,MATCH(Table222[[#This Row],[كد تفصيلي]],'درجریان وصول'!A:A,0)),0)</f>
        <v>0</v>
      </c>
      <c r="E80" s="11">
        <f>IFERROR(INDEX('چکهای دریافتنی'!F:F,MATCH(Table222[[#This Row],[كد تفصيلي]],'چکهای دریافتنی'!A:A,0)),0)</f>
        <v>0</v>
      </c>
      <c r="F80" s="11">
        <f>Table222[[#This Row],[حسابهای دریافتنی]]+Table222[[#This Row],[چکهای در جریان وصول]]+Table222[[#This Row],[چکهای نزد صندوق]]</f>
        <v>0</v>
      </c>
      <c r="G80" s="12">
        <f>IFERROR(INDEX('مانده سوفاله'!F:F,MATCH(Table222[[#This Row],[كد تفصيلي]],'مانده سوفاله'!A:A,0)),0)</f>
        <v>6</v>
      </c>
    </row>
    <row r="81" spans="1:7" ht="23.25" customHeight="1" x14ac:dyDescent="0.35">
      <c r="A81" s="26">
        <v>10039</v>
      </c>
      <c r="B81" s="68" t="s">
        <v>45</v>
      </c>
      <c r="C81" s="10">
        <f>IFERROR(INDEX('حسابهای دریافتنی'!H:H,MATCH(Table222[[#This Row],[كد تفصيلي]],'حسابهای دریافتنی'!A:A,0)),0)</f>
        <v>0</v>
      </c>
      <c r="D81" s="11">
        <f>IFERROR(INDEX('درجریان وصول'!F:F,MATCH(Table222[[#This Row],[كد تفصيلي]],'درجریان وصول'!A:A,0)),0)</f>
        <v>0</v>
      </c>
      <c r="E81" s="11">
        <f>IFERROR(INDEX('چکهای دریافتنی'!F:F,MATCH(Table222[[#This Row],[كد تفصيلي]],'چکهای دریافتنی'!A:A,0)),0)</f>
        <v>0</v>
      </c>
      <c r="F81" s="11">
        <f>Table222[[#This Row],[حسابهای دریافتنی]]+Table222[[#This Row],[چکهای در جریان وصول]]+Table222[[#This Row],[چکهای نزد صندوق]]</f>
        <v>0</v>
      </c>
      <c r="G81" s="12">
        <f>IFERROR(INDEX('مانده سوفاله'!F:F,MATCH(Table222[[#This Row],[كد تفصيلي]],'مانده سوفاله'!A:A,0)),0)</f>
        <v>4</v>
      </c>
    </row>
    <row r="82" spans="1:7" customFormat="1" ht="23.25" customHeight="1" x14ac:dyDescent="0.35">
      <c r="A82" s="54">
        <v>10046</v>
      </c>
      <c r="B82" s="69" t="s">
        <v>51</v>
      </c>
      <c r="C82" s="10">
        <f>IFERROR(INDEX('حسابهای دریافتنی'!H:H,MATCH(Table222[[#This Row],[كد تفصيلي]],'حسابهای دریافتنی'!A:A,0)),0)</f>
        <v>0</v>
      </c>
      <c r="D82" s="11">
        <f>IFERROR(INDEX('درجریان وصول'!F:F,MATCH(Table222[[#This Row],[كد تفصيلي]],'درجریان وصول'!A:A,0)),0)</f>
        <v>0</v>
      </c>
      <c r="E82" s="11">
        <f>IFERROR(INDEX('چکهای دریافتنی'!F:F,MATCH(Table222[[#This Row],[كد تفصيلي]],'چکهای دریافتنی'!A:A,0)),0)</f>
        <v>0</v>
      </c>
      <c r="F82" s="11">
        <f>Table222[[#This Row],[حسابهای دریافتنی]]+Table222[[#This Row],[چکهای در جریان وصول]]+Table222[[#This Row],[چکهای نزد صندوق]]</f>
        <v>0</v>
      </c>
      <c r="G82" s="12">
        <f>IFERROR(INDEX('مانده سوفاله'!F:F,MATCH(Table222[[#This Row],[كد تفصيلي]],'مانده سوفاله'!A:A,0)),0)</f>
        <v>118</v>
      </c>
    </row>
    <row r="83" spans="1:7" customFormat="1" ht="23.25" customHeight="1" x14ac:dyDescent="0.35">
      <c r="A83" s="53">
        <v>10065</v>
      </c>
      <c r="B83" s="68" t="s">
        <v>228</v>
      </c>
      <c r="C83" s="10">
        <f>IFERROR(INDEX('حسابهای دریافتنی'!H:H,MATCH(Table222[[#This Row],[كد تفصيلي]],'حسابهای دریافتنی'!A:A,0)),0)</f>
        <v>0</v>
      </c>
      <c r="D83" s="11">
        <f>IFERROR(INDEX('درجریان وصول'!F:F,MATCH(Table222[[#This Row],[كد تفصيلي]],'درجریان وصول'!A:A,0)),0)</f>
        <v>0</v>
      </c>
      <c r="E83" s="11">
        <f>IFERROR(INDEX('چکهای دریافتنی'!F:F,MATCH(Table222[[#This Row],[كد تفصيلي]],'چکهای دریافتنی'!A:A,0)),0)</f>
        <v>0</v>
      </c>
      <c r="F83" s="11">
        <f>Table222[[#This Row],[حسابهای دریافتنی]]+Table222[[#This Row],[چکهای در جریان وصول]]+Table222[[#This Row],[چکهای نزد صندوق]]</f>
        <v>0</v>
      </c>
      <c r="G83" s="12">
        <f>IFERROR(INDEX('مانده سوفاله'!F:F,MATCH(Table222[[#This Row],[كد تفصيلي]],'مانده سوفاله'!A:A,0)),0)</f>
        <v>127</v>
      </c>
    </row>
    <row r="84" spans="1:7" customFormat="1" ht="23.25" customHeight="1" x14ac:dyDescent="0.35">
      <c r="A84" s="54">
        <v>10076</v>
      </c>
      <c r="B84" s="69" t="s">
        <v>182</v>
      </c>
      <c r="C84" s="10">
        <f>IFERROR(INDEX('حسابهای دریافتنی'!H:H,MATCH(Table222[[#This Row],[كد تفصيلي]],'حسابهای دریافتنی'!A:A,0)),0)</f>
        <v>0</v>
      </c>
      <c r="D84" s="11">
        <f>IFERROR(INDEX('درجریان وصول'!F:F,MATCH(Table222[[#This Row],[كد تفصيلي]],'درجریان وصول'!A:A,0)),0)</f>
        <v>0</v>
      </c>
      <c r="E84" s="11">
        <f>IFERROR(INDEX('چکهای دریافتنی'!F:F,MATCH(Table222[[#This Row],[كد تفصيلي]],'چکهای دریافتنی'!A:A,0)),0)</f>
        <v>0</v>
      </c>
      <c r="F84" s="11">
        <f>Table222[[#This Row],[حسابهای دریافتنی]]+Table222[[#This Row],[چکهای در جریان وصول]]+Table222[[#This Row],[چکهای نزد صندوق]]</f>
        <v>0</v>
      </c>
      <c r="G84" s="12">
        <f>IFERROR(INDEX('مانده سوفاله'!F:F,MATCH(Table222[[#This Row],[كد تفصيلي]],'مانده سوفاله'!A:A,0)),0)</f>
        <v>-13</v>
      </c>
    </row>
    <row r="85" spans="1:7" ht="23.25" customHeight="1" x14ac:dyDescent="0.35">
      <c r="A85" s="26">
        <v>30031</v>
      </c>
      <c r="B85" s="68" t="s">
        <v>78</v>
      </c>
      <c r="C85" s="10">
        <f>IFERROR(INDEX('حسابهای دریافتنی'!H:H,MATCH(Table222[[#This Row],[كد تفصيلي]],'حسابهای دریافتنی'!A:A,0)),0)</f>
        <v>0</v>
      </c>
      <c r="D85" s="11">
        <f>IFERROR(INDEX('درجریان وصول'!F:F,MATCH(Table222[[#This Row],[كد تفصيلي]],'درجریان وصول'!A:A,0)),0)</f>
        <v>0</v>
      </c>
      <c r="E85" s="11">
        <f>IFERROR(INDEX('چکهای دریافتنی'!F:F,MATCH(Table222[[#This Row],[كد تفصيلي]],'چکهای دریافتنی'!A:A,0)),0)</f>
        <v>0</v>
      </c>
      <c r="F85" s="11">
        <f>Table222[[#This Row],[حسابهای دریافتنی]]+Table222[[#This Row],[چکهای در جریان وصول]]+Table222[[#This Row],[چکهای نزد صندوق]]</f>
        <v>0</v>
      </c>
      <c r="G85" s="12">
        <f>IFERROR(INDEX('مانده سوفاله'!F:F,MATCH(Table222[[#This Row],[كد تفصيلي]],'مانده سوفاله'!A:A,0)),0)</f>
        <v>-1</v>
      </c>
    </row>
    <row r="86" spans="1:7" ht="23.25" customHeight="1" x14ac:dyDescent="0.35">
      <c r="A86" s="27">
        <v>30055</v>
      </c>
      <c r="B86" s="69" t="s">
        <v>100</v>
      </c>
      <c r="C86" s="10">
        <f>IFERROR(INDEX('حسابهای دریافتنی'!H:H,MATCH(Table222[[#This Row],[كد تفصيلي]],'حسابهای دریافتنی'!A:A,0)),0)</f>
        <v>0</v>
      </c>
      <c r="D86" s="11">
        <f>IFERROR(INDEX('درجریان وصول'!F:F,MATCH(Table222[[#This Row],[كد تفصيلي]],'درجریان وصول'!A:A,0)),0)</f>
        <v>0</v>
      </c>
      <c r="E86" s="11">
        <f>IFERROR(INDEX('چکهای دریافتنی'!F:F,MATCH(Table222[[#This Row],[كد تفصيلي]],'چکهای دریافتنی'!A:A,0)),0)</f>
        <v>0</v>
      </c>
      <c r="F86" s="11">
        <f>Table222[[#This Row],[حسابهای دریافتنی]]+Table222[[#This Row],[چکهای در جریان وصول]]+Table222[[#This Row],[چکهای نزد صندوق]]</f>
        <v>0</v>
      </c>
      <c r="G86" s="12">
        <f>IFERROR(INDEX('مانده سوفاله'!F:F,MATCH(Table222[[#This Row],[كد تفصيلي]],'مانده سوفاله'!A:A,0)),0)</f>
        <v>48</v>
      </c>
    </row>
    <row r="87" spans="1:7" ht="23.25" customHeight="1" x14ac:dyDescent="0.35">
      <c r="A87" s="27">
        <v>30065</v>
      </c>
      <c r="B87" s="69" t="s">
        <v>110</v>
      </c>
      <c r="C87" s="10">
        <f>IFERROR(INDEX('حسابهای دریافتنی'!H:H,MATCH(Table222[[#This Row],[كد تفصيلي]],'حسابهای دریافتنی'!A:A,0)),0)</f>
        <v>0</v>
      </c>
      <c r="D87" s="11">
        <f>IFERROR(INDEX('درجریان وصول'!F:F,MATCH(Table222[[#This Row],[كد تفصيلي]],'درجریان وصول'!A:A,0)),0)</f>
        <v>0</v>
      </c>
      <c r="E87" s="11">
        <f>IFERROR(INDEX('چکهای دریافتنی'!F:F,MATCH(Table222[[#This Row],[كد تفصيلي]],'چکهای دریافتنی'!A:A,0)),0)</f>
        <v>0</v>
      </c>
      <c r="F87" s="11">
        <f>Table222[[#This Row],[حسابهای دریافتنی]]+Table222[[#This Row],[چکهای در جریان وصول]]+Table222[[#This Row],[چکهای نزد صندوق]]</f>
        <v>0</v>
      </c>
      <c r="G87" s="12">
        <f>IFERROR(INDEX('مانده سوفاله'!F:F,MATCH(Table222[[#This Row],[كد تفصيلي]],'مانده سوفاله'!A:A,0)),0)</f>
        <v>33</v>
      </c>
    </row>
    <row r="88" spans="1:7" ht="23.25" customHeight="1" x14ac:dyDescent="0.35">
      <c r="A88" s="27">
        <v>30071</v>
      </c>
      <c r="B88" s="69" t="s">
        <v>116</v>
      </c>
      <c r="C88" s="10">
        <f>IFERROR(INDEX('حسابهای دریافتنی'!H:H,MATCH(Table222[[#This Row],[كد تفصيلي]],'حسابهای دریافتنی'!A:A,0)),0)</f>
        <v>0</v>
      </c>
      <c r="D88" s="11">
        <f>IFERROR(INDEX('درجریان وصول'!F:F,MATCH(Table222[[#This Row],[كد تفصيلي]],'درجریان وصول'!A:A,0)),0)</f>
        <v>0</v>
      </c>
      <c r="E88" s="11">
        <f>IFERROR(INDEX('چکهای دریافتنی'!F:F,MATCH(Table222[[#This Row],[كد تفصيلي]],'چکهای دریافتنی'!A:A,0)),0)</f>
        <v>0</v>
      </c>
      <c r="F88" s="11">
        <f>Table222[[#This Row],[حسابهای دریافتنی]]+Table222[[#This Row],[چکهای در جریان وصول]]+Table222[[#This Row],[چکهای نزد صندوق]]</f>
        <v>0</v>
      </c>
      <c r="G88" s="12">
        <f>IFERROR(INDEX('مانده سوفاله'!F:F,MATCH(Table222[[#This Row],[كد تفصيلي]],'مانده سوفاله'!A:A,0)),0)</f>
        <v>3</v>
      </c>
    </row>
    <row r="89" spans="1:7" ht="23.25" customHeight="1" x14ac:dyDescent="0.35">
      <c r="A89" s="27">
        <v>30079</v>
      </c>
      <c r="B89" s="69" t="s">
        <v>124</v>
      </c>
      <c r="C89" s="10">
        <f>IFERROR(INDEX('حسابهای دریافتنی'!H:H,MATCH(Table222[[#This Row],[كد تفصيلي]],'حسابهای دریافتنی'!A:A,0)),0)</f>
        <v>0</v>
      </c>
      <c r="D89" s="11">
        <f>IFERROR(INDEX('درجریان وصول'!F:F,MATCH(Table222[[#This Row],[كد تفصيلي]],'درجریان وصول'!A:A,0)),0)</f>
        <v>0</v>
      </c>
      <c r="E89" s="11">
        <f>IFERROR(INDEX('چکهای دریافتنی'!F:F,MATCH(Table222[[#This Row],[كد تفصيلي]],'چکهای دریافتنی'!A:A,0)),0)</f>
        <v>0</v>
      </c>
      <c r="F89" s="11">
        <f>Table222[[#This Row],[حسابهای دریافتنی]]+Table222[[#This Row],[چکهای در جریان وصول]]+Table222[[#This Row],[چکهای نزد صندوق]]</f>
        <v>0</v>
      </c>
      <c r="G89" s="12">
        <f>IFERROR(INDEX('مانده سوفاله'!F:F,MATCH(Table222[[#This Row],[كد تفصيلي]],'مانده سوفاله'!A:A,0)),0)</f>
        <v>-85</v>
      </c>
    </row>
    <row r="90" spans="1:7" ht="23.25" customHeight="1" x14ac:dyDescent="0.35">
      <c r="A90" s="27">
        <v>30097</v>
      </c>
      <c r="B90" s="69" t="s">
        <v>188</v>
      </c>
      <c r="C90" s="10">
        <f>IFERROR(INDEX('حسابهای دریافتنی'!H:H,MATCH(Table222[[#This Row],[كد تفصيلي]],'حسابهای دریافتنی'!A:A,0)),0)</f>
        <v>0</v>
      </c>
      <c r="D90" s="11">
        <f>IFERROR(INDEX('درجریان وصول'!F:F,MATCH(Table222[[#This Row],[كد تفصيلي]],'درجریان وصول'!A:A,0)),0)</f>
        <v>0</v>
      </c>
      <c r="E90" s="11">
        <f>IFERROR(INDEX('چکهای دریافتنی'!F:F,MATCH(Table222[[#This Row],[كد تفصيلي]],'چکهای دریافتنی'!A:A,0)),0)</f>
        <v>0</v>
      </c>
      <c r="F90" s="11">
        <f>Table222[[#This Row],[حسابهای دریافتنی]]+Table222[[#This Row],[چکهای در جریان وصول]]+Table222[[#This Row],[چکهای نزد صندوق]]</f>
        <v>0</v>
      </c>
      <c r="G90" s="12">
        <f>IFERROR(INDEX('مانده سوفاله'!F:F,MATCH(Table222[[#This Row],[كد تفصيلي]],'مانده سوفاله'!A:A,0)),0)</f>
        <v>-82</v>
      </c>
    </row>
    <row r="91" spans="1:7" ht="23.25" customHeight="1" x14ac:dyDescent="0.35">
      <c r="A91" s="26">
        <v>30118</v>
      </c>
      <c r="B91" s="68" t="s">
        <v>205</v>
      </c>
      <c r="C91" s="10">
        <f>IFERROR(INDEX('حسابهای دریافتنی'!H:H,MATCH(Table222[[#This Row],[كد تفصيلي]],'حسابهای دریافتنی'!A:A,0)),0)</f>
        <v>0</v>
      </c>
      <c r="D91" s="11">
        <f>IFERROR(INDEX('درجریان وصول'!F:F,MATCH(Table222[[#This Row],[كد تفصيلي]],'درجریان وصول'!A:A,0)),0)</f>
        <v>0</v>
      </c>
      <c r="E91" s="11">
        <f>IFERROR(INDEX('چکهای دریافتنی'!F:F,MATCH(Table222[[#This Row],[كد تفصيلي]],'چکهای دریافتنی'!A:A,0)),0)</f>
        <v>0</v>
      </c>
      <c r="F91" s="11">
        <f>Table222[[#This Row],[حسابهای دریافتنی]]+Table222[[#This Row],[چکهای در جریان وصول]]+Table222[[#This Row],[چکهای نزد صندوق]]</f>
        <v>0</v>
      </c>
      <c r="G91" s="12">
        <f>IFERROR(INDEX('مانده سوفاله'!F:F,MATCH(Table222[[#This Row],[كد تفصيلي]],'مانده سوفاله'!A:A,0)),0)</f>
        <v>-20</v>
      </c>
    </row>
    <row r="92" spans="1:7" ht="23.25" customHeight="1" x14ac:dyDescent="0.35">
      <c r="A92" s="27">
        <v>30137</v>
      </c>
      <c r="B92" s="69" t="s">
        <v>218</v>
      </c>
      <c r="C92" s="10">
        <f>IFERROR(INDEX('حسابهای دریافتنی'!H:H,MATCH(Table222[[#This Row],[كد تفصيلي]],'حسابهای دریافتنی'!A:A,0)),0)</f>
        <v>0</v>
      </c>
      <c r="D92" s="11">
        <f>IFERROR(INDEX('درجریان وصول'!F:F,MATCH(Table222[[#This Row],[كد تفصيلي]],'درجریان وصول'!A:A,0)),0)</f>
        <v>0</v>
      </c>
      <c r="E92" s="11">
        <f>IFERROR(INDEX('چکهای دریافتنی'!F:F,MATCH(Table222[[#This Row],[كد تفصيلي]],'چکهای دریافتنی'!A:A,0)),0)</f>
        <v>213182200</v>
      </c>
      <c r="F92" s="11">
        <f>Table222[[#This Row],[حسابهای دریافتنی]]+Table222[[#This Row],[چکهای در جریان وصول]]+Table222[[#This Row],[چکهای نزد صندوق]]</f>
        <v>213182200</v>
      </c>
      <c r="G92" s="12">
        <f>IFERROR(INDEX('مانده سوفاله'!F:F,MATCH(Table222[[#This Row],[كد تفصيلي]],'مانده سوفاله'!A:A,0)),0)</f>
        <v>0</v>
      </c>
    </row>
    <row r="93" spans="1:7" ht="23.25" customHeight="1" x14ac:dyDescent="0.35">
      <c r="A93" s="27">
        <v>30141</v>
      </c>
      <c r="B93" s="69" t="s">
        <v>261</v>
      </c>
      <c r="C93" s="10">
        <f>IFERROR(INDEX('حسابهای دریافتنی'!H:H,MATCH(Table222[[#This Row],[كد تفصيلي]],'حسابهای دریافتنی'!A:A,0)),0)</f>
        <v>0</v>
      </c>
      <c r="D93" s="11">
        <f>IFERROR(INDEX('درجریان وصول'!F:F,MATCH(Table222[[#This Row],[كد تفصيلي]],'درجریان وصول'!A:A,0)),0)</f>
        <v>0</v>
      </c>
      <c r="E93" s="11">
        <f>IFERROR(INDEX('چکهای دریافتنی'!F:F,MATCH(Table222[[#This Row],[كد تفصيلي]],'چکهای دریافتنی'!A:A,0)),0)</f>
        <v>0</v>
      </c>
      <c r="F93" s="11">
        <f>Table222[[#This Row],[حسابهای دریافتنی]]+Table222[[#This Row],[چکهای در جریان وصول]]+Table222[[#This Row],[چکهای نزد صندوق]]</f>
        <v>0</v>
      </c>
      <c r="G93" s="12">
        <f>IFERROR(INDEX('مانده سوفاله'!F:F,MATCH(Table222[[#This Row],[كد تفصيلي]],'مانده سوفاله'!A:A,0)),0)</f>
        <v>-42</v>
      </c>
    </row>
    <row r="94" spans="1:7" ht="23.25" customHeight="1" x14ac:dyDescent="0.35">
      <c r="A94" s="26">
        <v>30142</v>
      </c>
      <c r="B94" s="68" t="s">
        <v>263</v>
      </c>
      <c r="C94" s="10">
        <f>IFERROR(INDEX('حسابهای دریافتنی'!H:H,MATCH(Table222[[#This Row],[كد تفصيلي]],'حسابهای دریافتنی'!A:A,0)),0)</f>
        <v>0</v>
      </c>
      <c r="D94" s="11">
        <f>IFERROR(INDEX('درجریان وصول'!F:F,MATCH(Table222[[#This Row],[كد تفصيلي]],'درجریان وصول'!A:A,0)),0)</f>
        <v>0</v>
      </c>
      <c r="E94" s="11">
        <f>IFERROR(INDEX('چکهای دریافتنی'!F:F,MATCH(Table222[[#This Row],[كد تفصيلي]],'چکهای دریافتنی'!A:A,0)),0)</f>
        <v>0</v>
      </c>
      <c r="F94" s="11">
        <f>Table222[[#This Row],[حسابهای دریافتنی]]+Table222[[#This Row],[چکهای در جریان وصول]]+Table222[[#This Row],[چکهای نزد صندوق]]</f>
        <v>0</v>
      </c>
      <c r="G94" s="12">
        <f>IFERROR(INDEX('مانده سوفاله'!F:F,MATCH(Table222[[#This Row],[كد تفصيلي]],'مانده سوفاله'!A:A,0)),0)</f>
        <v>13</v>
      </c>
    </row>
    <row r="95" spans="1:7" ht="23.25" customHeight="1" x14ac:dyDescent="0.35">
      <c r="A95" s="26">
        <v>30160</v>
      </c>
      <c r="B95" s="68" t="s">
        <v>296</v>
      </c>
      <c r="C95" s="10">
        <f>IFERROR(INDEX('حسابهای دریافتنی'!H:H,MATCH(Table222[[#This Row],[كد تفصيلي]],'حسابهای دریافتنی'!A:A,0)),0)</f>
        <v>0</v>
      </c>
      <c r="D95" s="11">
        <f>IFERROR(INDEX('درجریان وصول'!F:F,MATCH(Table222[[#This Row],[كد تفصيلي]],'درجریان وصول'!A:A,0)),0)</f>
        <v>0</v>
      </c>
      <c r="E95" s="11">
        <f>IFERROR(INDEX('چکهای دریافتنی'!F:F,MATCH(Table222[[#This Row],[كد تفصيلي]],'چکهای دریافتنی'!A:A,0)),0)</f>
        <v>0</v>
      </c>
      <c r="F95" s="11">
        <f>Table222[[#This Row],[حسابهای دریافتنی]]+Table222[[#This Row],[چکهای در جریان وصول]]+Table222[[#This Row],[چکهای نزد صندوق]]</f>
        <v>0</v>
      </c>
      <c r="G95" s="12">
        <f>IFERROR(INDEX('مانده سوفاله'!F:F,MATCH(Table222[[#This Row],[كد تفصيلي]],'مانده سوفاله'!A:A,0)),0)</f>
        <v>-425</v>
      </c>
    </row>
    <row r="96" spans="1:7" ht="23.25" customHeight="1" x14ac:dyDescent="0.35">
      <c r="A96" s="27">
        <v>79010</v>
      </c>
      <c r="B96" s="69" t="s">
        <v>176</v>
      </c>
      <c r="C96" s="10">
        <f>IFERROR(INDEX('حسابهای دریافتنی'!H:H,MATCH(Table222[[#This Row],[كد تفصيلي]],'حسابهای دریافتنی'!A:A,0)),0)</f>
        <v>0</v>
      </c>
      <c r="D96" s="11">
        <f>IFERROR(INDEX('درجریان وصول'!F:F,MATCH(Table222[[#This Row],[كد تفصيلي]],'درجریان وصول'!A:A,0)),0)</f>
        <v>0</v>
      </c>
      <c r="E96" s="11">
        <f>IFERROR(INDEX('چکهای دریافتنی'!F:F,MATCH(Table222[[#This Row],[كد تفصيلي]],'چکهای دریافتنی'!A:A,0)),0)</f>
        <v>0</v>
      </c>
      <c r="F96" s="11">
        <f>Table222[[#This Row],[حسابهای دریافتنی]]+Table222[[#This Row],[چکهای در جریان وصول]]+Table222[[#This Row],[چکهای نزد صندوق]]</f>
        <v>0</v>
      </c>
      <c r="G96" s="12">
        <f>IFERROR(INDEX('مانده سوفاله'!F:F,MATCH(Table222[[#This Row],[كد تفصيلي]],'مانده سوفاله'!A:A,0)),0)</f>
        <v>-110</v>
      </c>
    </row>
    <row r="97" spans="1:7" ht="23.25" customHeight="1" x14ac:dyDescent="0.35">
      <c r="A97" s="26">
        <v>30174</v>
      </c>
      <c r="B97" s="68" t="s">
        <v>327</v>
      </c>
      <c r="C97" s="10">
        <f>IFERROR(INDEX('حسابهای دریافتنی'!H:H,MATCH(Table222[[#This Row],[كد تفصيلي]],'حسابهای دریافتنی'!A:A,0)),0)</f>
        <v>-5000</v>
      </c>
      <c r="D97" s="11">
        <f>IFERROR(INDEX('درجریان وصول'!F:F,MATCH(Table222[[#This Row],[كد تفصيلي]],'درجریان وصول'!A:A,0)),0)</f>
        <v>0</v>
      </c>
      <c r="E97" s="11">
        <f>IFERROR(INDEX('چکهای دریافتنی'!F:F,MATCH(Table222[[#This Row],[كد تفصيلي]],'چکهای دریافتنی'!A:A,0)),0)</f>
        <v>0</v>
      </c>
      <c r="F97" s="11">
        <f>Table222[[#This Row],[حسابهای دریافتنی]]+Table222[[#This Row],[چکهای در جریان وصول]]+Table222[[#This Row],[چکهای نزد صندوق]]</f>
        <v>-5000</v>
      </c>
      <c r="G97" s="12">
        <f>IFERROR(INDEX('مانده سوفاله'!F:F,MATCH(Table222[[#This Row],[كد تفصيلي]],'مانده سوفاله'!A:A,0)),0)</f>
        <v>0</v>
      </c>
    </row>
    <row r="98" spans="1:7" ht="23.25" customHeight="1" x14ac:dyDescent="0.35">
      <c r="A98" s="27">
        <v>30195</v>
      </c>
      <c r="B98" s="69" t="s">
        <v>477</v>
      </c>
      <c r="C98" s="10">
        <f>IFERROR(INDEX('حسابهای دریافتنی'!H:H,MATCH(Table222[[#This Row],[كد تفصيلي]],'حسابهای دریافتنی'!A:A,0)),0)</f>
        <v>-1861000</v>
      </c>
      <c r="D98" s="11">
        <f>IFERROR(INDEX('درجریان وصول'!F:F,MATCH(Table222[[#This Row],[كد تفصيلي]],'درجریان وصول'!A:A,0)),0)</f>
        <v>0</v>
      </c>
      <c r="E98" s="11">
        <f>IFERROR(INDEX('چکهای دریافتنی'!F:F,MATCH(Table222[[#This Row],[كد تفصيلي]],'چکهای دریافتنی'!A:A,0)),0)</f>
        <v>0</v>
      </c>
      <c r="F98" s="11">
        <f>Table222[[#This Row],[حسابهای دریافتنی]]+Table222[[#This Row],[چکهای در جریان وصول]]+Table222[[#This Row],[چکهای نزد صندوق]]</f>
        <v>-1861000</v>
      </c>
      <c r="G98" s="12">
        <f>IFERROR(INDEX('مانده سوفاله'!F:F,MATCH(Table222[[#This Row],[كد تفصيلي]],'مانده سوفاله'!A:A,0)),0)</f>
        <v>0</v>
      </c>
    </row>
    <row r="99" spans="1:7" ht="23.25" customHeight="1" x14ac:dyDescent="0.35">
      <c r="A99" s="27">
        <v>30026</v>
      </c>
      <c r="B99" s="69" t="s">
        <v>74</v>
      </c>
      <c r="C99" s="10">
        <f>IFERROR(INDEX('حسابهای دریافتنی'!H:H,MATCH(Table222[[#This Row],[كد تفصيلي]],'حسابهای دریافتنی'!A:A,0)),0)</f>
        <v>5689439</v>
      </c>
      <c r="D99" s="11">
        <f>IFERROR(INDEX('درجریان وصول'!F:F,MATCH(Table222[[#This Row],[كد تفصيلي]],'درجریان وصول'!A:A,0)),0)</f>
        <v>0</v>
      </c>
      <c r="E99" s="11">
        <f>IFERROR(INDEX('چکهای دریافتنی'!F:F,MATCH(Table222[[#This Row],[كد تفصيلي]],'چکهای دریافتنی'!A:A,0)),0)</f>
        <v>0</v>
      </c>
      <c r="F99" s="11">
        <f>Table222[[#This Row],[حسابهای دریافتنی]]+Table222[[#This Row],[چکهای در جریان وصول]]+Table222[[#This Row],[چکهای نزد صندوق]]</f>
        <v>5689439</v>
      </c>
      <c r="G99" s="12">
        <f>IFERROR(INDEX('مانده سوفاله'!F:F,MATCH(Table222[[#This Row],[كد تفصيلي]],'مانده سوفاله'!A:A,0)),0)</f>
        <v>764</v>
      </c>
    </row>
    <row r="100" spans="1:7" ht="23.25" customHeight="1" x14ac:dyDescent="0.35">
      <c r="A100" s="27">
        <v>10133</v>
      </c>
      <c r="B100" s="69" t="s">
        <v>509</v>
      </c>
      <c r="C100" s="10">
        <f>IFERROR(INDEX('حسابهای دریافتنی'!H:H,MATCH(Table222[[#This Row],[كد تفصيلي]],'حسابهای دریافتنی'!A:A,0)),0)</f>
        <v>-1249039000</v>
      </c>
      <c r="D100" s="11">
        <f>IFERROR(INDEX('درجریان وصول'!F:F,MATCH(Table222[[#This Row],[كد تفصيلي]],'درجریان وصول'!A:A,0)),0)</f>
        <v>0</v>
      </c>
      <c r="E100" s="11">
        <f>IFERROR(INDEX('چکهای دریافتنی'!F:F,MATCH(Table222[[#This Row],[كد تفصيلي]],'چکهای دریافتنی'!A:A,0)),0)</f>
        <v>0</v>
      </c>
      <c r="F100" s="11">
        <f>Table222[[#This Row],[حسابهای دریافتنی]]+Table222[[#This Row],[چکهای در جریان وصول]]+Table222[[#This Row],[چکهای نزد صندوق]]</f>
        <v>-1249039000</v>
      </c>
      <c r="G100" s="12">
        <f>IFERROR(INDEX('مانده سوفاله'!F:F,MATCH(Table222[[#This Row],[كد تفصيلي]],'مانده سوفاله'!A:A,0)),0)</f>
        <v>0</v>
      </c>
    </row>
    <row r="101" spans="1:7" ht="23.25" customHeight="1" x14ac:dyDescent="0.35">
      <c r="A101" s="27">
        <v>10109</v>
      </c>
      <c r="B101" s="69" t="s">
        <v>303</v>
      </c>
      <c r="C101" s="10">
        <f>IFERROR(INDEX('حسابهای دریافتنی'!H:H,MATCH(Table222[[#This Row],[كد تفصيلي]],'حسابهای دریافتنی'!A:A,0)),0)</f>
        <v>-1124737000</v>
      </c>
      <c r="D101" s="11">
        <f>IFERROR(INDEX('درجریان وصول'!F:F,MATCH(Table222[[#This Row],[كد تفصيلي]],'درجریان وصول'!A:A,0)),0)</f>
        <v>0</v>
      </c>
      <c r="E101" s="11">
        <f>IFERROR(INDEX('چکهای دریافتنی'!F:F,MATCH(Table222[[#This Row],[كد تفصيلي]],'چکهای دریافتنی'!A:A,0)),0)</f>
        <v>0</v>
      </c>
      <c r="F101" s="11">
        <f>Table222[[#This Row],[حسابهای دریافتنی]]+Table222[[#This Row],[چکهای در جریان وصول]]+Table222[[#This Row],[چکهای نزد صندوق]]</f>
        <v>-1124737000</v>
      </c>
      <c r="G101" s="12">
        <f>IFERROR(INDEX('مانده سوفاله'!F:F,MATCH(Table222[[#This Row],[كد تفصيلي]],'مانده سوفاله'!A:A,0)),0)</f>
        <v>-241</v>
      </c>
    </row>
    <row r="102" spans="1:7" ht="23.25" customHeight="1" x14ac:dyDescent="0.35">
      <c r="A102" s="26">
        <v>30021</v>
      </c>
      <c r="B102" s="68" t="s">
        <v>69</v>
      </c>
      <c r="C102" s="10">
        <f>IFERROR(INDEX('حسابهای دریافتنی'!H:H,MATCH(Table222[[#This Row],[كد تفصيلي]],'حسابهای دریافتنی'!A:A,0)),0)</f>
        <v>-122000</v>
      </c>
      <c r="D102" s="11">
        <f>IFERROR(INDEX('درجریان وصول'!F:F,MATCH(Table222[[#This Row],[كد تفصيلي]],'درجریان وصول'!A:A,0)),0)</f>
        <v>0</v>
      </c>
      <c r="E102" s="11">
        <f>IFERROR(INDEX('چکهای دریافتنی'!F:F,MATCH(Table222[[#This Row],[كد تفصيلي]],'چکهای دریافتنی'!A:A,0)),0)</f>
        <v>0</v>
      </c>
      <c r="F102" s="11">
        <f>Table222[[#This Row],[حسابهای دریافتنی]]+Table222[[#This Row],[چکهای در جریان وصول]]+Table222[[#This Row],[چکهای نزد صندوق]]</f>
        <v>-122000</v>
      </c>
      <c r="G102" s="12">
        <f>IFERROR(INDEX('مانده سوفاله'!F:F,MATCH(Table222[[#This Row],[كد تفصيلي]],'مانده سوفاله'!A:A,0)),0)</f>
        <v>0</v>
      </c>
    </row>
    <row r="103" spans="1:7" ht="23.25" customHeight="1" x14ac:dyDescent="0.35">
      <c r="A103" s="27">
        <v>10066</v>
      </c>
      <c r="B103" s="69" t="s">
        <v>262</v>
      </c>
      <c r="C103" s="10">
        <f>IFERROR(INDEX('حسابهای دریافتنی'!H:H,MATCH(Table222[[#This Row],[كد تفصيلي]],'حسابهای دریافتنی'!A:A,0)),0)</f>
        <v>-191500</v>
      </c>
      <c r="D103" s="11">
        <f>IFERROR(INDEX('درجریان وصول'!F:F,MATCH(Table222[[#This Row],[كد تفصيلي]],'درجریان وصول'!A:A,0)),0)</f>
        <v>0</v>
      </c>
      <c r="E103" s="11">
        <f>IFERROR(INDEX('چکهای دریافتنی'!F:F,MATCH(Table222[[#This Row],[كد تفصيلي]],'چکهای دریافتنی'!A:A,0)),0)</f>
        <v>0</v>
      </c>
      <c r="F103" s="11">
        <f>Table222[[#This Row],[حسابهای دریافتنی]]+Table222[[#This Row],[چکهای در جریان وصول]]+Table222[[#This Row],[چکهای نزد صندوق]]</f>
        <v>-191500</v>
      </c>
      <c r="G103" s="12">
        <f>IFERROR(INDEX('مانده سوفاله'!F:F,MATCH(Table222[[#This Row],[كد تفصيلي]],'مانده سوفاله'!A:A,0)),0)</f>
        <v>2</v>
      </c>
    </row>
    <row r="104" spans="1:7" ht="23.25" customHeight="1" x14ac:dyDescent="0.35">
      <c r="A104" s="27">
        <v>30167</v>
      </c>
      <c r="B104" s="69" t="s">
        <v>311</v>
      </c>
      <c r="C104" s="10">
        <f>IFERROR(INDEX('حسابهای دریافتنی'!H:H,MATCH(Table222[[#This Row],[كد تفصيلي]],'حسابهای دریافتنی'!A:A,0)),0)</f>
        <v>-221000</v>
      </c>
      <c r="D104" s="11">
        <f>IFERROR(INDEX('درجریان وصول'!F:F,MATCH(Table222[[#This Row],[كد تفصيلي]],'درجریان وصول'!A:A,0)),0)</f>
        <v>0</v>
      </c>
      <c r="E104" s="11">
        <f>IFERROR(INDEX('چکهای دریافتنی'!F:F,MATCH(Table222[[#This Row],[كد تفصيلي]],'چکهای دریافتنی'!A:A,0)),0)</f>
        <v>0</v>
      </c>
      <c r="F104" s="11">
        <f>Table222[[#This Row],[حسابهای دریافتنی]]+Table222[[#This Row],[چکهای در جریان وصول]]+Table222[[#This Row],[چکهای نزد صندوق]]</f>
        <v>-221000</v>
      </c>
      <c r="G104" s="12">
        <f>IFERROR(INDEX('مانده سوفاله'!F:F,MATCH(Table222[[#This Row],[كد تفصيلي]],'مانده سوفاله'!A:A,0)),0)</f>
        <v>6</v>
      </c>
    </row>
    <row r="105" spans="1:7" ht="23.25" customHeight="1" x14ac:dyDescent="0.35">
      <c r="A105" s="26">
        <v>10077</v>
      </c>
      <c r="B105" s="68" t="s">
        <v>210</v>
      </c>
      <c r="C105" s="10">
        <f>IFERROR(INDEX('حسابهای دریافتنی'!H:H,MATCH(Table222[[#This Row],[كد تفصيلي]],'حسابهای دریافتنی'!A:A,0)),0)</f>
        <v>-238500</v>
      </c>
      <c r="D105" s="11">
        <f>IFERROR(INDEX('درجریان وصول'!F:F,MATCH(Table222[[#This Row],[كد تفصيلي]],'درجریان وصول'!A:A,0)),0)</f>
        <v>0</v>
      </c>
      <c r="E105" s="11">
        <f>IFERROR(INDEX('چکهای دریافتنی'!F:F,MATCH(Table222[[#This Row],[كد تفصيلي]],'چکهای دریافتنی'!A:A,0)),0)</f>
        <v>0</v>
      </c>
      <c r="F105" s="11">
        <f>Table222[[#This Row],[حسابهای دریافتنی]]+Table222[[#This Row],[چکهای در جریان وصول]]+Table222[[#This Row],[چکهای نزد صندوق]]</f>
        <v>-238500</v>
      </c>
      <c r="G105" s="12">
        <f>IFERROR(INDEX('مانده سوفاله'!F:F,MATCH(Table222[[#This Row],[كد تفصيلي]],'مانده سوفاله'!A:A,0)),0)</f>
        <v>0</v>
      </c>
    </row>
    <row r="106" spans="1:7" ht="23.25" customHeight="1" x14ac:dyDescent="0.35">
      <c r="A106" s="27">
        <v>10012</v>
      </c>
      <c r="B106" s="69" t="s">
        <v>19</v>
      </c>
      <c r="C106" s="10">
        <f>IFERROR(INDEX('حسابهای دریافتنی'!H:H,MATCH(Table222[[#This Row],[كد تفصيلي]],'حسابهای دریافتنی'!A:A,0)),0)</f>
        <v>-244000</v>
      </c>
      <c r="D106" s="11">
        <f>IFERROR(INDEX('درجریان وصول'!F:F,MATCH(Table222[[#This Row],[كد تفصيلي]],'درجریان وصول'!A:A,0)),0)</f>
        <v>0</v>
      </c>
      <c r="E106" s="11">
        <f>IFERROR(INDEX('چکهای دریافتنی'!F:F,MATCH(Table222[[#This Row],[كد تفصيلي]],'چکهای دریافتنی'!A:A,0)),0)</f>
        <v>0</v>
      </c>
      <c r="F106" s="11">
        <f>Table222[[#This Row],[حسابهای دریافتنی]]+Table222[[#This Row],[چکهای در جریان وصول]]+Table222[[#This Row],[چکهای نزد صندوق]]</f>
        <v>-244000</v>
      </c>
      <c r="G106" s="12">
        <f>IFERROR(INDEX('مانده سوفاله'!F:F,MATCH(Table222[[#This Row],[كد تفصيلي]],'مانده سوفاله'!A:A,0)),0)</f>
        <v>0</v>
      </c>
    </row>
    <row r="107" spans="1:7" ht="23.25" customHeight="1" x14ac:dyDescent="0.35">
      <c r="A107" s="26">
        <v>30088</v>
      </c>
      <c r="B107" s="68" t="s">
        <v>142</v>
      </c>
      <c r="C107" s="10">
        <f>IFERROR(INDEX('حسابهای دریافتنی'!H:H,MATCH(Table222[[#This Row],[كد تفصيلي]],'حسابهای دریافتنی'!A:A,0)),0)</f>
        <v>-252000</v>
      </c>
      <c r="D107" s="11">
        <f>IFERROR(INDEX('درجریان وصول'!F:F,MATCH(Table222[[#This Row],[كد تفصيلي]],'درجریان وصول'!A:A,0)),0)</f>
        <v>0</v>
      </c>
      <c r="E107" s="11">
        <f>IFERROR(INDEX('چکهای دریافتنی'!F:F,MATCH(Table222[[#This Row],[كد تفصيلي]],'چکهای دریافتنی'!A:A,0)),0)</f>
        <v>0</v>
      </c>
      <c r="F107" s="11">
        <f>Table222[[#This Row],[حسابهای دریافتنی]]+Table222[[#This Row],[چکهای در جریان وصول]]+Table222[[#This Row],[چکهای نزد صندوق]]</f>
        <v>-252000</v>
      </c>
      <c r="G107" s="12">
        <f>IFERROR(INDEX('مانده سوفاله'!F:F,MATCH(Table222[[#This Row],[كد تفصيلي]],'مانده سوفاله'!A:A,0)),0)</f>
        <v>0</v>
      </c>
    </row>
    <row r="108" spans="1:7" ht="23.25" customHeight="1" x14ac:dyDescent="0.35">
      <c r="A108" s="26">
        <v>10045</v>
      </c>
      <c r="B108" s="68" t="s">
        <v>50</v>
      </c>
      <c r="C108" s="10">
        <f>IFERROR(INDEX('حسابهای دریافتنی'!H:H,MATCH(Table222[[#This Row],[كد تفصيلي]],'حسابهای دریافتنی'!A:A,0)),0)</f>
        <v>-383000</v>
      </c>
      <c r="D108" s="11">
        <f>IFERROR(INDEX('درجریان وصول'!F:F,MATCH(Table222[[#This Row],[كد تفصيلي]],'درجریان وصول'!A:A,0)),0)</f>
        <v>0</v>
      </c>
      <c r="E108" s="11">
        <f>IFERROR(INDEX('چکهای دریافتنی'!F:F,MATCH(Table222[[#This Row],[كد تفصيلي]],'چکهای دریافتنی'!A:A,0)),0)</f>
        <v>0</v>
      </c>
      <c r="F108" s="11">
        <f>Table222[[#This Row],[حسابهای دریافتنی]]+Table222[[#This Row],[چکهای در جریان وصول]]+Table222[[#This Row],[چکهای نزد صندوق]]</f>
        <v>-383000</v>
      </c>
      <c r="G108" s="12">
        <f>IFERROR(INDEX('مانده سوفاله'!F:F,MATCH(Table222[[#This Row],[كد تفصيلي]],'مانده سوفاله'!A:A,0)),0)</f>
        <v>-30</v>
      </c>
    </row>
    <row r="109" spans="1:7" ht="23.25" customHeight="1" x14ac:dyDescent="0.35">
      <c r="A109" s="26">
        <v>30051</v>
      </c>
      <c r="B109" s="68" t="s">
        <v>98</v>
      </c>
      <c r="C109" s="10">
        <f>IFERROR(INDEX('حسابهای دریافتنی'!H:H,MATCH(Table222[[#This Row],[كد تفصيلي]],'حسابهای دریافتنی'!A:A,0)),0)</f>
        <v>-384000</v>
      </c>
      <c r="D109" s="11">
        <f>IFERROR(INDEX('درجریان وصول'!F:F,MATCH(Table222[[#This Row],[كد تفصيلي]],'درجریان وصول'!A:A,0)),0)</f>
        <v>0</v>
      </c>
      <c r="E109" s="11">
        <f>IFERROR(INDEX('چکهای دریافتنی'!F:F,MATCH(Table222[[#This Row],[كد تفصيلي]],'چکهای دریافتنی'!A:A,0)),0)</f>
        <v>0</v>
      </c>
      <c r="F109" s="11">
        <f>Table222[[#This Row],[حسابهای دریافتنی]]+Table222[[#This Row],[چکهای در جریان وصول]]+Table222[[#This Row],[چکهای نزد صندوق]]</f>
        <v>-384000</v>
      </c>
      <c r="G109" s="12">
        <f>IFERROR(INDEX('مانده سوفاله'!F:F,MATCH(Table222[[#This Row],[كد تفصيلي]],'مانده سوفاله'!A:A,0)),0)</f>
        <v>0</v>
      </c>
    </row>
    <row r="110" spans="1:7" ht="23.25" customHeight="1" x14ac:dyDescent="0.35">
      <c r="A110" s="27">
        <v>30044</v>
      </c>
      <c r="B110" s="69" t="s">
        <v>91</v>
      </c>
      <c r="C110" s="10">
        <f>IFERROR(INDEX('حسابهای دریافتنی'!H:H,MATCH(Table222[[#This Row],[كد تفصيلي]],'حسابهای دریافتنی'!A:A,0)),0)</f>
        <v>-492500</v>
      </c>
      <c r="D110" s="11">
        <f>IFERROR(INDEX('درجریان وصول'!F:F,MATCH(Table222[[#This Row],[كد تفصيلي]],'درجریان وصول'!A:A,0)),0)</f>
        <v>0</v>
      </c>
      <c r="E110" s="11">
        <f>IFERROR(INDEX('چکهای دریافتنی'!F:F,MATCH(Table222[[#This Row],[كد تفصيلي]],'چکهای دریافتنی'!A:A,0)),0)</f>
        <v>0</v>
      </c>
      <c r="F110" s="11">
        <f>Table222[[#This Row],[حسابهای دریافتنی]]+Table222[[#This Row],[چکهای در جریان وصول]]+Table222[[#This Row],[چکهای نزد صندوق]]</f>
        <v>-492500</v>
      </c>
      <c r="G110" s="12">
        <f>IFERROR(INDEX('مانده سوفاله'!F:F,MATCH(Table222[[#This Row],[كد تفصيلي]],'مانده سوفاله'!A:A,0)),0)</f>
        <v>2</v>
      </c>
    </row>
    <row r="111" spans="1:7" ht="23.25" customHeight="1" x14ac:dyDescent="0.35">
      <c r="A111" s="26">
        <v>10095</v>
      </c>
      <c r="B111" s="68" t="s">
        <v>268</v>
      </c>
      <c r="C111" s="10">
        <f>IFERROR(INDEX('حسابهای دریافتنی'!H:H,MATCH(Table222[[#This Row],[كد تفصيلي]],'حسابهای دریافتنی'!A:A,0)),0)</f>
        <v>-496500</v>
      </c>
      <c r="D111" s="11">
        <f>IFERROR(INDEX('درجریان وصول'!F:F,MATCH(Table222[[#This Row],[كد تفصيلي]],'درجریان وصول'!A:A,0)),0)</f>
        <v>0</v>
      </c>
      <c r="E111" s="11">
        <f>IFERROR(INDEX('چکهای دریافتنی'!F:F,MATCH(Table222[[#This Row],[كد تفصيلي]],'چکهای دریافتنی'!A:A,0)),0)</f>
        <v>0</v>
      </c>
      <c r="F111" s="11">
        <f>Table222[[#This Row],[حسابهای دریافتنی]]+Table222[[#This Row],[چکهای در جریان وصول]]+Table222[[#This Row],[چکهای نزد صندوق]]</f>
        <v>-496500</v>
      </c>
      <c r="G111" s="12">
        <f>IFERROR(INDEX('مانده سوفاله'!F:F,MATCH(Table222[[#This Row],[كد تفصيلي]],'مانده سوفاله'!A:A,0)),0)</f>
        <v>0</v>
      </c>
    </row>
    <row r="112" spans="1:7" ht="23.25" customHeight="1" x14ac:dyDescent="0.35">
      <c r="A112" s="27">
        <v>30052</v>
      </c>
      <c r="B112" s="69" t="s">
        <v>149</v>
      </c>
      <c r="C112" s="10">
        <f>IFERROR(INDEX('حسابهای دریافتنی'!H:H,MATCH(Table222[[#This Row],[كد تفصيلي]],'حسابهای دریافتنی'!A:A,0)),0)</f>
        <v>-539000</v>
      </c>
      <c r="D112" s="11">
        <f>IFERROR(INDEX('درجریان وصول'!F:F,MATCH(Table222[[#This Row],[كد تفصيلي]],'درجریان وصول'!A:A,0)),0)</f>
        <v>0</v>
      </c>
      <c r="E112" s="11">
        <f>IFERROR(INDEX('چکهای دریافتنی'!F:F,MATCH(Table222[[#This Row],[كد تفصيلي]],'چکهای دریافتنی'!A:A,0)),0)</f>
        <v>0</v>
      </c>
      <c r="F112" s="11">
        <f>Table222[[#This Row],[حسابهای دریافتنی]]+Table222[[#This Row],[چکهای در جریان وصول]]+Table222[[#This Row],[چکهای نزد صندوق]]</f>
        <v>-539000</v>
      </c>
      <c r="G112" s="12">
        <f>IFERROR(INDEX('مانده سوفاله'!F:F,MATCH(Table222[[#This Row],[كد تفصيلي]],'مانده سوفاله'!A:A,0)),0)</f>
        <v>0</v>
      </c>
    </row>
    <row r="113" spans="1:7" ht="23.25" customHeight="1" x14ac:dyDescent="0.35">
      <c r="A113" s="26">
        <v>10061</v>
      </c>
      <c r="B113" s="68" t="s">
        <v>194</v>
      </c>
      <c r="C113" s="10">
        <f>IFERROR(INDEX('حسابهای دریافتنی'!H:H,MATCH(Table222[[#This Row],[كد تفصيلي]],'حسابهای دریافتنی'!A:A,0)),0)</f>
        <v>-565500</v>
      </c>
      <c r="D113" s="11">
        <f>IFERROR(INDEX('درجریان وصول'!F:F,MATCH(Table222[[#This Row],[كد تفصيلي]],'درجریان وصول'!A:A,0)),0)</f>
        <v>0</v>
      </c>
      <c r="E113" s="11">
        <f>IFERROR(INDEX('چکهای دریافتنی'!F:F,MATCH(Table222[[#This Row],[كد تفصيلي]],'چکهای دریافتنی'!A:A,0)),0)</f>
        <v>0</v>
      </c>
      <c r="F113" s="11">
        <f>Table222[[#This Row],[حسابهای دریافتنی]]+Table222[[#This Row],[چکهای در جریان وصول]]+Table222[[#This Row],[چکهای نزد صندوق]]</f>
        <v>-565500</v>
      </c>
      <c r="G113" s="12">
        <f>IFERROR(INDEX('مانده سوفاله'!F:F,MATCH(Table222[[#This Row],[كد تفصيلي]],'مانده سوفاله'!A:A,0)),0)</f>
        <v>0</v>
      </c>
    </row>
    <row r="114" spans="1:7" ht="23.25" customHeight="1" x14ac:dyDescent="0.35">
      <c r="A114" s="26">
        <v>10118</v>
      </c>
      <c r="B114" s="68" t="s">
        <v>334</v>
      </c>
      <c r="C114" s="10">
        <f>IFERROR(INDEX('حسابهای دریافتنی'!H:H,MATCH(Table222[[#This Row],[كد تفصيلي]],'حسابهای دریافتنی'!A:A,0)),0)</f>
        <v>-587500</v>
      </c>
      <c r="D114" s="11">
        <f>IFERROR(INDEX('درجریان وصول'!F:F,MATCH(Table222[[#This Row],[كد تفصيلي]],'درجریان وصول'!A:A,0)),0)</f>
        <v>0</v>
      </c>
      <c r="E114" s="11">
        <f>IFERROR(INDEX('چکهای دریافتنی'!F:F,MATCH(Table222[[#This Row],[كد تفصيلي]],'چکهای دریافتنی'!A:A,0)),0)</f>
        <v>0</v>
      </c>
      <c r="F114" s="11">
        <f>Table222[[#This Row],[حسابهای دریافتنی]]+Table222[[#This Row],[چکهای در جریان وصول]]+Table222[[#This Row],[چکهای نزد صندوق]]</f>
        <v>-587500</v>
      </c>
      <c r="G114" s="12">
        <f>IFERROR(INDEX('مانده سوفاله'!F:F,MATCH(Table222[[#This Row],[كد تفصيلي]],'مانده سوفاله'!A:A,0)),0)</f>
        <v>0</v>
      </c>
    </row>
    <row r="115" spans="1:7" ht="23.25" customHeight="1" x14ac:dyDescent="0.35">
      <c r="A115" s="26">
        <v>10131</v>
      </c>
      <c r="B115" s="68" t="s">
        <v>457</v>
      </c>
      <c r="C115" s="10">
        <f>IFERROR(INDEX('حسابهای دریافتنی'!H:H,MATCH(Table222[[#This Row],[كد تفصيلي]],'حسابهای دریافتنی'!A:A,0)),0)</f>
        <v>-1194000</v>
      </c>
      <c r="D115" s="11">
        <f>IFERROR(INDEX('درجریان وصول'!F:F,MATCH(Table222[[#This Row],[كد تفصيلي]],'درجریان وصول'!A:A,0)),0)</f>
        <v>0</v>
      </c>
      <c r="E115" s="11">
        <f>IFERROR(INDEX('چکهای دریافتنی'!F:F,MATCH(Table222[[#This Row],[كد تفصيلي]],'چکهای دریافتنی'!A:A,0)),0)</f>
        <v>0</v>
      </c>
      <c r="F115" s="11">
        <f>Table222[[#This Row],[حسابهای دریافتنی]]+Table222[[#This Row],[چکهای در جریان وصول]]+Table222[[#This Row],[چکهای نزد صندوق]]</f>
        <v>-1194000</v>
      </c>
      <c r="G115" s="12">
        <f>IFERROR(INDEX('مانده سوفاله'!F:F,MATCH(Table222[[#This Row],[كد تفصيلي]],'مانده سوفاله'!A:A,0)),0)</f>
        <v>1</v>
      </c>
    </row>
    <row r="116" spans="1:7" ht="23.25" customHeight="1" x14ac:dyDescent="0.35">
      <c r="A116" s="26">
        <v>30112</v>
      </c>
      <c r="B116" s="68" t="s">
        <v>201</v>
      </c>
      <c r="C116" s="10">
        <f>IFERROR(INDEX('حسابهای دریافتنی'!H:H,MATCH(Table222[[#This Row],[كد تفصيلي]],'حسابهای دریافتنی'!A:A,0)),0)</f>
        <v>-720500</v>
      </c>
      <c r="D116" s="11">
        <f>IFERROR(INDEX('درجریان وصول'!F:F,MATCH(Table222[[#This Row],[كد تفصيلي]],'درجریان وصول'!A:A,0)),0)</f>
        <v>0</v>
      </c>
      <c r="E116" s="11">
        <f>IFERROR(INDEX('چکهای دریافتنی'!F:F,MATCH(Table222[[#This Row],[كد تفصيلي]],'چکهای دریافتنی'!A:A,0)),0)</f>
        <v>0</v>
      </c>
      <c r="F116" s="11">
        <f>Table222[[#This Row],[حسابهای دریافتنی]]+Table222[[#This Row],[چکهای در جریان وصول]]+Table222[[#This Row],[چکهای نزد صندوق]]</f>
        <v>-720500</v>
      </c>
      <c r="G116" s="12">
        <f>IFERROR(INDEX('مانده سوفاله'!F:F,MATCH(Table222[[#This Row],[كد تفصيلي]],'مانده سوفاله'!A:A,0)),0)</f>
        <v>36</v>
      </c>
    </row>
    <row r="117" spans="1:7" ht="23.25" customHeight="1" x14ac:dyDescent="0.35">
      <c r="A117" s="26">
        <v>10013</v>
      </c>
      <c r="B117" s="68" t="s">
        <v>20</v>
      </c>
      <c r="C117" s="10">
        <f>IFERROR(INDEX('حسابهای دریافتنی'!H:H,MATCH(Table222[[#This Row],[كد تفصيلي]],'حسابهای دریافتنی'!A:A,0)),0)</f>
        <v>-915000</v>
      </c>
      <c r="D117" s="11">
        <f>IFERROR(INDEX('درجریان وصول'!F:F,MATCH(Table222[[#This Row],[كد تفصيلي]],'درجریان وصول'!A:A,0)),0)</f>
        <v>0</v>
      </c>
      <c r="E117" s="11">
        <f>IFERROR(INDEX('چکهای دریافتنی'!F:F,MATCH(Table222[[#This Row],[كد تفصيلي]],'چکهای دریافتنی'!A:A,0)),0)</f>
        <v>0</v>
      </c>
      <c r="F117" s="11">
        <f>Table222[[#This Row],[حسابهای دریافتنی]]+Table222[[#This Row],[چکهای در جریان وصول]]+Table222[[#This Row],[چکهای نزد صندوق]]</f>
        <v>-915000</v>
      </c>
      <c r="G117" s="12">
        <f>IFERROR(INDEX('مانده سوفاله'!F:F,MATCH(Table222[[#This Row],[كد تفصيلي]],'مانده سوفاله'!A:A,0)),0)</f>
        <v>0</v>
      </c>
    </row>
    <row r="118" spans="1:7" ht="23.25" customHeight="1" x14ac:dyDescent="0.35">
      <c r="A118" s="27">
        <v>10042</v>
      </c>
      <c r="B118" s="69" t="s">
        <v>47</v>
      </c>
      <c r="C118" s="10">
        <f>IFERROR(INDEX('حسابهای دریافتنی'!H:H,MATCH(Table222[[#This Row],[كد تفصيلي]],'حسابهای دریافتنی'!A:A,0)),0)</f>
        <v>-1120000</v>
      </c>
      <c r="D118" s="11">
        <f>IFERROR(INDEX('درجریان وصول'!F:F,MATCH(Table222[[#This Row],[كد تفصيلي]],'درجریان وصول'!A:A,0)),0)</f>
        <v>0</v>
      </c>
      <c r="E118" s="11">
        <f>IFERROR(INDEX('چکهای دریافتنی'!F:F,MATCH(Table222[[#This Row],[كد تفصيلي]],'چکهای دریافتنی'!A:A,0)),0)</f>
        <v>0</v>
      </c>
      <c r="F118" s="11">
        <f>Table222[[#This Row],[حسابهای دریافتنی]]+Table222[[#This Row],[چکهای در جریان وصول]]+Table222[[#This Row],[چکهای نزد صندوق]]</f>
        <v>-1120000</v>
      </c>
      <c r="G118" s="12">
        <f>IFERROR(INDEX('مانده سوفاله'!F:F,MATCH(Table222[[#This Row],[كد تفصيلي]],'مانده سوفاله'!A:A,0)),0)</f>
        <v>2</v>
      </c>
    </row>
    <row r="119" spans="1:7" ht="23.25" customHeight="1" x14ac:dyDescent="0.35">
      <c r="A119" s="27">
        <v>30032</v>
      </c>
      <c r="B119" s="69" t="s">
        <v>79</v>
      </c>
      <c r="C119" s="10">
        <f>IFERROR(INDEX('حسابهای دریافتنی'!H:H,MATCH(Table222[[#This Row],[كد تفصيلي]],'حسابهای دریافتنی'!A:A,0)),0)</f>
        <v>-1347000</v>
      </c>
      <c r="D119" s="11">
        <f>IFERROR(INDEX('درجریان وصول'!F:F,MATCH(Table222[[#This Row],[كد تفصيلي]],'درجریان وصول'!A:A,0)),0)</f>
        <v>0</v>
      </c>
      <c r="E119" s="11">
        <f>IFERROR(INDEX('چکهای دریافتنی'!F:F,MATCH(Table222[[#This Row],[كد تفصيلي]],'چکهای دریافتنی'!A:A,0)),0)</f>
        <v>0</v>
      </c>
      <c r="F119" s="11">
        <f>Table222[[#This Row],[حسابهای دریافتنی]]+Table222[[#This Row],[چکهای در جریان وصول]]+Table222[[#This Row],[چکهای نزد صندوق]]</f>
        <v>-1347000</v>
      </c>
      <c r="G119" s="12">
        <f>IFERROR(INDEX('مانده سوفاله'!F:F,MATCH(Table222[[#This Row],[كد تفصيلي]],'مانده سوفاله'!A:A,0)),0)</f>
        <v>0</v>
      </c>
    </row>
    <row r="120" spans="1:7" ht="23.25" customHeight="1" x14ac:dyDescent="0.35">
      <c r="A120" s="27">
        <v>30171</v>
      </c>
      <c r="B120" s="69" t="s">
        <v>322</v>
      </c>
      <c r="C120" s="10">
        <f>IFERROR(INDEX('حسابهای دریافتنی'!H:H,MATCH(Table222[[#This Row],[كد تفصيلي]],'حسابهای دریافتنی'!A:A,0)),0)</f>
        <v>-1500000</v>
      </c>
      <c r="D120" s="11">
        <f>IFERROR(INDEX('درجریان وصول'!F:F,MATCH(Table222[[#This Row],[كد تفصيلي]],'درجریان وصول'!A:A,0)),0)</f>
        <v>0</v>
      </c>
      <c r="E120" s="11">
        <f>IFERROR(INDEX('چکهای دریافتنی'!F:F,MATCH(Table222[[#This Row],[كد تفصيلي]],'چکهای دریافتنی'!A:A,0)),0)</f>
        <v>0</v>
      </c>
      <c r="F120" s="11">
        <f>Table222[[#This Row],[حسابهای دریافتنی]]+Table222[[#This Row],[چکهای در جریان وصول]]+Table222[[#This Row],[چکهای نزد صندوق]]</f>
        <v>-1500000</v>
      </c>
      <c r="G120" s="12">
        <f>IFERROR(INDEX('مانده سوفاله'!F:F,MATCH(Table222[[#This Row],[كد تفصيلي]],'مانده سوفاله'!A:A,0)),0)</f>
        <v>0</v>
      </c>
    </row>
    <row r="121" spans="1:7" ht="23.25" customHeight="1" x14ac:dyDescent="0.35">
      <c r="A121" s="26">
        <v>10103</v>
      </c>
      <c r="B121" s="68" t="s">
        <v>283</v>
      </c>
      <c r="C121" s="10">
        <f>IFERROR(INDEX('حسابهای دریافتنی'!H:H,MATCH(Table222[[#This Row],[كد تفصيلي]],'حسابهای دریافتنی'!A:A,0)),0)</f>
        <v>-1580000</v>
      </c>
      <c r="D121" s="11">
        <f>IFERROR(INDEX('درجریان وصول'!F:F,MATCH(Table222[[#This Row],[كد تفصيلي]],'درجریان وصول'!A:A,0)),0)</f>
        <v>0</v>
      </c>
      <c r="E121" s="11">
        <f>IFERROR(INDEX('چکهای دریافتنی'!F:F,MATCH(Table222[[#This Row],[كد تفصيلي]],'چکهای دریافتنی'!A:A,0)),0)</f>
        <v>0</v>
      </c>
      <c r="F121" s="11">
        <f>Table222[[#This Row],[حسابهای دریافتنی]]+Table222[[#This Row],[چکهای در جریان وصول]]+Table222[[#This Row],[چکهای نزد صندوق]]</f>
        <v>-1580000</v>
      </c>
      <c r="G121" s="12">
        <f>IFERROR(INDEX('مانده سوفاله'!F:F,MATCH(Table222[[#This Row],[كد تفصيلي]],'مانده سوفاله'!A:A,0)),0)</f>
        <v>0</v>
      </c>
    </row>
    <row r="122" spans="1:7" ht="23.25" customHeight="1" x14ac:dyDescent="0.35">
      <c r="A122" s="27">
        <v>10125</v>
      </c>
      <c r="B122" s="69" t="s">
        <v>345</v>
      </c>
      <c r="C122" s="10">
        <f>IFERROR(INDEX('حسابهای دریافتنی'!H:H,MATCH(Table222[[#This Row],[كد تفصيلي]],'حسابهای دریافتنی'!A:A,0)),0)</f>
        <v>-1650000</v>
      </c>
      <c r="D122" s="11">
        <f>IFERROR(INDEX('درجریان وصول'!F:F,MATCH(Table222[[#This Row],[كد تفصيلي]],'درجریان وصول'!A:A,0)),0)</f>
        <v>0</v>
      </c>
      <c r="E122" s="11">
        <f>IFERROR(INDEX('چکهای دریافتنی'!F:F,MATCH(Table222[[#This Row],[كد تفصيلي]],'چکهای دریافتنی'!A:A,0)),0)</f>
        <v>0</v>
      </c>
      <c r="F122" s="11">
        <f>Table222[[#This Row],[حسابهای دریافتنی]]+Table222[[#This Row],[چکهای در جریان وصول]]+Table222[[#This Row],[چکهای نزد صندوق]]</f>
        <v>-1650000</v>
      </c>
      <c r="G122" s="12">
        <f>IFERROR(INDEX('مانده سوفاله'!F:F,MATCH(Table222[[#This Row],[كد تفصيلي]],'مانده سوفاله'!A:A,0)),0)</f>
        <v>0</v>
      </c>
    </row>
    <row r="123" spans="1:7" ht="23.25" customHeight="1" x14ac:dyDescent="0.35">
      <c r="A123" s="27">
        <v>30179</v>
      </c>
      <c r="B123" s="69" t="s">
        <v>336</v>
      </c>
      <c r="C123" s="10">
        <f>IFERROR(INDEX('حسابهای دریافتنی'!H:H,MATCH(Table222[[#This Row],[كد تفصيلي]],'حسابهای دریافتنی'!A:A,0)),0)</f>
        <v>-637200</v>
      </c>
      <c r="D123" s="11">
        <f>IFERROR(INDEX('درجریان وصول'!F:F,MATCH(Table222[[#This Row],[كد تفصيلي]],'درجریان وصول'!A:A,0)),0)</f>
        <v>0</v>
      </c>
      <c r="E123" s="11">
        <f>IFERROR(INDEX('چکهای دریافتنی'!F:F,MATCH(Table222[[#This Row],[كد تفصيلي]],'چکهای دریافتنی'!A:A,0)),0)</f>
        <v>0</v>
      </c>
      <c r="F123" s="11">
        <f>Table222[[#This Row],[حسابهای دریافتنی]]+Table222[[#This Row],[چکهای در جریان وصول]]+Table222[[#This Row],[چکهای نزد صندوق]]</f>
        <v>-637200</v>
      </c>
      <c r="G123" s="12">
        <f>IFERROR(INDEX('مانده سوفاله'!F:F,MATCH(Table222[[#This Row],[كد تفصيلي]],'مانده سوفاله'!A:A,0)),0)</f>
        <v>0</v>
      </c>
    </row>
    <row r="124" spans="1:7" ht="23.25" customHeight="1" x14ac:dyDescent="0.35">
      <c r="A124" s="26">
        <v>10110</v>
      </c>
      <c r="B124" s="68" t="s">
        <v>306</v>
      </c>
      <c r="C124" s="10">
        <f>IFERROR(INDEX('حسابهای دریافتنی'!H:H,MATCH(Table222[[#This Row],[كد تفصيلي]],'حسابهای دریافتنی'!A:A,0)),0)</f>
        <v>-1817500</v>
      </c>
      <c r="D124" s="11">
        <f>IFERROR(INDEX('درجریان وصول'!F:F,MATCH(Table222[[#This Row],[كد تفصيلي]],'درجریان وصول'!A:A,0)),0)</f>
        <v>0</v>
      </c>
      <c r="E124" s="11">
        <f>IFERROR(INDEX('چکهای دریافتنی'!F:F,MATCH(Table222[[#This Row],[كد تفصيلي]],'چکهای دریافتنی'!A:A,0)),0)</f>
        <v>0</v>
      </c>
      <c r="F124" s="11">
        <f>Table222[[#This Row],[حسابهای دریافتنی]]+Table222[[#This Row],[چکهای در جریان وصول]]+Table222[[#This Row],[چکهای نزد صندوق]]</f>
        <v>-1817500</v>
      </c>
      <c r="G124" s="12">
        <f>IFERROR(INDEX('مانده سوفاله'!F:F,MATCH(Table222[[#This Row],[كد تفصيلي]],'مانده سوفاله'!A:A,0)),0)</f>
        <v>7</v>
      </c>
    </row>
    <row r="125" spans="1:7" ht="23.25" customHeight="1" x14ac:dyDescent="0.35">
      <c r="A125" s="27">
        <v>30103</v>
      </c>
      <c r="B125" s="69" t="s">
        <v>240</v>
      </c>
      <c r="C125" s="10">
        <f>IFERROR(INDEX('حسابهای دریافتنی'!H:H,MATCH(Table222[[#This Row],[كد تفصيلي]],'حسابهای دریافتنی'!A:A,0)),0)</f>
        <v>-1820000</v>
      </c>
      <c r="D125" s="11">
        <f>IFERROR(INDEX('درجریان وصول'!F:F,MATCH(Table222[[#This Row],[كد تفصيلي]],'درجریان وصول'!A:A,0)),0)</f>
        <v>0</v>
      </c>
      <c r="E125" s="11">
        <f>IFERROR(INDEX('چکهای دریافتنی'!F:F,MATCH(Table222[[#This Row],[كد تفصيلي]],'چکهای دریافتنی'!A:A,0)),0)</f>
        <v>0</v>
      </c>
      <c r="F125" s="11">
        <f>Table222[[#This Row],[حسابهای دریافتنی]]+Table222[[#This Row],[چکهای در جریان وصول]]+Table222[[#This Row],[چکهای نزد صندوق]]</f>
        <v>-1820000</v>
      </c>
      <c r="G125" s="12">
        <f>IFERROR(INDEX('مانده سوفاله'!F:F,MATCH(Table222[[#This Row],[كد تفصيلي]],'مانده سوفاله'!A:A,0)),0)</f>
        <v>0</v>
      </c>
    </row>
    <row r="126" spans="1:7" ht="23.25" customHeight="1" x14ac:dyDescent="0.35">
      <c r="A126" s="26">
        <v>30128</v>
      </c>
      <c r="B126" s="68" t="s">
        <v>212</v>
      </c>
      <c r="C126" s="10">
        <f>IFERROR(INDEX('حسابهای دریافتنی'!H:H,MATCH(Table222[[#This Row],[كد تفصيلي]],'حسابهای دریافتنی'!A:A,0)),0)</f>
        <v>-2451320</v>
      </c>
      <c r="D126" s="11">
        <f>IFERROR(INDEX('درجریان وصول'!F:F,MATCH(Table222[[#This Row],[كد تفصيلي]],'درجریان وصول'!A:A,0)),0)</f>
        <v>0</v>
      </c>
      <c r="E126" s="11">
        <f>IFERROR(INDEX('چکهای دریافتنی'!F:F,MATCH(Table222[[#This Row],[كد تفصيلي]],'چکهای دریافتنی'!A:A,0)),0)</f>
        <v>0</v>
      </c>
      <c r="F126" s="11">
        <f>Table222[[#This Row],[حسابهای دریافتنی]]+Table222[[#This Row],[چکهای در جریان وصول]]+Table222[[#This Row],[چکهای نزد صندوق]]</f>
        <v>-2451320</v>
      </c>
      <c r="G126" s="12">
        <f>IFERROR(INDEX('مانده سوفاله'!F:F,MATCH(Table222[[#This Row],[كد تفصيلي]],'مانده سوفاله'!A:A,0)),0)</f>
        <v>0</v>
      </c>
    </row>
    <row r="127" spans="1:7" ht="23.25" customHeight="1" x14ac:dyDescent="0.35">
      <c r="A127" s="26">
        <v>30013</v>
      </c>
      <c r="B127" s="68" t="s">
        <v>62</v>
      </c>
      <c r="C127" s="10">
        <f>IFERROR(INDEX('حسابهای دریافتنی'!H:H,MATCH(Table222[[#This Row],[كد تفصيلي]],'حسابهای دریافتنی'!A:A,0)),0)</f>
        <v>-2744620</v>
      </c>
      <c r="D127" s="11">
        <f>IFERROR(INDEX('درجریان وصول'!F:F,MATCH(Table222[[#This Row],[كد تفصيلي]],'درجریان وصول'!A:A,0)),0)</f>
        <v>0</v>
      </c>
      <c r="E127" s="11">
        <f>IFERROR(INDEX('چکهای دریافتنی'!F:F,MATCH(Table222[[#This Row],[كد تفصيلي]],'چکهای دریافتنی'!A:A,0)),0)</f>
        <v>0</v>
      </c>
      <c r="F127" s="11">
        <f>Table222[[#This Row],[حسابهای دریافتنی]]+Table222[[#This Row],[چکهای در جریان وصول]]+Table222[[#This Row],[چکهای نزد صندوق]]</f>
        <v>-2744620</v>
      </c>
      <c r="G127" s="12">
        <f>IFERROR(INDEX('مانده سوفاله'!F:F,MATCH(Table222[[#This Row],[كد تفصيلي]],'مانده سوفاله'!A:A,0)),0)</f>
        <v>0</v>
      </c>
    </row>
    <row r="128" spans="1:7" ht="23.25" customHeight="1" x14ac:dyDescent="0.35">
      <c r="A128" s="26">
        <v>30015</v>
      </c>
      <c r="B128" s="68" t="s">
        <v>64</v>
      </c>
      <c r="C128" s="10">
        <f>IFERROR(INDEX('حسابهای دریافتنی'!H:H,MATCH(Table222[[#This Row],[كد تفصيلي]],'حسابهای دریافتنی'!A:A,0)),0)</f>
        <v>-3105895</v>
      </c>
      <c r="D128" s="11">
        <f>IFERROR(INDEX('درجریان وصول'!F:F,MATCH(Table222[[#This Row],[كد تفصيلي]],'درجریان وصول'!A:A,0)),0)</f>
        <v>0</v>
      </c>
      <c r="E128" s="11">
        <f>IFERROR(INDEX('چکهای دریافتنی'!F:F,MATCH(Table222[[#This Row],[كد تفصيلي]],'چکهای دریافتنی'!A:A,0)),0)</f>
        <v>0</v>
      </c>
      <c r="F128" s="11">
        <f>Table222[[#This Row],[حسابهای دریافتنی]]+Table222[[#This Row],[چکهای در جریان وصول]]+Table222[[#This Row],[چکهای نزد صندوق]]</f>
        <v>-3105895</v>
      </c>
      <c r="G128" s="12">
        <f>IFERROR(INDEX('مانده سوفاله'!F:F,MATCH(Table222[[#This Row],[كد تفصيلي]],'مانده سوفاله'!A:A,0)),0)</f>
        <v>0</v>
      </c>
    </row>
    <row r="129" spans="1:7" ht="23.25" customHeight="1" x14ac:dyDescent="0.35">
      <c r="A129" s="26">
        <v>30110</v>
      </c>
      <c r="B129" s="68" t="s">
        <v>200</v>
      </c>
      <c r="C129" s="10">
        <f>IFERROR(INDEX('حسابهای دریافتنی'!H:H,MATCH(Table222[[#This Row],[كد تفصيلي]],'حسابهای دریافتنی'!A:A,0)),0)</f>
        <v>-3492360</v>
      </c>
      <c r="D129" s="11">
        <f>IFERROR(INDEX('درجریان وصول'!F:F,MATCH(Table222[[#This Row],[كد تفصيلي]],'درجریان وصول'!A:A,0)),0)</f>
        <v>0</v>
      </c>
      <c r="E129" s="11">
        <f>IFERROR(INDEX('چکهای دریافتنی'!F:F,MATCH(Table222[[#This Row],[كد تفصيلي]],'چکهای دریافتنی'!A:A,0)),0)</f>
        <v>0</v>
      </c>
      <c r="F129" s="11">
        <f>Table222[[#This Row],[حسابهای دریافتنی]]+Table222[[#This Row],[چکهای در جریان وصول]]+Table222[[#This Row],[چکهای نزد صندوق]]</f>
        <v>-3492360</v>
      </c>
      <c r="G129" s="12">
        <f>IFERROR(INDEX('مانده سوفاله'!F:F,MATCH(Table222[[#This Row],[كد تفصيلي]],'مانده سوفاله'!A:A,0)),0)</f>
        <v>0</v>
      </c>
    </row>
    <row r="130" spans="1:7" ht="23.25" customHeight="1" x14ac:dyDescent="0.35">
      <c r="A130" s="26">
        <v>10049</v>
      </c>
      <c r="B130" s="68" t="s">
        <v>157</v>
      </c>
      <c r="C130" s="10">
        <f>IFERROR(INDEX('حسابهای دریافتنی'!H:H,MATCH(Table222[[#This Row],[كد تفصيلي]],'حسابهای دریافتنی'!A:A,0)),0)</f>
        <v>-32909500</v>
      </c>
      <c r="D130" s="11">
        <f>IFERROR(INDEX('درجریان وصول'!F:F,MATCH(Table222[[#This Row],[كد تفصيلي]],'درجریان وصول'!A:A,0)),0)</f>
        <v>0</v>
      </c>
      <c r="E130" s="11">
        <f>IFERROR(INDEX('چکهای دریافتنی'!F:F,MATCH(Table222[[#This Row],[كد تفصيلي]],'چکهای دریافتنی'!A:A,0)),0)</f>
        <v>0</v>
      </c>
      <c r="F130" s="11">
        <f>Table222[[#This Row],[حسابهای دریافتنی]]+Table222[[#This Row],[چکهای در جریان وصول]]+Table222[[#This Row],[چکهای نزد صندوق]]</f>
        <v>-32909500</v>
      </c>
      <c r="G130" s="12">
        <f>IFERROR(INDEX('مانده سوفاله'!F:F,MATCH(Table222[[#This Row],[كد تفصيلي]],'مانده سوفاله'!A:A,0)),0)</f>
        <v>0</v>
      </c>
    </row>
    <row r="131" spans="1:7" ht="23.25" customHeight="1" x14ac:dyDescent="0.35">
      <c r="A131" s="26">
        <v>10015</v>
      </c>
      <c r="B131" s="68" t="s">
        <v>22</v>
      </c>
      <c r="C131" s="10">
        <f>IFERROR(INDEX('حسابهای دریافتنی'!H:H,MATCH(Table222[[#This Row],[كد تفصيلي]],'حسابهای دریافتنی'!A:A,0)),0)</f>
        <v>-4735000</v>
      </c>
      <c r="D131" s="11">
        <f>IFERROR(INDEX('درجریان وصول'!F:F,MATCH(Table222[[#This Row],[كد تفصيلي]],'درجریان وصول'!A:A,0)),0)</f>
        <v>0</v>
      </c>
      <c r="E131" s="11">
        <f>IFERROR(INDEX('چکهای دریافتنی'!F:F,MATCH(Table222[[#This Row],[كد تفصيلي]],'چکهای دریافتنی'!A:A,0)),0)</f>
        <v>0</v>
      </c>
      <c r="F131" s="11">
        <f>Table222[[#This Row],[حسابهای دریافتنی]]+Table222[[#This Row],[چکهای در جریان وصول]]+Table222[[#This Row],[چکهای نزد صندوق]]</f>
        <v>-4735000</v>
      </c>
      <c r="G131" s="12">
        <f>IFERROR(INDEX('مانده سوفاله'!F:F,MATCH(Table222[[#This Row],[كد تفصيلي]],'مانده سوفاله'!A:A,0)),0)</f>
        <v>12</v>
      </c>
    </row>
    <row r="132" spans="1:7" ht="23.25" customHeight="1" x14ac:dyDescent="0.35">
      <c r="A132" s="27">
        <v>30153</v>
      </c>
      <c r="B132" s="69" t="s">
        <v>279</v>
      </c>
      <c r="C132" s="10">
        <f>IFERROR(INDEX('حسابهای دریافتنی'!H:H,MATCH(Table222[[#This Row],[كد تفصيلي]],'حسابهای دریافتنی'!A:A,0)),0)</f>
        <v>-4818000</v>
      </c>
      <c r="D132" s="11">
        <f>IFERROR(INDEX('درجریان وصول'!F:F,MATCH(Table222[[#This Row],[كد تفصيلي]],'درجریان وصول'!A:A,0)),0)</f>
        <v>0</v>
      </c>
      <c r="E132" s="11">
        <f>IFERROR(INDEX('چکهای دریافتنی'!F:F,MATCH(Table222[[#This Row],[كد تفصيلي]],'چکهای دریافتنی'!A:A,0)),0)</f>
        <v>0</v>
      </c>
      <c r="F132" s="11">
        <f>Table222[[#This Row],[حسابهای دریافتنی]]+Table222[[#This Row],[چکهای در جریان وصول]]+Table222[[#This Row],[چکهای نزد صندوق]]</f>
        <v>-4818000</v>
      </c>
      <c r="G132" s="12">
        <f>IFERROR(INDEX('مانده سوفاله'!F:F,MATCH(Table222[[#This Row],[كد تفصيلي]],'مانده سوفاله'!A:A,0)),0)</f>
        <v>0</v>
      </c>
    </row>
    <row r="133" spans="1:7" ht="23.25" customHeight="1" x14ac:dyDescent="0.35">
      <c r="A133" s="26">
        <v>30023</v>
      </c>
      <c r="B133" s="68" t="s">
        <v>71</v>
      </c>
      <c r="C133" s="10">
        <f>IFERROR(INDEX('حسابهای دریافتنی'!H:H,MATCH(Table222[[#This Row],[كد تفصيلي]],'حسابهای دریافتنی'!A:A,0)),0)</f>
        <v>-5793600</v>
      </c>
      <c r="D133" s="11">
        <f>IFERROR(INDEX('درجریان وصول'!F:F,MATCH(Table222[[#This Row],[كد تفصيلي]],'درجریان وصول'!A:A,0)),0)</f>
        <v>0</v>
      </c>
      <c r="E133" s="11">
        <f>IFERROR(INDEX('چکهای دریافتنی'!F:F,MATCH(Table222[[#This Row],[كد تفصيلي]],'چکهای دریافتنی'!A:A,0)),0)</f>
        <v>0</v>
      </c>
      <c r="F133" s="11">
        <f>Table222[[#This Row],[حسابهای دریافتنی]]+Table222[[#This Row],[چکهای در جریان وصول]]+Table222[[#This Row],[چکهای نزد صندوق]]</f>
        <v>-5793600</v>
      </c>
      <c r="G133" s="12">
        <f>IFERROR(INDEX('مانده سوفاله'!F:F,MATCH(Table222[[#This Row],[كد تفصيلي]],'مانده سوفاله'!A:A,0)),0)</f>
        <v>0</v>
      </c>
    </row>
    <row r="134" spans="1:7" customFormat="1" ht="23.25" customHeight="1" x14ac:dyDescent="0.35">
      <c r="A134" s="53">
        <v>30176</v>
      </c>
      <c r="B134" s="68" t="s">
        <v>332</v>
      </c>
      <c r="C134" s="10">
        <f>IFERROR(INDEX('حسابهای دریافتنی'!H:H,MATCH(Table222[[#This Row],[كد تفصيلي]],'حسابهای دریافتنی'!A:A,0)),0)</f>
        <v>-7540075</v>
      </c>
      <c r="D134" s="11">
        <f>IFERROR(INDEX('درجریان وصول'!F:F,MATCH(Table222[[#This Row],[كد تفصيلي]],'درجریان وصول'!A:A,0)),0)</f>
        <v>0</v>
      </c>
      <c r="E134" s="11">
        <f>IFERROR(INDEX('چکهای دریافتنی'!F:F,MATCH(Table222[[#This Row],[كد تفصيلي]],'چکهای دریافتنی'!A:A,0)),0)</f>
        <v>0</v>
      </c>
      <c r="F134" s="11">
        <f>Table222[[#This Row],[حسابهای دریافتنی]]+Table222[[#This Row],[چکهای در جریان وصول]]+Table222[[#This Row],[چکهای نزد صندوق]]</f>
        <v>-7540075</v>
      </c>
      <c r="G134" s="12">
        <f>IFERROR(INDEX('مانده سوفاله'!F:F,MATCH(Table222[[#This Row],[كد تفصيلي]],'مانده سوفاله'!A:A,0)),0)</f>
        <v>0</v>
      </c>
    </row>
    <row r="135" spans="1:7" customFormat="1" ht="23.25" customHeight="1" x14ac:dyDescent="0.35">
      <c r="A135" s="53">
        <v>10106</v>
      </c>
      <c r="B135" s="68" t="s">
        <v>298</v>
      </c>
      <c r="C135" s="10">
        <f>IFERROR(INDEX('حسابهای دریافتنی'!H:H,MATCH(Table222[[#This Row],[كد تفصيلي]],'حسابهای دریافتنی'!A:A,0)),0)</f>
        <v>-9134000</v>
      </c>
      <c r="D135" s="11">
        <f>IFERROR(INDEX('درجریان وصول'!F:F,MATCH(Table222[[#This Row],[كد تفصيلي]],'درجریان وصول'!A:A,0)),0)</f>
        <v>0</v>
      </c>
      <c r="E135" s="11">
        <f>IFERROR(INDEX('چکهای دریافتنی'!F:F,MATCH(Table222[[#This Row],[كد تفصيلي]],'چکهای دریافتنی'!A:A,0)),0)</f>
        <v>0</v>
      </c>
      <c r="F135" s="11">
        <f>Table222[[#This Row],[حسابهای دریافتنی]]+Table222[[#This Row],[چکهای در جریان وصول]]+Table222[[#This Row],[چکهای نزد صندوق]]</f>
        <v>-9134000</v>
      </c>
      <c r="G135" s="12">
        <f>IFERROR(INDEX('مانده سوفاله'!F:F,MATCH(Table222[[#This Row],[كد تفصيلي]],'مانده سوفاله'!A:A,0)),0)</f>
        <v>0</v>
      </c>
    </row>
    <row r="136" spans="1:7" customFormat="1" ht="23.25" customHeight="1" x14ac:dyDescent="0.35">
      <c r="A136" s="53">
        <v>30189</v>
      </c>
      <c r="B136" s="68" t="s">
        <v>458</v>
      </c>
      <c r="C136" s="10">
        <f>IFERROR(INDEX('حسابهای دریافتنی'!H:H,MATCH(Table222[[#This Row],[كد تفصيلي]],'حسابهای دریافتنی'!A:A,0)),0)</f>
        <v>20776490</v>
      </c>
      <c r="D136" s="11">
        <f>IFERROR(INDEX('درجریان وصول'!F:F,MATCH(Table222[[#This Row],[كد تفصيلي]],'درجریان وصول'!A:A,0)),0)</f>
        <v>0</v>
      </c>
      <c r="E136" s="11">
        <f>IFERROR(INDEX('چکهای دریافتنی'!F:F,MATCH(Table222[[#This Row],[كد تفصيلي]],'چکهای دریافتنی'!A:A,0)),0)</f>
        <v>0</v>
      </c>
      <c r="F136" s="11">
        <f>Table222[[#This Row],[حسابهای دریافتنی]]+Table222[[#This Row],[چکهای در جریان وصول]]+Table222[[#This Row],[چکهای نزد صندوق]]</f>
        <v>20776490</v>
      </c>
      <c r="G136" s="12">
        <f>IFERROR(INDEX('مانده سوفاله'!F:F,MATCH(Table222[[#This Row],[كد تفصيلي]],'مانده سوفاله'!A:A,0)),0)</f>
        <v>0</v>
      </c>
    </row>
    <row r="137" spans="1:7" customFormat="1" ht="23.25" customHeight="1" x14ac:dyDescent="0.35">
      <c r="A137" s="54">
        <v>10102</v>
      </c>
      <c r="B137" s="69" t="s">
        <v>282</v>
      </c>
      <c r="C137" s="10">
        <f>IFERROR(INDEX('حسابهای دریافتنی'!H:H,MATCH(Table222[[#This Row],[كد تفصيلي]],'حسابهای دریافتنی'!A:A,0)),0)</f>
        <v>-10374000</v>
      </c>
      <c r="D137" s="11">
        <f>IFERROR(INDEX('درجریان وصول'!F:F,MATCH(Table222[[#This Row],[كد تفصيلي]],'درجریان وصول'!A:A,0)),0)</f>
        <v>0</v>
      </c>
      <c r="E137" s="11">
        <f>IFERROR(INDEX('چکهای دریافتنی'!F:F,MATCH(Table222[[#This Row],[كد تفصيلي]],'چکهای دریافتنی'!A:A,0)),0)</f>
        <v>0</v>
      </c>
      <c r="F137" s="11">
        <f>Table222[[#This Row],[حسابهای دریافتنی]]+Table222[[#This Row],[چکهای در جریان وصول]]+Table222[[#This Row],[چکهای نزد صندوق]]</f>
        <v>-10374000</v>
      </c>
      <c r="G137" s="12">
        <f>IFERROR(INDEX('مانده سوفاله'!F:F,MATCH(Table222[[#This Row],[كد تفصيلي]],'مانده سوفاله'!A:A,0)),0)</f>
        <v>0</v>
      </c>
    </row>
    <row r="138" spans="1:7" customFormat="1" ht="23.25" customHeight="1" x14ac:dyDescent="0.35">
      <c r="A138" s="54">
        <v>10104</v>
      </c>
      <c r="B138" s="69" t="s">
        <v>293</v>
      </c>
      <c r="C138" s="10">
        <f>IFERROR(INDEX('حسابهای دریافتنی'!H:H,MATCH(Table222[[#This Row],[كد تفصيلي]],'حسابهای دریافتنی'!A:A,0)),0)</f>
        <v>0</v>
      </c>
      <c r="D138" s="11">
        <f>IFERROR(INDEX('درجریان وصول'!F:F,MATCH(Table222[[#This Row],[كد تفصيلي]],'درجریان وصول'!A:A,0)),0)</f>
        <v>0</v>
      </c>
      <c r="E138" s="11">
        <f>IFERROR(INDEX('چکهای دریافتنی'!F:F,MATCH(Table222[[#This Row],[كد تفصيلي]],'چکهای دریافتنی'!A:A,0)),0)</f>
        <v>0</v>
      </c>
      <c r="F138" s="11">
        <f>Table222[[#This Row],[حسابهای دریافتنی]]+Table222[[#This Row],[چکهای در جریان وصول]]+Table222[[#This Row],[چکهای نزد صندوق]]</f>
        <v>0</v>
      </c>
      <c r="G138" s="12">
        <f>IFERROR(INDEX('مانده سوفاله'!F:F,MATCH(Table222[[#This Row],[كد تفصيلي]],'مانده سوفاله'!A:A,0)),0)</f>
        <v>4065</v>
      </c>
    </row>
    <row r="139" spans="1:7" customFormat="1" ht="23.25" customHeight="1" x14ac:dyDescent="0.35">
      <c r="A139" s="54">
        <v>10058</v>
      </c>
      <c r="B139" s="69" t="s">
        <v>173</v>
      </c>
      <c r="C139" s="10">
        <f>IFERROR(INDEX('حسابهای دریافتنی'!H:H,MATCH(Table222[[#This Row],[كد تفصيلي]],'حسابهای دریافتنی'!A:A,0)),0)</f>
        <v>-13650000</v>
      </c>
      <c r="D139" s="11">
        <f>IFERROR(INDEX('درجریان وصول'!F:F,MATCH(Table222[[#This Row],[كد تفصيلي]],'درجریان وصول'!A:A,0)),0)</f>
        <v>0</v>
      </c>
      <c r="E139" s="11">
        <f>IFERROR(INDEX('چکهای دریافتنی'!F:F,MATCH(Table222[[#This Row],[كد تفصيلي]],'چکهای دریافتنی'!A:A,0)),0)</f>
        <v>0</v>
      </c>
      <c r="F139" s="11">
        <f>Table222[[#This Row],[حسابهای دریافتنی]]+Table222[[#This Row],[چکهای در جریان وصول]]+Table222[[#This Row],[چکهای نزد صندوق]]</f>
        <v>-13650000</v>
      </c>
      <c r="G139" s="12">
        <f>IFERROR(INDEX('مانده سوفاله'!F:F,MATCH(Table222[[#This Row],[كد تفصيلي]],'مانده سوفاله'!A:A,0)),0)</f>
        <v>0</v>
      </c>
    </row>
    <row r="140" spans="1:7" customFormat="1" ht="23.25" customHeight="1" x14ac:dyDescent="0.35">
      <c r="A140" s="53">
        <v>10126</v>
      </c>
      <c r="B140" s="68" t="s">
        <v>370</v>
      </c>
      <c r="C140" s="10">
        <f>IFERROR(INDEX('حسابهای دریافتنی'!H:H,MATCH(Table222[[#This Row],[كد تفصيلي]],'حسابهای دریافتنی'!A:A,0)),0)</f>
        <v>12165000</v>
      </c>
      <c r="D140" s="11">
        <f>IFERROR(INDEX('درجریان وصول'!F:F,MATCH(Table222[[#This Row],[كد تفصيلي]],'درجریان وصول'!A:A,0)),0)</f>
        <v>0</v>
      </c>
      <c r="E140" s="11">
        <f>IFERROR(INDEX('چکهای دریافتنی'!F:F,MATCH(Table222[[#This Row],[كد تفصيلي]],'چکهای دریافتنی'!A:A,0)),0)</f>
        <v>0</v>
      </c>
      <c r="F140" s="11">
        <f>Table222[[#This Row],[حسابهای دریافتنی]]+Table222[[#This Row],[چکهای در جریان وصول]]+Table222[[#This Row],[چکهای نزد صندوق]]</f>
        <v>12165000</v>
      </c>
      <c r="G140" s="12">
        <f>IFERROR(INDEX('مانده سوفاله'!F:F,MATCH(Table222[[#This Row],[كد تفصيلي]],'مانده سوفاله'!A:A,0)),0)</f>
        <v>0</v>
      </c>
    </row>
    <row r="141" spans="1:7" customFormat="1" ht="23.25" customHeight="1" x14ac:dyDescent="0.35">
      <c r="A141" s="53">
        <v>30082</v>
      </c>
      <c r="B141" s="68" t="s">
        <v>127</v>
      </c>
      <c r="C141" s="10">
        <f>IFERROR(INDEX('حسابهای دریافتنی'!H:H,MATCH(Table222[[#This Row],[كد تفصيلي]],'حسابهای دریافتنی'!A:A,0)),0)</f>
        <v>-15037000</v>
      </c>
      <c r="D141" s="11">
        <f>IFERROR(INDEX('درجریان وصول'!F:F,MATCH(Table222[[#This Row],[كد تفصيلي]],'درجریان وصول'!A:A,0)),0)</f>
        <v>0</v>
      </c>
      <c r="E141" s="11">
        <f>IFERROR(INDEX('چکهای دریافتنی'!F:F,MATCH(Table222[[#This Row],[كد تفصيلي]],'چکهای دریافتنی'!A:A,0)),0)</f>
        <v>0</v>
      </c>
      <c r="F141" s="11">
        <f>Table222[[#This Row],[حسابهای دریافتنی]]+Table222[[#This Row],[چکهای در جریان وصول]]+Table222[[#This Row],[چکهای نزد صندوق]]</f>
        <v>-15037000</v>
      </c>
      <c r="G141" s="12">
        <f>IFERROR(INDEX('مانده سوفاله'!F:F,MATCH(Table222[[#This Row],[كد تفصيلي]],'مانده سوفاله'!A:A,0)),0)</f>
        <v>-16</v>
      </c>
    </row>
    <row r="142" spans="1:7" customFormat="1" ht="23.25" customHeight="1" x14ac:dyDescent="0.35">
      <c r="A142" s="54">
        <v>30034</v>
      </c>
      <c r="B142" s="69" t="s">
        <v>81</v>
      </c>
      <c r="C142" s="10">
        <f>IFERROR(INDEX('حسابهای دریافتنی'!H:H,MATCH(Table222[[#This Row],[كد تفصيلي]],'حسابهای دریافتنی'!A:A,0)),0)</f>
        <v>388329200</v>
      </c>
      <c r="D142" s="11">
        <f>IFERROR(INDEX('درجریان وصول'!F:F,MATCH(Table222[[#This Row],[كد تفصيلي]],'درجریان وصول'!A:A,0)),0)</f>
        <v>0</v>
      </c>
      <c r="E142" s="11">
        <f>IFERROR(INDEX('چکهای دریافتنی'!F:F,MATCH(Table222[[#This Row],[كد تفصيلي]],'چکهای دریافتنی'!A:A,0)),0)</f>
        <v>0</v>
      </c>
      <c r="F142" s="11">
        <f>Table222[[#This Row],[حسابهای دریافتنی]]+Table222[[#This Row],[چکهای در جریان وصول]]+Table222[[#This Row],[چکهای نزد صندوق]]</f>
        <v>388329200</v>
      </c>
      <c r="G142" s="12">
        <f>IFERROR(INDEX('مانده سوفاله'!F:F,MATCH(Table222[[#This Row],[كد تفصيلي]],'مانده سوفاله'!A:A,0)),0)</f>
        <v>2886</v>
      </c>
    </row>
    <row r="143" spans="1:7" customFormat="1" ht="23.25" customHeight="1" x14ac:dyDescent="0.35">
      <c r="A143" s="54">
        <v>30042</v>
      </c>
      <c r="B143" s="69" t="s">
        <v>89</v>
      </c>
      <c r="C143" s="10">
        <f>IFERROR(INDEX('حسابهای دریافتنی'!H:H,MATCH(Table222[[#This Row],[كد تفصيلي]],'حسابهای دریافتنی'!A:A,0)),0)</f>
        <v>-18303540</v>
      </c>
      <c r="D143" s="11">
        <f>IFERROR(INDEX('درجریان وصول'!F:F,MATCH(Table222[[#This Row],[كد تفصيلي]],'درجریان وصول'!A:A,0)),0)</f>
        <v>0</v>
      </c>
      <c r="E143" s="11">
        <f>IFERROR(INDEX('چکهای دریافتنی'!F:F,MATCH(Table222[[#This Row],[كد تفصيلي]],'چکهای دریافتنی'!A:A,0)),0)</f>
        <v>0</v>
      </c>
      <c r="F143" s="11">
        <f>Table222[[#This Row],[حسابهای دریافتنی]]+Table222[[#This Row],[چکهای در جریان وصول]]+Table222[[#This Row],[چکهای نزد صندوق]]</f>
        <v>-18303540</v>
      </c>
      <c r="G143" s="12">
        <f>IFERROR(INDEX('مانده سوفاله'!F:F,MATCH(Table222[[#This Row],[كد تفصيلي]],'مانده سوفاله'!A:A,0)),0)</f>
        <v>0</v>
      </c>
    </row>
    <row r="144" spans="1:7" customFormat="1" ht="23.25" customHeight="1" x14ac:dyDescent="0.35">
      <c r="A144" s="54">
        <v>30028</v>
      </c>
      <c r="B144" s="69" t="s">
        <v>76</v>
      </c>
      <c r="C144" s="10">
        <f>IFERROR(INDEX('حسابهای دریافتنی'!H:H,MATCH(Table222[[#This Row],[كد تفصيلي]],'حسابهای دریافتنی'!A:A,0)),0)</f>
        <v>-23665000</v>
      </c>
      <c r="D144" s="11">
        <f>IFERROR(INDEX('درجریان وصول'!F:F,MATCH(Table222[[#This Row],[كد تفصيلي]],'درجریان وصول'!A:A,0)),0)</f>
        <v>0</v>
      </c>
      <c r="E144" s="11">
        <f>IFERROR(INDEX('چکهای دریافتنی'!F:F,MATCH(Table222[[#This Row],[كد تفصيلي]],'چکهای دریافتنی'!A:A,0)),0)</f>
        <v>0</v>
      </c>
      <c r="F144" s="11">
        <f>Table222[[#This Row],[حسابهای دریافتنی]]+Table222[[#This Row],[چکهای در جریان وصول]]+Table222[[#This Row],[چکهای نزد صندوق]]</f>
        <v>-23665000</v>
      </c>
      <c r="G144" s="12">
        <f>IFERROR(INDEX('مانده سوفاله'!F:F,MATCH(Table222[[#This Row],[كد تفصيلي]],'مانده سوفاله'!A:A,0)),0)</f>
        <v>0</v>
      </c>
    </row>
    <row r="145" spans="1:7" customFormat="1" ht="23.25" customHeight="1" x14ac:dyDescent="0.35">
      <c r="A145" s="53">
        <v>30072</v>
      </c>
      <c r="B145" s="68" t="s">
        <v>117</v>
      </c>
      <c r="C145" s="10">
        <f>IFERROR(INDEX('حسابهای دریافتنی'!H:H,MATCH(Table222[[#This Row],[كد تفصيلي]],'حسابهای دریافتنی'!A:A,0)),0)</f>
        <v>-30178900</v>
      </c>
      <c r="D145" s="11">
        <f>IFERROR(INDEX('درجریان وصول'!F:F,MATCH(Table222[[#This Row],[كد تفصيلي]],'درجریان وصول'!A:A,0)),0)</f>
        <v>0</v>
      </c>
      <c r="E145" s="11">
        <f>IFERROR(INDEX('چکهای دریافتنی'!F:F,MATCH(Table222[[#This Row],[كد تفصيلي]],'چکهای دریافتنی'!A:A,0)),0)</f>
        <v>0</v>
      </c>
      <c r="F145" s="11">
        <f>Table222[[#This Row],[حسابهای دریافتنی]]+Table222[[#This Row],[چکهای در جریان وصول]]+Table222[[#This Row],[چکهای نزد صندوق]]</f>
        <v>-30178900</v>
      </c>
      <c r="G145" s="12">
        <f>IFERROR(INDEX('مانده سوفاله'!F:F,MATCH(Table222[[#This Row],[كد تفصيلي]],'مانده سوفاله'!A:A,0)),0)</f>
        <v>-79</v>
      </c>
    </row>
    <row r="146" spans="1:7" customFormat="1" ht="23.25" customHeight="1" x14ac:dyDescent="0.35">
      <c r="A146" s="53">
        <v>30064</v>
      </c>
      <c r="B146" s="68" t="s">
        <v>109</v>
      </c>
      <c r="C146" s="10">
        <f>IFERROR(INDEX('حسابهای دریافتنی'!H:H,MATCH(Table222[[#This Row],[كد تفصيلي]],'حسابهای دریافتنی'!A:A,0)),0)</f>
        <v>-49679500</v>
      </c>
      <c r="D146" s="11">
        <f>IFERROR(INDEX('درجریان وصول'!F:F,MATCH(Table222[[#This Row],[كد تفصيلي]],'درجریان وصول'!A:A,0)),0)</f>
        <v>0</v>
      </c>
      <c r="E146" s="11">
        <f>IFERROR(INDEX('چکهای دریافتنی'!F:F,MATCH(Table222[[#This Row],[كد تفصيلي]],'چکهای دریافتنی'!A:A,0)),0)</f>
        <v>0</v>
      </c>
      <c r="F146" s="11">
        <f>Table222[[#This Row],[حسابهای دریافتنی]]+Table222[[#This Row],[چکهای در جریان وصول]]+Table222[[#This Row],[چکهای نزد صندوق]]</f>
        <v>-49679500</v>
      </c>
      <c r="G146" s="12">
        <f>IFERROR(INDEX('مانده سوفاله'!F:F,MATCH(Table222[[#This Row],[كد تفصيلي]],'مانده سوفاله'!A:A,0)),0)</f>
        <v>0</v>
      </c>
    </row>
    <row r="147" spans="1:7" customFormat="1" ht="23.25" customHeight="1" x14ac:dyDescent="0.35">
      <c r="A147" s="54">
        <v>10123</v>
      </c>
      <c r="B147" s="69" t="s">
        <v>340</v>
      </c>
      <c r="C147" s="10">
        <f>IFERROR(INDEX('حسابهای دریافتنی'!H:H,MATCH(Table222[[#This Row],[كد تفصيلي]],'حسابهای دریافتنی'!A:A,0)),0)</f>
        <v>-50813000</v>
      </c>
      <c r="D147" s="11">
        <f>IFERROR(INDEX('درجریان وصول'!F:F,MATCH(Table222[[#This Row],[كد تفصيلي]],'درجریان وصول'!A:A,0)),0)</f>
        <v>0</v>
      </c>
      <c r="E147" s="11">
        <f>IFERROR(INDEX('چکهای دریافتنی'!F:F,MATCH(Table222[[#This Row],[كد تفصيلي]],'چکهای دریافتنی'!A:A,0)),0)</f>
        <v>0</v>
      </c>
      <c r="F147" s="11">
        <f>Table222[[#This Row],[حسابهای دریافتنی]]+Table222[[#This Row],[چکهای در جریان وصول]]+Table222[[#This Row],[چکهای نزد صندوق]]</f>
        <v>-50813000</v>
      </c>
      <c r="G147" s="12">
        <f>IFERROR(INDEX('مانده سوفاله'!F:F,MATCH(Table222[[#This Row],[كد تفصيلي]],'مانده سوفاله'!A:A,0)),0)</f>
        <v>0</v>
      </c>
    </row>
    <row r="148" spans="1:7" customFormat="1" ht="23.25" customHeight="1" x14ac:dyDescent="0.35">
      <c r="A148" s="54">
        <v>30000</v>
      </c>
      <c r="B148" s="69" t="s">
        <v>189</v>
      </c>
      <c r="C148" s="10">
        <f>IFERROR(INDEX('حسابهای دریافتنی'!H:H,MATCH(Table222[[#This Row],[كد تفصيلي]],'حسابهای دریافتنی'!A:A,0)),0)</f>
        <v>-55440000</v>
      </c>
      <c r="D148" s="11">
        <f>IFERROR(INDEX('درجریان وصول'!F:F,MATCH(Table222[[#This Row],[كد تفصيلي]],'درجریان وصول'!A:A,0)),0)</f>
        <v>0</v>
      </c>
      <c r="E148" s="11">
        <f>IFERROR(INDEX('چکهای دریافتنی'!F:F,MATCH(Table222[[#This Row],[كد تفصيلي]],'چکهای دریافتنی'!A:A,0)),0)</f>
        <v>0</v>
      </c>
      <c r="F148" s="11">
        <f>Table222[[#This Row],[حسابهای دریافتنی]]+Table222[[#This Row],[چکهای در جریان وصول]]+Table222[[#This Row],[چکهای نزد صندوق]]</f>
        <v>-55440000</v>
      </c>
      <c r="G148" s="12">
        <f>IFERROR(INDEX('مانده سوفاله'!F:F,MATCH(Table222[[#This Row],[كد تفصيلي]],'مانده سوفاله'!A:A,0)),0)</f>
        <v>0</v>
      </c>
    </row>
    <row r="149" spans="1:7" customFormat="1" ht="23.25" customHeight="1" x14ac:dyDescent="0.35">
      <c r="A149" s="53">
        <v>30003</v>
      </c>
      <c r="B149" s="68" t="s">
        <v>53</v>
      </c>
      <c r="C149" s="10">
        <f>IFERROR(INDEX('حسابهای دریافتنی'!H:H,MATCH(Table222[[#This Row],[كد تفصيلي]],'حسابهای دریافتنی'!A:A,0)),0)</f>
        <v>754765900</v>
      </c>
      <c r="D149" s="11">
        <f>IFERROR(INDEX('درجریان وصول'!F:F,MATCH(Table222[[#This Row],[كد تفصيلي]],'درجریان وصول'!A:A,0)),0)</f>
        <v>0</v>
      </c>
      <c r="E149" s="11">
        <f>IFERROR(INDEX('چکهای دریافتنی'!F:F,MATCH(Table222[[#This Row],[كد تفصيلي]],'چکهای دریافتنی'!A:A,0)),0)</f>
        <v>571000000</v>
      </c>
      <c r="F149" s="11">
        <f>Table222[[#This Row],[حسابهای دریافتنی]]+Table222[[#This Row],[چکهای در جریان وصول]]+Table222[[#This Row],[چکهای نزد صندوق]]</f>
        <v>1325765900</v>
      </c>
      <c r="G149" s="12">
        <f>IFERROR(INDEX('مانده سوفاله'!F:F,MATCH(Table222[[#This Row],[كد تفصيلي]],'مانده سوفاله'!A:A,0)),0)</f>
        <v>-3538</v>
      </c>
    </row>
    <row r="150" spans="1:7" customFormat="1" ht="23.25" customHeight="1" x14ac:dyDescent="0.35">
      <c r="A150" s="53">
        <v>10093</v>
      </c>
      <c r="B150" s="68" t="s">
        <v>264</v>
      </c>
      <c r="C150" s="10">
        <f>IFERROR(INDEX('حسابهای دریافتنی'!H:H,MATCH(Table222[[#This Row],[كد تفصيلي]],'حسابهای دریافتنی'!A:A,0)),0)</f>
        <v>-2214000</v>
      </c>
      <c r="D150" s="11">
        <f>IFERROR(INDEX('درجریان وصول'!F:F,MATCH(Table222[[#This Row],[كد تفصيلي]],'درجریان وصول'!A:A,0)),0)</f>
        <v>0</v>
      </c>
      <c r="E150" s="11">
        <f>IFERROR(INDEX('چکهای دریافتنی'!F:F,MATCH(Table222[[#This Row],[كد تفصيلي]],'چکهای دریافتنی'!A:A,0)),0)</f>
        <v>0</v>
      </c>
      <c r="F150" s="11">
        <f>Table222[[#This Row],[حسابهای دریافتنی]]+Table222[[#This Row],[چکهای در جریان وصول]]+Table222[[#This Row],[چکهای نزد صندوق]]</f>
        <v>-2214000</v>
      </c>
      <c r="G150" s="12">
        <f>IFERROR(INDEX('مانده سوفاله'!F:F,MATCH(Table222[[#This Row],[كد تفصيلي]],'مانده سوفاله'!A:A,0)),0)</f>
        <v>0</v>
      </c>
    </row>
    <row r="151" spans="1:7" customFormat="1" ht="23.25" customHeight="1" x14ac:dyDescent="0.35">
      <c r="A151" s="54">
        <v>30133</v>
      </c>
      <c r="B151" s="69" t="s">
        <v>251</v>
      </c>
      <c r="C151" s="10">
        <f>IFERROR(INDEX('حسابهای دریافتنی'!H:H,MATCH(Table222[[#This Row],[كد تفصيلي]],'حسابهای دریافتنی'!A:A,0)),0)</f>
        <v>-66889500</v>
      </c>
      <c r="D151" s="11">
        <f>IFERROR(INDEX('درجریان وصول'!F:F,MATCH(Table222[[#This Row],[كد تفصيلي]],'درجریان وصول'!A:A,0)),0)</f>
        <v>0</v>
      </c>
      <c r="E151" s="11">
        <f>IFERROR(INDEX('چکهای دریافتنی'!F:F,MATCH(Table222[[#This Row],[كد تفصيلي]],'چکهای دریافتنی'!A:A,0)),0)</f>
        <v>0</v>
      </c>
      <c r="F151" s="11">
        <f>Table222[[#This Row],[حسابهای دریافتنی]]+Table222[[#This Row],[چکهای در جریان وصول]]+Table222[[#This Row],[چکهای نزد صندوق]]</f>
        <v>-66889500</v>
      </c>
      <c r="G151" s="12">
        <f>IFERROR(INDEX('مانده سوفاله'!F:F,MATCH(Table222[[#This Row],[كد تفصيلي]],'مانده سوفاله'!A:A,0)),0)</f>
        <v>0</v>
      </c>
    </row>
    <row r="152" spans="1:7" customFormat="1" ht="23.25" customHeight="1" x14ac:dyDescent="0.35">
      <c r="A152" s="53">
        <v>10089</v>
      </c>
      <c r="B152" s="68" t="s">
        <v>255</v>
      </c>
      <c r="C152" s="10">
        <f>IFERROR(INDEX('حسابهای دریافتنی'!H:H,MATCH(Table222[[#This Row],[كد تفصيلي]],'حسابهای دریافتنی'!A:A,0)),0)</f>
        <v>-143944000</v>
      </c>
      <c r="D152" s="11">
        <f>IFERROR(INDEX('درجریان وصول'!F:F,MATCH(Table222[[#This Row],[كد تفصيلي]],'درجریان وصول'!A:A,0)),0)</f>
        <v>0</v>
      </c>
      <c r="E152" s="11">
        <f>IFERROR(INDEX('چکهای دریافتنی'!F:F,MATCH(Table222[[#This Row],[كد تفصيلي]],'چکهای دریافتنی'!A:A,0)),0)</f>
        <v>0</v>
      </c>
      <c r="F152" s="11">
        <f>Table222[[#This Row],[حسابهای دریافتنی]]+Table222[[#This Row],[چکهای در جریان وصول]]+Table222[[#This Row],[چکهای نزد صندوق]]</f>
        <v>-143944000</v>
      </c>
      <c r="G152" s="12">
        <f>IFERROR(INDEX('مانده سوفاله'!F:F,MATCH(Table222[[#This Row],[كد تفصيلي]],'مانده سوفاله'!A:A,0)),0)</f>
        <v>-948</v>
      </c>
    </row>
    <row r="153" spans="1:7" customFormat="1" ht="23.25" customHeight="1" x14ac:dyDescent="0.35">
      <c r="A153" s="54">
        <v>30169</v>
      </c>
      <c r="B153" s="69" t="s">
        <v>318</v>
      </c>
      <c r="C153" s="10">
        <f>IFERROR(INDEX('حسابهای دریافتنی'!H:H,MATCH(Table222[[#This Row],[كد تفصيلي]],'حسابهای دریافتنی'!A:A,0)),0)</f>
        <v>-658993316</v>
      </c>
      <c r="D153" s="11">
        <f>IFERROR(INDEX('درجریان وصول'!F:F,MATCH(Table222[[#This Row],[كد تفصيلي]],'درجریان وصول'!A:A,0)),0)</f>
        <v>0</v>
      </c>
      <c r="E153" s="11">
        <f>IFERROR(INDEX('چکهای دریافتنی'!F:F,MATCH(Table222[[#This Row],[كد تفصيلي]],'چکهای دریافتنی'!A:A,0)),0)</f>
        <v>2085000000</v>
      </c>
      <c r="F153" s="11">
        <f>Table222[[#This Row],[حسابهای دریافتنی]]+Table222[[#This Row],[چکهای در جریان وصول]]+Table222[[#This Row],[چکهای نزد صندوق]]</f>
        <v>1426006684</v>
      </c>
      <c r="G153" s="12">
        <f>IFERROR(INDEX('مانده سوفاله'!F:F,MATCH(Table222[[#This Row],[كد تفصيلي]],'مانده سوفاله'!A:A,0)),0)</f>
        <v>0</v>
      </c>
    </row>
    <row r="154" spans="1:7" customFormat="1" ht="23.25" customHeight="1" x14ac:dyDescent="0.35">
      <c r="A154" s="53">
        <v>30017</v>
      </c>
      <c r="B154" s="68" t="s">
        <v>65</v>
      </c>
      <c r="C154" s="10">
        <f>IFERROR(INDEX('حسابهای دریافتنی'!H:H,MATCH(Table222[[#This Row],[كد تفصيلي]],'حسابهای دریافتنی'!A:A,0)),0)</f>
        <v>905000830</v>
      </c>
      <c r="D154" s="11">
        <f>IFERROR(INDEX('درجریان وصول'!F:F,MATCH(Table222[[#This Row],[كد تفصيلي]],'درجریان وصول'!A:A,0)),0)</f>
        <v>0</v>
      </c>
      <c r="E154" s="11">
        <f>IFERROR(INDEX('چکهای دریافتنی'!F:F,MATCH(Table222[[#This Row],[كد تفصيلي]],'چکهای دریافتنی'!A:A,0)),0)</f>
        <v>0</v>
      </c>
      <c r="F154" s="11">
        <f>Table222[[#This Row],[حسابهای دریافتنی]]+Table222[[#This Row],[چکهای در جریان وصول]]+Table222[[#This Row],[چکهای نزد صندوق]]</f>
        <v>905000830</v>
      </c>
      <c r="G154" s="12">
        <f>IFERROR(INDEX('مانده سوفاله'!F:F,MATCH(Table222[[#This Row],[كد تفصيلي]],'مانده سوفاله'!A:A,0)),0)</f>
        <v>-2186</v>
      </c>
    </row>
    <row r="155" spans="1:7" customFormat="1" ht="23.25" customHeight="1" x14ac:dyDescent="0.35">
      <c r="A155" s="53">
        <v>10079</v>
      </c>
      <c r="B155" s="68" t="s">
        <v>174</v>
      </c>
      <c r="C155" s="10">
        <f>IFERROR(INDEX('حسابهای دریافتنی'!H:H,MATCH(Table222[[#This Row],[كد تفصيلي]],'حسابهای دریافتنی'!A:A,0)),0)</f>
        <v>-226593500</v>
      </c>
      <c r="D155" s="11">
        <f>IFERROR(INDEX('درجریان وصول'!F:F,MATCH(Table222[[#This Row],[كد تفصيلي]],'درجریان وصول'!A:A,0)),0)</f>
        <v>0</v>
      </c>
      <c r="E155" s="11">
        <f>IFERROR(INDEX('چکهای دریافتنی'!F:F,MATCH(Table222[[#This Row],[كد تفصيلي]],'چکهای دریافتنی'!A:A,0)),0)</f>
        <v>0</v>
      </c>
      <c r="F155" s="11">
        <f>Table222[[#This Row],[حسابهای دریافتنی]]+Table222[[#This Row],[چکهای در جریان وصول]]+Table222[[#This Row],[چکهای نزد صندوق]]</f>
        <v>-226593500</v>
      </c>
      <c r="G155" s="12">
        <f>IFERROR(INDEX('مانده سوفاله'!F:F,MATCH(Table222[[#This Row],[كد تفصيلي]],'مانده سوفاله'!A:A,0)),0)</f>
        <v>0</v>
      </c>
    </row>
    <row r="156" spans="1:7" customFormat="1" ht="23.25" customHeight="1" x14ac:dyDescent="0.35">
      <c r="A156" s="53">
        <v>50005</v>
      </c>
      <c r="B156" s="68" t="s">
        <v>148</v>
      </c>
      <c r="C156" s="10">
        <f>IFERROR(INDEX('حسابهای دریافتنی'!H:H,MATCH(Table222[[#This Row],[كد تفصيلي]],'حسابهای دریافتنی'!A:A,0)),0)</f>
        <v>0</v>
      </c>
      <c r="D156" s="11">
        <f>IFERROR(INDEX('درجریان وصول'!F:F,MATCH(Table222[[#This Row],[كد تفصيلي]],'درجریان وصول'!A:A,0)),0)</f>
        <v>0</v>
      </c>
      <c r="E156" s="11">
        <f>IFERROR(INDEX('چکهای دریافتنی'!F:F,MATCH(Table222[[#This Row],[كد تفصيلي]],'چکهای دریافتنی'!A:A,0)),0)</f>
        <v>0</v>
      </c>
      <c r="F156" s="11">
        <f>Table222[[#This Row],[حسابهای دریافتنی]]+Table222[[#This Row],[چکهای در جریان وصول]]+Table222[[#This Row],[چکهای نزد صندوق]]</f>
        <v>0</v>
      </c>
      <c r="G156" s="12">
        <f>IFERROR(INDEX('مانده سوفاله'!F:F,MATCH(Table222[[#This Row],[كد تفصيلي]],'مانده سوفاله'!A:A,0)),0)</f>
        <v>0</v>
      </c>
    </row>
    <row r="157" spans="1:7" customFormat="1" ht="23.25" customHeight="1" x14ac:dyDescent="0.35">
      <c r="A157" s="54">
        <v>30155</v>
      </c>
      <c r="B157" s="69" t="s">
        <v>289</v>
      </c>
      <c r="C157" s="10">
        <f>IFERROR(INDEX('حسابهای دریافتنی'!H:H,MATCH(Table222[[#This Row],[كد تفصيلي]],'حسابهای دریافتنی'!A:A,0)),0)</f>
        <v>-454985417</v>
      </c>
      <c r="D157" s="11">
        <f>IFERROR(INDEX('درجریان وصول'!F:F,MATCH(Table222[[#This Row],[كد تفصيلي]],'درجریان وصول'!A:A,0)),0)</f>
        <v>0</v>
      </c>
      <c r="E157" s="11">
        <f>IFERROR(INDEX('چکهای دریافتنی'!F:F,MATCH(Table222[[#This Row],[كد تفصيلي]],'چکهای دریافتنی'!A:A,0)),0)</f>
        <v>1379936267</v>
      </c>
      <c r="F157" s="11">
        <f>Table222[[#This Row],[حسابهای دریافتنی]]+Table222[[#This Row],[چکهای در جریان وصول]]+Table222[[#This Row],[چکهای نزد صندوق]]</f>
        <v>924950850</v>
      </c>
      <c r="G157" s="12">
        <f>IFERROR(INDEX('مانده سوفاله'!F:F,MATCH(Table222[[#This Row],[كد تفصيلي]],'مانده سوفاله'!A:A,0)),0)</f>
        <v>0</v>
      </c>
    </row>
    <row r="158" spans="1:7" customFormat="1" ht="23.25" customHeight="1" x14ac:dyDescent="0.35">
      <c r="A158" s="53">
        <v>10128</v>
      </c>
      <c r="B158" s="68" t="s">
        <v>372</v>
      </c>
      <c r="C158" s="10">
        <f>IFERROR(INDEX('حسابهای دریافتنی'!H:H,MATCH(Table222[[#This Row],[كد تفصيلي]],'حسابهای دریافتنی'!A:A,0)),0)</f>
        <v>-45000</v>
      </c>
      <c r="D158" s="11">
        <f>IFERROR(INDEX('درجریان وصول'!F:F,MATCH(Table222[[#This Row],[كد تفصيلي]],'درجریان وصول'!A:A,0)),0)</f>
        <v>0</v>
      </c>
      <c r="E158" s="11">
        <f>IFERROR(INDEX('چکهای دریافتنی'!F:F,MATCH(Table222[[#This Row],[كد تفصيلي]],'چکهای دریافتنی'!A:A,0)),0)</f>
        <v>0</v>
      </c>
      <c r="F158" s="11">
        <f>Table222[[#This Row],[حسابهای دریافتنی]]+Table222[[#This Row],[چکهای در جریان وصول]]+Table222[[#This Row],[چکهای نزد صندوق]]</f>
        <v>-45000</v>
      </c>
      <c r="G158" s="12">
        <f>IFERROR(INDEX('مانده سوفاله'!F:F,MATCH(Table222[[#This Row],[كد تفصيلي]],'مانده سوفاله'!A:A,0)),0)</f>
        <v>6</v>
      </c>
    </row>
    <row r="159" spans="1:7" customFormat="1" ht="23.25" customHeight="1" x14ac:dyDescent="0.35">
      <c r="A159" s="54">
        <v>50008</v>
      </c>
      <c r="B159" s="69" t="s">
        <v>146</v>
      </c>
      <c r="C159" s="10">
        <f>IFERROR(INDEX('حسابهای دریافتنی'!H:H,MATCH(Table222[[#This Row],[كد تفصيلي]],'حسابهای دریافتنی'!A:A,0)),0)</f>
        <v>-406230000</v>
      </c>
      <c r="D159" s="11">
        <f>IFERROR(INDEX('درجریان وصول'!F:F,MATCH(Table222[[#This Row],[كد تفصيلي]],'درجریان وصول'!A:A,0)),0)</f>
        <v>0</v>
      </c>
      <c r="E159" s="11">
        <f>IFERROR(INDEX('چکهای دریافتنی'!F:F,MATCH(Table222[[#This Row],[كد تفصيلي]],'چکهای دریافتنی'!A:A,0)),0)</f>
        <v>0</v>
      </c>
      <c r="F159" s="11">
        <f>Table222[[#This Row],[حسابهای دریافتنی]]+Table222[[#This Row],[چکهای در جریان وصول]]+Table222[[#This Row],[چکهای نزد صندوق]]</f>
        <v>-406230000</v>
      </c>
      <c r="G159" s="12">
        <f>IFERROR(INDEX('مانده سوفاله'!F:F,MATCH(Table222[[#This Row],[كد تفصيلي]],'مانده سوفاله'!A:A,0)),0)</f>
        <v>0</v>
      </c>
    </row>
    <row r="160" spans="1:7" ht="23.25" customHeight="1" x14ac:dyDescent="0.35">
      <c r="A160" s="26">
        <v>10097</v>
      </c>
      <c r="B160" s="68" t="s">
        <v>270</v>
      </c>
      <c r="C160" s="10">
        <f>IFERROR(INDEX('حسابهای دریافتنی'!H:H,MATCH(Table222[[#This Row],[كد تفصيلي]],'حسابهای دریافتنی'!A:A,0)),0)</f>
        <v>270642500</v>
      </c>
      <c r="D160" s="11">
        <f>IFERROR(INDEX('درجریان وصول'!F:F,MATCH(Table222[[#This Row],[كد تفصيلي]],'درجریان وصول'!A:A,0)),0)</f>
        <v>0</v>
      </c>
      <c r="E160" s="11">
        <f>IFERROR(INDEX('چکهای دریافتنی'!F:F,MATCH(Table222[[#This Row],[كد تفصيلي]],'چکهای دریافتنی'!A:A,0)),0)</f>
        <v>287000000</v>
      </c>
      <c r="F160" s="11">
        <f>Table222[[#This Row],[حسابهای دریافتنی]]+Table222[[#This Row],[چکهای در جریان وصول]]+Table222[[#This Row],[چکهای نزد صندوق]]</f>
        <v>557642500</v>
      </c>
      <c r="G160" s="12">
        <f>IFERROR(INDEX('مانده سوفاله'!F:F,MATCH(Table222[[#This Row],[كد تفصيلي]],'مانده سوفاله'!A:A,0)),0)</f>
        <v>0</v>
      </c>
    </row>
    <row r="161" spans="1:7" ht="23.25" customHeight="1" x14ac:dyDescent="0.35">
      <c r="A161" s="26">
        <v>30182</v>
      </c>
      <c r="B161" s="68" t="s">
        <v>342</v>
      </c>
      <c r="C161" s="10">
        <f>IFERROR(INDEX('حسابهای دریافتنی'!H:H,MATCH(Table222[[#This Row],[كد تفصيلي]],'حسابهای دریافتنی'!A:A,0)),0)</f>
        <v>-528256400</v>
      </c>
      <c r="D161" s="11">
        <f>IFERROR(INDEX('درجریان وصول'!F:F,MATCH(Table222[[#This Row],[كد تفصيلي]],'درجریان وصول'!A:A,0)),0)</f>
        <v>0</v>
      </c>
      <c r="E161" s="11">
        <f>IFERROR(INDEX('چکهای دریافتنی'!F:F,MATCH(Table222[[#This Row],[كد تفصيلي]],'چکهای دریافتنی'!A:A,0)),0)</f>
        <v>0</v>
      </c>
      <c r="F161" s="11">
        <f>Table222[[#This Row],[حسابهای دریافتنی]]+Table222[[#This Row],[چکهای در جریان وصول]]+Table222[[#This Row],[چکهای نزد صندوق]]</f>
        <v>-528256400</v>
      </c>
      <c r="G161" s="12">
        <f>IFERROR(INDEX('مانده سوفاله'!F:F,MATCH(Table222[[#This Row],[كد تفصيلي]],'مانده سوفاله'!A:A,0)),0)</f>
        <v>0</v>
      </c>
    </row>
    <row r="162" spans="1:7" ht="23.25" customHeight="1" x14ac:dyDescent="0.35">
      <c r="A162" s="27">
        <v>10119</v>
      </c>
      <c r="B162" s="69" t="s">
        <v>333</v>
      </c>
      <c r="C162" s="10">
        <f>IFERROR(INDEX('حسابهای دریافتنی'!H:H,MATCH(Table222[[#This Row],[كد تفصيلي]],'حسابهای دریافتنی'!A:A,0)),0)</f>
        <v>-2592000</v>
      </c>
      <c r="D162" s="11">
        <f>IFERROR(INDEX('درجریان وصول'!F:F,MATCH(Table222[[#This Row],[كد تفصيلي]],'درجریان وصول'!A:A,0)),0)</f>
        <v>0</v>
      </c>
      <c r="E162" s="11">
        <f>IFERROR(INDEX('چکهای دریافتنی'!F:F,MATCH(Table222[[#This Row],[كد تفصيلي]],'چکهای دریافتنی'!A:A,0)),0)</f>
        <v>0</v>
      </c>
      <c r="F162" s="11">
        <f>Table222[[#This Row],[حسابهای دریافتنی]]+Table222[[#This Row],[چکهای در جریان وصول]]+Table222[[#This Row],[چکهای نزد صندوق]]</f>
        <v>-2592000</v>
      </c>
      <c r="G162" s="12">
        <f>IFERROR(INDEX('مانده سوفاله'!F:F,MATCH(Table222[[#This Row],[كد تفصيلي]],'مانده سوفاله'!A:A,0)),0)</f>
        <v>353</v>
      </c>
    </row>
    <row r="163" spans="1:7" ht="23.25" customHeight="1" x14ac:dyDescent="0.35">
      <c r="A163" s="27">
        <v>30006</v>
      </c>
      <c r="B163" s="69" t="s">
        <v>56</v>
      </c>
      <c r="C163" s="10">
        <f>IFERROR(INDEX('حسابهای دریافتنی'!H:H,MATCH(Table222[[#This Row],[كد تفصيلي]],'حسابهای دریافتنی'!A:A,0)),0)</f>
        <v>-162677545</v>
      </c>
      <c r="D163" s="11">
        <f>IFERROR(INDEX('درجریان وصول'!F:F,MATCH(Table222[[#This Row],[كد تفصيلي]],'درجریان وصول'!A:A,0)),0)</f>
        <v>0</v>
      </c>
      <c r="E163" s="11">
        <f>IFERROR(INDEX('چکهای دریافتنی'!F:F,MATCH(Table222[[#This Row],[كد تفصيلي]],'چکهای دریافتنی'!A:A,0)),0)</f>
        <v>0</v>
      </c>
      <c r="F163" s="11">
        <f>Table222[[#This Row],[حسابهای دریافتنی]]+Table222[[#This Row],[چکهای در جریان وصول]]+Table222[[#This Row],[چکهای نزد صندوق]]</f>
        <v>-162677545</v>
      </c>
      <c r="G163" s="12">
        <f>IFERROR(INDEX('مانده سوفاله'!F:F,MATCH(Table222[[#This Row],[كد تفصيلي]],'مانده سوفاله'!A:A,0)),0)</f>
        <v>-6</v>
      </c>
    </row>
    <row r="164" spans="1:7" ht="23.25" customHeight="1" x14ac:dyDescent="0.35">
      <c r="A164" s="27">
        <v>30040</v>
      </c>
      <c r="B164" s="69" t="s">
        <v>87</v>
      </c>
      <c r="C164" s="10">
        <f>IFERROR(INDEX('حسابهای دریافتنی'!H:H,MATCH(Table222[[#This Row],[كد تفصيلي]],'حسابهای دریافتنی'!A:A,0)),0)</f>
        <v>0</v>
      </c>
      <c r="D164" s="11">
        <f>IFERROR(INDEX('درجریان وصول'!F:F,MATCH(Table222[[#This Row],[كد تفصيلي]],'درجریان وصول'!A:A,0)),0)</f>
        <v>0</v>
      </c>
      <c r="E164" s="11">
        <f>IFERROR(INDEX('چکهای دریافتنی'!F:F,MATCH(Table222[[#This Row],[كد تفصيلي]],'چکهای دریافتنی'!A:A,0)),0)</f>
        <v>0</v>
      </c>
      <c r="F164" s="11">
        <f>Table222[[#This Row],[حسابهای دریافتنی]]+Table222[[#This Row],[چکهای در جریان وصول]]+Table222[[#This Row],[چکهای نزد صندوق]]</f>
        <v>0</v>
      </c>
      <c r="G164" s="12">
        <f>IFERROR(INDEX('مانده سوفاله'!F:F,MATCH(Table222[[#This Row],[كد تفصيلي]],'مانده سوفاله'!A:A,0)),0)</f>
        <v>0</v>
      </c>
    </row>
    <row r="165" spans="1:7" ht="23.25" customHeight="1" x14ac:dyDescent="0.35">
      <c r="A165" s="26">
        <v>79120</v>
      </c>
      <c r="B165" s="68" t="s">
        <v>195</v>
      </c>
      <c r="C165" s="10">
        <f>IFERROR(INDEX('حسابهای دریافتنی'!H:H,MATCH(Table222[[#This Row],[كد تفصيلي]],'حسابهای دریافتنی'!A:A,0)),0)</f>
        <v>-15776160000</v>
      </c>
      <c r="D165" s="11">
        <f>IFERROR(INDEX('درجریان وصول'!F:F,MATCH(Table222[[#This Row],[كد تفصيلي]],'درجریان وصول'!A:A,0)),0)</f>
        <v>0</v>
      </c>
      <c r="E165" s="11">
        <f>IFERROR(INDEX('چکهای دریافتنی'!F:F,MATCH(Table222[[#This Row],[كد تفصيلي]],'چکهای دریافتنی'!A:A,0)),0)</f>
        <v>0</v>
      </c>
      <c r="F165" s="11">
        <f>Table222[[#This Row],[حسابهای دریافتنی]]+Table222[[#This Row],[چکهای در جریان وصول]]+Table222[[#This Row],[چکهای نزد صندوق]]</f>
        <v>-15776160000</v>
      </c>
      <c r="G165" s="12">
        <f>IFERROR(INDEX('مانده سوفاله'!F:F,MATCH(Table222[[#This Row],[كد تفصيلي]],'مانده سوفاله'!A:A,0)),0)</f>
        <v>0</v>
      </c>
    </row>
    <row r="166" spans="1:7" ht="23.25" customHeight="1" x14ac:dyDescent="0.35">
      <c r="A166" s="26">
        <v>10105</v>
      </c>
      <c r="B166" s="68" t="s">
        <v>294</v>
      </c>
      <c r="C166" s="10">
        <f>IFERROR(INDEX('حسابهای دریافتنی'!H:H,MATCH(Table222[[#This Row],[كد تفصيلي]],'حسابهای دریافتنی'!A:A,0)),0)</f>
        <v>7630000</v>
      </c>
      <c r="D166" s="11">
        <f>IFERROR(INDEX('درجریان وصول'!F:F,MATCH(Table222[[#This Row],[كد تفصيلي]],'درجریان وصول'!A:A,0)),0)</f>
        <v>0</v>
      </c>
      <c r="E166" s="11">
        <f>IFERROR(INDEX('چکهای دریافتنی'!F:F,MATCH(Table222[[#This Row],[كد تفصيلي]],'چکهای دریافتنی'!A:A,0)),0)</f>
        <v>0</v>
      </c>
      <c r="F166" s="11">
        <f>Table222[[#This Row],[حسابهای دریافتنی]]+Table222[[#This Row],[چکهای در جریان وصول]]+Table222[[#This Row],[چکهای نزد صندوق]]</f>
        <v>7630000</v>
      </c>
      <c r="G166" s="12">
        <f>IFERROR(INDEX('مانده سوفاله'!F:F,MATCH(Table222[[#This Row],[كد تفصيلي]],'مانده سوفاله'!A:A,0)),0)</f>
        <v>0</v>
      </c>
    </row>
    <row r="167" spans="1:7" ht="23.25" customHeight="1" x14ac:dyDescent="0.35">
      <c r="A167" s="26">
        <v>30098</v>
      </c>
      <c r="B167" s="68" t="s">
        <v>238</v>
      </c>
      <c r="C167" s="10">
        <f>IFERROR(INDEX('حسابهای دریافتنی'!H:H,MATCH(Table222[[#This Row],[كد تفصيلي]],'حسابهای دریافتنی'!A:A,0)),0)</f>
        <v>-45125000</v>
      </c>
      <c r="D167" s="11">
        <f>IFERROR(INDEX('درجریان وصول'!F:F,MATCH(Table222[[#This Row],[كد تفصيلي]],'درجریان وصول'!A:A,0)),0)</f>
        <v>0</v>
      </c>
      <c r="E167" s="11">
        <f>IFERROR(INDEX('چکهای دریافتنی'!F:F,MATCH(Table222[[#This Row],[كد تفصيلي]],'چکهای دریافتنی'!A:A,0)),0)</f>
        <v>0</v>
      </c>
      <c r="F167" s="11">
        <f>Table222[[#This Row],[حسابهای دریافتنی]]+Table222[[#This Row],[چکهای در جریان وصول]]+Table222[[#This Row],[چکهای نزد صندوق]]</f>
        <v>-45125000</v>
      </c>
      <c r="G167" s="12">
        <f>IFERROR(INDEX('مانده سوفاله'!F:F,MATCH(Table222[[#This Row],[كد تفصيلي]],'مانده سوفاله'!A:A,0)),0)</f>
        <v>0</v>
      </c>
    </row>
    <row r="168" spans="1:7" ht="23.25" customHeight="1" x14ac:dyDescent="0.35">
      <c r="A168" s="26">
        <v>10136</v>
      </c>
      <c r="B168" s="68" t="s">
        <v>491</v>
      </c>
      <c r="C168" s="10">
        <f>IFERROR(INDEX('حسابهای دریافتنی'!H:H,MATCH(Table222[[#This Row],[كد تفصيلي]],'حسابهای دریافتنی'!A:A,0)),0)</f>
        <v>0</v>
      </c>
      <c r="D168" s="11">
        <f>IFERROR(INDEX('درجریان وصول'!F:F,MATCH(Table222[[#This Row],[كد تفصيلي]],'درجریان وصول'!A:A,0)),0)</f>
        <v>0</v>
      </c>
      <c r="E168" s="11">
        <f>IFERROR(INDEX('چکهای دریافتنی'!F:F,MATCH(Table222[[#This Row],[كد تفصيلي]],'چکهای دریافتنی'!A:A,0)),0)</f>
        <v>0</v>
      </c>
      <c r="F168" s="11">
        <f>Table222[[#This Row],[حسابهای دریافتنی]]+Table222[[#This Row],[چکهای در جریان وصول]]+Table222[[#This Row],[چکهای نزد صندوق]]</f>
        <v>0</v>
      </c>
      <c r="G168" s="12">
        <f>IFERROR(INDEX('مانده سوفاله'!F:F,MATCH(Table222[[#This Row],[كد تفصيلي]],'مانده سوفاله'!A:A,0)),0)</f>
        <v>0</v>
      </c>
    </row>
    <row r="169" spans="1:7" ht="23.25" customHeight="1" x14ac:dyDescent="0.35">
      <c r="A169" s="27">
        <v>30131</v>
      </c>
      <c r="B169" s="69" t="s">
        <v>213</v>
      </c>
      <c r="C169" s="10">
        <f>IFERROR(INDEX('حسابهای دریافتنی'!H:H,MATCH(Table222[[#This Row],[كد تفصيلي]],'حسابهای دریافتنی'!A:A,0)),0)</f>
        <v>-6228486500</v>
      </c>
      <c r="D169" s="11">
        <f>IFERROR(INDEX('درجریان وصول'!F:F,MATCH(Table222[[#This Row],[كد تفصيلي]],'درجریان وصول'!A:A,0)),0)</f>
        <v>0</v>
      </c>
      <c r="E169" s="11">
        <f>IFERROR(INDEX('چکهای دریافتنی'!F:F,MATCH(Table222[[#This Row],[كد تفصيلي]],'چکهای دریافتنی'!A:A,0)),0)</f>
        <v>0</v>
      </c>
      <c r="F169" s="11">
        <f>Table222[[#This Row],[حسابهای دریافتنی]]+Table222[[#This Row],[چکهای در جریان وصول]]+Table222[[#This Row],[چکهای نزد صندوق]]</f>
        <v>-6228486500</v>
      </c>
      <c r="G169" s="12">
        <f>IFERROR(INDEX('مانده سوفاله'!F:F,MATCH(Table222[[#This Row],[كد تفصيلي]],'مانده سوفاله'!A:A,0)),0)</f>
        <v>222</v>
      </c>
    </row>
    <row r="170" spans="1:7" ht="23.25" customHeight="1" x14ac:dyDescent="0.35">
      <c r="A170" s="26">
        <v>30180</v>
      </c>
      <c r="B170" s="68" t="s">
        <v>406</v>
      </c>
      <c r="C170" s="10">
        <f>IFERROR(INDEX('حسابهای دریافتنی'!H:H,MATCH(Table222[[#This Row],[كد تفصيلي]],'حسابهای دریافتنی'!A:A,0)),0)</f>
        <v>0</v>
      </c>
      <c r="D170" s="11">
        <f>IFERROR(INDEX('درجریان وصول'!F:F,MATCH(Table222[[#This Row],[كد تفصيلي]],'درجریان وصول'!A:A,0)),0)</f>
        <v>0</v>
      </c>
      <c r="E170" s="11">
        <f>IFERROR(INDEX('چکهای دریافتنی'!F:F,MATCH(Table222[[#This Row],[كد تفصيلي]],'چکهای دریافتنی'!A:A,0)),0)</f>
        <v>0</v>
      </c>
      <c r="F170" s="11">
        <f>Table222[[#This Row],[حسابهای دریافتنی]]+Table222[[#This Row],[چکهای در جریان وصول]]+Table222[[#This Row],[چکهای نزد صندوق]]</f>
        <v>0</v>
      </c>
      <c r="G170" s="12">
        <f>IFERROR(INDEX('مانده سوفاله'!F:F,MATCH(Table222[[#This Row],[كد تفصيلي]],'مانده سوفاله'!A:A,0)),0)</f>
        <v>0</v>
      </c>
    </row>
    <row r="171" spans="1:7" ht="23.25" customHeight="1" x14ac:dyDescent="0.35">
      <c r="A171" s="26">
        <v>30146</v>
      </c>
      <c r="B171" s="68" t="s">
        <v>266</v>
      </c>
      <c r="C171" s="10">
        <f>IFERROR(INDEX('حسابهای دریافتنی'!H:H,MATCH(Table222[[#This Row],[كد تفصيلي]],'حسابهای دریافتنی'!A:A,0)),0)</f>
        <v>-4146512500</v>
      </c>
      <c r="D171" s="11">
        <f>IFERROR(INDEX('درجریان وصول'!F:F,MATCH(Table222[[#This Row],[كد تفصيلي]],'درجریان وصول'!A:A,0)),0)</f>
        <v>0</v>
      </c>
      <c r="E171" s="11">
        <f>IFERROR(INDEX('چکهای دریافتنی'!F:F,MATCH(Table222[[#This Row],[كد تفصيلي]],'چکهای دریافتنی'!A:A,0)),0)</f>
        <v>0</v>
      </c>
      <c r="F171" s="11">
        <f>Table222[[#This Row],[حسابهای دریافتنی]]+Table222[[#This Row],[چکهای در جریان وصول]]+Table222[[#This Row],[چکهای نزد صندوق]]</f>
        <v>-4146512500</v>
      </c>
      <c r="G171" s="12">
        <f>IFERROR(INDEX('مانده سوفاله'!F:F,MATCH(Table222[[#This Row],[كد تفصيلي]],'مانده سوفاله'!A:A,0)),0)</f>
        <v>2823</v>
      </c>
    </row>
    <row r="172" spans="1:7" ht="23.25" customHeight="1" x14ac:dyDescent="0.35">
      <c r="A172" s="26">
        <v>10009</v>
      </c>
      <c r="B172" s="68" t="s">
        <v>16</v>
      </c>
      <c r="C172" s="10">
        <f>IFERROR(INDEX('حسابهای دریافتنی'!H:H,MATCH(Table222[[#This Row],[كد تفصيلي]],'حسابهای دریافتنی'!A:A,0)),0)</f>
        <v>-4260580000</v>
      </c>
      <c r="D172" s="11">
        <f>IFERROR(INDEX('درجریان وصول'!F:F,MATCH(Table222[[#This Row],[كد تفصيلي]],'درجریان وصول'!A:A,0)),0)</f>
        <v>0</v>
      </c>
      <c r="E172" s="11">
        <f>IFERROR(INDEX('چکهای دریافتنی'!F:F,MATCH(Table222[[#This Row],[كد تفصيلي]],'چکهای دریافتنی'!A:A,0)),0)</f>
        <v>1600000000</v>
      </c>
      <c r="F172" s="11">
        <f>Table222[[#This Row],[حسابهای دریافتنی]]+Table222[[#This Row],[چکهای در جریان وصول]]+Table222[[#This Row],[چکهای نزد صندوق]]</f>
        <v>-2660580000</v>
      </c>
      <c r="G172" s="12">
        <f>IFERROR(INDEX('مانده سوفاله'!F:F,MATCH(Table222[[#This Row],[كد تفصيلي]],'مانده سوفاله'!A:A,0)),0)</f>
        <v>9952</v>
      </c>
    </row>
    <row r="173" spans="1:7" ht="23.25" customHeight="1" x14ac:dyDescent="0.35">
      <c r="A173" s="27">
        <v>79043</v>
      </c>
      <c r="B173" s="69" t="s">
        <v>156</v>
      </c>
      <c r="C173" s="10">
        <f>IFERROR(INDEX('حسابهای دریافتنی'!H:H,MATCH(Table222[[#This Row],[كد تفصيلي]],'حسابهای دریافتنی'!A:A,0)),0)</f>
        <v>-16110730000</v>
      </c>
      <c r="D173" s="11">
        <f>IFERROR(INDEX('درجریان وصول'!F:F,MATCH(Table222[[#This Row],[كد تفصيلي]],'درجریان وصول'!A:A,0)),0)</f>
        <v>0</v>
      </c>
      <c r="E173" s="11">
        <f>IFERROR(INDEX('چکهای دریافتنی'!F:F,MATCH(Table222[[#This Row],[كد تفصيلي]],'چکهای دریافتنی'!A:A,0)),0)</f>
        <v>0</v>
      </c>
      <c r="F173" s="11">
        <f>Table222[[#This Row],[حسابهای دریافتنی]]+Table222[[#This Row],[چکهای در جریان وصول]]+Table222[[#This Row],[چکهای نزد صندوق]]</f>
        <v>-16110730000</v>
      </c>
      <c r="G173" s="12">
        <f>IFERROR(INDEX('مانده سوفاله'!F:F,MATCH(Table222[[#This Row],[كد تفصيلي]],'مانده سوفاله'!A:A,0)),0)</f>
        <v>0</v>
      </c>
    </row>
    <row r="174" spans="1:7" ht="23.25" customHeight="1" x14ac:dyDescent="0.35">
      <c r="A174" s="36"/>
      <c r="B174" s="66"/>
      <c r="C174" s="38">
        <f>SUBTOTAL(109,Table222[حسابهای دریافتنی])</f>
        <v>56192065899</v>
      </c>
      <c r="D174" s="38">
        <f>SUBTOTAL(109,Table222[چکهای در جریان وصول])</f>
        <v>0</v>
      </c>
      <c r="E174" s="38">
        <f>SUBTOTAL(109,Table222[چکهای نزد صندوق])</f>
        <v>62080128942</v>
      </c>
      <c r="F174" s="38"/>
      <c r="G174" s="39">
        <f>SUBTOTAL(109,Table222[مانده سوفاله])</f>
        <v>-133989.5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75"/>
  <sheetViews>
    <sheetView rightToLeft="1" workbookViewId="0">
      <selection activeCell="A167" sqref="A167:XFD167"/>
    </sheetView>
  </sheetViews>
  <sheetFormatPr defaultColWidth="9.08984375" defaultRowHeight="27" customHeight="1" x14ac:dyDescent="0.35"/>
  <cols>
    <col min="1" max="1" width="14.36328125" style="65" customWidth="1"/>
    <col min="2" max="2" width="38" style="6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9" customHeight="1" thickBot="1" x14ac:dyDescent="0.4">
      <c r="A1" s="97" t="s">
        <v>512</v>
      </c>
      <c r="B1" s="98"/>
      <c r="C1" s="98"/>
      <c r="D1" s="98"/>
      <c r="E1" s="98"/>
      <c r="F1" s="98"/>
      <c r="G1" s="99"/>
    </row>
    <row r="2" spans="1:7" s="2" customFormat="1" ht="56.25" customHeight="1" x14ac:dyDescent="0.35">
      <c r="A2" s="61" t="s">
        <v>4</v>
      </c>
      <c r="B2" s="62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7" customHeight="1" x14ac:dyDescent="0.35">
      <c r="A3" s="27">
        <v>30127</v>
      </c>
      <c r="B3" s="55" t="s">
        <v>163</v>
      </c>
      <c r="C3" s="10">
        <f>IFERROR(INDEX('حسابهای دریافتنی'!H:H,MATCH(Table223[[#This Row],[كد تفصيلي]],'حسابهای دریافتنی'!A:A,0)),0)</f>
        <v>31800110000</v>
      </c>
      <c r="D3" s="11">
        <f>IFERROR(INDEX('درجریان وصول'!F:F,MATCH(Table223[[#This Row],[كد تفصيلي]],'درجریان وصول'!A:A,0)),0)</f>
        <v>0</v>
      </c>
      <c r="E3" s="11">
        <f>IFERROR(INDEX('چکهای دریافتنی'!F:F,MATCH(Table223[[#This Row],[كد تفصيلي]],'چکهای دریافتنی'!A:A,0)),0)</f>
        <v>0</v>
      </c>
      <c r="F3" s="11">
        <f>Table223[[#This Row],[حسابهای دریافتنی]]+Table223[[#This Row],[چکهای در جریان وصول]]+Table223[[#This Row],[چکهای نزد صندوق]]</f>
        <v>31800110000</v>
      </c>
      <c r="G3" s="12">
        <f>IFERROR(INDEX('مانده سوفاله'!F:F,MATCH(Table223[[#This Row],[كد تفصيلي]],'مانده سوفاله'!A:A,0)),0)</f>
        <v>-18472</v>
      </c>
    </row>
    <row r="4" spans="1:7" ht="27" customHeight="1" x14ac:dyDescent="0.35">
      <c r="A4" s="26">
        <v>10003</v>
      </c>
      <c r="B4" s="56" t="s">
        <v>10</v>
      </c>
      <c r="C4" s="10">
        <f>IFERROR(INDEX('حسابهای دریافتنی'!H:H,MATCH(Table223[[#This Row],[كد تفصيلي]],'حسابهای دریافتنی'!A:A,0)),0)</f>
        <v>10804267992</v>
      </c>
      <c r="D4" s="11">
        <f>IFERROR(INDEX('درجریان وصول'!F:F,MATCH(Table223[[#This Row],[كد تفصيلي]],'درجریان وصول'!A:A,0)),0)</f>
        <v>0</v>
      </c>
      <c r="E4" s="11">
        <f>IFERROR(INDEX('چکهای دریافتنی'!F:F,MATCH(Table223[[#This Row],[كد تفصيلي]],'چکهای دریافتنی'!A:A,0)),0)</f>
        <v>13698001280</v>
      </c>
      <c r="F4" s="11">
        <f>Table223[[#This Row],[حسابهای دریافتنی]]+Table223[[#This Row],[چکهای در جریان وصول]]+Table223[[#This Row],[چکهای نزد صندوق]]</f>
        <v>24502269272</v>
      </c>
      <c r="G4" s="12">
        <f>IFERROR(INDEX('مانده سوفاله'!F:F,MATCH(Table223[[#This Row],[كد تفصيلي]],'مانده سوفاله'!A:A,0)),0)</f>
        <v>-39886</v>
      </c>
    </row>
    <row r="5" spans="1:7" ht="27" customHeight="1" x14ac:dyDescent="0.35">
      <c r="A5" s="26">
        <v>10055</v>
      </c>
      <c r="B5" s="56" t="s">
        <v>162</v>
      </c>
      <c r="C5" s="10">
        <f>IFERROR(INDEX('حسابهای دریافتنی'!H:H,MATCH(Table223[[#This Row],[كد تفصيلي]],'حسابهای دریافتنی'!A:A,0)),0)</f>
        <v>10460111325</v>
      </c>
      <c r="D5" s="11">
        <f>IFERROR(INDEX('درجریان وصول'!F:F,MATCH(Table223[[#This Row],[كد تفصيلي]],'درجریان وصول'!A:A,0)),0)</f>
        <v>0</v>
      </c>
      <c r="E5" s="11">
        <f>IFERROR(INDEX('چکهای دریافتنی'!F:F,MATCH(Table223[[#This Row],[كد تفصيلي]],'چکهای دریافتنی'!A:A,0)),0)</f>
        <v>2783298655</v>
      </c>
      <c r="F5" s="11">
        <f>Table223[[#This Row],[حسابهای دریافتنی]]+Table223[[#This Row],[چکهای در جریان وصول]]+Table223[[#This Row],[چکهای نزد صندوق]]</f>
        <v>13243409980</v>
      </c>
      <c r="G5" s="12">
        <f>IFERROR(INDEX('مانده سوفاله'!F:F,MATCH(Table223[[#This Row],[كد تفصيلي]],'مانده سوفاله'!A:A,0)),0)</f>
        <v>-12714</v>
      </c>
    </row>
    <row r="6" spans="1:7" ht="27" customHeight="1" x14ac:dyDescent="0.35">
      <c r="A6" s="27">
        <v>30004</v>
      </c>
      <c r="B6" s="55" t="s">
        <v>54</v>
      </c>
      <c r="C6" s="10">
        <f>IFERROR(INDEX('حسابهای دریافتنی'!H:H,MATCH(Table223[[#This Row],[كد تفصيلي]],'حسابهای دریافتنی'!A:A,0)),0)</f>
        <v>7598548260</v>
      </c>
      <c r="D6" s="11">
        <f>IFERROR(INDEX('درجریان وصول'!F:F,MATCH(Table223[[#This Row],[كد تفصيلي]],'درجریان وصول'!A:A,0)),0)</f>
        <v>0</v>
      </c>
      <c r="E6" s="11">
        <f>IFERROR(INDEX('چکهای دریافتنی'!F:F,MATCH(Table223[[#This Row],[كد تفصيلي]],'چکهای دریافتنی'!A:A,0)),0)</f>
        <v>11698760000</v>
      </c>
      <c r="F6" s="11">
        <f>Table223[[#This Row],[حسابهای دریافتنی]]+Table223[[#This Row],[چکهای در جریان وصول]]+Table223[[#This Row],[چکهای نزد صندوق]]</f>
        <v>19297308260</v>
      </c>
      <c r="G6" s="12">
        <f>IFERROR(INDEX('مانده سوفاله'!F:F,MATCH(Table223[[#This Row],[كد تفصيلي]],'مانده سوفاله'!A:A,0)),0)</f>
        <v>-4237</v>
      </c>
    </row>
    <row r="7" spans="1:7" ht="27" customHeight="1" x14ac:dyDescent="0.35">
      <c r="A7" s="27">
        <v>10026</v>
      </c>
      <c r="B7" s="55" t="s">
        <v>32</v>
      </c>
      <c r="C7" s="10">
        <f>IFERROR(INDEX('حسابهای دریافتنی'!H:H,MATCH(Table223[[#This Row],[كد تفصيلي]],'حسابهای دریافتنی'!A:A,0)),0)</f>
        <v>3795031844</v>
      </c>
      <c r="D7" s="11">
        <f>IFERROR(INDEX('درجریان وصول'!F:F,MATCH(Table223[[#This Row],[كد تفصيلي]],'درجریان وصول'!A:A,0)),0)</f>
        <v>0</v>
      </c>
      <c r="E7" s="11">
        <f>IFERROR(INDEX('چکهای دریافتنی'!F:F,MATCH(Table223[[#This Row],[كد تفصيلي]],'چکهای دریافتنی'!A:A,0)),0)</f>
        <v>2690000000</v>
      </c>
      <c r="F7" s="11">
        <f>Table223[[#This Row],[حسابهای دریافتنی]]+Table223[[#This Row],[چکهای در جریان وصول]]+Table223[[#This Row],[چکهای نزد صندوق]]</f>
        <v>6485031844</v>
      </c>
      <c r="G7" s="12">
        <f>IFERROR(INDEX('مانده سوفاله'!F:F,MATCH(Table223[[#This Row],[كد تفصيلي]],'مانده سوفاله'!A:A,0)),0)</f>
        <v>-12543</v>
      </c>
    </row>
    <row r="8" spans="1:7" ht="27" customHeight="1" x14ac:dyDescent="0.35">
      <c r="A8" s="26">
        <v>30009</v>
      </c>
      <c r="B8" s="56" t="s">
        <v>164</v>
      </c>
      <c r="C8" s="10">
        <f>IFERROR(INDEX('حسابهای دریافتنی'!H:H,MATCH(Table223[[#This Row],[كد تفصيلي]],'حسابهای دریافتنی'!A:A,0)),0)</f>
        <v>7853844277</v>
      </c>
      <c r="D8" s="11">
        <f>IFERROR(INDEX('درجریان وصول'!F:F,MATCH(Table223[[#This Row],[كد تفصيلي]],'درجریان وصول'!A:A,0)),0)</f>
        <v>0</v>
      </c>
      <c r="E8" s="11">
        <f>IFERROR(INDEX('چکهای دریافتنی'!F:F,MATCH(Table223[[#This Row],[كد تفصيلي]],'چکهای دریافتنی'!A:A,0)),0)</f>
        <v>6474835380</v>
      </c>
      <c r="F8" s="11">
        <f>Table223[[#This Row],[حسابهای دریافتنی]]+Table223[[#This Row],[چکهای در جریان وصول]]+Table223[[#This Row],[چکهای نزد صندوق]]</f>
        <v>14328679657</v>
      </c>
      <c r="G8" s="12">
        <f>IFERROR(INDEX('مانده سوفاله'!F:F,MATCH(Table223[[#This Row],[كد تفصيلي]],'مانده سوفاله'!A:A,0)),0)</f>
        <v>-11452</v>
      </c>
    </row>
    <row r="9" spans="1:7" ht="27" customHeight="1" x14ac:dyDescent="0.35">
      <c r="A9" s="26">
        <v>30066</v>
      </c>
      <c r="B9" s="56" t="s">
        <v>111</v>
      </c>
      <c r="C9" s="10">
        <f>IFERROR(INDEX('حسابهای دریافتنی'!H:H,MATCH(Table223[[#This Row],[كد تفصيلي]],'حسابهای دریافتنی'!A:A,0)),0)</f>
        <v>6484147500</v>
      </c>
      <c r="D9" s="11">
        <f>IFERROR(INDEX('درجریان وصول'!F:F,MATCH(Table223[[#This Row],[كد تفصيلي]],'درجریان وصول'!A:A,0)),0)</f>
        <v>0</v>
      </c>
      <c r="E9" s="11">
        <f>IFERROR(INDEX('چکهای دریافتنی'!F:F,MATCH(Table223[[#This Row],[كد تفصيلي]],'چکهای دریافتنی'!A:A,0)),0)</f>
        <v>0</v>
      </c>
      <c r="F9" s="11">
        <f>Table223[[#This Row],[حسابهای دریافتنی]]+Table223[[#This Row],[چکهای در جریان وصول]]+Table223[[#This Row],[چکهای نزد صندوق]]</f>
        <v>6484147500</v>
      </c>
      <c r="G9" s="12">
        <f>IFERROR(INDEX('مانده سوفاله'!F:F,MATCH(Table223[[#This Row],[كد تفصيلي]],'مانده سوفاله'!A:A,0)),0)</f>
        <v>-1320</v>
      </c>
    </row>
    <row r="10" spans="1:7" ht="27" customHeight="1" x14ac:dyDescent="0.35">
      <c r="A10" s="27">
        <v>50016</v>
      </c>
      <c r="B10" s="55" t="s">
        <v>160</v>
      </c>
      <c r="C10" s="10">
        <f>IFERROR(INDEX('حسابهای دریافتنی'!H:H,MATCH(Table223[[#This Row],[كد تفصيلي]],'حسابهای دریافتنی'!A:A,0)),0)</f>
        <v>6344545550</v>
      </c>
      <c r="D10" s="11">
        <f>IFERROR(INDEX('درجریان وصول'!F:F,MATCH(Table223[[#This Row],[كد تفصيلي]],'درجریان وصول'!A:A,0)),0)</f>
        <v>0</v>
      </c>
      <c r="E10" s="11">
        <f>IFERROR(INDEX('چکهای دریافتنی'!F:F,MATCH(Table223[[#This Row],[كد تفصيلي]],'چکهای دریافتنی'!A:A,0)),0)</f>
        <v>0</v>
      </c>
      <c r="F10" s="11">
        <f>Table223[[#This Row],[حسابهای دریافتنی]]+Table223[[#This Row],[چکهای در جریان وصول]]+Table223[[#This Row],[چکهای نزد صندوق]]</f>
        <v>6344545550</v>
      </c>
      <c r="G10" s="12">
        <f>IFERROR(INDEX('مانده سوفاله'!F:F,MATCH(Table223[[#This Row],[كد تفصيلي]],'مانده سوفاله'!A:A,0)),0)</f>
        <v>5508</v>
      </c>
    </row>
    <row r="11" spans="1:7" ht="27" customHeight="1" x14ac:dyDescent="0.35">
      <c r="A11" s="27">
        <v>30099</v>
      </c>
      <c r="B11" s="55" t="s">
        <v>167</v>
      </c>
      <c r="C11" s="10">
        <f>IFERROR(INDEX('حسابهای دریافتنی'!H:H,MATCH(Table223[[#This Row],[كد تفصيلي]],'حسابهای دریافتنی'!A:A,0)),0)</f>
        <v>1398393484</v>
      </c>
      <c r="D11" s="11">
        <f>IFERROR(INDEX('درجریان وصول'!F:F,MATCH(Table223[[#This Row],[كد تفصيلي]],'درجریان وصول'!A:A,0)),0)</f>
        <v>0</v>
      </c>
      <c r="E11" s="11">
        <f>IFERROR(INDEX('چکهای دریافتنی'!F:F,MATCH(Table223[[#This Row],[كد تفصيلي]],'چکهای دریافتنی'!A:A,0)),0)</f>
        <v>583000000</v>
      </c>
      <c r="F11" s="11">
        <f>Table223[[#This Row],[حسابهای دریافتنی]]+Table223[[#This Row],[چکهای در جریان وصول]]+Table223[[#This Row],[چکهای نزد صندوق]]</f>
        <v>1981393484</v>
      </c>
      <c r="G11" s="12">
        <f>IFERROR(INDEX('مانده سوفاله'!F:F,MATCH(Table223[[#This Row],[كد تفصيلي]],'مانده سوفاله'!A:A,0)),0)</f>
        <v>-332</v>
      </c>
    </row>
    <row r="12" spans="1:7" ht="27" customHeight="1" x14ac:dyDescent="0.35">
      <c r="A12" s="27">
        <v>30022</v>
      </c>
      <c r="B12" s="55" t="s">
        <v>70</v>
      </c>
      <c r="C12" s="10">
        <f>IFERROR(INDEX('حسابهای دریافتنی'!H:H,MATCH(Table223[[#This Row],[كد تفصيلي]],'حسابهای دریافتنی'!A:A,0)),0)</f>
        <v>2933770530</v>
      </c>
      <c r="D12" s="11">
        <f>IFERROR(INDEX('درجریان وصول'!F:F,MATCH(Table223[[#This Row],[كد تفصيلي]],'درجریان وصول'!A:A,0)),0)</f>
        <v>0</v>
      </c>
      <c r="E12" s="11">
        <f>IFERROR(INDEX('چکهای دریافتنی'!F:F,MATCH(Table223[[#This Row],[كد تفصيلي]],'چکهای دریافتنی'!A:A,0)),0)</f>
        <v>0</v>
      </c>
      <c r="F12" s="11">
        <f>Table223[[#This Row],[حسابهای دریافتنی]]+Table223[[#This Row],[چکهای در جریان وصول]]+Table223[[#This Row],[چکهای نزد صندوق]]</f>
        <v>2933770530</v>
      </c>
      <c r="G12" s="12">
        <f>IFERROR(INDEX('مانده سوفاله'!F:F,MATCH(Table223[[#This Row],[كد تفصيلي]],'مانده سوفاله'!A:A,0)),0)</f>
        <v>-14747</v>
      </c>
    </row>
    <row r="13" spans="1:7" ht="27" customHeight="1" x14ac:dyDescent="0.35">
      <c r="A13" s="27">
        <v>30169</v>
      </c>
      <c r="B13" s="55" t="s">
        <v>318</v>
      </c>
      <c r="C13" s="10">
        <f>IFERROR(INDEX('حسابهای دریافتنی'!H:H,MATCH(Table223[[#This Row],[كد تفصيلي]],'حسابهای دریافتنی'!A:A,0)),0)</f>
        <v>-658993316</v>
      </c>
      <c r="D13" s="11">
        <f>IFERROR(INDEX('درجریان وصول'!F:F,MATCH(Table223[[#This Row],[كد تفصيلي]],'درجریان وصول'!A:A,0)),0)</f>
        <v>0</v>
      </c>
      <c r="E13" s="11">
        <f>IFERROR(INDEX('چکهای دریافتنی'!F:F,MATCH(Table223[[#This Row],[كد تفصيلي]],'چکهای دریافتنی'!A:A,0)),0)</f>
        <v>2085000000</v>
      </c>
      <c r="F13" s="11">
        <f>Table223[[#This Row],[حسابهای دریافتنی]]+Table223[[#This Row],[چکهای در جریان وصول]]+Table223[[#This Row],[چکهای نزد صندوق]]</f>
        <v>1426006684</v>
      </c>
      <c r="G13" s="12">
        <f>IFERROR(INDEX('مانده سوفاله'!F:F,MATCH(Table223[[#This Row],[كد تفصيلي]],'مانده سوفاله'!A:A,0)),0)</f>
        <v>0</v>
      </c>
    </row>
    <row r="14" spans="1:7" ht="27" customHeight="1" x14ac:dyDescent="0.35">
      <c r="A14" s="27">
        <v>30191</v>
      </c>
      <c r="B14" s="55" t="s">
        <v>460</v>
      </c>
      <c r="C14" s="10">
        <f>IFERROR(INDEX('حسابهای دریافتنی'!H:H,MATCH(Table223[[#This Row],[كد تفصيلي]],'حسابهای دریافتنی'!A:A,0)),0)</f>
        <v>792933000</v>
      </c>
      <c r="D14" s="11">
        <f>IFERROR(INDEX('درجریان وصول'!F:F,MATCH(Table223[[#This Row],[كد تفصيلي]],'درجریان وصول'!A:A,0)),0)</f>
        <v>0</v>
      </c>
      <c r="E14" s="11">
        <f>IFERROR(INDEX('چکهای دریافتنی'!F:F,MATCH(Table223[[#This Row],[كد تفصيلي]],'چکهای دریافتنی'!A:A,0)),0)</f>
        <v>0</v>
      </c>
      <c r="F14" s="11">
        <f>Table223[[#This Row],[حسابهای دریافتنی]]+Table223[[#This Row],[چکهای در جریان وصول]]+Table223[[#This Row],[چکهای نزد صندوق]]</f>
        <v>792933000</v>
      </c>
      <c r="G14" s="12">
        <f>IFERROR(INDEX('مانده سوفاله'!F:F,MATCH(Table223[[#This Row],[كد تفصيلي]],'مانده سوفاله'!A:A,0)),0)</f>
        <v>134</v>
      </c>
    </row>
    <row r="15" spans="1:7" ht="27" customHeight="1" x14ac:dyDescent="0.35">
      <c r="A15" s="27">
        <v>30014</v>
      </c>
      <c r="B15" s="55" t="s">
        <v>63</v>
      </c>
      <c r="C15" s="10">
        <f>IFERROR(INDEX('حسابهای دریافتنی'!H:H,MATCH(Table223[[#This Row],[كد تفصيلي]],'حسابهای دریافتنی'!A:A,0)),0)</f>
        <v>1762223932</v>
      </c>
      <c r="D15" s="11">
        <f>IFERROR(INDEX('درجریان وصول'!F:F,MATCH(Table223[[#This Row],[كد تفصيلي]],'درجریان وصول'!A:A,0)),0)</f>
        <v>0</v>
      </c>
      <c r="E15" s="11">
        <f>IFERROR(INDEX('چکهای دریافتنی'!F:F,MATCH(Table223[[#This Row],[كد تفصيلي]],'چکهای دریافتنی'!A:A,0)),0)</f>
        <v>0</v>
      </c>
      <c r="F15" s="11">
        <f>Table223[[#This Row],[حسابهای دریافتنی]]+Table223[[#This Row],[چکهای در جریان وصول]]+Table223[[#This Row],[چکهای نزد صندوق]]</f>
        <v>1762223932</v>
      </c>
      <c r="G15" s="12">
        <f>IFERROR(INDEX('مانده سوفاله'!F:F,MATCH(Table223[[#This Row],[كد تفصيلي]],'مانده سوفاله'!A:A,0)),0)</f>
        <v>-1368</v>
      </c>
    </row>
    <row r="16" spans="1:7" ht="27" customHeight="1" x14ac:dyDescent="0.35">
      <c r="A16" s="27">
        <v>10020</v>
      </c>
      <c r="B16" s="55" t="s">
        <v>27</v>
      </c>
      <c r="C16" s="10">
        <f>IFERROR(INDEX('حسابهای دریافتنی'!H:H,MATCH(Table223[[#This Row],[كد تفصيلي]],'حسابهای دریافتنی'!A:A,0)),0)</f>
        <v>57999963</v>
      </c>
      <c r="D16" s="11">
        <f>IFERROR(INDEX('درجریان وصول'!F:F,MATCH(Table223[[#This Row],[كد تفصيلي]],'درجریان وصول'!A:A,0)),0)</f>
        <v>0</v>
      </c>
      <c r="E16" s="11">
        <f>IFERROR(INDEX('چکهای دریافتنی'!F:F,MATCH(Table223[[#This Row],[كد تفصيلي]],'چکهای دریافتنی'!A:A,0)),0)</f>
        <v>728000000</v>
      </c>
      <c r="F16" s="11">
        <f>Table223[[#This Row],[حسابهای دریافتنی]]+Table223[[#This Row],[چکهای در جریان وصول]]+Table223[[#This Row],[چکهای نزد صندوق]]</f>
        <v>785999963</v>
      </c>
      <c r="G16" s="12">
        <f>IFERROR(INDEX('مانده سوفاله'!F:F,MATCH(Table223[[#This Row],[كد تفصيلي]],'مانده سوفاله'!A:A,0)),0)</f>
        <v>-1031</v>
      </c>
    </row>
    <row r="17" spans="1:7" ht="27" customHeight="1" x14ac:dyDescent="0.35">
      <c r="A17" s="26">
        <v>30058</v>
      </c>
      <c r="B17" s="56" t="s">
        <v>103</v>
      </c>
      <c r="C17" s="10">
        <f>IFERROR(INDEX('حسابهای دریافتنی'!H:H,MATCH(Table223[[#This Row],[كد تفصيلي]],'حسابهای دریافتنی'!A:A,0)),0)</f>
        <v>1700045560</v>
      </c>
      <c r="D17" s="11">
        <f>IFERROR(INDEX('درجریان وصول'!F:F,MATCH(Table223[[#This Row],[كد تفصيلي]],'درجریان وصول'!A:A,0)),0)</f>
        <v>0</v>
      </c>
      <c r="E17" s="11">
        <f>IFERROR(INDEX('چکهای دریافتنی'!F:F,MATCH(Table223[[#This Row],[كد تفصيلي]],'چکهای دریافتنی'!A:A,0)),0)</f>
        <v>0</v>
      </c>
      <c r="F17" s="11">
        <f>Table223[[#This Row],[حسابهای دریافتنی]]+Table223[[#This Row],[چکهای در جریان وصول]]+Table223[[#This Row],[چکهای نزد صندوق]]</f>
        <v>1700045560</v>
      </c>
      <c r="G17" s="12">
        <f>IFERROR(INDEX('مانده سوفاله'!F:F,MATCH(Table223[[#This Row],[كد تفصيلي]],'مانده سوفاله'!A:A,0)),0)</f>
        <v>-225</v>
      </c>
    </row>
    <row r="18" spans="1:7" ht="27" customHeight="1" x14ac:dyDescent="0.35">
      <c r="A18" s="26">
        <v>10101</v>
      </c>
      <c r="B18" s="56" t="s">
        <v>281</v>
      </c>
      <c r="C18" s="10">
        <f>IFERROR(INDEX('حسابهای دریافتنی'!H:H,MATCH(Table223[[#This Row],[كد تفصيلي]],'حسابهای دریافتنی'!A:A,0)),0)</f>
        <v>0</v>
      </c>
      <c r="D18" s="11">
        <f>IFERROR(INDEX('درجریان وصول'!F:F,MATCH(Table223[[#This Row],[كد تفصيلي]],'درجریان وصول'!A:A,0)),0)</f>
        <v>0</v>
      </c>
      <c r="E18" s="11">
        <f>IFERROR(INDEX('چکهای دریافتنی'!F:F,MATCH(Table223[[#This Row],[كد تفصيلي]],'چکهای دریافتنی'!A:A,0)),0)</f>
        <v>0</v>
      </c>
      <c r="F18" s="11">
        <f>Table223[[#This Row],[حسابهای دریافتنی]]+Table223[[#This Row],[چکهای در جریان وصول]]+Table223[[#This Row],[چکهای نزد صندوق]]</f>
        <v>0</v>
      </c>
      <c r="G18" s="12">
        <f>IFERROR(INDEX('مانده سوفاله'!F:F,MATCH(Table223[[#This Row],[كد تفصيلي]],'مانده سوفاله'!A:A,0)),0)</f>
        <v>0</v>
      </c>
    </row>
    <row r="19" spans="1:7" ht="27" customHeight="1" x14ac:dyDescent="0.35">
      <c r="A19" s="26">
        <v>30186</v>
      </c>
      <c r="B19" s="56" t="s">
        <v>367</v>
      </c>
      <c r="C19" s="10">
        <f>IFERROR(INDEX('حسابهای دریافتنی'!H:H,MATCH(Table223[[#This Row],[كد تفصيلي]],'حسابهای دریافتنی'!A:A,0)),0)</f>
        <v>986425000</v>
      </c>
      <c r="D19" s="11">
        <f>IFERROR(INDEX('درجریان وصول'!F:F,MATCH(Table223[[#This Row],[كد تفصيلي]],'درجریان وصول'!A:A,0)),0)</f>
        <v>0</v>
      </c>
      <c r="E19" s="11">
        <f>IFERROR(INDEX('چکهای دریافتنی'!F:F,MATCH(Table223[[#This Row],[كد تفصيلي]],'چکهای دریافتنی'!A:A,0)),0)</f>
        <v>5982430000</v>
      </c>
      <c r="F19" s="11">
        <f>Table223[[#This Row],[حسابهای دریافتنی]]+Table223[[#This Row],[چکهای در جریان وصول]]+Table223[[#This Row],[چکهای نزد صندوق]]</f>
        <v>6968855000</v>
      </c>
      <c r="G19" s="12">
        <f>IFERROR(INDEX('مانده سوفاله'!F:F,MATCH(Table223[[#This Row],[كد تفصيلي]],'مانده سوفاله'!A:A,0)),0)</f>
        <v>-7388</v>
      </c>
    </row>
    <row r="20" spans="1:7" ht="27" customHeight="1" x14ac:dyDescent="0.35">
      <c r="A20" s="26">
        <v>10057</v>
      </c>
      <c r="B20" s="56" t="s">
        <v>225</v>
      </c>
      <c r="C20" s="10">
        <f>IFERROR(INDEX('حسابهای دریافتنی'!H:H,MATCH(Table223[[#This Row],[كد تفصيلي]],'حسابهای دریافتنی'!A:A,0)),0)</f>
        <v>1390485500</v>
      </c>
      <c r="D20" s="11">
        <f>IFERROR(INDEX('درجریان وصول'!F:F,MATCH(Table223[[#This Row],[كد تفصيلي]],'درجریان وصول'!A:A,0)),0)</f>
        <v>0</v>
      </c>
      <c r="E20" s="11">
        <f>IFERROR(INDEX('چکهای دریافتنی'!F:F,MATCH(Table223[[#This Row],[كد تفصيلي]],'چکهای دریافتنی'!A:A,0)),0)</f>
        <v>0</v>
      </c>
      <c r="F20" s="11">
        <f>Table223[[#This Row],[حسابهای دریافتنی]]+Table223[[#This Row],[چکهای در جریان وصول]]+Table223[[#This Row],[چکهای نزد صندوق]]</f>
        <v>1390485500</v>
      </c>
      <c r="G20" s="12">
        <f>IFERROR(INDEX('مانده سوفاله'!F:F,MATCH(Table223[[#This Row],[كد تفصيلي]],'مانده سوفاله'!A:A,0)),0)</f>
        <v>-2044</v>
      </c>
    </row>
    <row r="21" spans="1:7" ht="27" customHeight="1" x14ac:dyDescent="0.35">
      <c r="A21" s="27">
        <v>30012</v>
      </c>
      <c r="B21" s="55" t="s">
        <v>61</v>
      </c>
      <c r="C21" s="10">
        <f>IFERROR(INDEX('حسابهای دریافتنی'!H:H,MATCH(Table223[[#This Row],[كد تفصيلي]],'حسابهای دریافتنی'!A:A,0)),0)</f>
        <v>-46099000</v>
      </c>
      <c r="D21" s="11">
        <f>IFERROR(INDEX('درجریان وصول'!F:F,MATCH(Table223[[#This Row],[كد تفصيلي]],'درجریان وصول'!A:A,0)),0)</f>
        <v>0</v>
      </c>
      <c r="E21" s="11">
        <f>IFERROR(INDEX('چکهای دریافتنی'!F:F,MATCH(Table223[[#This Row],[كد تفصيلي]],'چکهای دریافتنی'!A:A,0)),0)</f>
        <v>348650000</v>
      </c>
      <c r="F21" s="11">
        <f>Table223[[#This Row],[حسابهای دریافتنی]]+Table223[[#This Row],[چکهای در جریان وصول]]+Table223[[#This Row],[چکهای نزد صندوق]]</f>
        <v>302551000</v>
      </c>
      <c r="G21" s="12">
        <f>IFERROR(INDEX('مانده سوفاله'!F:F,MATCH(Table223[[#This Row],[كد تفصيلي]],'مانده سوفاله'!A:A,0)),0)</f>
        <v>141</v>
      </c>
    </row>
    <row r="22" spans="1:7" ht="27" customHeight="1" x14ac:dyDescent="0.35">
      <c r="A22" s="27">
        <v>10008</v>
      </c>
      <c r="B22" s="55" t="s">
        <v>15</v>
      </c>
      <c r="C22" s="10">
        <f>IFERROR(INDEX('حسابهای دریافتنی'!H:H,MATCH(Table223[[#This Row],[كد تفصيلي]],'حسابهای دریافتنی'!A:A,0)),0)</f>
        <v>597342000</v>
      </c>
      <c r="D22" s="11">
        <f>IFERROR(INDEX('درجریان وصول'!F:F,MATCH(Table223[[#This Row],[كد تفصيلي]],'درجریان وصول'!A:A,0)),0)</f>
        <v>0</v>
      </c>
      <c r="E22" s="11">
        <f>IFERROR(INDEX('چکهای دریافتنی'!F:F,MATCH(Table223[[#This Row],[كد تفصيلي]],'چکهای دریافتنی'!A:A,0)),0)</f>
        <v>0</v>
      </c>
      <c r="F22" s="11">
        <f>Table223[[#This Row],[حسابهای دریافتنی]]+Table223[[#This Row],[چکهای در جریان وصول]]+Table223[[#This Row],[چکهای نزد صندوق]]</f>
        <v>597342000</v>
      </c>
      <c r="G22" s="12">
        <f>IFERROR(INDEX('مانده سوفاله'!F:F,MATCH(Table223[[#This Row],[كد تفصيلي]],'مانده سوفاله'!A:A,0)),0)</f>
        <v>-578</v>
      </c>
    </row>
    <row r="23" spans="1:7" ht="27" customHeight="1" x14ac:dyDescent="0.35">
      <c r="A23" s="27">
        <v>10070</v>
      </c>
      <c r="B23" s="55" t="s">
        <v>230</v>
      </c>
      <c r="C23" s="10">
        <f>IFERROR(INDEX('حسابهای دریافتنی'!H:H,MATCH(Table223[[#This Row],[كد تفصيلي]],'حسابهای دریافتنی'!A:A,0)),0)</f>
        <v>508152500</v>
      </c>
      <c r="D23" s="11">
        <f>IFERROR(INDEX('درجریان وصول'!F:F,MATCH(Table223[[#This Row],[كد تفصيلي]],'درجریان وصول'!A:A,0)),0)</f>
        <v>0</v>
      </c>
      <c r="E23" s="11">
        <f>IFERROR(INDEX('چکهای دریافتنی'!F:F,MATCH(Table223[[#This Row],[كد تفصيلي]],'چکهای دریافتنی'!A:A,0)),0)</f>
        <v>570000000</v>
      </c>
      <c r="F23" s="11">
        <f>Table223[[#This Row],[حسابهای دریافتنی]]+Table223[[#This Row],[چکهای در جریان وصول]]+Table223[[#This Row],[چکهای نزد صندوق]]</f>
        <v>1078152500</v>
      </c>
      <c r="G23" s="12">
        <f>IFERROR(INDEX('مانده سوفاله'!F:F,MATCH(Table223[[#This Row],[كد تفصيلي]],'مانده سوفاله'!A:A,0)),0)</f>
        <v>-3170</v>
      </c>
    </row>
    <row r="24" spans="1:7" ht="27" customHeight="1" x14ac:dyDescent="0.35">
      <c r="A24" s="27">
        <v>30018</v>
      </c>
      <c r="B24" s="55" t="s">
        <v>66</v>
      </c>
      <c r="C24" s="10">
        <f>IFERROR(INDEX('حسابهای دریافتنی'!H:H,MATCH(Table223[[#This Row],[كد تفصيلي]],'حسابهای دریافتنی'!A:A,0)),0)</f>
        <v>1901077182</v>
      </c>
      <c r="D24" s="11">
        <f>IFERROR(INDEX('درجریان وصول'!F:F,MATCH(Table223[[#This Row],[كد تفصيلي]],'درجریان وصول'!A:A,0)),0)</f>
        <v>0</v>
      </c>
      <c r="E24" s="11">
        <f>IFERROR(INDEX('چکهای دریافتنی'!F:F,MATCH(Table223[[#This Row],[كد تفصيلي]],'چکهای دریافتنی'!A:A,0)),0)</f>
        <v>0</v>
      </c>
      <c r="F24" s="11">
        <f>Table223[[#This Row],[حسابهای دریافتنی]]+Table223[[#This Row],[چکهای در جریان وصول]]+Table223[[#This Row],[چکهای نزد صندوق]]</f>
        <v>1901077182</v>
      </c>
      <c r="G24" s="12">
        <f>IFERROR(INDEX('مانده سوفاله'!F:F,MATCH(Table223[[#This Row],[كد تفصيلي]],'مانده سوفاله'!A:A,0)),0)</f>
        <v>-3024</v>
      </c>
    </row>
    <row r="25" spans="1:7" ht="27" customHeight="1" x14ac:dyDescent="0.35">
      <c r="A25" s="26">
        <v>10097</v>
      </c>
      <c r="B25" s="56" t="s">
        <v>270</v>
      </c>
      <c r="C25" s="10">
        <f>IFERROR(INDEX('حسابهای دریافتنی'!H:H,MATCH(Table223[[#This Row],[كد تفصيلي]],'حسابهای دریافتنی'!A:A,0)),0)</f>
        <v>270642500</v>
      </c>
      <c r="D25" s="11">
        <f>IFERROR(INDEX('درجریان وصول'!F:F,MATCH(Table223[[#This Row],[كد تفصيلي]],'درجریان وصول'!A:A,0)),0)</f>
        <v>0</v>
      </c>
      <c r="E25" s="11">
        <f>IFERROR(INDEX('چکهای دریافتنی'!F:F,MATCH(Table223[[#This Row],[كد تفصيلي]],'چکهای دریافتنی'!A:A,0)),0)</f>
        <v>287000000</v>
      </c>
      <c r="F25" s="11">
        <f>Table223[[#This Row],[حسابهای دریافتنی]]+Table223[[#This Row],[چکهای در جریان وصول]]+Table223[[#This Row],[چکهای نزد صندوق]]</f>
        <v>557642500</v>
      </c>
      <c r="G25" s="12">
        <f>IFERROR(INDEX('مانده سوفاله'!F:F,MATCH(Table223[[#This Row],[كد تفصيلي]],'مانده سوفاله'!A:A,0)),0)</f>
        <v>0</v>
      </c>
    </row>
    <row r="26" spans="1:7" ht="27" customHeight="1" x14ac:dyDescent="0.35">
      <c r="A26" s="27">
        <v>30069</v>
      </c>
      <c r="B26" s="55" t="s">
        <v>114</v>
      </c>
      <c r="C26" s="10">
        <f>IFERROR(INDEX('حسابهای دریافتنی'!H:H,MATCH(Table223[[#This Row],[كد تفصيلي]],'حسابهای دریافتنی'!A:A,0)),0)</f>
        <v>377909400</v>
      </c>
      <c r="D26" s="11">
        <f>IFERROR(INDEX('درجریان وصول'!F:F,MATCH(Table223[[#This Row],[كد تفصيلي]],'درجریان وصول'!A:A,0)),0)</f>
        <v>0</v>
      </c>
      <c r="E26" s="11">
        <f>IFERROR(INDEX('چکهای دریافتنی'!F:F,MATCH(Table223[[#This Row],[كد تفصيلي]],'چکهای دریافتنی'!A:A,0)),0)</f>
        <v>0</v>
      </c>
      <c r="F26" s="11">
        <f>Table223[[#This Row],[حسابهای دریافتنی]]+Table223[[#This Row],[چکهای در جریان وصول]]+Table223[[#This Row],[چکهای نزد صندوق]]</f>
        <v>377909400</v>
      </c>
      <c r="G26" s="12">
        <f>IFERROR(INDEX('مانده سوفاله'!F:F,MATCH(Table223[[#This Row],[كد تفصيلي]],'مانده سوفاله'!A:A,0)),0)</f>
        <v>66</v>
      </c>
    </row>
    <row r="27" spans="1:7" ht="27" customHeight="1" x14ac:dyDescent="0.35">
      <c r="A27" s="27">
        <v>10127</v>
      </c>
      <c r="B27" s="55" t="s">
        <v>371</v>
      </c>
      <c r="C27" s="10">
        <f>IFERROR(INDEX('حسابهای دریافتنی'!H:H,MATCH(Table223[[#This Row],[كد تفصيلي]],'حسابهای دریافتنی'!A:A,0)),0)</f>
        <v>803728000</v>
      </c>
      <c r="D27" s="11">
        <f>IFERROR(INDEX('درجریان وصول'!F:F,MATCH(Table223[[#This Row],[كد تفصيلي]],'درجریان وصول'!A:A,0)),0)</f>
        <v>0</v>
      </c>
      <c r="E27" s="11">
        <f>IFERROR(INDEX('چکهای دریافتنی'!F:F,MATCH(Table223[[#This Row],[كد تفصيلي]],'چکهای دریافتنی'!A:A,0)),0)</f>
        <v>0</v>
      </c>
      <c r="F27" s="11">
        <f>Table223[[#This Row],[حسابهای دریافتنی]]+Table223[[#This Row],[چکهای در جریان وصول]]+Table223[[#This Row],[چکهای نزد صندوق]]</f>
        <v>803728000</v>
      </c>
      <c r="G27" s="12">
        <f>IFERROR(INDEX('مانده سوفاله'!F:F,MATCH(Table223[[#This Row],[كد تفصيلي]],'مانده سوفاله'!A:A,0)),0)</f>
        <v>-1469</v>
      </c>
    </row>
    <row r="28" spans="1:7" ht="27" customHeight="1" x14ac:dyDescent="0.35">
      <c r="A28" s="27">
        <v>30055</v>
      </c>
      <c r="B28" s="55" t="s">
        <v>100</v>
      </c>
      <c r="C28" s="10">
        <f>IFERROR(INDEX('حسابهای دریافتنی'!H:H,MATCH(Table223[[#This Row],[كد تفصيلي]],'حسابهای دریافتنی'!A:A,0)),0)</f>
        <v>0</v>
      </c>
      <c r="D28" s="11">
        <f>IFERROR(INDEX('درجریان وصول'!F:F,MATCH(Table223[[#This Row],[كد تفصيلي]],'درجریان وصول'!A:A,0)),0)</f>
        <v>0</v>
      </c>
      <c r="E28" s="11">
        <f>IFERROR(INDEX('چکهای دریافتنی'!F:F,MATCH(Table223[[#This Row],[كد تفصيلي]],'چکهای دریافتنی'!A:A,0)),0)</f>
        <v>0</v>
      </c>
      <c r="F28" s="11">
        <f>Table223[[#This Row],[حسابهای دریافتنی]]+Table223[[#This Row],[چکهای در جریان وصول]]+Table223[[#This Row],[چکهای نزد صندوق]]</f>
        <v>0</v>
      </c>
      <c r="G28" s="12">
        <f>IFERROR(INDEX('مانده سوفاله'!F:F,MATCH(Table223[[#This Row],[كد تفصيلي]],'مانده سوفاله'!A:A,0)),0)</f>
        <v>48</v>
      </c>
    </row>
    <row r="29" spans="1:7" ht="27" customHeight="1" x14ac:dyDescent="0.35">
      <c r="A29" s="26">
        <v>10029</v>
      </c>
      <c r="B29" s="56" t="s">
        <v>35</v>
      </c>
      <c r="C29" s="10">
        <f>IFERROR(INDEX('حسابهای دریافتنی'!H:H,MATCH(Table223[[#This Row],[كد تفصيلي]],'حسابهای دریافتنی'!A:A,0)),0)</f>
        <v>-1038298620</v>
      </c>
      <c r="D29" s="11">
        <f>IFERROR(INDEX('درجریان وصول'!F:F,MATCH(Table223[[#This Row],[كد تفصيلي]],'درجریان وصول'!A:A,0)),0)</f>
        <v>0</v>
      </c>
      <c r="E29" s="11">
        <f>IFERROR(INDEX('چکهای دریافتنی'!F:F,MATCH(Table223[[#This Row],[كد تفصيلي]],'چکهای دریافتنی'!A:A,0)),0)</f>
        <v>2019000000</v>
      </c>
      <c r="F29" s="11">
        <f>Table223[[#This Row],[حسابهای دریافتنی]]+Table223[[#This Row],[چکهای در جریان وصول]]+Table223[[#This Row],[چکهای نزد صندوق]]</f>
        <v>980701380</v>
      </c>
      <c r="G29" s="12">
        <f>IFERROR(INDEX('مانده سوفاله'!F:F,MATCH(Table223[[#This Row],[كد تفصيلي]],'مانده سوفاله'!A:A,0)),0)</f>
        <v>6603</v>
      </c>
    </row>
    <row r="30" spans="1:7" ht="27" customHeight="1" x14ac:dyDescent="0.35">
      <c r="A30" s="26">
        <v>30070</v>
      </c>
      <c r="B30" s="56" t="s">
        <v>115</v>
      </c>
      <c r="C30" s="10">
        <f>IFERROR(INDEX('حسابهای دریافتنی'!H:H,MATCH(Table223[[#This Row],[كد تفصيلي]],'حسابهای دریافتنی'!A:A,0)),0)</f>
        <v>2651728820</v>
      </c>
      <c r="D30" s="11">
        <f>IFERROR(INDEX('درجریان وصول'!F:F,MATCH(Table223[[#This Row],[كد تفصيلي]],'درجریان وصول'!A:A,0)),0)</f>
        <v>0</v>
      </c>
      <c r="E30" s="11">
        <f>IFERROR(INDEX('چکهای دریافتنی'!F:F,MATCH(Table223[[#This Row],[كد تفصيلي]],'چکهای دریافتنی'!A:A,0)),0)</f>
        <v>3660000000</v>
      </c>
      <c r="F30" s="11">
        <f>Table223[[#This Row],[حسابهای دریافتنی]]+Table223[[#This Row],[چکهای در جریان وصول]]+Table223[[#This Row],[چکهای نزد صندوق]]</f>
        <v>6311728820</v>
      </c>
      <c r="G30" s="12">
        <f>IFERROR(INDEX('مانده سوفاله'!F:F,MATCH(Table223[[#This Row],[كد تفصيلي]],'مانده سوفاله'!A:A,0)),0)</f>
        <v>4378</v>
      </c>
    </row>
    <row r="31" spans="1:7" ht="27" customHeight="1" x14ac:dyDescent="0.35">
      <c r="A31" s="26">
        <v>30162</v>
      </c>
      <c r="B31" s="56" t="s">
        <v>301</v>
      </c>
      <c r="C31" s="10">
        <f>IFERROR(INDEX('حسابهای دریافتنی'!H:H,MATCH(Table223[[#This Row],[كد تفصيلي]],'حسابهای دریافتنی'!A:A,0)),0)</f>
        <v>204890235</v>
      </c>
      <c r="D31" s="11">
        <f>IFERROR(INDEX('درجریان وصول'!F:F,MATCH(Table223[[#This Row],[كد تفصيلي]],'درجریان وصول'!A:A,0)),0)</f>
        <v>0</v>
      </c>
      <c r="E31" s="11">
        <f>IFERROR(INDEX('چکهای دریافتنی'!F:F,MATCH(Table223[[#This Row],[كد تفصيلي]],'چکهای دریافتنی'!A:A,0)),0)</f>
        <v>0</v>
      </c>
      <c r="F31" s="11">
        <f>Table223[[#This Row],[حسابهای دریافتنی]]+Table223[[#This Row],[چکهای در جریان وصول]]+Table223[[#This Row],[چکهای نزد صندوق]]</f>
        <v>204890235</v>
      </c>
      <c r="G31" s="12">
        <f>IFERROR(INDEX('مانده سوفاله'!F:F,MATCH(Table223[[#This Row],[كد تفصيلي]],'مانده سوفاله'!A:A,0)),0)</f>
        <v>-251</v>
      </c>
    </row>
    <row r="32" spans="1:7" ht="27" customHeight="1" x14ac:dyDescent="0.35">
      <c r="A32" s="26">
        <v>10069</v>
      </c>
      <c r="B32" s="56" t="s">
        <v>204</v>
      </c>
      <c r="C32" s="10">
        <f>IFERROR(INDEX('حسابهای دریافتنی'!H:H,MATCH(Table223[[#This Row],[كد تفصيلي]],'حسابهای دریافتنی'!A:A,0)),0)</f>
        <v>952500</v>
      </c>
      <c r="D32" s="11">
        <f>IFERROR(INDEX('درجریان وصول'!F:F,MATCH(Table223[[#This Row],[كد تفصيلي]],'درجریان وصول'!A:A,0)),0)</f>
        <v>0</v>
      </c>
      <c r="E32" s="11">
        <f>IFERROR(INDEX('چکهای دریافتنی'!F:F,MATCH(Table223[[#This Row],[كد تفصيلي]],'چکهای دریافتنی'!A:A,0)),0)</f>
        <v>73000000</v>
      </c>
      <c r="F32" s="11">
        <f>Table223[[#This Row],[حسابهای دریافتنی]]+Table223[[#This Row],[چکهای در جریان وصول]]+Table223[[#This Row],[چکهای نزد صندوق]]</f>
        <v>73952500</v>
      </c>
      <c r="G32" s="12">
        <f>IFERROR(INDEX('مانده سوفاله'!F:F,MATCH(Table223[[#This Row],[كد تفصيلي]],'مانده سوفاله'!A:A,0)),0)</f>
        <v>339</v>
      </c>
    </row>
    <row r="33" spans="1:7" ht="27" customHeight="1" x14ac:dyDescent="0.35">
      <c r="A33" s="27">
        <v>10002</v>
      </c>
      <c r="B33" s="55" t="s">
        <v>9</v>
      </c>
      <c r="C33" s="10">
        <f>IFERROR(INDEX('حسابهای دریافتنی'!H:H,MATCH(Table223[[#This Row],[كد تفصيلي]],'حسابهای دریافتنی'!A:A,0)),0)</f>
        <v>-3600000000</v>
      </c>
      <c r="D33" s="11">
        <f>IFERROR(INDEX('درجریان وصول'!F:F,MATCH(Table223[[#This Row],[كد تفصيلي]],'درجریان وصول'!A:A,0)),0)</f>
        <v>0</v>
      </c>
      <c r="E33" s="11">
        <f>IFERROR(INDEX('چکهای دریافتنی'!F:F,MATCH(Table223[[#This Row],[كد تفصيلي]],'چکهای دریافتنی'!A:A,0)),0)</f>
        <v>0</v>
      </c>
      <c r="F33" s="11">
        <f>Table223[[#This Row],[حسابهای دریافتنی]]+Table223[[#This Row],[چکهای در جریان وصول]]+Table223[[#This Row],[چکهای نزد صندوق]]</f>
        <v>-3600000000</v>
      </c>
      <c r="G33" s="12">
        <f>IFERROR(INDEX('مانده سوفاله'!F:F,MATCH(Table223[[#This Row],[كد تفصيلي]],'مانده سوفاله'!A:A,0)),0)</f>
        <v>0</v>
      </c>
    </row>
    <row r="34" spans="1:7" ht="27" customHeight="1" x14ac:dyDescent="0.35">
      <c r="A34" s="26">
        <v>30180</v>
      </c>
      <c r="B34" s="56" t="s">
        <v>406</v>
      </c>
      <c r="C34" s="10">
        <f>IFERROR(INDEX('حسابهای دریافتنی'!H:H,MATCH(Table223[[#This Row],[كد تفصيلي]],'حسابهای دریافتنی'!A:A,0)),0)</f>
        <v>0</v>
      </c>
      <c r="D34" s="11">
        <f>IFERROR(INDEX('درجریان وصول'!F:F,MATCH(Table223[[#This Row],[كد تفصيلي]],'درجریان وصول'!A:A,0)),0)</f>
        <v>0</v>
      </c>
      <c r="E34" s="11">
        <f>IFERROR(INDEX('چکهای دریافتنی'!F:F,MATCH(Table223[[#This Row],[كد تفصيلي]],'چکهای دریافتنی'!A:A,0)),0)</f>
        <v>0</v>
      </c>
      <c r="F34" s="11">
        <f>Table223[[#This Row],[حسابهای دریافتنی]]+Table223[[#This Row],[چکهای در جریان وصول]]+Table223[[#This Row],[چکهای نزد صندوق]]</f>
        <v>0</v>
      </c>
      <c r="G34" s="12">
        <f>IFERROR(INDEX('مانده سوفاله'!F:F,MATCH(Table223[[#This Row],[كد تفصيلي]],'مانده سوفاله'!A:A,0)),0)</f>
        <v>0</v>
      </c>
    </row>
    <row r="35" spans="1:7" ht="27" customHeight="1" x14ac:dyDescent="0.35">
      <c r="A35" s="26">
        <v>30086</v>
      </c>
      <c r="B35" s="56" t="s">
        <v>131</v>
      </c>
      <c r="C35" s="10">
        <f>IFERROR(INDEX('حسابهای دریافتنی'!H:H,MATCH(Table223[[#This Row],[كد تفصيلي]],'حسابهای دریافتنی'!A:A,0)),0)</f>
        <v>187376603</v>
      </c>
      <c r="D35" s="11">
        <f>IFERROR(INDEX('درجریان وصول'!F:F,MATCH(Table223[[#This Row],[كد تفصيلي]],'درجریان وصول'!A:A,0)),0)</f>
        <v>0</v>
      </c>
      <c r="E35" s="11">
        <f>IFERROR(INDEX('چکهای دریافتنی'!F:F,MATCH(Table223[[#This Row],[كد تفصيلي]],'چکهای دریافتنی'!A:A,0)),0)</f>
        <v>0</v>
      </c>
      <c r="F35" s="11">
        <f>Table223[[#This Row],[حسابهای دریافتنی]]+Table223[[#This Row],[چکهای در جریان وصول]]+Table223[[#This Row],[چکهای نزد صندوق]]</f>
        <v>187376603</v>
      </c>
      <c r="G35" s="12">
        <f>IFERROR(INDEX('مانده سوفاله'!F:F,MATCH(Table223[[#This Row],[كد تفصيلي]],'مانده سوفاله'!A:A,0)),0)</f>
        <v>1549</v>
      </c>
    </row>
    <row r="36" spans="1:7" ht="27" customHeight="1" x14ac:dyDescent="0.35">
      <c r="A36" s="27">
        <v>30081</v>
      </c>
      <c r="B36" s="55" t="s">
        <v>126</v>
      </c>
      <c r="C36" s="10">
        <f>IFERROR(INDEX('حسابهای دریافتنی'!H:H,MATCH(Table223[[#This Row],[كد تفصيلي]],'حسابهای دریافتنی'!A:A,0)),0)</f>
        <v>1148992373</v>
      </c>
      <c r="D36" s="11">
        <f>IFERROR(INDEX('درجریان وصول'!F:F,MATCH(Table223[[#This Row],[كد تفصيلي]],'درجریان وصول'!A:A,0)),0)</f>
        <v>0</v>
      </c>
      <c r="E36" s="11">
        <f>IFERROR(INDEX('چکهای دریافتنی'!F:F,MATCH(Table223[[#This Row],[كد تفصيلي]],'چکهای دریافتنی'!A:A,0)),0)</f>
        <v>0</v>
      </c>
      <c r="F36" s="11">
        <f>Table223[[#This Row],[حسابهای دریافتنی]]+Table223[[#This Row],[چکهای در جریان وصول]]+Table223[[#This Row],[چکهای نزد صندوق]]</f>
        <v>1148992373</v>
      </c>
      <c r="G36" s="12">
        <f>IFERROR(INDEX('مانده سوفاله'!F:F,MATCH(Table223[[#This Row],[كد تفصيلي]],'مانده سوفاله'!A:A,0)),0)</f>
        <v>-6924</v>
      </c>
    </row>
    <row r="37" spans="1:7" ht="27" customHeight="1" x14ac:dyDescent="0.35">
      <c r="A37" s="26">
        <v>30140</v>
      </c>
      <c r="B37" s="56" t="s">
        <v>259</v>
      </c>
      <c r="C37" s="10">
        <f>IFERROR(INDEX('حسابهای دریافتنی'!H:H,MATCH(Table223[[#This Row],[كد تفصيلي]],'حسابهای دریافتنی'!A:A,0)),0)</f>
        <v>553728200</v>
      </c>
      <c r="D37" s="11">
        <f>IFERROR(INDEX('درجریان وصول'!F:F,MATCH(Table223[[#This Row],[كد تفصيلي]],'درجریان وصول'!A:A,0)),0)</f>
        <v>0</v>
      </c>
      <c r="E37" s="11">
        <f>IFERROR(INDEX('چکهای دریافتنی'!F:F,MATCH(Table223[[#This Row],[كد تفصيلي]],'چکهای دریافتنی'!A:A,0)),0)</f>
        <v>1030000000</v>
      </c>
      <c r="F37" s="11">
        <f>Table223[[#This Row],[حسابهای دریافتنی]]+Table223[[#This Row],[چکهای در جریان وصول]]+Table223[[#This Row],[چکهای نزد صندوق]]</f>
        <v>1583728200</v>
      </c>
      <c r="G37" s="12">
        <f>IFERROR(INDEX('مانده سوفاله'!F:F,MATCH(Table223[[#This Row],[كد تفصيلي]],'مانده سوفاله'!A:A,0)),0)</f>
        <v>-12630</v>
      </c>
    </row>
    <row r="38" spans="1:7" ht="27" customHeight="1" x14ac:dyDescent="0.35">
      <c r="A38" s="26">
        <v>30003</v>
      </c>
      <c r="B38" s="56" t="s">
        <v>53</v>
      </c>
      <c r="C38" s="10">
        <f>IFERROR(INDEX('حسابهای دریافتنی'!H:H,MATCH(Table223[[#This Row],[كد تفصيلي]],'حسابهای دریافتنی'!A:A,0)),0)</f>
        <v>754765900</v>
      </c>
      <c r="D38" s="11">
        <f>IFERROR(INDEX('درجریان وصول'!F:F,MATCH(Table223[[#This Row],[كد تفصيلي]],'درجریان وصول'!A:A,0)),0)</f>
        <v>0</v>
      </c>
      <c r="E38" s="11">
        <f>IFERROR(INDEX('چکهای دریافتنی'!F:F,MATCH(Table223[[#This Row],[كد تفصيلي]],'چکهای دریافتنی'!A:A,0)),0)</f>
        <v>571000000</v>
      </c>
      <c r="F38" s="11">
        <f>Table223[[#This Row],[حسابهای دریافتنی]]+Table223[[#This Row],[چکهای در جریان وصول]]+Table223[[#This Row],[چکهای نزد صندوق]]</f>
        <v>1325765900</v>
      </c>
      <c r="G38" s="12">
        <f>IFERROR(INDEX('مانده سوفاله'!F:F,MATCH(Table223[[#This Row],[كد تفصيلي]],'مانده سوفاله'!A:A,0)),0)</f>
        <v>-3538</v>
      </c>
    </row>
    <row r="39" spans="1:7" ht="27" customHeight="1" x14ac:dyDescent="0.35">
      <c r="A39" s="26">
        <v>30001</v>
      </c>
      <c r="B39" s="56" t="s">
        <v>190</v>
      </c>
      <c r="C39" s="10">
        <f>IFERROR(INDEX('حسابهای دریافتنی'!H:H,MATCH(Table223[[#This Row],[كد تفصيلي]],'حسابهای دریافتنی'!A:A,0)),0)</f>
        <v>119647176</v>
      </c>
      <c r="D39" s="11">
        <f>IFERROR(INDEX('درجریان وصول'!F:F,MATCH(Table223[[#This Row],[كد تفصيلي]],'درجریان وصول'!A:A,0)),0)</f>
        <v>0</v>
      </c>
      <c r="E39" s="11">
        <f>IFERROR(INDEX('چکهای دریافتنی'!F:F,MATCH(Table223[[#This Row],[كد تفصيلي]],'چکهای دریافتنی'!A:A,0)),0)</f>
        <v>0</v>
      </c>
      <c r="F39" s="11">
        <f>Table223[[#This Row],[حسابهای دریافتنی]]+Table223[[#This Row],[چکهای در جریان وصول]]+Table223[[#This Row],[چکهای نزد صندوق]]</f>
        <v>119647176</v>
      </c>
      <c r="G39" s="12">
        <f>IFERROR(INDEX('مانده سوفاله'!F:F,MATCH(Table223[[#This Row],[كد تفصيلي]],'مانده سوفاله'!A:A,0)),0)</f>
        <v>123</v>
      </c>
    </row>
    <row r="40" spans="1:7" ht="27" customHeight="1" x14ac:dyDescent="0.35">
      <c r="A40" s="27">
        <v>10136</v>
      </c>
      <c r="B40" s="55" t="s">
        <v>491</v>
      </c>
      <c r="C40" s="10">
        <f>IFERROR(INDEX('حسابهای دریافتنی'!H:H,MATCH(Table223[[#This Row],[كد تفصيلي]],'حسابهای دریافتنی'!A:A,0)),0)</f>
        <v>0</v>
      </c>
      <c r="D40" s="11">
        <f>IFERROR(INDEX('درجریان وصول'!F:F,MATCH(Table223[[#This Row],[كد تفصيلي]],'درجریان وصول'!A:A,0)),0)</f>
        <v>0</v>
      </c>
      <c r="E40" s="11">
        <f>IFERROR(INDEX('چکهای دریافتنی'!F:F,MATCH(Table223[[#This Row],[كد تفصيلي]],'چکهای دریافتنی'!A:A,0)),0)</f>
        <v>0</v>
      </c>
      <c r="F40" s="11">
        <f>Table223[[#This Row],[حسابهای دریافتنی]]+Table223[[#This Row],[چکهای در جریان وصول]]+Table223[[#This Row],[چکهای نزد صندوق]]</f>
        <v>0</v>
      </c>
      <c r="G40" s="12">
        <f>IFERROR(INDEX('مانده سوفاله'!F:F,MATCH(Table223[[#This Row],[كد تفصيلي]],'مانده سوفاله'!A:A,0)),0)</f>
        <v>0</v>
      </c>
    </row>
    <row r="41" spans="1:7" ht="27" customHeight="1" x14ac:dyDescent="0.35">
      <c r="A41" s="27">
        <v>30077</v>
      </c>
      <c r="B41" s="55" t="s">
        <v>122</v>
      </c>
      <c r="C41" s="10">
        <f>IFERROR(INDEX('حسابهای دریافتنی'!H:H,MATCH(Table223[[#This Row],[كد تفصيلي]],'حسابهای دریافتنی'!A:A,0)),0)</f>
        <v>360000</v>
      </c>
      <c r="D41" s="11">
        <f>IFERROR(INDEX('درجریان وصول'!F:F,MATCH(Table223[[#This Row],[كد تفصيلي]],'درجریان وصول'!A:A,0)),0)</f>
        <v>0</v>
      </c>
      <c r="E41" s="11">
        <f>IFERROR(INDEX('چکهای دریافتنی'!F:F,MATCH(Table223[[#This Row],[كد تفصيلي]],'چکهای دریافتنی'!A:A,0)),0)</f>
        <v>0</v>
      </c>
      <c r="F41" s="11">
        <f>Table223[[#This Row],[حسابهای دریافتنی]]+Table223[[#This Row],[چکهای در جریان وصول]]+Table223[[#This Row],[چکهای نزد صندوق]]</f>
        <v>360000</v>
      </c>
      <c r="G41" s="12">
        <f>IFERROR(INDEX('مانده سوفاله'!F:F,MATCH(Table223[[#This Row],[كد تفصيلي]],'مانده سوفاله'!A:A,0)),0)</f>
        <v>-32</v>
      </c>
    </row>
    <row r="42" spans="1:7" ht="27" customHeight="1" x14ac:dyDescent="0.35">
      <c r="A42" s="27">
        <v>10004</v>
      </c>
      <c r="B42" s="55" t="s">
        <v>11</v>
      </c>
      <c r="C42" s="10">
        <f>IFERROR(INDEX('حسابهای دریافتنی'!H:H,MATCH(Table223[[#This Row],[كد تفصيلي]],'حسابهای دریافتنی'!A:A,0)),0)</f>
        <v>853000</v>
      </c>
      <c r="D42" s="11">
        <f>IFERROR(INDEX('درجریان وصول'!F:F,MATCH(Table223[[#This Row],[كد تفصيلي]],'درجریان وصول'!A:A,0)),0)</f>
        <v>0</v>
      </c>
      <c r="E42" s="11">
        <f>IFERROR(INDEX('چکهای دریافتنی'!F:F,MATCH(Table223[[#This Row],[كد تفصيلي]],'چکهای دریافتنی'!A:A,0)),0)</f>
        <v>341000000</v>
      </c>
      <c r="F42" s="11">
        <f>Table223[[#This Row],[حسابهای دریافتنی]]+Table223[[#This Row],[چکهای در جریان وصول]]+Table223[[#This Row],[چکهای نزد صندوق]]</f>
        <v>341853000</v>
      </c>
      <c r="G42" s="12">
        <f>IFERROR(INDEX('مانده سوفاله'!F:F,MATCH(Table223[[#This Row],[كد تفصيلي]],'مانده سوفاله'!A:A,0)),0)</f>
        <v>-12</v>
      </c>
    </row>
    <row r="43" spans="1:7" ht="27" customHeight="1" x14ac:dyDescent="0.35">
      <c r="A43" s="27">
        <v>30196</v>
      </c>
      <c r="B43" s="55" t="s">
        <v>481</v>
      </c>
      <c r="C43" s="10">
        <f>IFERROR(INDEX('حسابهای دریافتنی'!H:H,MATCH(Table223[[#This Row],[كد تفصيلي]],'حسابهای دریافتنی'!A:A,0)),0)</f>
        <v>3592950000</v>
      </c>
      <c r="D43" s="11">
        <f>IFERROR(INDEX('درجریان وصول'!F:F,MATCH(Table223[[#This Row],[كد تفصيلي]],'درجریان وصول'!A:A,0)),0)</f>
        <v>0</v>
      </c>
      <c r="E43" s="11">
        <f>IFERROR(INDEX('چکهای دریافتنی'!F:F,MATCH(Table223[[#This Row],[كد تفصيلي]],'چکهای دریافتنی'!A:A,0)),0)</f>
        <v>0</v>
      </c>
      <c r="F43" s="11">
        <f>Table223[[#This Row],[حسابهای دریافتنی]]+Table223[[#This Row],[چکهای در جریان وصول]]+Table223[[#This Row],[چکهای نزد صندوق]]</f>
        <v>3592950000</v>
      </c>
      <c r="G43" s="12">
        <f>IFERROR(INDEX('مانده سوفاله'!F:F,MATCH(Table223[[#This Row],[كد تفصيلي]],'مانده سوفاله'!A:A,0)),0)</f>
        <v>-8965</v>
      </c>
    </row>
    <row r="44" spans="1:7" ht="27" customHeight="1" x14ac:dyDescent="0.35">
      <c r="A44" s="27">
        <v>10018</v>
      </c>
      <c r="B44" s="55" t="s">
        <v>25</v>
      </c>
      <c r="C44" s="10">
        <f>IFERROR(INDEX('حسابهای دریافتنی'!H:H,MATCH(Table223[[#This Row],[كد تفصيلي]],'حسابهای دریافتنی'!A:A,0)),0)</f>
        <v>95282000</v>
      </c>
      <c r="D44" s="11">
        <f>IFERROR(INDEX('درجریان وصول'!F:F,MATCH(Table223[[#This Row],[كد تفصيلي]],'درجریان وصول'!A:A,0)),0)</f>
        <v>0</v>
      </c>
      <c r="E44" s="11">
        <f>IFERROR(INDEX('چکهای دریافتنی'!F:F,MATCH(Table223[[#This Row],[كد تفصيلي]],'چکهای دریافتنی'!A:A,0)),0)</f>
        <v>0</v>
      </c>
      <c r="F44" s="11">
        <f>Table223[[#This Row],[حسابهای دریافتنی]]+Table223[[#This Row],[چکهای در جریان وصول]]+Table223[[#This Row],[چکهای نزد صندوق]]</f>
        <v>95282000</v>
      </c>
      <c r="G44" s="12">
        <f>IFERROR(INDEX('مانده سوفاله'!F:F,MATCH(Table223[[#This Row],[كد تفصيلي]],'مانده سوفاله'!A:A,0)),0)</f>
        <v>-32</v>
      </c>
    </row>
    <row r="45" spans="1:7" ht="27" customHeight="1" x14ac:dyDescent="0.35">
      <c r="A45" s="27">
        <v>10096</v>
      </c>
      <c r="B45" s="55" t="s">
        <v>271</v>
      </c>
      <c r="C45" s="10">
        <f>IFERROR(INDEX('حسابهای دریافتنی'!H:H,MATCH(Table223[[#This Row],[كد تفصيلي]],'حسابهای دریافتنی'!A:A,0)),0)</f>
        <v>36455500</v>
      </c>
      <c r="D45" s="11">
        <f>IFERROR(INDEX('درجریان وصول'!F:F,MATCH(Table223[[#This Row],[كد تفصيلي]],'درجریان وصول'!A:A,0)),0)</f>
        <v>0</v>
      </c>
      <c r="E45" s="11">
        <f>IFERROR(INDEX('چکهای دریافتنی'!F:F,MATCH(Table223[[#This Row],[كد تفصيلي]],'چکهای دریافتنی'!A:A,0)),0)</f>
        <v>0</v>
      </c>
      <c r="F45" s="11">
        <f>Table223[[#This Row],[حسابهای دریافتنی]]+Table223[[#This Row],[چکهای در جریان وصول]]+Table223[[#This Row],[چکهای نزد صندوق]]</f>
        <v>36455500</v>
      </c>
      <c r="G45" s="12">
        <f>IFERROR(INDEX('مانده سوفاله'!F:F,MATCH(Table223[[#This Row],[كد تفصيلي]],'مانده سوفاله'!A:A,0)),0)</f>
        <v>0</v>
      </c>
    </row>
    <row r="46" spans="1:7" ht="27" customHeight="1" x14ac:dyDescent="0.35">
      <c r="A46" s="26">
        <v>30025</v>
      </c>
      <c r="B46" s="56" t="s">
        <v>73</v>
      </c>
      <c r="C46" s="10">
        <f>IFERROR(INDEX('حسابهای دریافتنی'!H:H,MATCH(Table223[[#This Row],[كد تفصيلي]],'حسابهای دریافتنی'!A:A,0)),0)</f>
        <v>35598920</v>
      </c>
      <c r="D46" s="11">
        <f>IFERROR(INDEX('درجریان وصول'!F:F,MATCH(Table223[[#This Row],[كد تفصيلي]],'درجریان وصول'!A:A,0)),0)</f>
        <v>0</v>
      </c>
      <c r="E46" s="11">
        <f>IFERROR(INDEX('چکهای دریافتنی'!F:F,MATCH(Table223[[#This Row],[كد تفصيلي]],'چکهای دریافتنی'!A:A,0)),0)</f>
        <v>0</v>
      </c>
      <c r="F46" s="11">
        <f>Table223[[#This Row],[حسابهای دریافتنی]]+Table223[[#This Row],[چکهای در جریان وصول]]+Table223[[#This Row],[چکهای نزد صندوق]]</f>
        <v>35598920</v>
      </c>
      <c r="G46" s="12">
        <f>IFERROR(INDEX('مانده سوفاله'!F:F,MATCH(Table223[[#This Row],[كد تفصيلي]],'مانده سوفاله'!A:A,0)),0)</f>
        <v>-165</v>
      </c>
    </row>
    <row r="47" spans="1:7" ht="27" customHeight="1" x14ac:dyDescent="0.35">
      <c r="A47" s="26">
        <v>30005</v>
      </c>
      <c r="B47" s="56" t="s">
        <v>55</v>
      </c>
      <c r="C47" s="10">
        <f>IFERROR(INDEX('حسابهای دریافتنی'!H:H,MATCH(Table223[[#This Row],[كد تفصيلي]],'حسابهای دریافتنی'!A:A,0)),0)</f>
        <v>35368209</v>
      </c>
      <c r="D47" s="11">
        <f>IFERROR(INDEX('درجریان وصول'!F:F,MATCH(Table223[[#This Row],[كد تفصيلي]],'درجریان وصول'!A:A,0)),0)</f>
        <v>0</v>
      </c>
      <c r="E47" s="11">
        <f>IFERROR(INDEX('چکهای دریافتنی'!F:F,MATCH(Table223[[#This Row],[كد تفصيلي]],'چکهای دریافتنی'!A:A,0)),0)</f>
        <v>0</v>
      </c>
      <c r="F47" s="11">
        <f>Table223[[#This Row],[حسابهای دریافتنی]]+Table223[[#This Row],[چکهای در جریان وصول]]+Table223[[#This Row],[چکهای نزد صندوق]]</f>
        <v>35368209</v>
      </c>
      <c r="G47" s="12">
        <f>IFERROR(INDEX('مانده سوفاله'!F:F,MATCH(Table223[[#This Row],[كد تفصيلي]],'مانده سوفاله'!A:A,0)),0)</f>
        <v>61</v>
      </c>
    </row>
    <row r="48" spans="1:7" ht="27" customHeight="1" x14ac:dyDescent="0.35">
      <c r="A48" s="26">
        <v>50011</v>
      </c>
      <c r="B48" s="56" t="s">
        <v>147</v>
      </c>
      <c r="C48" s="10">
        <f>IFERROR(INDEX('حسابهای دریافتنی'!H:H,MATCH(Table223[[#This Row],[كد تفصيلي]],'حسابهای دریافتنی'!A:A,0)),0)</f>
        <v>832182413</v>
      </c>
      <c r="D48" s="11">
        <f>IFERROR(INDEX('درجریان وصول'!F:F,MATCH(Table223[[#This Row],[كد تفصيلي]],'درجریان وصول'!A:A,0)),0)</f>
        <v>0</v>
      </c>
      <c r="E48" s="11">
        <f>IFERROR(INDEX('چکهای دریافتنی'!F:F,MATCH(Table223[[#This Row],[كد تفصيلي]],'چکهای دریافتنی'!A:A,0)),0)</f>
        <v>0</v>
      </c>
      <c r="F48" s="11">
        <f>Table223[[#This Row],[حسابهای دریافتنی]]+Table223[[#This Row],[چکهای در جریان وصول]]+Table223[[#This Row],[چکهای نزد صندوق]]</f>
        <v>832182413</v>
      </c>
      <c r="G48" s="12">
        <f>IFERROR(INDEX('مانده سوفاله'!F:F,MATCH(Table223[[#This Row],[كد تفصيلي]],'مانده سوفاله'!A:A,0)),0)</f>
        <v>30</v>
      </c>
    </row>
    <row r="49" spans="1:7" ht="27" customHeight="1" x14ac:dyDescent="0.35">
      <c r="A49" s="27">
        <v>30093</v>
      </c>
      <c r="B49" s="55" t="s">
        <v>151</v>
      </c>
      <c r="C49" s="10">
        <f>IFERROR(INDEX('حسابهای دریافتنی'!H:H,MATCH(Table223[[#This Row],[كد تفصيلي]],'حسابهای دریافتنی'!A:A,0)),0)</f>
        <v>0</v>
      </c>
      <c r="D49" s="11">
        <f>IFERROR(INDEX('درجریان وصول'!F:F,MATCH(Table223[[#This Row],[كد تفصيلي]],'درجریان وصول'!A:A,0)),0)</f>
        <v>0</v>
      </c>
      <c r="E49" s="11">
        <f>IFERROR(INDEX('چکهای دریافتنی'!F:F,MATCH(Table223[[#This Row],[كد تفصيلي]],'چکهای دریافتنی'!A:A,0)),0)</f>
        <v>0</v>
      </c>
      <c r="F49" s="11">
        <f>Table223[[#This Row],[حسابهای دریافتنی]]+Table223[[#This Row],[چکهای در جریان وصول]]+Table223[[#This Row],[چکهای نزد صندوق]]</f>
        <v>0</v>
      </c>
      <c r="G49" s="12">
        <v>77</v>
      </c>
    </row>
    <row r="50" spans="1:7" ht="27" customHeight="1" x14ac:dyDescent="0.35">
      <c r="A50" s="27">
        <v>10119</v>
      </c>
      <c r="B50" s="55" t="s">
        <v>333</v>
      </c>
      <c r="C50" s="10">
        <f>IFERROR(INDEX('حسابهای دریافتنی'!H:H,MATCH(Table223[[#This Row],[كد تفصيلي]],'حسابهای دریافتنی'!A:A,0)),0)</f>
        <v>-2592000</v>
      </c>
      <c r="D50" s="11">
        <f>IFERROR(INDEX('درجریان وصول'!F:F,MATCH(Table223[[#This Row],[كد تفصيلي]],'درجریان وصول'!A:A,0)),0)</f>
        <v>0</v>
      </c>
      <c r="E50" s="11">
        <f>IFERROR(INDEX('چکهای دریافتنی'!F:F,MATCH(Table223[[#This Row],[كد تفصيلي]],'چکهای دریافتنی'!A:A,0)),0)</f>
        <v>0</v>
      </c>
      <c r="F50" s="11">
        <f>Table223[[#This Row],[حسابهای دریافتنی]]+Table223[[#This Row],[چکهای در جریان وصول]]+Table223[[#This Row],[چکهای نزد صندوق]]</f>
        <v>-2592000</v>
      </c>
      <c r="G50" s="12">
        <f>IFERROR(INDEX('مانده سوفاله'!F:F,MATCH(Table223[[#This Row],[كد تفصيلي]],'مانده سوفاله'!A:A,0)),0)</f>
        <v>353</v>
      </c>
    </row>
    <row r="51" spans="1:7" ht="27" customHeight="1" x14ac:dyDescent="0.35">
      <c r="A51" s="27">
        <v>30101</v>
      </c>
      <c r="B51" s="55" t="s">
        <v>196</v>
      </c>
      <c r="C51" s="10">
        <f>IFERROR(INDEX('حسابهای دریافتنی'!H:H,MATCH(Table223[[#This Row],[كد تفصيلي]],'حسابهای دریافتنی'!A:A,0)),0)</f>
        <v>203336095</v>
      </c>
      <c r="D51" s="11">
        <f>IFERROR(INDEX('درجریان وصول'!F:F,MATCH(Table223[[#This Row],[كد تفصيلي]],'درجریان وصول'!A:A,0)),0)</f>
        <v>0</v>
      </c>
      <c r="E51" s="11">
        <f>IFERROR(INDEX('چکهای دریافتنی'!F:F,MATCH(Table223[[#This Row],[كد تفصيلي]],'چکهای دریافتنی'!A:A,0)),0)</f>
        <v>0</v>
      </c>
      <c r="F51" s="11">
        <f>Table223[[#This Row],[حسابهای دریافتنی]]+Table223[[#This Row],[چکهای در جریان وصول]]+Table223[[#This Row],[چکهای نزد صندوق]]</f>
        <v>203336095</v>
      </c>
      <c r="G51" s="12">
        <f>IFERROR(INDEX('مانده سوفاله'!F:F,MATCH(Table223[[#This Row],[كد تفصيلي]],'مانده سوفاله'!A:A,0)),0)</f>
        <v>15</v>
      </c>
    </row>
    <row r="52" spans="1:7" ht="27" customHeight="1" x14ac:dyDescent="0.35">
      <c r="A52" s="26">
        <v>10091</v>
      </c>
      <c r="B52" s="56" t="s">
        <v>258</v>
      </c>
      <c r="C52" s="10">
        <f>IFERROR(INDEX('حسابهای دریافتنی'!H:H,MATCH(Table223[[#This Row],[كد تفصيلي]],'حسابهای دریافتنی'!A:A,0)),0)</f>
        <v>59321500</v>
      </c>
      <c r="D52" s="11">
        <f>IFERROR(INDEX('درجریان وصول'!F:F,MATCH(Table223[[#This Row],[كد تفصيلي]],'درجریان وصول'!A:A,0)),0)</f>
        <v>0</v>
      </c>
      <c r="E52" s="11">
        <f>IFERROR(INDEX('چکهای دریافتنی'!F:F,MATCH(Table223[[#This Row],[كد تفصيلي]],'چکهای دریافتنی'!A:A,0)),0)</f>
        <v>0</v>
      </c>
      <c r="F52" s="11">
        <f>Table223[[#This Row],[حسابهای دریافتنی]]+Table223[[#This Row],[چکهای در جریان وصول]]+Table223[[#This Row],[چکهای نزد صندوق]]</f>
        <v>59321500</v>
      </c>
      <c r="G52" s="12">
        <f>IFERROR(INDEX('مانده سوفاله'!F:F,MATCH(Table223[[#This Row],[كد تفصيلي]],'مانده سوفاله'!A:A,0)),0)</f>
        <v>0</v>
      </c>
    </row>
    <row r="53" spans="1:7" ht="27" customHeight="1" x14ac:dyDescent="0.35">
      <c r="A53" s="27">
        <v>30008</v>
      </c>
      <c r="B53" s="55" t="s">
        <v>58</v>
      </c>
      <c r="C53" s="10">
        <f>IFERROR(INDEX('حسابهای دریافتنی'!H:H,MATCH(Table223[[#This Row],[كد تفصيلي]],'حسابهای دریافتنی'!A:A,0)),0)</f>
        <v>15520000</v>
      </c>
      <c r="D53" s="11">
        <f>IFERROR(INDEX('درجریان وصول'!F:F,MATCH(Table223[[#This Row],[كد تفصيلي]],'درجریان وصول'!A:A,0)),0)</f>
        <v>0</v>
      </c>
      <c r="E53" s="11">
        <f>IFERROR(INDEX('چکهای دریافتنی'!F:F,MATCH(Table223[[#This Row],[كد تفصيلي]],'چکهای دریافتنی'!A:A,0)),0)</f>
        <v>0</v>
      </c>
      <c r="F53" s="11">
        <f>Table223[[#This Row],[حسابهای دریافتنی]]+Table223[[#This Row],[چکهای در جریان وصول]]+Table223[[#This Row],[چکهای نزد صندوق]]</f>
        <v>15520000</v>
      </c>
      <c r="G53" s="12">
        <f>IFERROR(INDEX('مانده سوفاله'!F:F,MATCH(Table223[[#This Row],[كد تفصيلي]],'مانده سوفاله'!A:A,0)),0)</f>
        <v>0</v>
      </c>
    </row>
    <row r="54" spans="1:7" ht="27" customHeight="1" x14ac:dyDescent="0.35">
      <c r="A54" s="26">
        <v>10007</v>
      </c>
      <c r="B54" s="56" t="s">
        <v>14</v>
      </c>
      <c r="C54" s="10">
        <f>IFERROR(INDEX('حسابهای دریافتنی'!H:H,MATCH(Table223[[#This Row],[كد تفصيلي]],'حسابهای دریافتنی'!A:A,0)),0)</f>
        <v>12770000</v>
      </c>
      <c r="D54" s="11">
        <f>IFERROR(INDEX('درجریان وصول'!F:F,MATCH(Table223[[#This Row],[كد تفصيلي]],'درجریان وصول'!A:A,0)),0)</f>
        <v>0</v>
      </c>
      <c r="E54" s="11">
        <f>IFERROR(INDEX('چکهای دریافتنی'!F:F,MATCH(Table223[[#This Row],[كد تفصيلي]],'چکهای دریافتنی'!A:A,0)),0)</f>
        <v>0</v>
      </c>
      <c r="F54" s="11">
        <f>Table223[[#This Row],[حسابهای دریافتنی]]+Table223[[#This Row],[چکهای در جریان وصول]]+Table223[[#This Row],[چکهای نزد صندوق]]</f>
        <v>12770000</v>
      </c>
      <c r="G54" s="12">
        <f>IFERROR(INDEX('مانده سوفاله'!F:F,MATCH(Table223[[#This Row],[كد تفصيلي]],'مانده سوفاله'!A:A,0)),0)</f>
        <v>-52.5</v>
      </c>
    </row>
    <row r="55" spans="1:7" ht="27" customHeight="1" x14ac:dyDescent="0.35">
      <c r="A55" s="26">
        <v>10105</v>
      </c>
      <c r="B55" s="56" t="s">
        <v>294</v>
      </c>
      <c r="C55" s="10">
        <f>IFERROR(INDEX('حسابهای دریافتنی'!H:H,MATCH(Table223[[#This Row],[كد تفصيلي]],'حسابهای دریافتنی'!A:A,0)),0)</f>
        <v>7630000</v>
      </c>
      <c r="D55" s="11">
        <f>IFERROR(INDEX('درجریان وصول'!F:F,MATCH(Table223[[#This Row],[كد تفصيلي]],'درجریان وصول'!A:A,0)),0)</f>
        <v>0</v>
      </c>
      <c r="E55" s="11">
        <f>IFERROR(INDEX('چکهای دریافتنی'!F:F,MATCH(Table223[[#This Row],[كد تفصيلي]],'چکهای دریافتنی'!A:A,0)),0)</f>
        <v>0</v>
      </c>
      <c r="F55" s="11">
        <f>Table223[[#This Row],[حسابهای دریافتنی]]+Table223[[#This Row],[چکهای در جریان وصول]]+Table223[[#This Row],[چکهای نزد صندوق]]</f>
        <v>7630000</v>
      </c>
      <c r="G55" s="12">
        <f>IFERROR(INDEX('مانده سوفاله'!F:F,MATCH(Table223[[#This Row],[كد تفصيلي]],'مانده سوفاله'!A:A,0)),0)</f>
        <v>0</v>
      </c>
    </row>
    <row r="56" spans="1:7" ht="27" customHeight="1" x14ac:dyDescent="0.35">
      <c r="A56" s="26">
        <v>30156</v>
      </c>
      <c r="B56" s="56" t="s">
        <v>290</v>
      </c>
      <c r="C56" s="10">
        <f>IFERROR(INDEX('حسابهای دریافتنی'!H:H,MATCH(Table223[[#This Row],[كد تفصيلي]],'حسابهای دریافتنی'!A:A,0)),0)</f>
        <v>-180917500</v>
      </c>
      <c r="D56" s="11">
        <f>IFERROR(INDEX('درجریان وصول'!F:F,MATCH(Table223[[#This Row],[كد تفصيلي]],'درجریان وصول'!A:A,0)),0)</f>
        <v>0</v>
      </c>
      <c r="E56" s="11">
        <f>IFERROR(INDEX('چکهای دریافتنی'!F:F,MATCH(Table223[[#This Row],[كد تفصيلي]],'چکهای دریافتنی'!A:A,0)),0)</f>
        <v>0</v>
      </c>
      <c r="F56" s="11">
        <f>Table223[[#This Row],[حسابهای دریافتنی]]+Table223[[#This Row],[چکهای در جریان وصول]]+Table223[[#This Row],[چکهای نزد صندوق]]</f>
        <v>-180917500</v>
      </c>
      <c r="G56" s="12">
        <f>IFERROR(INDEX('مانده سوفاله'!F:F,MATCH(Table223[[#This Row],[كد تفصيلي]],'مانده سوفاله'!A:A,0)),0)</f>
        <v>0</v>
      </c>
    </row>
    <row r="57" spans="1:7" ht="27" customHeight="1" x14ac:dyDescent="0.35">
      <c r="A57" s="26">
        <v>10027</v>
      </c>
      <c r="B57" s="56" t="s">
        <v>33</v>
      </c>
      <c r="C57" s="10">
        <f>IFERROR(INDEX('حسابهای دریافتنی'!H:H,MATCH(Table223[[#This Row],[كد تفصيلي]],'حسابهای دریافتنی'!A:A,0)),0)</f>
        <v>33078340</v>
      </c>
      <c r="D57" s="11">
        <f>IFERROR(INDEX('درجریان وصول'!F:F,MATCH(Table223[[#This Row],[كد تفصيلي]],'درجریان وصول'!A:A,0)),0)</f>
        <v>0</v>
      </c>
      <c r="E57" s="11">
        <f>IFERROR(INDEX('چکهای دریافتنی'!F:F,MATCH(Table223[[#This Row],[كد تفصيلي]],'چکهای دریافتنی'!A:A,0)),0)</f>
        <v>1588359160</v>
      </c>
      <c r="F57" s="11">
        <f>Table223[[#This Row],[حسابهای دریافتنی]]+Table223[[#This Row],[چکهای در جریان وصول]]+Table223[[#This Row],[چکهای نزد صندوق]]</f>
        <v>1621437500</v>
      </c>
      <c r="G57" s="12">
        <f>IFERROR(INDEX('مانده سوفاله'!F:F,MATCH(Table223[[#This Row],[كد تفصيلي]],'مانده سوفاله'!A:A,0)),0)</f>
        <v>-647</v>
      </c>
    </row>
    <row r="58" spans="1:7" ht="27" customHeight="1" x14ac:dyDescent="0.35">
      <c r="A58" s="27">
        <v>30145</v>
      </c>
      <c r="B58" s="55" t="s">
        <v>265</v>
      </c>
      <c r="C58" s="10">
        <f>IFERROR(INDEX('حسابهای دریافتنی'!H:H,MATCH(Table223[[#This Row],[كد تفصيلي]],'حسابهای دریافتنی'!A:A,0)),0)</f>
        <v>6442500</v>
      </c>
      <c r="D58" s="11">
        <f>IFERROR(INDEX('درجریان وصول'!F:F,MATCH(Table223[[#This Row],[كد تفصيلي]],'درجریان وصول'!A:A,0)),0)</f>
        <v>0</v>
      </c>
      <c r="E58" s="11">
        <f>IFERROR(INDEX('چکهای دریافتنی'!F:F,MATCH(Table223[[#This Row],[كد تفصيلي]],'چکهای دریافتنی'!A:A,0)),0)</f>
        <v>0</v>
      </c>
      <c r="F58" s="11">
        <f>Table223[[#This Row],[حسابهای دریافتنی]]+Table223[[#This Row],[چکهای در جریان وصول]]+Table223[[#This Row],[چکهای نزد صندوق]]</f>
        <v>6442500</v>
      </c>
      <c r="G58" s="12">
        <f>IFERROR(INDEX('مانده سوفاله'!F:F,MATCH(Table223[[#This Row],[كد تفصيلي]],'مانده سوفاله'!A:A,0)),0)</f>
        <v>0</v>
      </c>
    </row>
    <row r="59" spans="1:7" ht="27" customHeight="1" x14ac:dyDescent="0.35">
      <c r="A59" s="26">
        <v>30047</v>
      </c>
      <c r="B59" s="56" t="s">
        <v>94</v>
      </c>
      <c r="C59" s="10">
        <f>IFERROR(INDEX('حسابهای دریافتنی'!H:H,MATCH(Table223[[#This Row],[كد تفصيلي]],'حسابهای دریافتنی'!A:A,0)),0)</f>
        <v>5794900</v>
      </c>
      <c r="D59" s="11">
        <f>IFERROR(INDEX('درجریان وصول'!F:F,MATCH(Table223[[#This Row],[كد تفصيلي]],'درجریان وصول'!A:A,0)),0)</f>
        <v>0</v>
      </c>
      <c r="E59" s="11">
        <f>IFERROR(INDEX('چکهای دریافتنی'!F:F,MATCH(Table223[[#This Row],[كد تفصيلي]],'چکهای دریافتنی'!A:A,0)),0)</f>
        <v>0</v>
      </c>
      <c r="F59" s="11">
        <f>Table223[[#This Row],[حسابهای دریافتنی]]+Table223[[#This Row],[چکهای در جریان وصول]]+Table223[[#This Row],[چکهای نزد صندوق]]</f>
        <v>5794900</v>
      </c>
      <c r="G59" s="12">
        <f>IFERROR(INDEX('مانده سوفاله'!F:F,MATCH(Table223[[#This Row],[كد تفصيلي]],'مانده سوفاله'!A:A,0)),0)</f>
        <v>-630</v>
      </c>
    </row>
    <row r="60" spans="1:7" ht="27" customHeight="1" x14ac:dyDescent="0.35">
      <c r="A60" s="26">
        <v>30011</v>
      </c>
      <c r="B60" s="56" t="s">
        <v>60</v>
      </c>
      <c r="C60" s="10">
        <f>IFERROR(INDEX('حسابهای دریافتنی'!H:H,MATCH(Table223[[#This Row],[كد تفصيلي]],'حسابهای دریافتنی'!A:A,0)),0)</f>
        <v>5595200</v>
      </c>
      <c r="D60" s="11">
        <f>IFERROR(INDEX('درجریان وصول'!F:F,MATCH(Table223[[#This Row],[كد تفصيلي]],'درجریان وصول'!A:A,0)),0)</f>
        <v>0</v>
      </c>
      <c r="E60" s="11">
        <f>IFERROR(INDEX('چکهای دریافتنی'!F:F,MATCH(Table223[[#This Row],[كد تفصيلي]],'چکهای دریافتنی'!A:A,0)),0)</f>
        <v>0</v>
      </c>
      <c r="F60" s="11">
        <f>Table223[[#This Row],[حسابهای دریافتنی]]+Table223[[#This Row],[چکهای در جریان وصول]]+Table223[[#This Row],[چکهای نزد صندوق]]</f>
        <v>5595200</v>
      </c>
      <c r="G60" s="12">
        <f>IFERROR(INDEX('مانده سوفاله'!F:F,MATCH(Table223[[#This Row],[كد تفصيلي]],'مانده سوفاله'!A:A,0)),0)</f>
        <v>-5</v>
      </c>
    </row>
    <row r="61" spans="1:7" ht="27" customHeight="1" x14ac:dyDescent="0.35">
      <c r="A61" s="27">
        <v>10080</v>
      </c>
      <c r="B61" s="55" t="s">
        <v>214</v>
      </c>
      <c r="C61" s="10">
        <f>IFERROR(INDEX('حسابهای دریافتنی'!H:H,MATCH(Table223[[#This Row],[كد تفصيلي]],'حسابهای دریافتنی'!A:A,0)),0)</f>
        <v>5395000</v>
      </c>
      <c r="D61" s="11">
        <f>IFERROR(INDEX('درجریان وصول'!F:F,MATCH(Table223[[#This Row],[كد تفصيلي]],'درجریان وصول'!A:A,0)),0)</f>
        <v>0</v>
      </c>
      <c r="E61" s="11">
        <f>IFERROR(INDEX('چکهای دریافتنی'!F:F,MATCH(Table223[[#This Row],[كد تفصيلي]],'چکهای دریافتنی'!A:A,0)),0)</f>
        <v>0</v>
      </c>
      <c r="F61" s="11">
        <f>Table223[[#This Row],[حسابهای دریافتنی]]+Table223[[#This Row],[چکهای در جریان وصول]]+Table223[[#This Row],[چکهای نزد صندوق]]</f>
        <v>5395000</v>
      </c>
      <c r="G61" s="12">
        <f>IFERROR(INDEX('مانده سوفاله'!F:F,MATCH(Table223[[#This Row],[كد تفصيلي]],'مانده سوفاله'!A:A,0)),0)</f>
        <v>0</v>
      </c>
    </row>
    <row r="62" spans="1:7" ht="27" customHeight="1" x14ac:dyDescent="0.35">
      <c r="A62" s="26">
        <v>30114</v>
      </c>
      <c r="B62" s="56" t="s">
        <v>175</v>
      </c>
      <c r="C62" s="10">
        <f>IFERROR(INDEX('حسابهای دریافتنی'!H:H,MATCH(Table223[[#This Row],[كد تفصيلي]],'حسابهای دریافتنی'!A:A,0)),0)</f>
        <v>5385600</v>
      </c>
      <c r="D62" s="11">
        <f>IFERROR(INDEX('درجریان وصول'!F:F,MATCH(Table223[[#This Row],[كد تفصيلي]],'درجریان وصول'!A:A,0)),0)</f>
        <v>0</v>
      </c>
      <c r="E62" s="11">
        <f>IFERROR(INDEX('چکهای دریافتنی'!F:F,MATCH(Table223[[#This Row],[كد تفصيلي]],'چکهای دریافتنی'!A:A,0)),0)</f>
        <v>0</v>
      </c>
      <c r="F62" s="11">
        <f>Table223[[#This Row],[حسابهای دریافتنی]]+Table223[[#This Row],[چکهای در جریان وصول]]+Table223[[#This Row],[چکهای نزد صندوق]]</f>
        <v>5385600</v>
      </c>
      <c r="G62" s="12">
        <f>IFERROR(INDEX('مانده سوفاله'!F:F,MATCH(Table223[[#This Row],[كد تفصيلي]],'مانده سوفاله'!A:A,0)),0)</f>
        <v>0</v>
      </c>
    </row>
    <row r="63" spans="1:7" ht="27" customHeight="1" x14ac:dyDescent="0.35">
      <c r="A63" s="27">
        <v>30123</v>
      </c>
      <c r="B63" s="55" t="s">
        <v>208</v>
      </c>
      <c r="C63" s="10">
        <f>IFERROR(INDEX('حسابهای دریافتنی'!H:H,MATCH(Table223[[#This Row],[كد تفصيلي]],'حسابهای دریافتنی'!A:A,0)),0)</f>
        <v>4138250</v>
      </c>
      <c r="D63" s="11">
        <f>IFERROR(INDEX('درجریان وصول'!F:F,MATCH(Table223[[#This Row],[كد تفصيلي]],'درجریان وصول'!A:A,0)),0)</f>
        <v>0</v>
      </c>
      <c r="E63" s="11">
        <f>IFERROR(INDEX('چکهای دریافتنی'!F:F,MATCH(Table223[[#This Row],[كد تفصيلي]],'چکهای دریافتنی'!A:A,0)),0)</f>
        <v>0</v>
      </c>
      <c r="F63" s="11">
        <f>Table223[[#This Row],[حسابهای دریافتنی]]+Table223[[#This Row],[چکهای در جریان وصول]]+Table223[[#This Row],[چکهای نزد صندوق]]</f>
        <v>4138250</v>
      </c>
      <c r="G63" s="12">
        <f>IFERROR(INDEX('مانده سوفاله'!F:F,MATCH(Table223[[#This Row],[كد تفصيلي]],'مانده سوفاله'!A:A,0)),0)</f>
        <v>-20</v>
      </c>
    </row>
    <row r="64" spans="1:7" ht="27" customHeight="1" x14ac:dyDescent="0.35">
      <c r="A64" s="26">
        <v>10116</v>
      </c>
      <c r="B64" s="56" t="s">
        <v>321</v>
      </c>
      <c r="C64" s="10">
        <f>IFERROR(INDEX('حسابهای دریافتنی'!H:H,MATCH(Table223[[#This Row],[كد تفصيلي]],'حسابهای دریافتنی'!A:A,0)),0)</f>
        <v>3892500</v>
      </c>
      <c r="D64" s="11">
        <f>IFERROR(INDEX('درجریان وصول'!F:F,MATCH(Table223[[#This Row],[كد تفصيلي]],'درجریان وصول'!A:A,0)),0)</f>
        <v>0</v>
      </c>
      <c r="E64" s="11">
        <f>IFERROR(INDEX('چکهای دریافتنی'!F:F,MATCH(Table223[[#This Row],[كد تفصيلي]],'چکهای دریافتنی'!A:A,0)),0)</f>
        <v>0</v>
      </c>
      <c r="F64" s="11">
        <f>Table223[[#This Row],[حسابهای دریافتنی]]+Table223[[#This Row],[چکهای در جریان وصول]]+Table223[[#This Row],[چکهای نزد صندوق]]</f>
        <v>3892500</v>
      </c>
      <c r="G64" s="12">
        <f>IFERROR(INDEX('مانده سوفاله'!F:F,MATCH(Table223[[#This Row],[كد تفصيلي]],'مانده سوفاله'!A:A,0)),0)</f>
        <v>0</v>
      </c>
    </row>
    <row r="65" spans="1:7" ht="27" customHeight="1" x14ac:dyDescent="0.35">
      <c r="A65" s="27">
        <v>10030</v>
      </c>
      <c r="B65" s="55" t="s">
        <v>36</v>
      </c>
      <c r="C65" s="10">
        <f>IFERROR(INDEX('حسابهای دریافتنی'!H:H,MATCH(Table223[[#This Row],[كد تفصيلي]],'حسابهای دریافتنی'!A:A,0)),0)</f>
        <v>3272000</v>
      </c>
      <c r="D65" s="11">
        <f>IFERROR(INDEX('درجریان وصول'!F:F,MATCH(Table223[[#This Row],[كد تفصيلي]],'درجریان وصول'!A:A,0)),0)</f>
        <v>0</v>
      </c>
      <c r="E65" s="11">
        <f>IFERROR(INDEX('چکهای دریافتنی'!F:F,MATCH(Table223[[#This Row],[كد تفصيلي]],'چکهای دریافتنی'!A:A,0)),0)</f>
        <v>0</v>
      </c>
      <c r="F65" s="11">
        <f>Table223[[#This Row],[حسابهای دریافتنی]]+Table223[[#This Row],[چکهای در جریان وصول]]+Table223[[#This Row],[چکهای نزد صندوق]]</f>
        <v>3272000</v>
      </c>
      <c r="G65" s="12">
        <f>IFERROR(INDEX('مانده سوفاله'!F:F,MATCH(Table223[[#This Row],[كد تفصيلي]],'مانده سوفاله'!A:A,0)),0)</f>
        <v>-222</v>
      </c>
    </row>
    <row r="66" spans="1:7" ht="27" customHeight="1" x14ac:dyDescent="0.35">
      <c r="A66" s="26">
        <v>30178</v>
      </c>
      <c r="B66" s="56" t="s">
        <v>335</v>
      </c>
      <c r="C66" s="10">
        <f>IFERROR(INDEX('حسابهای دریافتنی'!H:H,MATCH(Table223[[#This Row],[كد تفصيلي]],'حسابهای دریافتنی'!A:A,0)),0)</f>
        <v>3040000</v>
      </c>
      <c r="D66" s="11">
        <f>IFERROR(INDEX('درجریان وصول'!F:F,MATCH(Table223[[#This Row],[كد تفصيلي]],'درجریان وصول'!A:A,0)),0)</f>
        <v>0</v>
      </c>
      <c r="E66" s="11">
        <f>IFERROR(INDEX('چکهای دریافتنی'!F:F,MATCH(Table223[[#This Row],[كد تفصيلي]],'چکهای دریافتنی'!A:A,0)),0)</f>
        <v>0</v>
      </c>
      <c r="F66" s="11">
        <f>Table223[[#This Row],[حسابهای دریافتنی]]+Table223[[#This Row],[چکهای در جریان وصول]]+Table223[[#This Row],[چکهای نزد صندوق]]</f>
        <v>3040000</v>
      </c>
      <c r="G66" s="12">
        <f>IFERROR(INDEX('مانده سوفاله'!F:F,MATCH(Table223[[#This Row],[كد تفصيلي]],'مانده سوفاله'!A:A,0)),0)</f>
        <v>0</v>
      </c>
    </row>
    <row r="67" spans="1:7" ht="27" customHeight="1" x14ac:dyDescent="0.35">
      <c r="A67" s="27">
        <v>30020</v>
      </c>
      <c r="B67" s="55" t="s">
        <v>68</v>
      </c>
      <c r="C67" s="10">
        <f>IFERROR(INDEX('حسابهای دریافتنی'!H:H,MATCH(Table223[[#This Row],[كد تفصيلي]],'حسابهای دریافتنی'!A:A,0)),0)</f>
        <v>2253500</v>
      </c>
      <c r="D67" s="11">
        <f>IFERROR(INDEX('درجریان وصول'!F:F,MATCH(Table223[[#This Row],[كد تفصيلي]],'درجریان وصول'!A:A,0)),0)</f>
        <v>0</v>
      </c>
      <c r="E67" s="11">
        <f>IFERROR(INDEX('چکهای دریافتنی'!F:F,MATCH(Table223[[#This Row],[كد تفصيلي]],'چکهای دریافتنی'!A:A,0)),0)</f>
        <v>0</v>
      </c>
      <c r="F67" s="11">
        <f>Table223[[#This Row],[حسابهای دریافتنی]]+Table223[[#This Row],[چکهای در جریان وصول]]+Table223[[#This Row],[چکهای نزد صندوق]]</f>
        <v>2253500</v>
      </c>
      <c r="G67" s="12">
        <f>IFERROR(INDEX('مانده سوفاله'!F:F,MATCH(Table223[[#This Row],[كد تفصيلي]],'مانده سوفاله'!A:A,0)),0)</f>
        <v>4</v>
      </c>
    </row>
    <row r="68" spans="1:7" ht="27" customHeight="1" x14ac:dyDescent="0.35">
      <c r="A68" s="26">
        <v>30084</v>
      </c>
      <c r="B68" s="56" t="s">
        <v>129</v>
      </c>
      <c r="C68" s="10">
        <f>IFERROR(INDEX('حسابهای دریافتنی'!H:H,MATCH(Table223[[#This Row],[كد تفصيلي]],'حسابهای دریافتنی'!A:A,0)),0)</f>
        <v>1220000</v>
      </c>
      <c r="D68" s="11">
        <f>IFERROR(INDEX('درجریان وصول'!F:F,MATCH(Table223[[#This Row],[كد تفصيلي]],'درجریان وصول'!A:A,0)),0)</f>
        <v>0</v>
      </c>
      <c r="E68" s="11">
        <f>IFERROR(INDEX('چکهای دریافتنی'!F:F,MATCH(Table223[[#This Row],[كد تفصيلي]],'چکهای دریافتنی'!A:A,0)),0)</f>
        <v>0</v>
      </c>
      <c r="F68" s="11">
        <f>Table223[[#This Row],[حسابهای دریافتنی]]+Table223[[#This Row],[چکهای در جریان وصول]]+Table223[[#This Row],[چکهای نزد صندوق]]</f>
        <v>1220000</v>
      </c>
      <c r="G68" s="12">
        <f>IFERROR(INDEX('مانده سوفاله'!F:F,MATCH(Table223[[#This Row],[كد تفصيلي]],'مانده سوفاله'!A:A,0)),0)</f>
        <v>0</v>
      </c>
    </row>
    <row r="69" spans="1:7" ht="27" customHeight="1" x14ac:dyDescent="0.35">
      <c r="A69" s="27">
        <v>10048</v>
      </c>
      <c r="B69" s="55" t="s">
        <v>191</v>
      </c>
      <c r="C69" s="10">
        <f>IFERROR(INDEX('حسابهای دریافتنی'!H:H,MATCH(Table223[[#This Row],[كد تفصيلي]],'حسابهای دریافتنی'!A:A,0)),0)</f>
        <v>0</v>
      </c>
      <c r="D69" s="11">
        <f>IFERROR(INDEX('درجریان وصول'!F:F,MATCH(Table223[[#This Row],[كد تفصيلي]],'درجریان وصول'!A:A,0)),0)</f>
        <v>0</v>
      </c>
      <c r="E69" s="11">
        <f>IFERROR(INDEX('چکهای دریافتنی'!F:F,MATCH(Table223[[#This Row],[كد تفصيلي]],'چکهای دریافتنی'!A:A,0)),0)</f>
        <v>0</v>
      </c>
      <c r="F69" s="11">
        <f>Table223[[#This Row],[حسابهای دریافتنی]]+Table223[[#This Row],[چکهای در جریان وصول]]+Table223[[#This Row],[چکهای نزد صندوق]]</f>
        <v>0</v>
      </c>
      <c r="G69" s="12">
        <f>IFERROR(INDEX('مانده سوفاله'!F:F,MATCH(Table223[[#This Row],[كد تفصيلي]],'مانده سوفاله'!A:A,0)),0)</f>
        <v>-1097</v>
      </c>
    </row>
    <row r="70" spans="1:7" ht="27" customHeight="1" x14ac:dyDescent="0.35">
      <c r="A70" s="27">
        <v>79055</v>
      </c>
      <c r="B70" s="55" t="s">
        <v>297</v>
      </c>
      <c r="C70" s="10">
        <f>IFERROR(INDEX('حسابهای دریافتنی'!H:H,MATCH(Table223[[#This Row],[كد تفصيلي]],'حسابهای دریافتنی'!A:A,0)),0)</f>
        <v>896500</v>
      </c>
      <c r="D70" s="11">
        <f>IFERROR(INDEX('درجریان وصول'!F:F,MATCH(Table223[[#This Row],[كد تفصيلي]],'درجریان وصول'!A:A,0)),0)</f>
        <v>0</v>
      </c>
      <c r="E70" s="11">
        <f>IFERROR(INDEX('چکهای دریافتنی'!F:F,MATCH(Table223[[#This Row],[كد تفصيلي]],'چکهای دریافتنی'!A:A,0)),0)</f>
        <v>0</v>
      </c>
      <c r="F70" s="11">
        <f>Table223[[#This Row],[حسابهای دریافتنی]]+Table223[[#This Row],[چکهای در جریان وصول]]+Table223[[#This Row],[چکهای نزد صندوق]]</f>
        <v>896500</v>
      </c>
      <c r="G70" s="12">
        <f>IFERROR(INDEX('مانده سوفاله'!F:F,MATCH(Table223[[#This Row],[كد تفصيلي]],'مانده سوفاله'!A:A,0)),0)</f>
        <v>0</v>
      </c>
    </row>
    <row r="71" spans="1:7" ht="27" customHeight="1" x14ac:dyDescent="0.35">
      <c r="A71" s="27">
        <v>30030</v>
      </c>
      <c r="B71" s="55" t="s">
        <v>77</v>
      </c>
      <c r="C71" s="10">
        <f>IFERROR(INDEX('حسابهای دریافتنی'!H:H,MATCH(Table223[[#This Row],[كد تفصيلي]],'حسابهای دریافتنی'!A:A,0)),0)</f>
        <v>850500</v>
      </c>
      <c r="D71" s="11">
        <f>IFERROR(INDEX('درجریان وصول'!F:F,MATCH(Table223[[#This Row],[كد تفصيلي]],'درجریان وصول'!A:A,0)),0)</f>
        <v>0</v>
      </c>
      <c r="E71" s="11">
        <f>IFERROR(INDEX('چکهای دریافتنی'!F:F,MATCH(Table223[[#This Row],[كد تفصيلي]],'چکهای دریافتنی'!A:A,0)),0)</f>
        <v>0</v>
      </c>
      <c r="F71" s="11">
        <f>Table223[[#This Row],[حسابهای دریافتنی]]+Table223[[#This Row],[چکهای در جریان وصول]]+Table223[[#This Row],[چکهای نزد صندوق]]</f>
        <v>850500</v>
      </c>
      <c r="G71" s="12">
        <f>IFERROR(INDEX('مانده سوفاله'!F:F,MATCH(Table223[[#This Row],[كد تفصيلي]],'مانده سوفاله'!A:A,0)),0)</f>
        <v>-49</v>
      </c>
    </row>
    <row r="72" spans="1:7" ht="27" customHeight="1" x14ac:dyDescent="0.35">
      <c r="A72" s="27">
        <v>30129</v>
      </c>
      <c r="B72" s="55" t="s">
        <v>178</v>
      </c>
      <c r="C72" s="10">
        <f>IFERROR(INDEX('حسابهای دریافتنی'!H:H,MATCH(Table223[[#This Row],[كد تفصيلي]],'حسابهای دریافتنی'!A:A,0)),0)</f>
        <v>783000</v>
      </c>
      <c r="D72" s="11">
        <f>IFERROR(INDEX('درجریان وصول'!F:F,MATCH(Table223[[#This Row],[كد تفصيلي]],'درجریان وصول'!A:A,0)),0)</f>
        <v>0</v>
      </c>
      <c r="E72" s="11">
        <f>IFERROR(INDEX('چکهای دریافتنی'!F:F,MATCH(Table223[[#This Row],[كد تفصيلي]],'چکهای دریافتنی'!A:A,0)),0)</f>
        <v>0</v>
      </c>
      <c r="F72" s="11">
        <f>Table223[[#This Row],[حسابهای دریافتنی]]+Table223[[#This Row],[چکهای در جریان وصول]]+Table223[[#This Row],[چکهای نزد صندوق]]</f>
        <v>783000</v>
      </c>
      <c r="G72" s="12">
        <f>IFERROR(INDEX('مانده سوفاله'!F:F,MATCH(Table223[[#This Row],[كد تفصيلي]],'مانده سوفاله'!A:A,0)),0)</f>
        <v>0</v>
      </c>
    </row>
    <row r="73" spans="1:7" ht="27" customHeight="1" x14ac:dyDescent="0.35">
      <c r="A73" s="26">
        <v>30090</v>
      </c>
      <c r="B73" s="56" t="s">
        <v>144</v>
      </c>
      <c r="C73" s="10">
        <f>IFERROR(INDEX('حسابهای دریافتنی'!H:H,MATCH(Table223[[#This Row],[كد تفصيلي]],'حسابهای دریافتنی'!A:A,0)),0)</f>
        <v>640100</v>
      </c>
      <c r="D73" s="11">
        <f>IFERROR(INDEX('درجریان وصول'!F:F,MATCH(Table223[[#This Row],[كد تفصيلي]],'درجریان وصول'!A:A,0)),0)</f>
        <v>0</v>
      </c>
      <c r="E73" s="11">
        <f>IFERROR(INDEX('چکهای دریافتنی'!F:F,MATCH(Table223[[#This Row],[كد تفصيلي]],'چکهای دریافتنی'!A:A,0)),0)</f>
        <v>0</v>
      </c>
      <c r="F73" s="11">
        <f>Table223[[#This Row],[حسابهای دریافتنی]]+Table223[[#This Row],[چکهای در جریان وصول]]+Table223[[#This Row],[چکهای نزد صندوق]]</f>
        <v>640100</v>
      </c>
      <c r="G73" s="12">
        <f>IFERROR(INDEX('مانده سوفاله'!F:F,MATCH(Table223[[#This Row],[كد تفصيلي]],'مانده سوفاله'!A:A,0)),0)</f>
        <v>0</v>
      </c>
    </row>
    <row r="74" spans="1:7" ht="27" customHeight="1" x14ac:dyDescent="0.35">
      <c r="A74" s="27">
        <v>30109</v>
      </c>
      <c r="B74" s="55" t="s">
        <v>165</v>
      </c>
      <c r="C74" s="10">
        <f>IFERROR(INDEX('حسابهای دریافتنی'!H:H,MATCH(Table223[[#This Row],[كد تفصيلي]],'حسابهای دریافتنی'!A:A,0)),0)</f>
        <v>607300</v>
      </c>
      <c r="D74" s="11">
        <f>IFERROR(INDEX('درجریان وصول'!F:F,MATCH(Table223[[#This Row],[كد تفصيلي]],'درجریان وصول'!A:A,0)),0)</f>
        <v>0</v>
      </c>
      <c r="E74" s="11">
        <f>IFERROR(INDEX('چکهای دریافتنی'!F:F,MATCH(Table223[[#This Row],[كد تفصيلي]],'چکهای دریافتنی'!A:A,0)),0)</f>
        <v>0</v>
      </c>
      <c r="F74" s="11">
        <f>Table223[[#This Row],[حسابهای دریافتنی]]+Table223[[#This Row],[چکهای در جریان وصول]]+Table223[[#This Row],[چکهای نزد صندوق]]</f>
        <v>607300</v>
      </c>
      <c r="G74" s="12">
        <f>IFERROR(INDEX('مانده سوفاله'!F:F,MATCH(Table223[[#This Row],[كد تفصيلي]],'مانده سوفاله'!A:A,0)),0)</f>
        <v>0</v>
      </c>
    </row>
    <row r="75" spans="1:7" ht="27" customHeight="1" x14ac:dyDescent="0.35">
      <c r="A75" s="27">
        <v>10084</v>
      </c>
      <c r="B75" s="55" t="s">
        <v>217</v>
      </c>
      <c r="C75" s="10">
        <f>IFERROR(INDEX('حسابهای دریافتنی'!H:H,MATCH(Table223[[#This Row],[كد تفصيلي]],'حسابهای دریافتنی'!A:A,0)),0)</f>
        <v>358092810</v>
      </c>
      <c r="D75" s="11">
        <f>IFERROR(INDEX('درجریان وصول'!F:F,MATCH(Table223[[#This Row],[كد تفصيلي]],'درجریان وصول'!A:A,0)),0)</f>
        <v>0</v>
      </c>
      <c r="E75" s="11">
        <f>IFERROR(INDEX('چکهای دریافتنی'!F:F,MATCH(Table223[[#This Row],[كد تفصيلي]],'چکهای دریافتنی'!A:A,0)),0)</f>
        <v>870000000</v>
      </c>
      <c r="F75" s="11">
        <f>Table223[[#This Row],[حسابهای دریافتنی]]+Table223[[#This Row],[چکهای در جریان وصول]]+Table223[[#This Row],[چکهای نزد صندوق]]</f>
        <v>1228092810</v>
      </c>
      <c r="G75" s="12">
        <f>IFERROR(INDEX('مانده سوفاله'!F:F,MATCH(Table223[[#This Row],[كد تفصيلي]],'مانده سوفاله'!A:A,0)),0)</f>
        <v>-1656</v>
      </c>
    </row>
    <row r="76" spans="1:7" ht="27" customHeight="1" x14ac:dyDescent="0.35">
      <c r="A76" s="27">
        <v>30010</v>
      </c>
      <c r="B76" s="55" t="s">
        <v>59</v>
      </c>
      <c r="C76" s="10">
        <f>IFERROR(INDEX('حسابهای دریافتنی'!H:H,MATCH(Table223[[#This Row],[كد تفصيلي]],'حسابهای دریافتنی'!A:A,0)),0)</f>
        <v>366215</v>
      </c>
      <c r="D76" s="11">
        <f>IFERROR(INDEX('درجریان وصول'!F:F,MATCH(Table223[[#This Row],[كد تفصيلي]],'درجریان وصول'!A:A,0)),0)</f>
        <v>0</v>
      </c>
      <c r="E76" s="11">
        <f>IFERROR(INDEX('چکهای دریافتنی'!F:F,MATCH(Table223[[#This Row],[كد تفصيلي]],'چکهای دریافتنی'!A:A,0)),0)</f>
        <v>0</v>
      </c>
      <c r="F76" s="11">
        <f>Table223[[#This Row],[حسابهای دریافتنی]]+Table223[[#This Row],[چکهای در جریان وصول]]+Table223[[#This Row],[چکهای نزد صندوق]]</f>
        <v>366215</v>
      </c>
      <c r="G76" s="12">
        <f>IFERROR(INDEX('مانده سوفاله'!F:F,MATCH(Table223[[#This Row],[كد تفصيلي]],'مانده سوفاله'!A:A,0)),0)</f>
        <v>8</v>
      </c>
    </row>
    <row r="77" spans="1:7" ht="27" customHeight="1" x14ac:dyDescent="0.35">
      <c r="A77" s="26">
        <v>30027</v>
      </c>
      <c r="B77" s="56" t="s">
        <v>75</v>
      </c>
      <c r="C77" s="10">
        <f>IFERROR(INDEX('حسابهای دریافتنی'!H:H,MATCH(Table223[[#This Row],[كد تفصيلي]],'حسابهای دریافتنی'!A:A,0)),0)</f>
        <v>326950</v>
      </c>
      <c r="D77" s="11">
        <f>IFERROR(INDEX('درجریان وصول'!F:F,MATCH(Table223[[#This Row],[كد تفصيلي]],'درجریان وصول'!A:A,0)),0)</f>
        <v>0</v>
      </c>
      <c r="E77" s="11">
        <f>IFERROR(INDEX('چکهای دریافتنی'!F:F,MATCH(Table223[[#This Row],[كد تفصيلي]],'چکهای دریافتنی'!A:A,0)),0)</f>
        <v>0</v>
      </c>
      <c r="F77" s="11">
        <f>Table223[[#This Row],[حسابهای دریافتنی]]+Table223[[#This Row],[چکهای در جریان وصول]]+Table223[[#This Row],[چکهای نزد صندوق]]</f>
        <v>326950</v>
      </c>
      <c r="G77" s="12">
        <f>IFERROR(INDEX('مانده سوفاله'!F:F,MATCH(Table223[[#This Row],[كد تفصيلي]],'مانده سوفاله'!A:A,0)),0)</f>
        <v>0</v>
      </c>
    </row>
    <row r="78" spans="1:7" ht="27" customHeight="1" x14ac:dyDescent="0.35">
      <c r="A78" s="27">
        <v>30135</v>
      </c>
      <c r="B78" s="55" t="s">
        <v>179</v>
      </c>
      <c r="C78" s="10">
        <f>IFERROR(INDEX('حسابهای دریافتنی'!H:H,MATCH(Table223[[#This Row],[كد تفصيلي]],'حسابهای دریافتنی'!A:A,0)),0)</f>
        <v>195000</v>
      </c>
      <c r="D78" s="11">
        <f>IFERROR(INDEX('درجریان وصول'!F:F,MATCH(Table223[[#This Row],[كد تفصيلي]],'درجریان وصول'!A:A,0)),0)</f>
        <v>0</v>
      </c>
      <c r="E78" s="11">
        <f>IFERROR(INDEX('چکهای دریافتنی'!F:F,MATCH(Table223[[#This Row],[كد تفصيلي]],'چکهای دریافتنی'!A:A,0)),0)</f>
        <v>0</v>
      </c>
      <c r="F78" s="11">
        <f>Table223[[#This Row],[حسابهای دریافتنی]]+Table223[[#This Row],[چکهای در جریان وصول]]+Table223[[#This Row],[چکهای نزد صندوق]]</f>
        <v>195000</v>
      </c>
      <c r="G78" s="12">
        <f>IFERROR(INDEX('مانده سوفاله'!F:F,MATCH(Table223[[#This Row],[كد تفصيلي]],'مانده سوفاله'!A:A,0)),0)</f>
        <v>-5</v>
      </c>
    </row>
    <row r="79" spans="1:7" ht="27" customHeight="1" x14ac:dyDescent="0.35">
      <c r="A79" s="27">
        <v>10088</v>
      </c>
      <c r="B79" s="55" t="s">
        <v>254</v>
      </c>
      <c r="C79" s="10">
        <f>IFERROR(INDEX('حسابهای دریافتنی'!H:H,MATCH(Table223[[#This Row],[كد تفصيلي]],'حسابهای دریافتنی'!A:A,0)),0)</f>
        <v>113500</v>
      </c>
      <c r="D79" s="11">
        <f>IFERROR(INDEX('درجریان وصول'!F:F,MATCH(Table223[[#This Row],[كد تفصيلي]],'درجریان وصول'!A:A,0)),0)</f>
        <v>0</v>
      </c>
      <c r="E79" s="11">
        <f>IFERROR(INDEX('چکهای دریافتنی'!F:F,MATCH(Table223[[#This Row],[كد تفصيلي]],'چکهای دریافتنی'!A:A,0)),0)</f>
        <v>0</v>
      </c>
      <c r="F79" s="11">
        <f>Table223[[#This Row],[حسابهای دریافتنی]]+Table223[[#This Row],[چکهای در جریان وصول]]+Table223[[#This Row],[چکهای نزد صندوق]]</f>
        <v>113500</v>
      </c>
      <c r="G79" s="12">
        <f>IFERROR(INDEX('مانده سوفاله'!F:F,MATCH(Table223[[#This Row],[كد تفصيلي]],'مانده سوفاله'!A:A,0)),0)</f>
        <v>0</v>
      </c>
    </row>
    <row r="80" spans="1:7" ht="27" customHeight="1" x14ac:dyDescent="0.35">
      <c r="A80" s="26">
        <v>30124</v>
      </c>
      <c r="B80" s="56" t="s">
        <v>246</v>
      </c>
      <c r="C80" s="10">
        <f>IFERROR(INDEX('حسابهای دریافتنی'!H:H,MATCH(Table223[[#This Row],[كد تفصيلي]],'حسابهای دریافتنی'!A:A,0)),0)</f>
        <v>0</v>
      </c>
      <c r="D80" s="11">
        <f>IFERROR(INDEX('درجریان وصول'!F:F,MATCH(Table223[[#This Row],[كد تفصيلي]],'درجریان وصول'!A:A,0)),0)</f>
        <v>0</v>
      </c>
      <c r="E80" s="11">
        <f>IFERROR(INDEX('چکهای دریافتنی'!F:F,MATCH(Table223[[#This Row],[كد تفصيلي]],'چکهای دریافتنی'!A:A,0)),0)</f>
        <v>505676000</v>
      </c>
      <c r="F80" s="11">
        <f>Table223[[#This Row],[حسابهای دریافتنی]]+Table223[[#This Row],[چکهای در جریان وصول]]+Table223[[#This Row],[چکهای نزد صندوق]]</f>
        <v>505676000</v>
      </c>
      <c r="G80" s="12">
        <f>IFERROR(INDEX('مانده سوفاله'!F:F,MATCH(Table223[[#This Row],[كد تفصيلي]],'مانده سوفاله'!A:A,0)),0)</f>
        <v>1498</v>
      </c>
    </row>
    <row r="81" spans="1:7" ht="27" customHeight="1" x14ac:dyDescent="0.35">
      <c r="A81" s="26">
        <v>30019</v>
      </c>
      <c r="B81" s="56" t="s">
        <v>67</v>
      </c>
      <c r="C81" s="10">
        <f>IFERROR(INDEX('حسابهای دریافتنی'!H:H,MATCH(Table223[[#This Row],[كد تفصيلي]],'حسابهای دریافتنی'!A:A,0)),0)</f>
        <v>823484840</v>
      </c>
      <c r="D81" s="11">
        <f>IFERROR(INDEX('درجریان وصول'!F:F,MATCH(Table223[[#This Row],[كد تفصيلي]],'درجریان وصول'!A:A,0)),0)</f>
        <v>0</v>
      </c>
      <c r="E81" s="11">
        <f>IFERROR(INDEX('چکهای دریافتنی'!F:F,MATCH(Table223[[#This Row],[كد تفصيلي]],'چکهای دریافتنی'!A:A,0)),0)</f>
        <v>0</v>
      </c>
      <c r="F81" s="11">
        <f>Table223[[#This Row],[حسابهای دریافتنی]]+Table223[[#This Row],[چکهای در جریان وصول]]+Table223[[#This Row],[چکهای نزد صندوق]]</f>
        <v>823484840</v>
      </c>
      <c r="G81" s="12">
        <f>IFERROR(INDEX('مانده سوفاله'!F:F,MATCH(Table223[[#This Row],[كد تفصيلي]],'مانده سوفاله'!A:A,0)),0)</f>
        <v>612</v>
      </c>
    </row>
    <row r="82" spans="1:7" ht="27" customHeight="1" x14ac:dyDescent="0.35">
      <c r="A82" s="27">
        <v>10010</v>
      </c>
      <c r="B82" s="55" t="s">
        <v>17</v>
      </c>
      <c r="C82" s="10">
        <f>IFERROR(INDEX('حسابهای دریافتنی'!H:H,MATCH(Table223[[#This Row],[كد تفصيلي]],'حسابهای دریافتنی'!A:A,0)),0)</f>
        <v>0</v>
      </c>
      <c r="D82" s="11">
        <f>IFERROR(INDEX('درجریان وصول'!F:F,MATCH(Table223[[#This Row],[كد تفصيلي]],'درجریان وصول'!A:A,0)),0)</f>
        <v>0</v>
      </c>
      <c r="E82" s="11">
        <f>IFERROR(INDEX('چکهای دریافتنی'!F:F,MATCH(Table223[[#This Row],[كد تفصيلي]],'چکهای دریافتنی'!A:A,0)),0)</f>
        <v>0</v>
      </c>
      <c r="F82" s="11">
        <f>Table223[[#This Row],[حسابهای دریافتنی]]+Table223[[#This Row],[چکهای در جریان وصول]]+Table223[[#This Row],[چکهای نزد صندوق]]</f>
        <v>0</v>
      </c>
      <c r="G82" s="12">
        <f>IFERROR(INDEX('مانده سوفاله'!F:F,MATCH(Table223[[#This Row],[كد تفصيلي]],'مانده سوفاله'!A:A,0)),0)</f>
        <v>8</v>
      </c>
    </row>
    <row r="83" spans="1:7" ht="27" customHeight="1" x14ac:dyDescent="0.35">
      <c r="A83" s="27">
        <v>10014</v>
      </c>
      <c r="B83" s="55" t="s">
        <v>21</v>
      </c>
      <c r="C83" s="10">
        <f>IFERROR(INDEX('حسابهای دریافتنی'!H:H,MATCH(Table223[[#This Row],[كد تفصيلي]],'حسابهای دریافتنی'!A:A,0)),0)</f>
        <v>0</v>
      </c>
      <c r="D83" s="11">
        <f>IFERROR(INDEX('درجریان وصول'!F:F,MATCH(Table223[[#This Row],[كد تفصيلي]],'درجریان وصول'!A:A,0)),0)</f>
        <v>0</v>
      </c>
      <c r="E83" s="11">
        <f>IFERROR(INDEX('چکهای دریافتنی'!F:F,MATCH(Table223[[#This Row],[كد تفصيلي]],'چکهای دریافتنی'!A:A,0)),0)</f>
        <v>0</v>
      </c>
      <c r="F83" s="11">
        <f>Table223[[#This Row],[حسابهای دریافتنی]]+Table223[[#This Row],[چکهای در جریان وصول]]+Table223[[#This Row],[چکهای نزد صندوق]]</f>
        <v>0</v>
      </c>
      <c r="G83" s="12">
        <f>IFERROR(INDEX('مانده سوفاله'!F:F,MATCH(Table223[[#This Row],[كد تفصيلي]],'مانده سوفاله'!A:A,0)),0)</f>
        <v>21</v>
      </c>
    </row>
    <row r="84" spans="1:7" ht="27" customHeight="1" x14ac:dyDescent="0.35">
      <c r="A84" s="26">
        <v>10023</v>
      </c>
      <c r="B84" s="56" t="s">
        <v>155</v>
      </c>
      <c r="C84" s="10">
        <f>IFERROR(INDEX('حسابهای دریافتنی'!H:H,MATCH(Table223[[#This Row],[كد تفصيلي]],'حسابهای دریافتنی'!A:A,0)),0)</f>
        <v>0</v>
      </c>
      <c r="D84" s="11">
        <f>IFERROR(INDEX('درجریان وصول'!F:F,MATCH(Table223[[#This Row],[كد تفصيلي]],'درجریان وصول'!A:A,0)),0)</f>
        <v>0</v>
      </c>
      <c r="E84" s="11">
        <f>IFERROR(INDEX('چکهای دریافتنی'!F:F,MATCH(Table223[[#This Row],[كد تفصيلي]],'چکهای دریافتنی'!A:A,0)),0)</f>
        <v>0</v>
      </c>
      <c r="F84" s="11">
        <f>Table223[[#This Row],[حسابهای دریافتنی]]+Table223[[#This Row],[چکهای در جریان وصول]]+Table223[[#This Row],[چکهای نزد صندوق]]</f>
        <v>0</v>
      </c>
      <c r="G84" s="12">
        <f>IFERROR(INDEX('مانده سوفاله'!F:F,MATCH(Table223[[#This Row],[كد تفصيلي]],'مانده سوفاله'!A:A,0)),0)</f>
        <v>6</v>
      </c>
    </row>
    <row r="85" spans="1:7" ht="27" customHeight="1" x14ac:dyDescent="0.35">
      <c r="A85" s="53">
        <v>10039</v>
      </c>
      <c r="B85" s="56" t="s">
        <v>45</v>
      </c>
      <c r="C85" s="10">
        <f>IFERROR(INDEX('حسابهای دریافتنی'!H:H,MATCH(Table223[[#This Row],[كد تفصيلي]],'حسابهای دریافتنی'!A:A,0)),0)</f>
        <v>0</v>
      </c>
      <c r="D85" s="11">
        <f>IFERROR(INDEX('درجریان وصول'!F:F,MATCH(Table223[[#This Row],[كد تفصيلي]],'درجریان وصول'!A:A,0)),0)</f>
        <v>0</v>
      </c>
      <c r="E85" s="11">
        <f>IFERROR(INDEX('چکهای دریافتنی'!F:F,MATCH(Table223[[#This Row],[كد تفصيلي]],'چکهای دریافتنی'!A:A,0)),0)</f>
        <v>0</v>
      </c>
      <c r="F85" s="11">
        <f>Table223[[#This Row],[حسابهای دریافتنی]]+Table223[[#This Row],[چکهای در جریان وصول]]+Table223[[#This Row],[چکهای نزد صندوق]]</f>
        <v>0</v>
      </c>
      <c r="G85" s="12">
        <f>IFERROR(INDEX('مانده سوفاله'!F:F,MATCH(Table223[[#This Row],[كد تفصيلي]],'مانده سوفاله'!A:A,0)),0)</f>
        <v>4</v>
      </c>
    </row>
    <row r="86" spans="1:7" customFormat="1" ht="27" customHeight="1" x14ac:dyDescent="0.35">
      <c r="A86" s="54">
        <v>10046</v>
      </c>
      <c r="B86" s="55" t="s">
        <v>51</v>
      </c>
      <c r="C86" s="10">
        <f>IFERROR(INDEX('حسابهای دریافتنی'!H:H,MATCH(Table223[[#This Row],[كد تفصيلي]],'حسابهای دریافتنی'!A:A,0)),0)</f>
        <v>0</v>
      </c>
      <c r="D86" s="11">
        <f>IFERROR(INDEX('درجریان وصول'!F:F,MATCH(Table223[[#This Row],[كد تفصيلي]],'درجریان وصول'!A:A,0)),0)</f>
        <v>0</v>
      </c>
      <c r="E86" s="11">
        <f>IFERROR(INDEX('چکهای دریافتنی'!F:F,MATCH(Table223[[#This Row],[كد تفصيلي]],'چکهای دریافتنی'!A:A,0)),0)</f>
        <v>0</v>
      </c>
      <c r="F86" s="11">
        <f>Table223[[#This Row],[حسابهای دریافتنی]]+Table223[[#This Row],[چکهای در جریان وصول]]+Table223[[#This Row],[چکهای نزد صندوق]]</f>
        <v>0</v>
      </c>
      <c r="G86" s="12">
        <f>IFERROR(INDEX('مانده سوفاله'!F:F,MATCH(Table223[[#This Row],[كد تفصيلي]],'مانده سوفاله'!A:A,0)),0)</f>
        <v>118</v>
      </c>
    </row>
    <row r="87" spans="1:7" customFormat="1" ht="27" customHeight="1" x14ac:dyDescent="0.35">
      <c r="A87" s="53">
        <v>10065</v>
      </c>
      <c r="B87" s="56" t="s">
        <v>228</v>
      </c>
      <c r="C87" s="10">
        <f>IFERROR(INDEX('حسابهای دریافتنی'!H:H,MATCH(Table223[[#This Row],[كد تفصيلي]],'حسابهای دریافتنی'!A:A,0)),0)</f>
        <v>0</v>
      </c>
      <c r="D87" s="11">
        <f>IFERROR(INDEX('درجریان وصول'!F:F,MATCH(Table223[[#This Row],[كد تفصيلي]],'درجریان وصول'!A:A,0)),0)</f>
        <v>0</v>
      </c>
      <c r="E87" s="11">
        <f>IFERROR(INDEX('چکهای دریافتنی'!F:F,MATCH(Table223[[#This Row],[كد تفصيلي]],'چکهای دریافتنی'!A:A,0)),0)</f>
        <v>0</v>
      </c>
      <c r="F87" s="11">
        <f>Table223[[#This Row],[حسابهای دریافتنی]]+Table223[[#This Row],[چکهای در جریان وصول]]+Table223[[#This Row],[چکهای نزد صندوق]]</f>
        <v>0</v>
      </c>
      <c r="G87" s="12">
        <f>IFERROR(INDEX('مانده سوفاله'!F:F,MATCH(Table223[[#This Row],[كد تفصيلي]],'مانده سوفاله'!A:A,0)),0)</f>
        <v>127</v>
      </c>
    </row>
    <row r="88" spans="1:7" ht="27" customHeight="1" x14ac:dyDescent="0.35">
      <c r="A88" s="54">
        <v>10076</v>
      </c>
      <c r="B88" s="55" t="s">
        <v>182</v>
      </c>
      <c r="C88" s="10">
        <f>IFERROR(INDEX('حسابهای دریافتنی'!H:H,MATCH(Table223[[#This Row],[كد تفصيلي]],'حسابهای دریافتنی'!A:A,0)),0)</f>
        <v>0</v>
      </c>
      <c r="D88" s="11">
        <f>IFERROR(INDEX('درجریان وصول'!F:F,MATCH(Table223[[#This Row],[كد تفصيلي]],'درجریان وصول'!A:A,0)),0)</f>
        <v>0</v>
      </c>
      <c r="E88" s="11">
        <f>IFERROR(INDEX('چکهای دریافتنی'!F:F,MATCH(Table223[[#This Row],[كد تفصيلي]],'چکهای دریافتنی'!A:A,0)),0)</f>
        <v>0</v>
      </c>
      <c r="F88" s="11">
        <f>Table223[[#This Row],[حسابهای دریافتنی]]+Table223[[#This Row],[چکهای در جریان وصول]]+Table223[[#This Row],[چکهای نزد صندوق]]</f>
        <v>0</v>
      </c>
      <c r="G88" s="12">
        <f>IFERROR(INDEX('مانده سوفاله'!F:F,MATCH(Table223[[#This Row],[كد تفصيلي]],'مانده سوفاله'!A:A,0)),0)</f>
        <v>-13</v>
      </c>
    </row>
    <row r="89" spans="1:7" ht="27" customHeight="1" x14ac:dyDescent="0.35">
      <c r="A89" s="27">
        <v>30065</v>
      </c>
      <c r="B89" s="55" t="s">
        <v>110</v>
      </c>
      <c r="C89" s="10">
        <f>IFERROR(INDEX('حسابهای دریافتنی'!H:H,MATCH(Table223[[#This Row],[كد تفصيلي]],'حسابهای دریافتنی'!A:A,0)),0)</f>
        <v>0</v>
      </c>
      <c r="D89" s="11">
        <f>IFERROR(INDEX('درجریان وصول'!F:F,MATCH(Table223[[#This Row],[كد تفصيلي]],'درجریان وصول'!A:A,0)),0)</f>
        <v>0</v>
      </c>
      <c r="E89" s="11">
        <f>IFERROR(INDEX('چکهای دریافتنی'!F:F,MATCH(Table223[[#This Row],[كد تفصيلي]],'چکهای دریافتنی'!A:A,0)),0)</f>
        <v>0</v>
      </c>
      <c r="F89" s="11">
        <f>Table223[[#This Row],[حسابهای دریافتنی]]+Table223[[#This Row],[چکهای در جریان وصول]]+Table223[[#This Row],[چکهای نزد صندوق]]</f>
        <v>0</v>
      </c>
      <c r="G89" s="12">
        <f>IFERROR(INDEX('مانده سوفاله'!F:F,MATCH(Table223[[#This Row],[كد تفصيلي]],'مانده سوفاله'!A:A,0)),0)</f>
        <v>33</v>
      </c>
    </row>
    <row r="90" spans="1:7" ht="27" customHeight="1" x14ac:dyDescent="0.35">
      <c r="A90" s="27">
        <v>30071</v>
      </c>
      <c r="B90" s="55" t="s">
        <v>116</v>
      </c>
      <c r="C90" s="10">
        <f>IFERROR(INDEX('حسابهای دریافتنی'!H:H,MATCH(Table223[[#This Row],[كد تفصيلي]],'حسابهای دریافتنی'!A:A,0)),0)</f>
        <v>0</v>
      </c>
      <c r="D90" s="11">
        <f>IFERROR(INDEX('درجریان وصول'!F:F,MATCH(Table223[[#This Row],[كد تفصيلي]],'درجریان وصول'!A:A,0)),0)</f>
        <v>0</v>
      </c>
      <c r="E90" s="11">
        <f>IFERROR(INDEX('چکهای دریافتنی'!F:F,MATCH(Table223[[#This Row],[كد تفصيلي]],'چکهای دریافتنی'!A:A,0)),0)</f>
        <v>0</v>
      </c>
      <c r="F90" s="11">
        <f>Table223[[#This Row],[حسابهای دریافتنی]]+Table223[[#This Row],[چکهای در جریان وصول]]+Table223[[#This Row],[چکهای نزد صندوق]]</f>
        <v>0</v>
      </c>
      <c r="G90" s="12">
        <f>IFERROR(INDEX('مانده سوفاله'!F:F,MATCH(Table223[[#This Row],[كد تفصيلي]],'مانده سوفاله'!A:A,0)),0)</f>
        <v>3</v>
      </c>
    </row>
    <row r="91" spans="1:7" ht="27" customHeight="1" x14ac:dyDescent="0.35">
      <c r="A91" s="27">
        <v>30079</v>
      </c>
      <c r="B91" s="55" t="s">
        <v>124</v>
      </c>
      <c r="C91" s="10">
        <f>IFERROR(INDEX('حسابهای دریافتنی'!H:H,MATCH(Table223[[#This Row],[كد تفصيلي]],'حسابهای دریافتنی'!A:A,0)),0)</f>
        <v>0</v>
      </c>
      <c r="D91" s="11">
        <f>IFERROR(INDEX('درجریان وصول'!F:F,MATCH(Table223[[#This Row],[كد تفصيلي]],'درجریان وصول'!A:A,0)),0)</f>
        <v>0</v>
      </c>
      <c r="E91" s="11">
        <f>IFERROR(INDEX('چکهای دریافتنی'!F:F,MATCH(Table223[[#This Row],[كد تفصيلي]],'چکهای دریافتنی'!A:A,0)),0)</f>
        <v>0</v>
      </c>
      <c r="F91" s="11">
        <f>Table223[[#This Row],[حسابهای دریافتنی]]+Table223[[#This Row],[چکهای در جریان وصول]]+Table223[[#This Row],[چکهای نزد صندوق]]</f>
        <v>0</v>
      </c>
      <c r="G91" s="12">
        <f>IFERROR(INDEX('مانده سوفاله'!F:F,MATCH(Table223[[#This Row],[كد تفصيلي]],'مانده سوفاله'!A:A,0)),0)</f>
        <v>-85</v>
      </c>
    </row>
    <row r="92" spans="1:7" ht="27" customHeight="1" x14ac:dyDescent="0.35">
      <c r="A92" s="27">
        <v>30097</v>
      </c>
      <c r="B92" s="55" t="s">
        <v>188</v>
      </c>
      <c r="C92" s="10">
        <f>IFERROR(INDEX('حسابهای دریافتنی'!H:H,MATCH(Table223[[#This Row],[كد تفصيلي]],'حسابهای دریافتنی'!A:A,0)),0)</f>
        <v>0</v>
      </c>
      <c r="D92" s="11">
        <f>IFERROR(INDEX('درجریان وصول'!F:F,MATCH(Table223[[#This Row],[كد تفصيلي]],'درجریان وصول'!A:A,0)),0)</f>
        <v>0</v>
      </c>
      <c r="E92" s="11">
        <f>IFERROR(INDEX('چکهای دریافتنی'!F:F,MATCH(Table223[[#This Row],[كد تفصيلي]],'چکهای دریافتنی'!A:A,0)),0)</f>
        <v>0</v>
      </c>
      <c r="F92" s="11">
        <f>Table223[[#This Row],[حسابهای دریافتنی]]+Table223[[#This Row],[چکهای در جریان وصول]]+Table223[[#This Row],[چکهای نزد صندوق]]</f>
        <v>0</v>
      </c>
      <c r="G92" s="12">
        <f>IFERROR(INDEX('مانده سوفاله'!F:F,MATCH(Table223[[#This Row],[كد تفصيلي]],'مانده سوفاله'!A:A,0)),0)</f>
        <v>-82</v>
      </c>
    </row>
    <row r="93" spans="1:7" ht="27" customHeight="1" x14ac:dyDescent="0.35">
      <c r="A93" s="26">
        <v>30118</v>
      </c>
      <c r="B93" s="56" t="s">
        <v>205</v>
      </c>
      <c r="C93" s="10">
        <f>IFERROR(INDEX('حسابهای دریافتنی'!H:H,MATCH(Table223[[#This Row],[كد تفصيلي]],'حسابهای دریافتنی'!A:A,0)),0)</f>
        <v>0</v>
      </c>
      <c r="D93" s="11">
        <f>IFERROR(INDEX('درجریان وصول'!F:F,MATCH(Table223[[#This Row],[كد تفصيلي]],'درجریان وصول'!A:A,0)),0)</f>
        <v>0</v>
      </c>
      <c r="E93" s="11">
        <f>IFERROR(INDEX('چکهای دریافتنی'!F:F,MATCH(Table223[[#This Row],[كد تفصيلي]],'چکهای دریافتنی'!A:A,0)),0)</f>
        <v>0</v>
      </c>
      <c r="F93" s="11">
        <f>Table223[[#This Row],[حسابهای دریافتنی]]+Table223[[#This Row],[چکهای در جریان وصول]]+Table223[[#This Row],[چکهای نزد صندوق]]</f>
        <v>0</v>
      </c>
      <c r="G93" s="12">
        <f>IFERROR(INDEX('مانده سوفاله'!F:F,MATCH(Table223[[#This Row],[كد تفصيلي]],'مانده سوفاله'!A:A,0)),0)</f>
        <v>-20</v>
      </c>
    </row>
    <row r="94" spans="1:7" ht="27" customHeight="1" x14ac:dyDescent="0.35">
      <c r="A94" s="27">
        <v>30137</v>
      </c>
      <c r="B94" s="55" t="s">
        <v>218</v>
      </c>
      <c r="C94" s="10">
        <f>IFERROR(INDEX('حسابهای دریافتنی'!H:H,MATCH(Table223[[#This Row],[كد تفصيلي]],'حسابهای دریافتنی'!A:A,0)),0)</f>
        <v>0</v>
      </c>
      <c r="D94" s="11">
        <f>IFERROR(INDEX('درجریان وصول'!F:F,MATCH(Table223[[#This Row],[كد تفصيلي]],'درجریان وصول'!A:A,0)),0)</f>
        <v>0</v>
      </c>
      <c r="E94" s="11">
        <f>IFERROR(INDEX('چکهای دریافتنی'!F:F,MATCH(Table223[[#This Row],[كد تفصيلي]],'چکهای دریافتنی'!A:A,0)),0)</f>
        <v>213182200</v>
      </c>
      <c r="F94" s="11">
        <f>Table223[[#This Row],[حسابهای دریافتنی]]+Table223[[#This Row],[چکهای در جریان وصول]]+Table223[[#This Row],[چکهای نزد صندوق]]</f>
        <v>213182200</v>
      </c>
      <c r="G94" s="12">
        <f>IFERROR(INDEX('مانده سوفاله'!F:F,MATCH(Table223[[#This Row],[كد تفصيلي]],'مانده سوفاله'!A:A,0)),0)</f>
        <v>0</v>
      </c>
    </row>
    <row r="95" spans="1:7" ht="27" customHeight="1" x14ac:dyDescent="0.35">
      <c r="A95" s="27">
        <v>30141</v>
      </c>
      <c r="B95" s="55" t="s">
        <v>261</v>
      </c>
      <c r="C95" s="10">
        <f>IFERROR(INDEX('حسابهای دریافتنی'!H:H,MATCH(Table223[[#This Row],[كد تفصيلي]],'حسابهای دریافتنی'!A:A,0)),0)</f>
        <v>0</v>
      </c>
      <c r="D95" s="11">
        <f>IFERROR(INDEX('درجریان وصول'!F:F,MATCH(Table223[[#This Row],[كد تفصيلي]],'درجریان وصول'!A:A,0)),0)</f>
        <v>0</v>
      </c>
      <c r="E95" s="11">
        <f>IFERROR(INDEX('چکهای دریافتنی'!F:F,MATCH(Table223[[#This Row],[كد تفصيلي]],'چکهای دریافتنی'!A:A,0)),0)</f>
        <v>0</v>
      </c>
      <c r="F95" s="11">
        <f>Table223[[#This Row],[حسابهای دریافتنی]]+Table223[[#This Row],[چکهای در جریان وصول]]+Table223[[#This Row],[چکهای نزد صندوق]]</f>
        <v>0</v>
      </c>
      <c r="G95" s="12">
        <f>IFERROR(INDEX('مانده سوفاله'!F:F,MATCH(Table223[[#This Row],[كد تفصيلي]],'مانده سوفاله'!A:A,0)),0)</f>
        <v>-42</v>
      </c>
    </row>
    <row r="96" spans="1:7" ht="27" customHeight="1" x14ac:dyDescent="0.35">
      <c r="A96" s="26">
        <v>30142</v>
      </c>
      <c r="B96" s="56" t="s">
        <v>263</v>
      </c>
      <c r="C96" s="10">
        <f>IFERROR(INDEX('حسابهای دریافتنی'!H:H,MATCH(Table223[[#This Row],[كد تفصيلي]],'حسابهای دریافتنی'!A:A,0)),0)</f>
        <v>0</v>
      </c>
      <c r="D96" s="11">
        <f>IFERROR(INDEX('درجریان وصول'!F:F,MATCH(Table223[[#This Row],[كد تفصيلي]],'درجریان وصول'!A:A,0)),0)</f>
        <v>0</v>
      </c>
      <c r="E96" s="11">
        <f>IFERROR(INDEX('چکهای دریافتنی'!F:F,MATCH(Table223[[#This Row],[كد تفصيلي]],'چکهای دریافتنی'!A:A,0)),0)</f>
        <v>0</v>
      </c>
      <c r="F96" s="11">
        <f>Table223[[#This Row],[حسابهای دریافتنی]]+Table223[[#This Row],[چکهای در جریان وصول]]+Table223[[#This Row],[چکهای نزد صندوق]]</f>
        <v>0</v>
      </c>
      <c r="G96" s="12">
        <f>IFERROR(INDEX('مانده سوفاله'!F:F,MATCH(Table223[[#This Row],[كد تفصيلي]],'مانده سوفاله'!A:A,0)),0)</f>
        <v>13</v>
      </c>
    </row>
    <row r="97" spans="1:7" ht="27" customHeight="1" x14ac:dyDescent="0.35">
      <c r="A97" s="26">
        <v>30160</v>
      </c>
      <c r="B97" s="56" t="s">
        <v>296</v>
      </c>
      <c r="C97" s="10">
        <f>IFERROR(INDEX('حسابهای دریافتنی'!H:H,MATCH(Table223[[#This Row],[كد تفصيلي]],'حسابهای دریافتنی'!A:A,0)),0)</f>
        <v>0</v>
      </c>
      <c r="D97" s="11">
        <f>IFERROR(INDEX('درجریان وصول'!F:F,MATCH(Table223[[#This Row],[كد تفصيلي]],'درجریان وصول'!A:A,0)),0)</f>
        <v>0</v>
      </c>
      <c r="E97" s="11">
        <f>IFERROR(INDEX('چکهای دریافتنی'!F:F,MATCH(Table223[[#This Row],[كد تفصيلي]],'چکهای دریافتنی'!A:A,0)),0)</f>
        <v>0</v>
      </c>
      <c r="F97" s="11">
        <f>Table223[[#This Row],[حسابهای دریافتنی]]+Table223[[#This Row],[چکهای در جریان وصول]]+Table223[[#This Row],[چکهای نزد صندوق]]</f>
        <v>0</v>
      </c>
      <c r="G97" s="12">
        <f>IFERROR(INDEX('مانده سوفاله'!F:F,MATCH(Table223[[#This Row],[كد تفصيلي]],'مانده سوفاله'!A:A,0)),0)</f>
        <v>-425</v>
      </c>
    </row>
    <row r="98" spans="1:7" ht="27" customHeight="1" x14ac:dyDescent="0.35">
      <c r="A98" s="26">
        <v>30184</v>
      </c>
      <c r="B98" s="56" t="s">
        <v>368</v>
      </c>
      <c r="C98" s="10">
        <f>IFERROR(INDEX('حسابهای دریافتنی'!H:H,MATCH(Table223[[#This Row],[كد تفصيلي]],'حسابهای دریافتنی'!A:A,0)),0)</f>
        <v>904890480</v>
      </c>
      <c r="D98" s="11">
        <f>IFERROR(INDEX('درجریان وصول'!F:F,MATCH(Table223[[#This Row],[كد تفصيلي]],'درجریان وصول'!A:A,0)),0)</f>
        <v>0</v>
      </c>
      <c r="E98" s="11">
        <f>IFERROR(INDEX('چکهای دریافتنی'!F:F,MATCH(Table223[[#This Row],[كد تفصيلي]],'چکهای دریافتنی'!A:A,0)),0)</f>
        <v>0</v>
      </c>
      <c r="F98" s="11">
        <f>Table223[[#This Row],[حسابهای دریافتنی]]+Table223[[#This Row],[چکهای در جریان وصول]]+Table223[[#This Row],[چکهای نزد صندوق]]</f>
        <v>904890480</v>
      </c>
      <c r="G98" s="12">
        <f>IFERROR(INDEX('مانده سوفاله'!F:F,MATCH(Table223[[#This Row],[كد تفصيلي]],'مانده سوفاله'!A:A,0)),0)</f>
        <v>-100</v>
      </c>
    </row>
    <row r="99" spans="1:7" ht="27" customHeight="1" x14ac:dyDescent="0.35">
      <c r="A99" s="27">
        <v>79010</v>
      </c>
      <c r="B99" s="55" t="s">
        <v>176</v>
      </c>
      <c r="C99" s="10">
        <f>IFERROR(INDEX('حسابهای دریافتنی'!H:H,MATCH(Table223[[#This Row],[كد تفصيلي]],'حسابهای دریافتنی'!A:A,0)),0)</f>
        <v>0</v>
      </c>
      <c r="D99" s="11">
        <f>IFERROR(INDEX('درجریان وصول'!F:F,MATCH(Table223[[#This Row],[كد تفصيلي]],'درجریان وصول'!A:A,0)),0)</f>
        <v>0</v>
      </c>
      <c r="E99" s="11">
        <f>IFERROR(INDEX('چکهای دریافتنی'!F:F,MATCH(Table223[[#This Row],[كد تفصيلي]],'چکهای دریافتنی'!A:A,0)),0)</f>
        <v>0</v>
      </c>
      <c r="F99" s="11">
        <f>Table223[[#This Row],[حسابهای دریافتنی]]+Table223[[#This Row],[چکهای در جریان وصول]]+Table223[[#This Row],[چکهای نزد صندوق]]</f>
        <v>0</v>
      </c>
      <c r="G99" s="12">
        <f>IFERROR(INDEX('مانده سوفاله'!F:F,MATCH(Table223[[#This Row],[كد تفصيلي]],'مانده سوفاله'!A:A,0)),0)</f>
        <v>-110</v>
      </c>
    </row>
    <row r="100" spans="1:7" ht="27" customHeight="1" x14ac:dyDescent="0.35">
      <c r="A100" s="26">
        <v>30174</v>
      </c>
      <c r="B100" s="56" t="s">
        <v>327</v>
      </c>
      <c r="C100" s="10">
        <f>IFERROR(INDEX('حسابهای دریافتنی'!H:H,MATCH(Table223[[#This Row],[كد تفصيلي]],'حسابهای دریافتنی'!A:A,0)),0)</f>
        <v>-5000</v>
      </c>
      <c r="D100" s="11">
        <f>IFERROR(INDEX('درجریان وصول'!F:F,MATCH(Table223[[#This Row],[كد تفصيلي]],'درجریان وصول'!A:A,0)),0)</f>
        <v>0</v>
      </c>
      <c r="E100" s="11">
        <f>IFERROR(INDEX('چکهای دریافتنی'!F:F,MATCH(Table223[[#This Row],[كد تفصيلي]],'چکهای دریافتنی'!A:A,0)),0)</f>
        <v>0</v>
      </c>
      <c r="F100" s="11">
        <f>Table223[[#This Row],[حسابهای دریافتنی]]+Table223[[#This Row],[چکهای در جریان وصول]]+Table223[[#This Row],[چکهای نزد صندوق]]</f>
        <v>-5000</v>
      </c>
      <c r="G100" s="12">
        <f>IFERROR(INDEX('مانده سوفاله'!F:F,MATCH(Table223[[#This Row],[كد تفصيلي]],'مانده سوفاله'!A:A,0)),0)</f>
        <v>0</v>
      </c>
    </row>
    <row r="101" spans="1:7" ht="27" customHeight="1" x14ac:dyDescent="0.35">
      <c r="A101" s="26">
        <v>30195</v>
      </c>
      <c r="B101" s="56" t="s">
        <v>477</v>
      </c>
      <c r="C101" s="10">
        <f>IFERROR(INDEX('حسابهای دریافتنی'!H:H,MATCH(Table223[[#This Row],[كد تفصيلي]],'حسابهای دریافتنی'!A:A,0)),0)</f>
        <v>-1861000</v>
      </c>
      <c r="D101" s="11">
        <f>IFERROR(INDEX('درجریان وصول'!F:F,MATCH(Table223[[#This Row],[كد تفصيلي]],'درجریان وصول'!A:A,0)),0)</f>
        <v>0</v>
      </c>
      <c r="E101" s="11">
        <f>IFERROR(INDEX('چکهای دریافتنی'!F:F,MATCH(Table223[[#This Row],[كد تفصيلي]],'چکهای دریافتنی'!A:A,0)),0)</f>
        <v>0</v>
      </c>
      <c r="F101" s="11">
        <f>Table223[[#This Row],[حسابهای دریافتنی]]+Table223[[#This Row],[چکهای در جریان وصول]]+Table223[[#This Row],[چکهای نزد صندوق]]</f>
        <v>-1861000</v>
      </c>
      <c r="G101" s="12">
        <f>IFERROR(INDEX('مانده سوفاله'!F:F,MATCH(Table223[[#This Row],[كد تفصيلي]],'مانده سوفاله'!A:A,0)),0)</f>
        <v>0</v>
      </c>
    </row>
    <row r="102" spans="1:7" ht="27" customHeight="1" x14ac:dyDescent="0.35">
      <c r="A102" s="27">
        <v>30026</v>
      </c>
      <c r="B102" s="55" t="s">
        <v>74</v>
      </c>
      <c r="C102" s="10">
        <f>IFERROR(INDEX('حسابهای دریافتنی'!H:H,MATCH(Table223[[#This Row],[كد تفصيلي]],'حسابهای دریافتنی'!A:A,0)),0)</f>
        <v>5689439</v>
      </c>
      <c r="D102" s="11">
        <f>IFERROR(INDEX('درجریان وصول'!F:F,MATCH(Table223[[#This Row],[كد تفصيلي]],'درجریان وصول'!A:A,0)),0)</f>
        <v>0</v>
      </c>
      <c r="E102" s="11">
        <f>IFERROR(INDEX('چکهای دریافتنی'!F:F,MATCH(Table223[[#This Row],[كد تفصيلي]],'چکهای دریافتنی'!A:A,0)),0)</f>
        <v>0</v>
      </c>
      <c r="F102" s="11">
        <f>Table223[[#This Row],[حسابهای دریافتنی]]+Table223[[#This Row],[چکهای در جریان وصول]]+Table223[[#This Row],[چکهای نزد صندوق]]</f>
        <v>5689439</v>
      </c>
      <c r="G102" s="12">
        <f>IFERROR(INDEX('مانده سوفاله'!F:F,MATCH(Table223[[#This Row],[كد تفصيلي]],'مانده سوفاله'!A:A,0)),0)</f>
        <v>764</v>
      </c>
    </row>
    <row r="103" spans="1:7" ht="27" customHeight="1" x14ac:dyDescent="0.35">
      <c r="A103" s="26">
        <v>10133</v>
      </c>
      <c r="B103" s="56" t="s">
        <v>465</v>
      </c>
      <c r="C103" s="10">
        <f>IFERROR(INDEX('حسابهای دریافتنی'!H:H,MATCH(Table223[[#This Row],[كد تفصيلي]],'حسابهای دریافتنی'!A:A,0)),0)</f>
        <v>-1249039000</v>
      </c>
      <c r="D103" s="11">
        <f>IFERROR(INDEX('درجریان وصول'!F:F,MATCH(Table223[[#This Row],[كد تفصيلي]],'درجریان وصول'!A:A,0)),0)</f>
        <v>0</v>
      </c>
      <c r="E103" s="11">
        <f>IFERROR(INDEX('چکهای دریافتنی'!F:F,MATCH(Table223[[#This Row],[كد تفصيلي]],'چکهای دریافتنی'!A:A,0)),0)</f>
        <v>0</v>
      </c>
      <c r="F103" s="11">
        <f>Table223[[#This Row],[حسابهای دریافتنی]]+Table223[[#This Row],[چکهای در جریان وصول]]+Table223[[#This Row],[چکهای نزد صندوق]]</f>
        <v>-1249039000</v>
      </c>
      <c r="G103" s="12">
        <f>IFERROR(INDEX('مانده سوفاله'!F:F,MATCH(Table223[[#This Row],[كد تفصيلي]],'مانده سوفاله'!A:A,0)),0)</f>
        <v>0</v>
      </c>
    </row>
    <row r="104" spans="1:7" ht="27" customHeight="1" x14ac:dyDescent="0.35">
      <c r="A104" s="27">
        <v>10109</v>
      </c>
      <c r="B104" s="55" t="s">
        <v>303</v>
      </c>
      <c r="C104" s="10">
        <f>IFERROR(INDEX('حسابهای دریافتنی'!H:H,MATCH(Table223[[#This Row],[كد تفصيلي]],'حسابهای دریافتنی'!A:A,0)),0)</f>
        <v>-1124737000</v>
      </c>
      <c r="D104" s="11">
        <f>IFERROR(INDEX('درجریان وصول'!F:F,MATCH(Table223[[#This Row],[كد تفصيلي]],'درجریان وصول'!A:A,0)),0)</f>
        <v>0</v>
      </c>
      <c r="E104" s="11">
        <f>IFERROR(INDEX('چکهای دریافتنی'!F:F,MATCH(Table223[[#This Row],[كد تفصيلي]],'چکهای دریافتنی'!A:A,0)),0)</f>
        <v>0</v>
      </c>
      <c r="F104" s="11">
        <f>Table223[[#This Row],[حسابهای دریافتنی]]+Table223[[#This Row],[چکهای در جریان وصول]]+Table223[[#This Row],[چکهای نزد صندوق]]</f>
        <v>-1124737000</v>
      </c>
      <c r="G104" s="12">
        <f>IFERROR(INDEX('مانده سوفاله'!F:F,MATCH(Table223[[#This Row],[كد تفصيلي]],'مانده سوفاله'!A:A,0)),0)</f>
        <v>-241</v>
      </c>
    </row>
    <row r="105" spans="1:7" ht="27" customHeight="1" x14ac:dyDescent="0.35">
      <c r="A105" s="26">
        <v>30021</v>
      </c>
      <c r="B105" s="56" t="s">
        <v>69</v>
      </c>
      <c r="C105" s="10">
        <f>IFERROR(INDEX('حسابهای دریافتنی'!H:H,MATCH(Table223[[#This Row],[كد تفصيلي]],'حسابهای دریافتنی'!A:A,0)),0)</f>
        <v>-122000</v>
      </c>
      <c r="D105" s="11">
        <f>IFERROR(INDEX('درجریان وصول'!F:F,MATCH(Table223[[#This Row],[كد تفصيلي]],'درجریان وصول'!A:A,0)),0)</f>
        <v>0</v>
      </c>
      <c r="E105" s="11">
        <f>IFERROR(INDEX('چکهای دریافتنی'!F:F,MATCH(Table223[[#This Row],[كد تفصيلي]],'چکهای دریافتنی'!A:A,0)),0)</f>
        <v>0</v>
      </c>
      <c r="F105" s="11">
        <f>Table223[[#This Row],[حسابهای دریافتنی]]+Table223[[#This Row],[چکهای در جریان وصول]]+Table223[[#This Row],[چکهای نزد صندوق]]</f>
        <v>-122000</v>
      </c>
      <c r="G105" s="12">
        <f>IFERROR(INDEX('مانده سوفاله'!F:F,MATCH(Table223[[#This Row],[كد تفصيلي]],'مانده سوفاله'!A:A,0)),0)</f>
        <v>0</v>
      </c>
    </row>
    <row r="106" spans="1:7" ht="27" customHeight="1" x14ac:dyDescent="0.35">
      <c r="A106" s="27">
        <v>10066</v>
      </c>
      <c r="B106" s="55" t="s">
        <v>262</v>
      </c>
      <c r="C106" s="10">
        <f>IFERROR(INDEX('حسابهای دریافتنی'!H:H,MATCH(Table223[[#This Row],[كد تفصيلي]],'حسابهای دریافتنی'!A:A,0)),0)</f>
        <v>-191500</v>
      </c>
      <c r="D106" s="11">
        <f>IFERROR(INDEX('درجریان وصول'!F:F,MATCH(Table223[[#This Row],[كد تفصيلي]],'درجریان وصول'!A:A,0)),0)</f>
        <v>0</v>
      </c>
      <c r="E106" s="11">
        <f>IFERROR(INDEX('چکهای دریافتنی'!F:F,MATCH(Table223[[#This Row],[كد تفصيلي]],'چکهای دریافتنی'!A:A,0)),0)</f>
        <v>0</v>
      </c>
      <c r="F106" s="11">
        <f>Table223[[#This Row],[حسابهای دریافتنی]]+Table223[[#This Row],[چکهای در جریان وصول]]+Table223[[#This Row],[چکهای نزد صندوق]]</f>
        <v>-191500</v>
      </c>
      <c r="G106" s="12">
        <f>IFERROR(INDEX('مانده سوفاله'!F:F,MATCH(Table223[[#This Row],[كد تفصيلي]],'مانده سوفاله'!A:A,0)),0)</f>
        <v>2</v>
      </c>
    </row>
    <row r="107" spans="1:7" ht="27" customHeight="1" x14ac:dyDescent="0.35">
      <c r="A107" s="27">
        <v>30167</v>
      </c>
      <c r="B107" s="55" t="s">
        <v>311</v>
      </c>
      <c r="C107" s="10">
        <f>IFERROR(INDEX('حسابهای دریافتنی'!H:H,MATCH(Table223[[#This Row],[كد تفصيلي]],'حسابهای دریافتنی'!A:A,0)),0)</f>
        <v>-221000</v>
      </c>
      <c r="D107" s="11">
        <f>IFERROR(INDEX('درجریان وصول'!F:F,MATCH(Table223[[#This Row],[كد تفصيلي]],'درجریان وصول'!A:A,0)),0)</f>
        <v>0</v>
      </c>
      <c r="E107" s="11">
        <f>IFERROR(INDEX('چکهای دریافتنی'!F:F,MATCH(Table223[[#This Row],[كد تفصيلي]],'چکهای دریافتنی'!A:A,0)),0)</f>
        <v>0</v>
      </c>
      <c r="F107" s="11">
        <f>Table223[[#This Row],[حسابهای دریافتنی]]+Table223[[#This Row],[چکهای در جریان وصول]]+Table223[[#This Row],[چکهای نزد صندوق]]</f>
        <v>-221000</v>
      </c>
      <c r="G107" s="12">
        <f>IFERROR(INDEX('مانده سوفاله'!F:F,MATCH(Table223[[#This Row],[كد تفصيلي]],'مانده سوفاله'!A:A,0)),0)</f>
        <v>6</v>
      </c>
    </row>
    <row r="108" spans="1:7" ht="27" customHeight="1" x14ac:dyDescent="0.35">
      <c r="A108" s="26">
        <v>10077</v>
      </c>
      <c r="B108" s="56" t="s">
        <v>210</v>
      </c>
      <c r="C108" s="10">
        <f>IFERROR(INDEX('حسابهای دریافتنی'!H:H,MATCH(Table223[[#This Row],[كد تفصيلي]],'حسابهای دریافتنی'!A:A,0)),0)</f>
        <v>-238500</v>
      </c>
      <c r="D108" s="11">
        <f>IFERROR(INDEX('درجریان وصول'!F:F,MATCH(Table223[[#This Row],[كد تفصيلي]],'درجریان وصول'!A:A,0)),0)</f>
        <v>0</v>
      </c>
      <c r="E108" s="11">
        <f>IFERROR(INDEX('چکهای دریافتنی'!F:F,MATCH(Table223[[#This Row],[كد تفصيلي]],'چکهای دریافتنی'!A:A,0)),0)</f>
        <v>0</v>
      </c>
      <c r="F108" s="11">
        <f>Table223[[#This Row],[حسابهای دریافتنی]]+Table223[[#This Row],[چکهای در جریان وصول]]+Table223[[#This Row],[چکهای نزد صندوق]]</f>
        <v>-238500</v>
      </c>
      <c r="G108" s="12">
        <f>IFERROR(INDEX('مانده سوفاله'!F:F,MATCH(Table223[[#This Row],[كد تفصيلي]],'مانده سوفاله'!A:A,0)),0)</f>
        <v>0</v>
      </c>
    </row>
    <row r="109" spans="1:7" ht="27" customHeight="1" x14ac:dyDescent="0.35">
      <c r="A109" s="27">
        <v>10012</v>
      </c>
      <c r="B109" s="55" t="s">
        <v>19</v>
      </c>
      <c r="C109" s="10">
        <f>IFERROR(INDEX('حسابهای دریافتنی'!H:H,MATCH(Table223[[#This Row],[كد تفصيلي]],'حسابهای دریافتنی'!A:A,0)),0)</f>
        <v>-244000</v>
      </c>
      <c r="D109" s="11">
        <f>IFERROR(INDEX('درجریان وصول'!F:F,MATCH(Table223[[#This Row],[كد تفصيلي]],'درجریان وصول'!A:A,0)),0)</f>
        <v>0</v>
      </c>
      <c r="E109" s="11">
        <f>IFERROR(INDEX('چکهای دریافتنی'!F:F,MATCH(Table223[[#This Row],[كد تفصيلي]],'چکهای دریافتنی'!A:A,0)),0)</f>
        <v>0</v>
      </c>
      <c r="F109" s="11">
        <f>Table223[[#This Row],[حسابهای دریافتنی]]+Table223[[#This Row],[چکهای در جریان وصول]]+Table223[[#This Row],[چکهای نزد صندوق]]</f>
        <v>-244000</v>
      </c>
      <c r="G109" s="12">
        <f>IFERROR(INDEX('مانده سوفاله'!F:F,MATCH(Table223[[#This Row],[كد تفصيلي]],'مانده سوفاله'!A:A,0)),0)</f>
        <v>0</v>
      </c>
    </row>
    <row r="110" spans="1:7" ht="27" customHeight="1" x14ac:dyDescent="0.35">
      <c r="A110" s="26">
        <v>30088</v>
      </c>
      <c r="B110" s="56" t="s">
        <v>142</v>
      </c>
      <c r="C110" s="10">
        <f>IFERROR(INDEX('حسابهای دریافتنی'!H:H,MATCH(Table223[[#This Row],[كد تفصيلي]],'حسابهای دریافتنی'!A:A,0)),0)</f>
        <v>-252000</v>
      </c>
      <c r="D110" s="11">
        <f>IFERROR(INDEX('درجریان وصول'!F:F,MATCH(Table223[[#This Row],[كد تفصيلي]],'درجریان وصول'!A:A,0)),0)</f>
        <v>0</v>
      </c>
      <c r="E110" s="11">
        <f>IFERROR(INDEX('چکهای دریافتنی'!F:F,MATCH(Table223[[#This Row],[كد تفصيلي]],'چکهای دریافتنی'!A:A,0)),0)</f>
        <v>0</v>
      </c>
      <c r="F110" s="11">
        <f>Table223[[#This Row],[حسابهای دریافتنی]]+Table223[[#This Row],[چکهای در جریان وصول]]+Table223[[#This Row],[چکهای نزد صندوق]]</f>
        <v>-252000</v>
      </c>
      <c r="G110" s="12">
        <f>IFERROR(INDEX('مانده سوفاله'!F:F,MATCH(Table223[[#This Row],[كد تفصيلي]],'مانده سوفاله'!A:A,0)),0)</f>
        <v>0</v>
      </c>
    </row>
    <row r="111" spans="1:7" ht="27" customHeight="1" x14ac:dyDescent="0.35">
      <c r="A111" s="26">
        <v>10045</v>
      </c>
      <c r="B111" s="56" t="s">
        <v>50</v>
      </c>
      <c r="C111" s="10">
        <f>IFERROR(INDEX('حسابهای دریافتنی'!H:H,MATCH(Table223[[#This Row],[كد تفصيلي]],'حسابهای دریافتنی'!A:A,0)),0)</f>
        <v>-383000</v>
      </c>
      <c r="D111" s="11">
        <f>IFERROR(INDEX('درجریان وصول'!F:F,MATCH(Table223[[#This Row],[كد تفصيلي]],'درجریان وصول'!A:A,0)),0)</f>
        <v>0</v>
      </c>
      <c r="E111" s="11">
        <f>IFERROR(INDEX('چکهای دریافتنی'!F:F,MATCH(Table223[[#This Row],[كد تفصيلي]],'چکهای دریافتنی'!A:A,0)),0)</f>
        <v>0</v>
      </c>
      <c r="F111" s="11">
        <f>Table223[[#This Row],[حسابهای دریافتنی]]+Table223[[#This Row],[چکهای در جریان وصول]]+Table223[[#This Row],[چکهای نزد صندوق]]</f>
        <v>-383000</v>
      </c>
      <c r="G111" s="12">
        <f>IFERROR(INDEX('مانده سوفاله'!F:F,MATCH(Table223[[#This Row],[كد تفصيلي]],'مانده سوفاله'!A:A,0)),0)</f>
        <v>-30</v>
      </c>
    </row>
    <row r="112" spans="1:7" ht="27" customHeight="1" x14ac:dyDescent="0.35">
      <c r="A112" s="26">
        <v>30051</v>
      </c>
      <c r="B112" s="56" t="s">
        <v>98</v>
      </c>
      <c r="C112" s="10">
        <f>IFERROR(INDEX('حسابهای دریافتنی'!H:H,MATCH(Table223[[#This Row],[كد تفصيلي]],'حسابهای دریافتنی'!A:A,0)),0)</f>
        <v>-384000</v>
      </c>
      <c r="D112" s="11">
        <f>IFERROR(INDEX('درجریان وصول'!F:F,MATCH(Table223[[#This Row],[كد تفصيلي]],'درجریان وصول'!A:A,0)),0)</f>
        <v>0</v>
      </c>
      <c r="E112" s="11">
        <f>IFERROR(INDEX('چکهای دریافتنی'!F:F,MATCH(Table223[[#This Row],[كد تفصيلي]],'چکهای دریافتنی'!A:A,0)),0)</f>
        <v>0</v>
      </c>
      <c r="F112" s="11">
        <f>Table223[[#This Row],[حسابهای دریافتنی]]+Table223[[#This Row],[چکهای در جریان وصول]]+Table223[[#This Row],[چکهای نزد صندوق]]</f>
        <v>-384000</v>
      </c>
      <c r="G112" s="12">
        <f>IFERROR(INDEX('مانده سوفاله'!F:F,MATCH(Table223[[#This Row],[كد تفصيلي]],'مانده سوفاله'!A:A,0)),0)</f>
        <v>0</v>
      </c>
    </row>
    <row r="113" spans="1:7" ht="27" customHeight="1" x14ac:dyDescent="0.35">
      <c r="A113" s="27">
        <v>30044</v>
      </c>
      <c r="B113" s="55" t="s">
        <v>91</v>
      </c>
      <c r="C113" s="10">
        <f>IFERROR(INDEX('حسابهای دریافتنی'!H:H,MATCH(Table223[[#This Row],[كد تفصيلي]],'حسابهای دریافتنی'!A:A,0)),0)</f>
        <v>-492500</v>
      </c>
      <c r="D113" s="11">
        <f>IFERROR(INDEX('درجریان وصول'!F:F,MATCH(Table223[[#This Row],[كد تفصيلي]],'درجریان وصول'!A:A,0)),0)</f>
        <v>0</v>
      </c>
      <c r="E113" s="11">
        <f>IFERROR(INDEX('چکهای دریافتنی'!F:F,MATCH(Table223[[#This Row],[كد تفصيلي]],'چکهای دریافتنی'!A:A,0)),0)</f>
        <v>0</v>
      </c>
      <c r="F113" s="11">
        <f>Table223[[#This Row],[حسابهای دریافتنی]]+Table223[[#This Row],[چکهای در جریان وصول]]+Table223[[#This Row],[چکهای نزد صندوق]]</f>
        <v>-492500</v>
      </c>
      <c r="G113" s="12">
        <f>IFERROR(INDEX('مانده سوفاله'!F:F,MATCH(Table223[[#This Row],[كد تفصيلي]],'مانده سوفاله'!A:A,0)),0)</f>
        <v>2</v>
      </c>
    </row>
    <row r="114" spans="1:7" ht="27" customHeight="1" x14ac:dyDescent="0.35">
      <c r="A114" s="26">
        <v>10095</v>
      </c>
      <c r="B114" s="56" t="s">
        <v>268</v>
      </c>
      <c r="C114" s="10">
        <f>IFERROR(INDEX('حسابهای دریافتنی'!H:H,MATCH(Table223[[#This Row],[كد تفصيلي]],'حسابهای دریافتنی'!A:A,0)),0)</f>
        <v>-496500</v>
      </c>
      <c r="D114" s="11">
        <f>IFERROR(INDEX('درجریان وصول'!F:F,MATCH(Table223[[#This Row],[كد تفصيلي]],'درجریان وصول'!A:A,0)),0)</f>
        <v>0</v>
      </c>
      <c r="E114" s="11">
        <f>IFERROR(INDEX('چکهای دریافتنی'!F:F,MATCH(Table223[[#This Row],[كد تفصيلي]],'چکهای دریافتنی'!A:A,0)),0)</f>
        <v>0</v>
      </c>
      <c r="F114" s="11">
        <f>Table223[[#This Row],[حسابهای دریافتنی]]+Table223[[#This Row],[چکهای در جریان وصول]]+Table223[[#This Row],[چکهای نزد صندوق]]</f>
        <v>-496500</v>
      </c>
      <c r="G114" s="12">
        <f>IFERROR(INDEX('مانده سوفاله'!F:F,MATCH(Table223[[#This Row],[كد تفصيلي]],'مانده سوفاله'!A:A,0)),0)</f>
        <v>0</v>
      </c>
    </row>
    <row r="115" spans="1:7" ht="27" customHeight="1" x14ac:dyDescent="0.35">
      <c r="A115" s="27">
        <v>30052</v>
      </c>
      <c r="B115" s="55" t="s">
        <v>149</v>
      </c>
      <c r="C115" s="10">
        <f>IFERROR(INDEX('حسابهای دریافتنی'!H:H,MATCH(Table223[[#This Row],[كد تفصيلي]],'حسابهای دریافتنی'!A:A,0)),0)</f>
        <v>-539000</v>
      </c>
      <c r="D115" s="11">
        <f>IFERROR(INDEX('درجریان وصول'!F:F,MATCH(Table223[[#This Row],[كد تفصيلي]],'درجریان وصول'!A:A,0)),0)</f>
        <v>0</v>
      </c>
      <c r="E115" s="11">
        <f>IFERROR(INDEX('چکهای دریافتنی'!F:F,MATCH(Table223[[#This Row],[كد تفصيلي]],'چکهای دریافتنی'!A:A,0)),0)</f>
        <v>0</v>
      </c>
      <c r="F115" s="11">
        <f>Table223[[#This Row],[حسابهای دریافتنی]]+Table223[[#This Row],[چکهای در جریان وصول]]+Table223[[#This Row],[چکهای نزد صندوق]]</f>
        <v>-539000</v>
      </c>
      <c r="G115" s="12">
        <f>IFERROR(INDEX('مانده سوفاله'!F:F,MATCH(Table223[[#This Row],[كد تفصيلي]],'مانده سوفاله'!A:A,0)),0)</f>
        <v>0</v>
      </c>
    </row>
    <row r="116" spans="1:7" ht="27" customHeight="1" x14ac:dyDescent="0.35">
      <c r="A116" s="26">
        <v>10061</v>
      </c>
      <c r="B116" s="56" t="s">
        <v>194</v>
      </c>
      <c r="C116" s="10">
        <f>IFERROR(INDEX('حسابهای دریافتنی'!H:H,MATCH(Table223[[#This Row],[كد تفصيلي]],'حسابهای دریافتنی'!A:A,0)),0)</f>
        <v>-565500</v>
      </c>
      <c r="D116" s="11">
        <f>IFERROR(INDEX('درجریان وصول'!F:F,MATCH(Table223[[#This Row],[كد تفصيلي]],'درجریان وصول'!A:A,0)),0)</f>
        <v>0</v>
      </c>
      <c r="E116" s="11">
        <f>IFERROR(INDEX('چکهای دریافتنی'!F:F,MATCH(Table223[[#This Row],[كد تفصيلي]],'چکهای دریافتنی'!A:A,0)),0)</f>
        <v>0</v>
      </c>
      <c r="F116" s="11">
        <f>Table223[[#This Row],[حسابهای دریافتنی]]+Table223[[#This Row],[چکهای در جریان وصول]]+Table223[[#This Row],[چکهای نزد صندوق]]</f>
        <v>-565500</v>
      </c>
      <c r="G116" s="12">
        <f>IFERROR(INDEX('مانده سوفاله'!F:F,MATCH(Table223[[#This Row],[كد تفصيلي]],'مانده سوفاله'!A:A,0)),0)</f>
        <v>0</v>
      </c>
    </row>
    <row r="117" spans="1:7" ht="27" customHeight="1" x14ac:dyDescent="0.35">
      <c r="A117" s="26">
        <v>10118</v>
      </c>
      <c r="B117" s="56" t="s">
        <v>334</v>
      </c>
      <c r="C117" s="10">
        <f>IFERROR(INDEX('حسابهای دریافتنی'!H:H,MATCH(Table223[[#This Row],[كد تفصيلي]],'حسابهای دریافتنی'!A:A,0)),0)</f>
        <v>-587500</v>
      </c>
      <c r="D117" s="11">
        <f>IFERROR(INDEX('درجریان وصول'!F:F,MATCH(Table223[[#This Row],[كد تفصيلي]],'درجریان وصول'!A:A,0)),0)</f>
        <v>0</v>
      </c>
      <c r="E117" s="11">
        <f>IFERROR(INDEX('چکهای دریافتنی'!F:F,MATCH(Table223[[#This Row],[كد تفصيلي]],'چکهای دریافتنی'!A:A,0)),0)</f>
        <v>0</v>
      </c>
      <c r="F117" s="11">
        <f>Table223[[#This Row],[حسابهای دریافتنی]]+Table223[[#This Row],[چکهای در جریان وصول]]+Table223[[#This Row],[چکهای نزد صندوق]]</f>
        <v>-587500</v>
      </c>
      <c r="G117" s="12">
        <f>IFERROR(INDEX('مانده سوفاله'!F:F,MATCH(Table223[[#This Row],[كد تفصيلي]],'مانده سوفاله'!A:A,0)),0)</f>
        <v>0</v>
      </c>
    </row>
    <row r="118" spans="1:7" ht="27" customHeight="1" x14ac:dyDescent="0.35">
      <c r="A118" s="27">
        <v>10131</v>
      </c>
      <c r="B118" s="55" t="s">
        <v>457</v>
      </c>
      <c r="C118" s="10">
        <f>IFERROR(INDEX('حسابهای دریافتنی'!H:H,MATCH(Table223[[#This Row],[كد تفصيلي]],'حسابهای دریافتنی'!A:A,0)),0)</f>
        <v>-1194000</v>
      </c>
      <c r="D118" s="11">
        <f>IFERROR(INDEX('درجریان وصول'!F:F,MATCH(Table223[[#This Row],[كد تفصيلي]],'درجریان وصول'!A:A,0)),0)</f>
        <v>0</v>
      </c>
      <c r="E118" s="11">
        <f>IFERROR(INDEX('چکهای دریافتنی'!F:F,MATCH(Table223[[#This Row],[كد تفصيلي]],'چکهای دریافتنی'!A:A,0)),0)</f>
        <v>0</v>
      </c>
      <c r="F118" s="11">
        <f>Table223[[#This Row],[حسابهای دریافتنی]]+Table223[[#This Row],[چکهای در جریان وصول]]+Table223[[#This Row],[چکهای نزد صندوق]]</f>
        <v>-1194000</v>
      </c>
      <c r="G118" s="12">
        <f>IFERROR(INDEX('مانده سوفاله'!F:F,MATCH(Table223[[#This Row],[كد تفصيلي]],'مانده سوفاله'!A:A,0)),0)</f>
        <v>1</v>
      </c>
    </row>
    <row r="119" spans="1:7" ht="27" customHeight="1" x14ac:dyDescent="0.35">
      <c r="A119" s="26">
        <v>30112</v>
      </c>
      <c r="B119" s="56" t="s">
        <v>201</v>
      </c>
      <c r="C119" s="10">
        <f>IFERROR(INDEX('حسابهای دریافتنی'!H:H,MATCH(Table223[[#This Row],[كد تفصيلي]],'حسابهای دریافتنی'!A:A,0)),0)</f>
        <v>-720500</v>
      </c>
      <c r="D119" s="11">
        <f>IFERROR(INDEX('درجریان وصول'!F:F,MATCH(Table223[[#This Row],[كد تفصيلي]],'درجریان وصول'!A:A,0)),0)</f>
        <v>0</v>
      </c>
      <c r="E119" s="11">
        <f>IFERROR(INDEX('چکهای دریافتنی'!F:F,MATCH(Table223[[#This Row],[كد تفصيلي]],'چکهای دریافتنی'!A:A,0)),0)</f>
        <v>0</v>
      </c>
      <c r="F119" s="11">
        <f>Table223[[#This Row],[حسابهای دریافتنی]]+Table223[[#This Row],[چکهای در جریان وصول]]+Table223[[#This Row],[چکهای نزد صندوق]]</f>
        <v>-720500</v>
      </c>
      <c r="G119" s="12">
        <f>IFERROR(INDEX('مانده سوفاله'!F:F,MATCH(Table223[[#This Row],[كد تفصيلي]],'مانده سوفاله'!A:A,0)),0)</f>
        <v>36</v>
      </c>
    </row>
    <row r="120" spans="1:7" ht="27" customHeight="1" x14ac:dyDescent="0.35">
      <c r="A120" s="26">
        <v>10013</v>
      </c>
      <c r="B120" s="56" t="s">
        <v>20</v>
      </c>
      <c r="C120" s="10">
        <f>IFERROR(INDEX('حسابهای دریافتنی'!H:H,MATCH(Table223[[#This Row],[كد تفصيلي]],'حسابهای دریافتنی'!A:A,0)),0)</f>
        <v>-915000</v>
      </c>
      <c r="D120" s="11">
        <f>IFERROR(INDEX('درجریان وصول'!F:F,MATCH(Table223[[#This Row],[كد تفصيلي]],'درجریان وصول'!A:A,0)),0)</f>
        <v>0</v>
      </c>
      <c r="E120" s="11">
        <f>IFERROR(INDEX('چکهای دریافتنی'!F:F,MATCH(Table223[[#This Row],[كد تفصيلي]],'چکهای دریافتنی'!A:A,0)),0)</f>
        <v>0</v>
      </c>
      <c r="F120" s="11">
        <f>Table223[[#This Row],[حسابهای دریافتنی]]+Table223[[#This Row],[چکهای در جریان وصول]]+Table223[[#This Row],[چکهای نزد صندوق]]</f>
        <v>-915000</v>
      </c>
      <c r="G120" s="12">
        <f>IFERROR(INDEX('مانده سوفاله'!F:F,MATCH(Table223[[#This Row],[كد تفصيلي]],'مانده سوفاله'!A:A,0)),0)</f>
        <v>0</v>
      </c>
    </row>
    <row r="121" spans="1:7" ht="27" customHeight="1" x14ac:dyDescent="0.35">
      <c r="A121" s="27">
        <v>10042</v>
      </c>
      <c r="B121" s="55" t="s">
        <v>47</v>
      </c>
      <c r="C121" s="10">
        <f>IFERROR(INDEX('حسابهای دریافتنی'!H:H,MATCH(Table223[[#This Row],[كد تفصيلي]],'حسابهای دریافتنی'!A:A,0)),0)</f>
        <v>-1120000</v>
      </c>
      <c r="D121" s="11">
        <f>IFERROR(INDEX('درجریان وصول'!F:F,MATCH(Table223[[#This Row],[كد تفصيلي]],'درجریان وصول'!A:A,0)),0)</f>
        <v>0</v>
      </c>
      <c r="E121" s="11">
        <f>IFERROR(INDEX('چکهای دریافتنی'!F:F,MATCH(Table223[[#This Row],[كد تفصيلي]],'چکهای دریافتنی'!A:A,0)),0)</f>
        <v>0</v>
      </c>
      <c r="F121" s="11">
        <f>Table223[[#This Row],[حسابهای دریافتنی]]+Table223[[#This Row],[چکهای در جریان وصول]]+Table223[[#This Row],[چکهای نزد صندوق]]</f>
        <v>-1120000</v>
      </c>
      <c r="G121" s="12">
        <f>IFERROR(INDEX('مانده سوفاله'!F:F,MATCH(Table223[[#This Row],[كد تفصيلي]],'مانده سوفاله'!A:A,0)),0)</f>
        <v>2</v>
      </c>
    </row>
    <row r="122" spans="1:7" ht="27" customHeight="1" x14ac:dyDescent="0.35">
      <c r="A122" s="27">
        <v>30032</v>
      </c>
      <c r="B122" s="55" t="s">
        <v>79</v>
      </c>
      <c r="C122" s="10">
        <f>IFERROR(INDEX('حسابهای دریافتنی'!H:H,MATCH(Table223[[#This Row],[كد تفصيلي]],'حسابهای دریافتنی'!A:A,0)),0)</f>
        <v>-1347000</v>
      </c>
      <c r="D122" s="11">
        <f>IFERROR(INDEX('درجریان وصول'!F:F,MATCH(Table223[[#This Row],[كد تفصيلي]],'درجریان وصول'!A:A,0)),0)</f>
        <v>0</v>
      </c>
      <c r="E122" s="11">
        <f>IFERROR(INDEX('چکهای دریافتنی'!F:F,MATCH(Table223[[#This Row],[كد تفصيلي]],'چکهای دریافتنی'!A:A,0)),0)</f>
        <v>0</v>
      </c>
      <c r="F122" s="11">
        <f>Table223[[#This Row],[حسابهای دریافتنی]]+Table223[[#This Row],[چکهای در جریان وصول]]+Table223[[#This Row],[چکهای نزد صندوق]]</f>
        <v>-1347000</v>
      </c>
      <c r="G122" s="12">
        <f>IFERROR(INDEX('مانده سوفاله'!F:F,MATCH(Table223[[#This Row],[كد تفصيلي]],'مانده سوفاله'!A:A,0)),0)</f>
        <v>0</v>
      </c>
    </row>
    <row r="123" spans="1:7" ht="27" customHeight="1" x14ac:dyDescent="0.35">
      <c r="A123" s="27">
        <v>30171</v>
      </c>
      <c r="B123" s="55" t="s">
        <v>322</v>
      </c>
      <c r="C123" s="10">
        <f>IFERROR(INDEX('حسابهای دریافتنی'!H:H,MATCH(Table223[[#This Row],[كد تفصيلي]],'حسابهای دریافتنی'!A:A,0)),0)</f>
        <v>-1500000</v>
      </c>
      <c r="D123" s="11">
        <f>IFERROR(INDEX('درجریان وصول'!F:F,MATCH(Table223[[#This Row],[كد تفصيلي]],'درجریان وصول'!A:A,0)),0)</f>
        <v>0</v>
      </c>
      <c r="E123" s="11">
        <f>IFERROR(INDEX('چکهای دریافتنی'!F:F,MATCH(Table223[[#This Row],[كد تفصيلي]],'چکهای دریافتنی'!A:A,0)),0)</f>
        <v>0</v>
      </c>
      <c r="F123" s="11">
        <f>Table223[[#This Row],[حسابهای دریافتنی]]+Table223[[#This Row],[چکهای در جریان وصول]]+Table223[[#This Row],[چکهای نزد صندوق]]</f>
        <v>-1500000</v>
      </c>
      <c r="G123" s="12">
        <f>IFERROR(INDEX('مانده سوفاله'!F:F,MATCH(Table223[[#This Row],[كد تفصيلي]],'مانده سوفاله'!A:A,0)),0)</f>
        <v>0</v>
      </c>
    </row>
    <row r="124" spans="1:7" ht="27" customHeight="1" x14ac:dyDescent="0.35">
      <c r="A124" s="26">
        <v>10103</v>
      </c>
      <c r="B124" s="56" t="s">
        <v>283</v>
      </c>
      <c r="C124" s="10">
        <f>IFERROR(INDEX('حسابهای دریافتنی'!H:H,MATCH(Table223[[#This Row],[كد تفصيلي]],'حسابهای دریافتنی'!A:A,0)),0)</f>
        <v>-1580000</v>
      </c>
      <c r="D124" s="11">
        <f>IFERROR(INDEX('درجریان وصول'!F:F,MATCH(Table223[[#This Row],[كد تفصيلي]],'درجریان وصول'!A:A,0)),0)</f>
        <v>0</v>
      </c>
      <c r="E124" s="11">
        <f>IFERROR(INDEX('چکهای دریافتنی'!F:F,MATCH(Table223[[#This Row],[كد تفصيلي]],'چکهای دریافتنی'!A:A,0)),0)</f>
        <v>0</v>
      </c>
      <c r="F124" s="11">
        <f>Table223[[#This Row],[حسابهای دریافتنی]]+Table223[[#This Row],[چکهای در جریان وصول]]+Table223[[#This Row],[چکهای نزد صندوق]]</f>
        <v>-1580000</v>
      </c>
      <c r="G124" s="12">
        <f>IFERROR(INDEX('مانده سوفاله'!F:F,MATCH(Table223[[#This Row],[كد تفصيلي]],'مانده سوفاله'!A:A,0)),0)</f>
        <v>0</v>
      </c>
    </row>
    <row r="125" spans="1:7" ht="27" customHeight="1" x14ac:dyDescent="0.35">
      <c r="A125" s="27">
        <v>10125</v>
      </c>
      <c r="B125" s="55" t="s">
        <v>345</v>
      </c>
      <c r="C125" s="10">
        <f>IFERROR(INDEX('حسابهای دریافتنی'!H:H,MATCH(Table223[[#This Row],[كد تفصيلي]],'حسابهای دریافتنی'!A:A,0)),0)</f>
        <v>-1650000</v>
      </c>
      <c r="D125" s="11">
        <f>IFERROR(INDEX('درجریان وصول'!F:F,MATCH(Table223[[#This Row],[كد تفصيلي]],'درجریان وصول'!A:A,0)),0)</f>
        <v>0</v>
      </c>
      <c r="E125" s="11">
        <f>IFERROR(INDEX('چکهای دریافتنی'!F:F,MATCH(Table223[[#This Row],[كد تفصيلي]],'چکهای دریافتنی'!A:A,0)),0)</f>
        <v>0</v>
      </c>
      <c r="F125" s="11">
        <f>Table223[[#This Row],[حسابهای دریافتنی]]+Table223[[#This Row],[چکهای در جریان وصول]]+Table223[[#This Row],[چکهای نزد صندوق]]</f>
        <v>-1650000</v>
      </c>
      <c r="G125" s="12">
        <f>IFERROR(INDEX('مانده سوفاله'!F:F,MATCH(Table223[[#This Row],[كد تفصيلي]],'مانده سوفاله'!A:A,0)),0)</f>
        <v>0</v>
      </c>
    </row>
    <row r="126" spans="1:7" ht="27" customHeight="1" x14ac:dyDescent="0.35">
      <c r="A126" s="27">
        <v>30179</v>
      </c>
      <c r="B126" s="55" t="s">
        <v>336</v>
      </c>
      <c r="C126" s="10">
        <f>IFERROR(INDEX('حسابهای دریافتنی'!H:H,MATCH(Table223[[#This Row],[كد تفصيلي]],'حسابهای دریافتنی'!A:A,0)),0)</f>
        <v>-637200</v>
      </c>
      <c r="D126" s="11">
        <f>IFERROR(INDEX('درجریان وصول'!F:F,MATCH(Table223[[#This Row],[كد تفصيلي]],'درجریان وصول'!A:A,0)),0)</f>
        <v>0</v>
      </c>
      <c r="E126" s="11">
        <f>IFERROR(INDEX('چکهای دریافتنی'!F:F,MATCH(Table223[[#This Row],[كد تفصيلي]],'چکهای دریافتنی'!A:A,0)),0)</f>
        <v>0</v>
      </c>
      <c r="F126" s="11">
        <f>Table223[[#This Row],[حسابهای دریافتنی]]+Table223[[#This Row],[چکهای در جریان وصول]]+Table223[[#This Row],[چکهای نزد صندوق]]</f>
        <v>-637200</v>
      </c>
      <c r="G126" s="12">
        <f>IFERROR(INDEX('مانده سوفاله'!F:F,MATCH(Table223[[#This Row],[كد تفصيلي]],'مانده سوفاله'!A:A,0)),0)</f>
        <v>0</v>
      </c>
    </row>
    <row r="127" spans="1:7" ht="27" customHeight="1" x14ac:dyDescent="0.35">
      <c r="A127" s="26">
        <v>10110</v>
      </c>
      <c r="B127" s="56" t="s">
        <v>306</v>
      </c>
      <c r="C127" s="10">
        <f>IFERROR(INDEX('حسابهای دریافتنی'!H:H,MATCH(Table223[[#This Row],[كد تفصيلي]],'حسابهای دریافتنی'!A:A,0)),0)</f>
        <v>-1817500</v>
      </c>
      <c r="D127" s="11">
        <f>IFERROR(INDEX('درجریان وصول'!F:F,MATCH(Table223[[#This Row],[كد تفصيلي]],'درجریان وصول'!A:A,0)),0)</f>
        <v>0</v>
      </c>
      <c r="E127" s="11">
        <f>IFERROR(INDEX('چکهای دریافتنی'!F:F,MATCH(Table223[[#This Row],[كد تفصيلي]],'چکهای دریافتنی'!A:A,0)),0)</f>
        <v>0</v>
      </c>
      <c r="F127" s="11">
        <f>Table223[[#This Row],[حسابهای دریافتنی]]+Table223[[#This Row],[چکهای در جریان وصول]]+Table223[[#This Row],[چکهای نزد صندوق]]</f>
        <v>-1817500</v>
      </c>
      <c r="G127" s="12">
        <f>IFERROR(INDEX('مانده سوفاله'!F:F,MATCH(Table223[[#This Row],[كد تفصيلي]],'مانده سوفاله'!A:A,0)),0)</f>
        <v>7</v>
      </c>
    </row>
    <row r="128" spans="1:7" ht="27" customHeight="1" x14ac:dyDescent="0.35">
      <c r="A128" s="27">
        <v>30103</v>
      </c>
      <c r="B128" s="55" t="s">
        <v>240</v>
      </c>
      <c r="C128" s="10">
        <f>IFERROR(INDEX('حسابهای دریافتنی'!H:H,MATCH(Table223[[#This Row],[كد تفصيلي]],'حسابهای دریافتنی'!A:A,0)),0)</f>
        <v>-1820000</v>
      </c>
      <c r="D128" s="11">
        <f>IFERROR(INDEX('درجریان وصول'!F:F,MATCH(Table223[[#This Row],[كد تفصيلي]],'درجریان وصول'!A:A,0)),0)</f>
        <v>0</v>
      </c>
      <c r="E128" s="11">
        <f>IFERROR(INDEX('چکهای دریافتنی'!F:F,MATCH(Table223[[#This Row],[كد تفصيلي]],'چکهای دریافتنی'!A:A,0)),0)</f>
        <v>0</v>
      </c>
      <c r="F128" s="11">
        <f>Table223[[#This Row],[حسابهای دریافتنی]]+Table223[[#This Row],[چکهای در جریان وصول]]+Table223[[#This Row],[چکهای نزد صندوق]]</f>
        <v>-1820000</v>
      </c>
      <c r="G128" s="12">
        <f>IFERROR(INDEX('مانده سوفاله'!F:F,MATCH(Table223[[#This Row],[كد تفصيلي]],'مانده سوفاله'!A:A,0)),0)</f>
        <v>0</v>
      </c>
    </row>
    <row r="129" spans="1:7" ht="27" customHeight="1" x14ac:dyDescent="0.35">
      <c r="A129" s="26">
        <v>30128</v>
      </c>
      <c r="B129" s="56" t="s">
        <v>212</v>
      </c>
      <c r="C129" s="10">
        <f>IFERROR(INDEX('حسابهای دریافتنی'!H:H,MATCH(Table223[[#This Row],[كد تفصيلي]],'حسابهای دریافتنی'!A:A,0)),0)</f>
        <v>-2451320</v>
      </c>
      <c r="D129" s="11">
        <f>IFERROR(INDEX('درجریان وصول'!F:F,MATCH(Table223[[#This Row],[كد تفصيلي]],'درجریان وصول'!A:A,0)),0)</f>
        <v>0</v>
      </c>
      <c r="E129" s="11">
        <f>IFERROR(INDEX('چکهای دریافتنی'!F:F,MATCH(Table223[[#This Row],[كد تفصيلي]],'چکهای دریافتنی'!A:A,0)),0)</f>
        <v>0</v>
      </c>
      <c r="F129" s="11">
        <f>Table223[[#This Row],[حسابهای دریافتنی]]+Table223[[#This Row],[چکهای در جریان وصول]]+Table223[[#This Row],[چکهای نزد صندوق]]</f>
        <v>-2451320</v>
      </c>
      <c r="G129" s="12">
        <f>IFERROR(INDEX('مانده سوفاله'!F:F,MATCH(Table223[[#This Row],[كد تفصيلي]],'مانده سوفاله'!A:A,0)),0)</f>
        <v>0</v>
      </c>
    </row>
    <row r="130" spans="1:7" ht="27" customHeight="1" x14ac:dyDescent="0.35">
      <c r="A130" s="26">
        <v>30013</v>
      </c>
      <c r="B130" s="56" t="s">
        <v>62</v>
      </c>
      <c r="C130" s="10">
        <f>IFERROR(INDEX('حسابهای دریافتنی'!H:H,MATCH(Table223[[#This Row],[كد تفصيلي]],'حسابهای دریافتنی'!A:A,0)),0)</f>
        <v>-2744620</v>
      </c>
      <c r="D130" s="11">
        <f>IFERROR(INDEX('درجریان وصول'!F:F,MATCH(Table223[[#This Row],[كد تفصيلي]],'درجریان وصول'!A:A,0)),0)</f>
        <v>0</v>
      </c>
      <c r="E130" s="11">
        <f>IFERROR(INDEX('چکهای دریافتنی'!F:F,MATCH(Table223[[#This Row],[كد تفصيلي]],'چکهای دریافتنی'!A:A,0)),0)</f>
        <v>0</v>
      </c>
      <c r="F130" s="11">
        <f>Table223[[#This Row],[حسابهای دریافتنی]]+Table223[[#This Row],[چکهای در جریان وصول]]+Table223[[#This Row],[چکهای نزد صندوق]]</f>
        <v>-2744620</v>
      </c>
      <c r="G130" s="12">
        <f>IFERROR(INDEX('مانده سوفاله'!F:F,MATCH(Table223[[#This Row],[كد تفصيلي]],'مانده سوفاله'!A:A,0)),0)</f>
        <v>0</v>
      </c>
    </row>
    <row r="131" spans="1:7" ht="27" customHeight="1" x14ac:dyDescent="0.35">
      <c r="A131" s="26">
        <v>30015</v>
      </c>
      <c r="B131" s="56" t="s">
        <v>64</v>
      </c>
      <c r="C131" s="10">
        <f>IFERROR(INDEX('حسابهای دریافتنی'!H:H,MATCH(Table223[[#This Row],[كد تفصيلي]],'حسابهای دریافتنی'!A:A,0)),0)</f>
        <v>-3105895</v>
      </c>
      <c r="D131" s="11">
        <f>IFERROR(INDEX('درجریان وصول'!F:F,MATCH(Table223[[#This Row],[كد تفصيلي]],'درجریان وصول'!A:A,0)),0)</f>
        <v>0</v>
      </c>
      <c r="E131" s="11">
        <f>IFERROR(INDEX('چکهای دریافتنی'!F:F,MATCH(Table223[[#This Row],[كد تفصيلي]],'چکهای دریافتنی'!A:A,0)),0)</f>
        <v>0</v>
      </c>
      <c r="F131" s="11">
        <f>Table223[[#This Row],[حسابهای دریافتنی]]+Table223[[#This Row],[چکهای در جریان وصول]]+Table223[[#This Row],[چکهای نزد صندوق]]</f>
        <v>-3105895</v>
      </c>
      <c r="G131" s="12">
        <f>IFERROR(INDEX('مانده سوفاله'!F:F,MATCH(Table223[[#This Row],[كد تفصيلي]],'مانده سوفاله'!A:A,0)),0)</f>
        <v>0</v>
      </c>
    </row>
    <row r="132" spans="1:7" ht="27" customHeight="1" x14ac:dyDescent="0.35">
      <c r="A132" s="26">
        <v>30110</v>
      </c>
      <c r="B132" s="56" t="s">
        <v>200</v>
      </c>
      <c r="C132" s="10">
        <f>IFERROR(INDEX('حسابهای دریافتنی'!H:H,MATCH(Table223[[#This Row],[كد تفصيلي]],'حسابهای دریافتنی'!A:A,0)),0)</f>
        <v>-3492360</v>
      </c>
      <c r="D132" s="11">
        <f>IFERROR(INDEX('درجریان وصول'!F:F,MATCH(Table223[[#This Row],[كد تفصيلي]],'درجریان وصول'!A:A,0)),0)</f>
        <v>0</v>
      </c>
      <c r="E132" s="11">
        <f>IFERROR(INDEX('چکهای دریافتنی'!F:F,MATCH(Table223[[#This Row],[كد تفصيلي]],'چکهای دریافتنی'!A:A,0)),0)</f>
        <v>0</v>
      </c>
      <c r="F132" s="11">
        <f>Table223[[#This Row],[حسابهای دریافتنی]]+Table223[[#This Row],[چکهای در جریان وصول]]+Table223[[#This Row],[چکهای نزد صندوق]]</f>
        <v>-3492360</v>
      </c>
      <c r="G132" s="12">
        <f>IFERROR(INDEX('مانده سوفاله'!F:F,MATCH(Table223[[#This Row],[كد تفصيلي]],'مانده سوفاله'!A:A,0)),0)</f>
        <v>0</v>
      </c>
    </row>
    <row r="133" spans="1:7" ht="27" customHeight="1" x14ac:dyDescent="0.35">
      <c r="A133" s="26">
        <v>10049</v>
      </c>
      <c r="B133" s="56" t="s">
        <v>157</v>
      </c>
      <c r="C133" s="10">
        <f>IFERROR(INDEX('حسابهای دریافتنی'!H:H,MATCH(Table223[[#This Row],[كد تفصيلي]],'حسابهای دریافتنی'!A:A,0)),0)</f>
        <v>-32909500</v>
      </c>
      <c r="D133" s="11">
        <f>IFERROR(INDEX('درجریان وصول'!F:F,MATCH(Table223[[#This Row],[كد تفصيلي]],'درجریان وصول'!A:A,0)),0)</f>
        <v>0</v>
      </c>
      <c r="E133" s="11">
        <f>IFERROR(INDEX('چکهای دریافتنی'!F:F,MATCH(Table223[[#This Row],[كد تفصيلي]],'چکهای دریافتنی'!A:A,0)),0)</f>
        <v>0</v>
      </c>
      <c r="F133" s="11">
        <f>Table223[[#This Row],[حسابهای دریافتنی]]+Table223[[#This Row],[چکهای در جریان وصول]]+Table223[[#This Row],[چکهای نزد صندوق]]</f>
        <v>-32909500</v>
      </c>
      <c r="G133" s="12">
        <f>IFERROR(INDEX('مانده سوفاله'!F:F,MATCH(Table223[[#This Row],[كد تفصيلي]],'مانده سوفاله'!A:A,0)),0)</f>
        <v>0</v>
      </c>
    </row>
    <row r="134" spans="1:7" ht="27" customHeight="1" x14ac:dyDescent="0.35">
      <c r="A134" s="26">
        <v>10015</v>
      </c>
      <c r="B134" s="56" t="s">
        <v>22</v>
      </c>
      <c r="C134" s="10">
        <f>IFERROR(INDEX('حسابهای دریافتنی'!H:H,MATCH(Table223[[#This Row],[كد تفصيلي]],'حسابهای دریافتنی'!A:A,0)),0)</f>
        <v>-4735000</v>
      </c>
      <c r="D134" s="11">
        <f>IFERROR(INDEX('درجریان وصول'!F:F,MATCH(Table223[[#This Row],[كد تفصيلي]],'درجریان وصول'!A:A,0)),0)</f>
        <v>0</v>
      </c>
      <c r="E134" s="11">
        <f>IFERROR(INDEX('چکهای دریافتنی'!F:F,MATCH(Table223[[#This Row],[كد تفصيلي]],'چکهای دریافتنی'!A:A,0)),0)</f>
        <v>0</v>
      </c>
      <c r="F134" s="11">
        <f>Table223[[#This Row],[حسابهای دریافتنی]]+Table223[[#This Row],[چکهای در جریان وصول]]+Table223[[#This Row],[چکهای نزد صندوق]]</f>
        <v>-4735000</v>
      </c>
      <c r="G134" s="12">
        <f>IFERROR(INDEX('مانده سوفاله'!F:F,MATCH(Table223[[#This Row],[كد تفصيلي]],'مانده سوفاله'!A:A,0)),0)</f>
        <v>12</v>
      </c>
    </row>
    <row r="135" spans="1:7" customFormat="1" ht="27" customHeight="1" x14ac:dyDescent="0.35">
      <c r="A135" s="54">
        <v>30153</v>
      </c>
      <c r="B135" s="55" t="s">
        <v>279</v>
      </c>
      <c r="C135" s="10">
        <f>IFERROR(INDEX('حسابهای دریافتنی'!H:H,MATCH(Table223[[#This Row],[كد تفصيلي]],'حسابهای دریافتنی'!A:A,0)),0)</f>
        <v>-4818000</v>
      </c>
      <c r="D135" s="11">
        <f>IFERROR(INDEX('درجریان وصول'!F:F,MATCH(Table223[[#This Row],[كد تفصيلي]],'درجریان وصول'!A:A,0)),0)</f>
        <v>0</v>
      </c>
      <c r="E135" s="11">
        <f>IFERROR(INDEX('چکهای دریافتنی'!F:F,MATCH(Table223[[#This Row],[كد تفصيلي]],'چکهای دریافتنی'!A:A,0)),0)</f>
        <v>0</v>
      </c>
      <c r="F135" s="11">
        <f>Table223[[#This Row],[حسابهای دریافتنی]]+Table223[[#This Row],[چکهای در جریان وصول]]+Table223[[#This Row],[چکهای نزد صندوق]]</f>
        <v>-4818000</v>
      </c>
      <c r="G135" s="12">
        <f>IFERROR(INDEX('مانده سوفاله'!F:F,MATCH(Table223[[#This Row],[كد تفصيلي]],'مانده سوفاله'!A:A,0)),0)</f>
        <v>0</v>
      </c>
    </row>
    <row r="136" spans="1:7" customFormat="1" ht="27" customHeight="1" x14ac:dyDescent="0.35">
      <c r="A136" s="53">
        <v>30023</v>
      </c>
      <c r="B136" s="56" t="s">
        <v>71</v>
      </c>
      <c r="C136" s="10">
        <f>IFERROR(INDEX('حسابهای دریافتنی'!H:H,MATCH(Table223[[#This Row],[كد تفصيلي]],'حسابهای دریافتنی'!A:A,0)),0)</f>
        <v>-5793600</v>
      </c>
      <c r="D136" s="11">
        <f>IFERROR(INDEX('درجریان وصول'!F:F,MATCH(Table223[[#This Row],[كد تفصيلي]],'درجریان وصول'!A:A,0)),0)</f>
        <v>0</v>
      </c>
      <c r="E136" s="11">
        <f>IFERROR(INDEX('چکهای دریافتنی'!F:F,MATCH(Table223[[#This Row],[كد تفصيلي]],'چکهای دریافتنی'!A:A,0)),0)</f>
        <v>0</v>
      </c>
      <c r="F136" s="11">
        <f>Table223[[#This Row],[حسابهای دریافتنی]]+Table223[[#This Row],[چکهای در جریان وصول]]+Table223[[#This Row],[چکهای نزد صندوق]]</f>
        <v>-5793600</v>
      </c>
      <c r="G136" s="12">
        <f>IFERROR(INDEX('مانده سوفاله'!F:F,MATCH(Table223[[#This Row],[كد تفصيلي]],'مانده سوفاله'!A:A,0)),0)</f>
        <v>0</v>
      </c>
    </row>
    <row r="137" spans="1:7" customFormat="1" ht="27" customHeight="1" x14ac:dyDescent="0.35">
      <c r="A137" s="53">
        <v>30176</v>
      </c>
      <c r="B137" s="56" t="s">
        <v>332</v>
      </c>
      <c r="C137" s="10">
        <f>IFERROR(INDEX('حسابهای دریافتنی'!H:H,MATCH(Table223[[#This Row],[كد تفصيلي]],'حسابهای دریافتنی'!A:A,0)),0)</f>
        <v>-7540075</v>
      </c>
      <c r="D137" s="11">
        <f>IFERROR(INDEX('درجریان وصول'!F:F,MATCH(Table223[[#This Row],[كد تفصيلي]],'درجریان وصول'!A:A,0)),0)</f>
        <v>0</v>
      </c>
      <c r="E137" s="11">
        <f>IFERROR(INDEX('چکهای دریافتنی'!F:F,MATCH(Table223[[#This Row],[كد تفصيلي]],'چکهای دریافتنی'!A:A,0)),0)</f>
        <v>0</v>
      </c>
      <c r="F137" s="11">
        <f>Table223[[#This Row],[حسابهای دریافتنی]]+Table223[[#This Row],[چکهای در جریان وصول]]+Table223[[#This Row],[چکهای نزد صندوق]]</f>
        <v>-7540075</v>
      </c>
      <c r="G137" s="12">
        <f>IFERROR(INDEX('مانده سوفاله'!F:F,MATCH(Table223[[#This Row],[كد تفصيلي]],'مانده سوفاله'!A:A,0)),0)</f>
        <v>0</v>
      </c>
    </row>
    <row r="138" spans="1:7" customFormat="1" ht="27" customHeight="1" x14ac:dyDescent="0.35">
      <c r="A138" s="53">
        <v>10106</v>
      </c>
      <c r="B138" s="56" t="s">
        <v>298</v>
      </c>
      <c r="C138" s="10">
        <f>IFERROR(INDEX('حسابهای دریافتنی'!H:H,MATCH(Table223[[#This Row],[كد تفصيلي]],'حسابهای دریافتنی'!A:A,0)),0)</f>
        <v>-9134000</v>
      </c>
      <c r="D138" s="11">
        <f>IFERROR(INDEX('درجریان وصول'!F:F,MATCH(Table223[[#This Row],[كد تفصيلي]],'درجریان وصول'!A:A,0)),0)</f>
        <v>0</v>
      </c>
      <c r="E138" s="11">
        <f>IFERROR(INDEX('چکهای دریافتنی'!F:F,MATCH(Table223[[#This Row],[كد تفصيلي]],'چکهای دریافتنی'!A:A,0)),0)</f>
        <v>0</v>
      </c>
      <c r="F138" s="11">
        <f>Table223[[#This Row],[حسابهای دریافتنی]]+Table223[[#This Row],[چکهای در جریان وصول]]+Table223[[#This Row],[چکهای نزد صندوق]]</f>
        <v>-9134000</v>
      </c>
      <c r="G138" s="12">
        <f>IFERROR(INDEX('مانده سوفاله'!F:F,MATCH(Table223[[#This Row],[كد تفصيلي]],'مانده سوفاله'!A:A,0)),0)</f>
        <v>0</v>
      </c>
    </row>
    <row r="139" spans="1:7" customFormat="1" ht="27" customHeight="1" x14ac:dyDescent="0.35">
      <c r="A139" s="53">
        <v>30189</v>
      </c>
      <c r="B139" s="56" t="s">
        <v>458</v>
      </c>
      <c r="C139" s="10">
        <f>IFERROR(INDEX('حسابهای دریافتنی'!H:H,MATCH(Table223[[#This Row],[كد تفصيلي]],'حسابهای دریافتنی'!A:A,0)),0)</f>
        <v>20776490</v>
      </c>
      <c r="D139" s="11">
        <f>IFERROR(INDEX('درجریان وصول'!F:F,MATCH(Table223[[#This Row],[كد تفصيلي]],'درجریان وصول'!A:A,0)),0)</f>
        <v>0</v>
      </c>
      <c r="E139" s="11">
        <f>IFERROR(INDEX('چکهای دریافتنی'!F:F,MATCH(Table223[[#This Row],[كد تفصيلي]],'چکهای دریافتنی'!A:A,0)),0)</f>
        <v>0</v>
      </c>
      <c r="F139" s="11">
        <f>Table223[[#This Row],[حسابهای دریافتنی]]+Table223[[#This Row],[چکهای در جریان وصول]]+Table223[[#This Row],[چکهای نزد صندوق]]</f>
        <v>20776490</v>
      </c>
      <c r="G139" s="12">
        <f>IFERROR(INDEX('مانده سوفاله'!F:F,MATCH(Table223[[#This Row],[كد تفصيلي]],'مانده سوفاله'!A:A,0)),0)</f>
        <v>0</v>
      </c>
    </row>
    <row r="140" spans="1:7" customFormat="1" ht="27" customHeight="1" x14ac:dyDescent="0.35">
      <c r="A140" s="54">
        <v>10102</v>
      </c>
      <c r="B140" s="55" t="s">
        <v>282</v>
      </c>
      <c r="C140" s="10">
        <f>IFERROR(INDEX('حسابهای دریافتنی'!H:H,MATCH(Table223[[#This Row],[كد تفصيلي]],'حسابهای دریافتنی'!A:A,0)),0)</f>
        <v>-10374000</v>
      </c>
      <c r="D140" s="11">
        <f>IFERROR(INDEX('درجریان وصول'!F:F,MATCH(Table223[[#This Row],[كد تفصيلي]],'درجریان وصول'!A:A,0)),0)</f>
        <v>0</v>
      </c>
      <c r="E140" s="11">
        <f>IFERROR(INDEX('چکهای دریافتنی'!F:F,MATCH(Table223[[#This Row],[كد تفصيلي]],'چکهای دریافتنی'!A:A,0)),0)</f>
        <v>0</v>
      </c>
      <c r="F140" s="11">
        <f>Table223[[#This Row],[حسابهای دریافتنی]]+Table223[[#This Row],[چکهای در جریان وصول]]+Table223[[#This Row],[چکهای نزد صندوق]]</f>
        <v>-10374000</v>
      </c>
      <c r="G140" s="12">
        <f>IFERROR(INDEX('مانده سوفاله'!F:F,MATCH(Table223[[#This Row],[كد تفصيلي]],'مانده سوفاله'!A:A,0)),0)</f>
        <v>0</v>
      </c>
    </row>
    <row r="141" spans="1:7" customFormat="1" ht="27" customHeight="1" x14ac:dyDescent="0.35">
      <c r="A141" s="54">
        <v>10104</v>
      </c>
      <c r="B141" s="55" t="s">
        <v>293</v>
      </c>
      <c r="C141" s="10">
        <f>IFERROR(INDEX('حسابهای دریافتنی'!H:H,MATCH(Table223[[#This Row],[كد تفصيلي]],'حسابهای دریافتنی'!A:A,0)),0)</f>
        <v>0</v>
      </c>
      <c r="D141" s="11">
        <f>IFERROR(INDEX('درجریان وصول'!F:F,MATCH(Table223[[#This Row],[كد تفصيلي]],'درجریان وصول'!A:A,0)),0)</f>
        <v>0</v>
      </c>
      <c r="E141" s="11">
        <f>IFERROR(INDEX('چکهای دریافتنی'!F:F,MATCH(Table223[[#This Row],[كد تفصيلي]],'چکهای دریافتنی'!A:A,0)),0)</f>
        <v>0</v>
      </c>
      <c r="F141" s="11">
        <f>Table223[[#This Row],[حسابهای دریافتنی]]+Table223[[#This Row],[چکهای در جریان وصول]]+Table223[[#This Row],[چکهای نزد صندوق]]</f>
        <v>0</v>
      </c>
      <c r="G141" s="12">
        <f>IFERROR(INDEX('مانده سوفاله'!F:F,MATCH(Table223[[#This Row],[كد تفصيلي]],'مانده سوفاله'!A:A,0)),0)</f>
        <v>4065</v>
      </c>
    </row>
    <row r="142" spans="1:7" customFormat="1" ht="27" customHeight="1" x14ac:dyDescent="0.35">
      <c r="A142" s="54">
        <v>10058</v>
      </c>
      <c r="B142" s="55" t="s">
        <v>173</v>
      </c>
      <c r="C142" s="10">
        <f>IFERROR(INDEX('حسابهای دریافتنی'!H:H,MATCH(Table223[[#This Row],[كد تفصيلي]],'حسابهای دریافتنی'!A:A,0)),0)</f>
        <v>-13650000</v>
      </c>
      <c r="D142" s="11">
        <f>IFERROR(INDEX('درجریان وصول'!F:F,MATCH(Table223[[#This Row],[كد تفصيلي]],'درجریان وصول'!A:A,0)),0)</f>
        <v>0</v>
      </c>
      <c r="E142" s="11">
        <f>IFERROR(INDEX('چکهای دریافتنی'!F:F,MATCH(Table223[[#This Row],[كد تفصيلي]],'چکهای دریافتنی'!A:A,0)),0)</f>
        <v>0</v>
      </c>
      <c r="F142" s="11">
        <f>Table223[[#This Row],[حسابهای دریافتنی]]+Table223[[#This Row],[چکهای در جریان وصول]]+Table223[[#This Row],[چکهای نزد صندوق]]</f>
        <v>-13650000</v>
      </c>
      <c r="G142" s="12">
        <f>IFERROR(INDEX('مانده سوفاله'!F:F,MATCH(Table223[[#This Row],[كد تفصيلي]],'مانده سوفاله'!A:A,0)),0)</f>
        <v>0</v>
      </c>
    </row>
    <row r="143" spans="1:7" customFormat="1" ht="27" customHeight="1" x14ac:dyDescent="0.35">
      <c r="A143" s="53">
        <v>10126</v>
      </c>
      <c r="B143" s="56" t="s">
        <v>370</v>
      </c>
      <c r="C143" s="10">
        <f>IFERROR(INDEX('حسابهای دریافتنی'!H:H,MATCH(Table223[[#This Row],[كد تفصيلي]],'حسابهای دریافتنی'!A:A,0)),0)</f>
        <v>12165000</v>
      </c>
      <c r="D143" s="11">
        <f>IFERROR(INDEX('درجریان وصول'!F:F,MATCH(Table223[[#This Row],[كد تفصيلي]],'درجریان وصول'!A:A,0)),0)</f>
        <v>0</v>
      </c>
      <c r="E143" s="11">
        <f>IFERROR(INDEX('چکهای دریافتنی'!F:F,MATCH(Table223[[#This Row],[كد تفصيلي]],'چکهای دریافتنی'!A:A,0)),0)</f>
        <v>0</v>
      </c>
      <c r="F143" s="11">
        <f>Table223[[#This Row],[حسابهای دریافتنی]]+Table223[[#This Row],[چکهای در جریان وصول]]+Table223[[#This Row],[چکهای نزد صندوق]]</f>
        <v>12165000</v>
      </c>
      <c r="G143" s="12">
        <f>IFERROR(INDEX('مانده سوفاله'!F:F,MATCH(Table223[[#This Row],[كد تفصيلي]],'مانده سوفاله'!A:A,0)),0)</f>
        <v>0</v>
      </c>
    </row>
    <row r="144" spans="1:7" customFormat="1" ht="27" customHeight="1" x14ac:dyDescent="0.35">
      <c r="A144" s="53">
        <v>30082</v>
      </c>
      <c r="B144" s="56" t="s">
        <v>127</v>
      </c>
      <c r="C144" s="10">
        <f>IFERROR(INDEX('حسابهای دریافتنی'!H:H,MATCH(Table223[[#This Row],[كد تفصيلي]],'حسابهای دریافتنی'!A:A,0)),0)</f>
        <v>-15037000</v>
      </c>
      <c r="D144" s="11">
        <f>IFERROR(INDEX('درجریان وصول'!F:F,MATCH(Table223[[#This Row],[كد تفصيلي]],'درجریان وصول'!A:A,0)),0)</f>
        <v>0</v>
      </c>
      <c r="E144" s="11">
        <f>IFERROR(INDEX('چکهای دریافتنی'!F:F,MATCH(Table223[[#This Row],[كد تفصيلي]],'چکهای دریافتنی'!A:A,0)),0)</f>
        <v>0</v>
      </c>
      <c r="F144" s="11">
        <f>Table223[[#This Row],[حسابهای دریافتنی]]+Table223[[#This Row],[چکهای در جریان وصول]]+Table223[[#This Row],[چکهای نزد صندوق]]</f>
        <v>-15037000</v>
      </c>
      <c r="G144" s="12">
        <f>IFERROR(INDEX('مانده سوفاله'!F:F,MATCH(Table223[[#This Row],[كد تفصيلي]],'مانده سوفاله'!A:A,0)),0)</f>
        <v>-16</v>
      </c>
    </row>
    <row r="145" spans="1:7" customFormat="1" ht="27" customHeight="1" x14ac:dyDescent="0.35">
      <c r="A145" s="53">
        <v>10128</v>
      </c>
      <c r="B145" s="56" t="s">
        <v>372</v>
      </c>
      <c r="C145" s="10">
        <f>IFERROR(INDEX('حسابهای دریافتنی'!H:H,MATCH(Table223[[#This Row],[كد تفصيلي]],'حسابهای دریافتنی'!A:A,0)),0)</f>
        <v>-45000</v>
      </c>
      <c r="D145" s="11">
        <f>IFERROR(INDEX('درجریان وصول'!F:F,MATCH(Table223[[#This Row],[كد تفصيلي]],'درجریان وصول'!A:A,0)),0)</f>
        <v>0</v>
      </c>
      <c r="E145" s="11">
        <f>IFERROR(INDEX('چکهای دریافتنی'!F:F,MATCH(Table223[[#This Row],[كد تفصيلي]],'چکهای دریافتنی'!A:A,0)),0)</f>
        <v>0</v>
      </c>
      <c r="F145" s="11">
        <f>Table223[[#This Row],[حسابهای دریافتنی]]+Table223[[#This Row],[چکهای در جریان وصول]]+Table223[[#This Row],[چکهای نزد صندوق]]</f>
        <v>-45000</v>
      </c>
      <c r="G145" s="12">
        <f>IFERROR(INDEX('مانده سوفاله'!F:F,MATCH(Table223[[#This Row],[كد تفصيلي]],'مانده سوفاله'!A:A,0)),0)</f>
        <v>6</v>
      </c>
    </row>
    <row r="146" spans="1:7" customFormat="1" ht="27" customHeight="1" x14ac:dyDescent="0.35">
      <c r="A146" s="54">
        <v>30034</v>
      </c>
      <c r="B146" s="55" t="s">
        <v>81</v>
      </c>
      <c r="C146" s="10">
        <f>IFERROR(INDEX('حسابهای دریافتنی'!H:H,MATCH(Table223[[#This Row],[كد تفصيلي]],'حسابهای دریافتنی'!A:A,0)),0)</f>
        <v>388329200</v>
      </c>
      <c r="D146" s="11">
        <f>IFERROR(INDEX('درجریان وصول'!F:F,MATCH(Table223[[#This Row],[كد تفصيلي]],'درجریان وصول'!A:A,0)),0)</f>
        <v>0</v>
      </c>
      <c r="E146" s="11">
        <f>IFERROR(INDEX('چکهای دریافتنی'!F:F,MATCH(Table223[[#This Row],[كد تفصيلي]],'چکهای دریافتنی'!A:A,0)),0)</f>
        <v>0</v>
      </c>
      <c r="F146" s="11">
        <f>Table223[[#This Row],[حسابهای دریافتنی]]+Table223[[#This Row],[چکهای در جریان وصول]]+Table223[[#This Row],[چکهای نزد صندوق]]</f>
        <v>388329200</v>
      </c>
      <c r="G146" s="12">
        <f>IFERROR(INDEX('مانده سوفاله'!F:F,MATCH(Table223[[#This Row],[كد تفصيلي]],'مانده سوفاله'!A:A,0)),0)</f>
        <v>2886</v>
      </c>
    </row>
    <row r="147" spans="1:7" customFormat="1" ht="27" customHeight="1" x14ac:dyDescent="0.35">
      <c r="A147" s="54">
        <v>30042</v>
      </c>
      <c r="B147" s="55" t="s">
        <v>89</v>
      </c>
      <c r="C147" s="10">
        <f>IFERROR(INDEX('حسابهای دریافتنی'!H:H,MATCH(Table223[[#This Row],[كد تفصيلي]],'حسابهای دریافتنی'!A:A,0)),0)</f>
        <v>-18303540</v>
      </c>
      <c r="D147" s="11">
        <f>IFERROR(INDEX('درجریان وصول'!F:F,MATCH(Table223[[#This Row],[كد تفصيلي]],'درجریان وصول'!A:A,0)),0)</f>
        <v>0</v>
      </c>
      <c r="E147" s="11">
        <f>IFERROR(INDEX('چکهای دریافتنی'!F:F,MATCH(Table223[[#This Row],[كد تفصيلي]],'چکهای دریافتنی'!A:A,0)),0)</f>
        <v>0</v>
      </c>
      <c r="F147" s="11">
        <f>Table223[[#This Row],[حسابهای دریافتنی]]+Table223[[#This Row],[چکهای در جریان وصول]]+Table223[[#This Row],[چکهای نزد صندوق]]</f>
        <v>-18303540</v>
      </c>
      <c r="G147" s="12">
        <f>IFERROR(INDEX('مانده سوفاله'!F:F,MATCH(Table223[[#This Row],[كد تفصيلي]],'مانده سوفاله'!A:A,0)),0)</f>
        <v>0</v>
      </c>
    </row>
    <row r="148" spans="1:7" customFormat="1" ht="27" customHeight="1" x14ac:dyDescent="0.35">
      <c r="A148" s="54">
        <v>30028</v>
      </c>
      <c r="B148" s="55" t="s">
        <v>76</v>
      </c>
      <c r="C148" s="10">
        <f>IFERROR(INDEX('حسابهای دریافتنی'!H:H,MATCH(Table223[[#This Row],[كد تفصيلي]],'حسابهای دریافتنی'!A:A,0)),0)</f>
        <v>-23665000</v>
      </c>
      <c r="D148" s="11">
        <f>IFERROR(INDEX('درجریان وصول'!F:F,MATCH(Table223[[#This Row],[كد تفصيلي]],'درجریان وصول'!A:A,0)),0)</f>
        <v>0</v>
      </c>
      <c r="E148" s="11">
        <f>IFERROR(INDEX('چکهای دریافتنی'!F:F,MATCH(Table223[[#This Row],[كد تفصيلي]],'چکهای دریافتنی'!A:A,0)),0)</f>
        <v>0</v>
      </c>
      <c r="F148" s="11">
        <f>Table223[[#This Row],[حسابهای دریافتنی]]+Table223[[#This Row],[چکهای در جریان وصول]]+Table223[[#This Row],[چکهای نزد صندوق]]</f>
        <v>-23665000</v>
      </c>
      <c r="G148" s="12">
        <f>IFERROR(INDEX('مانده سوفاله'!F:F,MATCH(Table223[[#This Row],[كد تفصيلي]],'مانده سوفاله'!A:A,0)),0)</f>
        <v>0</v>
      </c>
    </row>
    <row r="149" spans="1:7" customFormat="1" ht="27" customHeight="1" x14ac:dyDescent="0.35">
      <c r="A149" s="53">
        <v>30072</v>
      </c>
      <c r="B149" s="56" t="s">
        <v>117</v>
      </c>
      <c r="C149" s="10">
        <f>IFERROR(INDEX('حسابهای دریافتنی'!H:H,MATCH(Table223[[#This Row],[كد تفصيلي]],'حسابهای دریافتنی'!A:A,0)),0)</f>
        <v>-30178900</v>
      </c>
      <c r="D149" s="11">
        <f>IFERROR(INDEX('درجریان وصول'!F:F,MATCH(Table223[[#This Row],[كد تفصيلي]],'درجریان وصول'!A:A,0)),0)</f>
        <v>0</v>
      </c>
      <c r="E149" s="11">
        <f>IFERROR(INDEX('چکهای دریافتنی'!F:F,MATCH(Table223[[#This Row],[كد تفصيلي]],'چکهای دریافتنی'!A:A,0)),0)</f>
        <v>0</v>
      </c>
      <c r="F149" s="11">
        <f>Table223[[#This Row],[حسابهای دریافتنی]]+Table223[[#This Row],[چکهای در جریان وصول]]+Table223[[#This Row],[چکهای نزد صندوق]]</f>
        <v>-30178900</v>
      </c>
      <c r="G149" s="12">
        <f>IFERROR(INDEX('مانده سوفاله'!F:F,MATCH(Table223[[#This Row],[كد تفصيلي]],'مانده سوفاله'!A:A,0)),0)</f>
        <v>-79</v>
      </c>
    </row>
    <row r="150" spans="1:7" customFormat="1" ht="27" customHeight="1" x14ac:dyDescent="0.35">
      <c r="A150" s="53">
        <v>30064</v>
      </c>
      <c r="B150" s="56" t="s">
        <v>109</v>
      </c>
      <c r="C150" s="10">
        <f>IFERROR(INDEX('حسابهای دریافتنی'!H:H,MATCH(Table223[[#This Row],[كد تفصيلي]],'حسابهای دریافتنی'!A:A,0)),0)</f>
        <v>-49679500</v>
      </c>
      <c r="D150" s="11">
        <f>IFERROR(INDEX('درجریان وصول'!F:F,MATCH(Table223[[#This Row],[كد تفصيلي]],'درجریان وصول'!A:A,0)),0)</f>
        <v>0</v>
      </c>
      <c r="E150" s="11">
        <f>IFERROR(INDEX('چکهای دریافتنی'!F:F,MATCH(Table223[[#This Row],[كد تفصيلي]],'چکهای دریافتنی'!A:A,0)),0)</f>
        <v>0</v>
      </c>
      <c r="F150" s="11">
        <f>Table223[[#This Row],[حسابهای دریافتنی]]+Table223[[#This Row],[چکهای در جریان وصول]]+Table223[[#This Row],[چکهای نزد صندوق]]</f>
        <v>-49679500</v>
      </c>
      <c r="G150" s="12">
        <f>IFERROR(INDEX('مانده سوفاله'!F:F,MATCH(Table223[[#This Row],[كد تفصيلي]],'مانده سوفاله'!A:A,0)),0)</f>
        <v>0</v>
      </c>
    </row>
    <row r="151" spans="1:7" customFormat="1" ht="27" customHeight="1" x14ac:dyDescent="0.35">
      <c r="A151" s="54">
        <v>10123</v>
      </c>
      <c r="B151" s="55" t="s">
        <v>340</v>
      </c>
      <c r="C151" s="10">
        <f>IFERROR(INDEX('حسابهای دریافتنی'!H:H,MATCH(Table223[[#This Row],[كد تفصيلي]],'حسابهای دریافتنی'!A:A,0)),0)</f>
        <v>-50813000</v>
      </c>
      <c r="D151" s="11">
        <f>IFERROR(INDEX('درجریان وصول'!F:F,MATCH(Table223[[#This Row],[كد تفصيلي]],'درجریان وصول'!A:A,0)),0)</f>
        <v>0</v>
      </c>
      <c r="E151" s="11">
        <f>IFERROR(INDEX('چکهای دریافتنی'!F:F,MATCH(Table223[[#This Row],[كد تفصيلي]],'چکهای دریافتنی'!A:A,0)),0)</f>
        <v>0</v>
      </c>
      <c r="F151" s="11">
        <f>Table223[[#This Row],[حسابهای دریافتنی]]+Table223[[#This Row],[چکهای در جریان وصول]]+Table223[[#This Row],[چکهای نزد صندوق]]</f>
        <v>-50813000</v>
      </c>
      <c r="G151" s="12">
        <f>IFERROR(INDEX('مانده سوفاله'!F:F,MATCH(Table223[[#This Row],[كد تفصيلي]],'مانده سوفاله'!A:A,0)),0)</f>
        <v>0</v>
      </c>
    </row>
    <row r="152" spans="1:7" customFormat="1" ht="27" customHeight="1" x14ac:dyDescent="0.35">
      <c r="A152" s="54">
        <v>30000</v>
      </c>
      <c r="B152" s="55" t="s">
        <v>189</v>
      </c>
      <c r="C152" s="10">
        <f>IFERROR(INDEX('حسابهای دریافتنی'!H:H,MATCH(Table223[[#This Row],[كد تفصيلي]],'حسابهای دریافتنی'!A:A,0)),0)</f>
        <v>-55440000</v>
      </c>
      <c r="D152" s="11">
        <f>IFERROR(INDEX('درجریان وصول'!F:F,MATCH(Table223[[#This Row],[كد تفصيلي]],'درجریان وصول'!A:A,0)),0)</f>
        <v>0</v>
      </c>
      <c r="E152" s="11">
        <f>IFERROR(INDEX('چکهای دریافتنی'!F:F,MATCH(Table223[[#This Row],[كد تفصيلي]],'چکهای دریافتنی'!A:A,0)),0)</f>
        <v>0</v>
      </c>
      <c r="F152" s="11">
        <f>Table223[[#This Row],[حسابهای دریافتنی]]+Table223[[#This Row],[چکهای در جریان وصول]]+Table223[[#This Row],[چکهای نزد صندوق]]</f>
        <v>-55440000</v>
      </c>
      <c r="G152" s="12">
        <f>IFERROR(INDEX('مانده سوفاله'!F:F,MATCH(Table223[[#This Row],[كد تفصيلي]],'مانده سوفاله'!A:A,0)),0)</f>
        <v>0</v>
      </c>
    </row>
    <row r="153" spans="1:7" customFormat="1" ht="27" customHeight="1" x14ac:dyDescent="0.35">
      <c r="A153" s="53">
        <v>10093</v>
      </c>
      <c r="B153" s="56" t="s">
        <v>264</v>
      </c>
      <c r="C153" s="10">
        <f>IFERROR(INDEX('حسابهای دریافتنی'!H:H,MATCH(Table223[[#This Row],[كد تفصيلي]],'حسابهای دریافتنی'!A:A,0)),0)</f>
        <v>-2214000</v>
      </c>
      <c r="D153" s="11">
        <f>IFERROR(INDEX('درجریان وصول'!F:F,MATCH(Table223[[#This Row],[كد تفصيلي]],'درجریان وصول'!A:A,0)),0)</f>
        <v>0</v>
      </c>
      <c r="E153" s="11">
        <f>IFERROR(INDEX('چکهای دریافتنی'!F:F,MATCH(Table223[[#This Row],[كد تفصيلي]],'چکهای دریافتنی'!A:A,0)),0)</f>
        <v>0</v>
      </c>
      <c r="F153" s="11">
        <f>Table223[[#This Row],[حسابهای دریافتنی]]+Table223[[#This Row],[چکهای در جریان وصول]]+Table223[[#This Row],[چکهای نزد صندوق]]</f>
        <v>-2214000</v>
      </c>
      <c r="G153" s="12">
        <f>IFERROR(INDEX('مانده سوفاله'!F:F,MATCH(Table223[[#This Row],[كد تفصيلي]],'مانده سوفاله'!A:A,0)),0)</f>
        <v>0</v>
      </c>
    </row>
    <row r="154" spans="1:7" customFormat="1" ht="27" customHeight="1" x14ac:dyDescent="0.35">
      <c r="A154" s="54">
        <v>30133</v>
      </c>
      <c r="B154" s="55" t="s">
        <v>251</v>
      </c>
      <c r="C154" s="10">
        <f>IFERROR(INDEX('حسابهای دریافتنی'!H:H,MATCH(Table223[[#This Row],[كد تفصيلي]],'حسابهای دریافتنی'!A:A,0)),0)</f>
        <v>-66889500</v>
      </c>
      <c r="D154" s="11">
        <f>IFERROR(INDEX('درجریان وصول'!F:F,MATCH(Table223[[#This Row],[كد تفصيلي]],'درجریان وصول'!A:A,0)),0)</f>
        <v>0</v>
      </c>
      <c r="E154" s="11">
        <f>IFERROR(INDEX('چکهای دریافتنی'!F:F,MATCH(Table223[[#This Row],[كد تفصيلي]],'چکهای دریافتنی'!A:A,0)),0)</f>
        <v>0</v>
      </c>
      <c r="F154" s="11">
        <f>Table223[[#This Row],[حسابهای دریافتنی]]+Table223[[#This Row],[چکهای در جریان وصول]]+Table223[[#This Row],[چکهای نزد صندوق]]</f>
        <v>-66889500</v>
      </c>
      <c r="G154" s="12">
        <f>IFERROR(INDEX('مانده سوفاله'!F:F,MATCH(Table223[[#This Row],[كد تفصيلي]],'مانده سوفاله'!A:A,0)),0)</f>
        <v>0</v>
      </c>
    </row>
    <row r="155" spans="1:7" customFormat="1" ht="27" customHeight="1" x14ac:dyDescent="0.35">
      <c r="A155" s="53">
        <v>30168</v>
      </c>
      <c r="B155" s="56" t="s">
        <v>313</v>
      </c>
      <c r="C155" s="10">
        <f>IFERROR(INDEX('حسابهای دریافتنی'!H:H,MATCH(Table223[[#This Row],[كد تفصيلي]],'حسابهای دریافتنی'!A:A,0)),0)</f>
        <v>-104220000</v>
      </c>
      <c r="D155" s="11">
        <f>IFERROR(INDEX('درجریان وصول'!F:F,MATCH(Table223[[#This Row],[كد تفصيلي]],'درجریان وصول'!A:A,0)),0)</f>
        <v>0</v>
      </c>
      <c r="E155" s="11">
        <f>IFERROR(INDEX('چکهای دریافتنی'!F:F,MATCH(Table223[[#This Row],[كد تفصيلي]],'چکهای دریافتنی'!A:A,0)),0)</f>
        <v>0</v>
      </c>
      <c r="F155" s="11">
        <f>Table223[[#This Row],[حسابهای دریافتنی]]+Table223[[#This Row],[چکهای در جریان وصول]]+Table223[[#This Row],[چکهای نزد صندوق]]</f>
        <v>-104220000</v>
      </c>
      <c r="G155" s="12">
        <f>IFERROR(INDEX('مانده سوفاله'!F:F,MATCH(Table223[[#This Row],[كد تفصيلي]],'مانده سوفاله'!A:A,0)),0)</f>
        <v>0</v>
      </c>
    </row>
    <row r="156" spans="1:7" customFormat="1" ht="27" customHeight="1" x14ac:dyDescent="0.35">
      <c r="A156" s="53">
        <v>10089</v>
      </c>
      <c r="B156" s="56" t="s">
        <v>255</v>
      </c>
      <c r="C156" s="10">
        <f>IFERROR(INDEX('حسابهای دریافتنی'!H:H,MATCH(Table223[[#This Row],[كد تفصيلي]],'حسابهای دریافتنی'!A:A,0)),0)</f>
        <v>-143944000</v>
      </c>
      <c r="D156" s="11">
        <f>IFERROR(INDEX('درجریان وصول'!F:F,MATCH(Table223[[#This Row],[كد تفصيلي]],'درجریان وصول'!A:A,0)),0)</f>
        <v>0</v>
      </c>
      <c r="E156" s="11">
        <f>IFERROR(INDEX('چکهای دریافتنی'!F:F,MATCH(Table223[[#This Row],[كد تفصيلي]],'چکهای دریافتنی'!A:A,0)),0)</f>
        <v>0</v>
      </c>
      <c r="F156" s="11">
        <f>Table223[[#This Row],[حسابهای دریافتنی]]+Table223[[#This Row],[چکهای در جریان وصول]]+Table223[[#This Row],[چکهای نزد صندوق]]</f>
        <v>-143944000</v>
      </c>
      <c r="G156" s="12">
        <f>IFERROR(INDEX('مانده سوفاله'!F:F,MATCH(Table223[[#This Row],[كد تفصيلي]],'مانده سوفاله'!A:A,0)),0)</f>
        <v>-948</v>
      </c>
    </row>
    <row r="157" spans="1:7" customFormat="1" ht="27" customHeight="1" x14ac:dyDescent="0.35">
      <c r="A157" s="53">
        <v>30017</v>
      </c>
      <c r="B157" s="56" t="s">
        <v>65</v>
      </c>
      <c r="C157" s="10">
        <f>IFERROR(INDEX('حسابهای دریافتنی'!H:H,MATCH(Table223[[#This Row],[كد تفصيلي]],'حسابهای دریافتنی'!A:A,0)),0)</f>
        <v>905000830</v>
      </c>
      <c r="D157" s="11">
        <f>IFERROR(INDEX('درجریان وصول'!F:F,MATCH(Table223[[#This Row],[كد تفصيلي]],'درجریان وصول'!A:A,0)),0)</f>
        <v>0</v>
      </c>
      <c r="E157" s="11">
        <f>IFERROR(INDEX('چکهای دریافتنی'!F:F,MATCH(Table223[[#This Row],[كد تفصيلي]],'چکهای دریافتنی'!A:A,0)),0)</f>
        <v>0</v>
      </c>
      <c r="F157" s="11">
        <f>Table223[[#This Row],[حسابهای دریافتنی]]+Table223[[#This Row],[چکهای در جریان وصول]]+Table223[[#This Row],[چکهای نزد صندوق]]</f>
        <v>905000830</v>
      </c>
      <c r="G157" s="12">
        <f>IFERROR(INDEX('مانده سوفاله'!F:F,MATCH(Table223[[#This Row],[كد تفصيلي]],'مانده سوفاله'!A:A,0)),0)</f>
        <v>-2186</v>
      </c>
    </row>
    <row r="158" spans="1:7" customFormat="1" ht="27" customHeight="1" x14ac:dyDescent="0.35">
      <c r="A158" s="53">
        <v>10079</v>
      </c>
      <c r="B158" s="56" t="s">
        <v>174</v>
      </c>
      <c r="C158" s="10">
        <f>IFERROR(INDEX('حسابهای دریافتنی'!H:H,MATCH(Table223[[#This Row],[كد تفصيلي]],'حسابهای دریافتنی'!A:A,0)),0)</f>
        <v>-226593500</v>
      </c>
      <c r="D158" s="11">
        <f>IFERROR(INDEX('درجریان وصول'!F:F,MATCH(Table223[[#This Row],[كد تفصيلي]],'درجریان وصول'!A:A,0)),0)</f>
        <v>0</v>
      </c>
      <c r="E158" s="11">
        <f>IFERROR(INDEX('چکهای دریافتنی'!F:F,MATCH(Table223[[#This Row],[كد تفصيلي]],'چکهای دریافتنی'!A:A,0)),0)</f>
        <v>0</v>
      </c>
      <c r="F158" s="11">
        <f>Table223[[#This Row],[حسابهای دریافتنی]]+Table223[[#This Row],[چکهای در جریان وصول]]+Table223[[#This Row],[چکهای نزد صندوق]]</f>
        <v>-226593500</v>
      </c>
      <c r="G158" s="12">
        <f>IFERROR(INDEX('مانده سوفاله'!F:F,MATCH(Table223[[#This Row],[كد تفصيلي]],'مانده سوفاله'!A:A,0)),0)</f>
        <v>0</v>
      </c>
    </row>
    <row r="159" spans="1:7" customFormat="1" ht="27" customHeight="1" x14ac:dyDescent="0.35">
      <c r="A159" s="54">
        <v>30155</v>
      </c>
      <c r="B159" s="55" t="s">
        <v>289</v>
      </c>
      <c r="C159" s="10">
        <f>IFERROR(INDEX('حسابهای دریافتنی'!H:H,MATCH(Table223[[#This Row],[كد تفصيلي]],'حسابهای دریافتنی'!A:A,0)),0)</f>
        <v>-454985417</v>
      </c>
      <c r="D159" s="11">
        <f>IFERROR(INDEX('درجریان وصول'!F:F,MATCH(Table223[[#This Row],[كد تفصيلي]],'درجریان وصول'!A:A,0)),0)</f>
        <v>0</v>
      </c>
      <c r="E159" s="11">
        <f>IFERROR(INDEX('چکهای دریافتنی'!F:F,MATCH(Table223[[#This Row],[كد تفصيلي]],'چکهای دریافتنی'!A:A,0)),0)</f>
        <v>1379936267</v>
      </c>
      <c r="F159" s="11">
        <f>Table223[[#This Row],[حسابهای دریافتنی]]+Table223[[#This Row],[چکهای در جریان وصول]]+Table223[[#This Row],[چکهای نزد صندوق]]</f>
        <v>924950850</v>
      </c>
      <c r="G159" s="12">
        <f>IFERROR(INDEX('مانده سوفاله'!F:F,MATCH(Table223[[#This Row],[كد تفصيلي]],'مانده سوفاله'!A:A,0)),0)</f>
        <v>0</v>
      </c>
    </row>
    <row r="160" spans="1:7" customFormat="1" ht="27" customHeight="1" x14ac:dyDescent="0.35">
      <c r="A160" s="53">
        <v>30164</v>
      </c>
      <c r="B160" s="56" t="s">
        <v>304</v>
      </c>
      <c r="C160" s="10">
        <f>IFERROR(INDEX('حسابهای دریافتنی'!H:H,MATCH(Table223[[#This Row],[كد تفصيلي]],'حسابهای دریافتنی'!A:A,0)),0)</f>
        <v>184944000</v>
      </c>
      <c r="D160" s="11">
        <f>IFERROR(INDEX('درجریان وصول'!F:F,MATCH(Table223[[#This Row],[كد تفصيلي]],'درجریان وصول'!A:A,0)),0)</f>
        <v>0</v>
      </c>
      <c r="E160" s="11">
        <f>IFERROR(INDEX('چکهای دریافتنی'!F:F,MATCH(Table223[[#This Row],[كد تفصيلي]],'چکهای دریافتنی'!A:A,0)),0)</f>
        <v>0</v>
      </c>
      <c r="F160" s="11">
        <f>Table223[[#This Row],[حسابهای دریافتنی]]+Table223[[#This Row],[چکهای در جریان وصول]]+Table223[[#This Row],[چکهای نزد صندوق]]</f>
        <v>184944000</v>
      </c>
      <c r="G160" s="12">
        <f>IFERROR(INDEX('مانده سوفاله'!F:F,MATCH(Table223[[#This Row],[كد تفصيلي]],'مانده سوفاله'!A:A,0)),0)</f>
        <v>561</v>
      </c>
    </row>
    <row r="161" spans="1:7" ht="27" customHeight="1" x14ac:dyDescent="0.35">
      <c r="A161" s="27">
        <v>50008</v>
      </c>
      <c r="B161" s="55" t="s">
        <v>146</v>
      </c>
      <c r="C161" s="10">
        <f>IFERROR(INDEX('حسابهای دریافتنی'!H:H,MATCH(Table223[[#This Row],[كد تفصيلي]],'حسابهای دریافتنی'!A:A,0)),0)</f>
        <v>-406230000</v>
      </c>
      <c r="D161" s="11">
        <f>IFERROR(INDEX('درجریان وصول'!F:F,MATCH(Table223[[#This Row],[كد تفصيلي]],'درجریان وصول'!A:A,0)),0)</f>
        <v>0</v>
      </c>
      <c r="E161" s="11">
        <f>IFERROR(INDEX('چکهای دریافتنی'!F:F,MATCH(Table223[[#This Row],[كد تفصيلي]],'چکهای دریافتنی'!A:A,0)),0)</f>
        <v>0</v>
      </c>
      <c r="F161" s="11">
        <f>Table223[[#This Row],[حسابهای دریافتنی]]+Table223[[#This Row],[چکهای در جریان وصول]]+Table223[[#This Row],[چکهای نزد صندوق]]</f>
        <v>-406230000</v>
      </c>
      <c r="G161" s="12">
        <f>IFERROR(INDEX('مانده سوفاله'!F:F,MATCH(Table223[[#This Row],[كد تفصيلي]],'مانده سوفاله'!A:A,0)),0)</f>
        <v>0</v>
      </c>
    </row>
    <row r="162" spans="1:7" ht="27" customHeight="1" x14ac:dyDescent="0.35">
      <c r="A162" s="26">
        <v>30182</v>
      </c>
      <c r="B162" s="56" t="s">
        <v>342</v>
      </c>
      <c r="C162" s="10">
        <f>IFERROR(INDEX('حسابهای دریافتنی'!H:H,MATCH(Table223[[#This Row],[كد تفصيلي]],'حسابهای دریافتنی'!A:A,0)),0)</f>
        <v>-528256400</v>
      </c>
      <c r="D162" s="11">
        <f>IFERROR(INDEX('درجریان وصول'!F:F,MATCH(Table223[[#This Row],[كد تفصيلي]],'درجریان وصول'!A:A,0)),0)</f>
        <v>0</v>
      </c>
      <c r="E162" s="11">
        <f>IFERROR(INDEX('چکهای دریافتنی'!F:F,MATCH(Table223[[#This Row],[كد تفصيلي]],'چکهای دریافتنی'!A:A,0)),0)</f>
        <v>0</v>
      </c>
      <c r="F162" s="11">
        <f>Table223[[#This Row],[حسابهای دریافتنی]]+Table223[[#This Row],[چکهای در جریان وصول]]+Table223[[#This Row],[چکهای نزد صندوق]]</f>
        <v>-528256400</v>
      </c>
      <c r="G162" s="12">
        <f>IFERROR(INDEX('مانده سوفاله'!F:F,MATCH(Table223[[#This Row],[كد تفصيلي]],'مانده سوفاله'!A:A,0)),0)</f>
        <v>0</v>
      </c>
    </row>
    <row r="163" spans="1:7" ht="27" customHeight="1" x14ac:dyDescent="0.35">
      <c r="A163" s="27">
        <v>10056</v>
      </c>
      <c r="B163" s="55" t="s">
        <v>166</v>
      </c>
      <c r="C163" s="10">
        <f>IFERROR(INDEX('حسابهای دریافتنی'!H:H,MATCH(Table223[[#This Row],[كد تفصيلي]],'حسابهای دریافتنی'!A:A,0)),0)</f>
        <v>812653500</v>
      </c>
      <c r="D163" s="11">
        <f>IFERROR(INDEX('درجریان وصول'!F:F,MATCH(Table223[[#This Row],[كد تفصيلي]],'درجریان وصول'!A:A,0)),0)</f>
        <v>0</v>
      </c>
      <c r="E163" s="11">
        <f>IFERROR(INDEX('چکهای دریافتنی'!F:F,MATCH(Table223[[#This Row],[كد تفصيلي]],'چکهای دریافتنی'!A:A,0)),0)</f>
        <v>0</v>
      </c>
      <c r="F163" s="11">
        <f>Table223[[#This Row],[حسابهای دریافتنی]]+Table223[[#This Row],[چکهای در جریان وصول]]+Table223[[#This Row],[چکهای نزد صندوق]]</f>
        <v>812653500</v>
      </c>
      <c r="G163" s="12">
        <f>IFERROR(INDEX('مانده سوفاله'!F:F,MATCH(Table223[[#This Row],[كد تفصيلي]],'مانده سوفاله'!A:A,0)),0)</f>
        <v>0</v>
      </c>
    </row>
    <row r="164" spans="1:7" ht="27" customHeight="1" x14ac:dyDescent="0.35">
      <c r="A164" s="27">
        <v>30040</v>
      </c>
      <c r="B164" s="55" t="s">
        <v>87</v>
      </c>
      <c r="C164" s="10">
        <f>IFERROR(INDEX('حسابهای دریافتنی'!H:H,MATCH(Table223[[#This Row],[كد تفصيلي]],'حسابهای دریافتنی'!A:A,0)),0)</f>
        <v>0</v>
      </c>
      <c r="D164" s="11">
        <f>IFERROR(INDEX('درجریان وصول'!F:F,MATCH(Table223[[#This Row],[كد تفصيلي]],'درجریان وصول'!A:A,0)),0)</f>
        <v>0</v>
      </c>
      <c r="E164" s="11">
        <f>IFERROR(INDEX('چکهای دریافتنی'!F:F,MATCH(Table223[[#This Row],[كد تفصيلي]],'چکهای دریافتنی'!A:A,0)),0)</f>
        <v>0</v>
      </c>
      <c r="F164" s="11">
        <f>Table223[[#This Row],[حسابهای دریافتنی]]+Table223[[#This Row],[چکهای در جریان وصول]]+Table223[[#This Row],[چکهای نزد صندوق]]</f>
        <v>0</v>
      </c>
      <c r="G164" s="12">
        <f>IFERROR(INDEX('مانده سوفاله'!F:F,MATCH(Table223[[#This Row],[كد تفصيلي]],'مانده سوفاله'!A:A,0)),0)</f>
        <v>0</v>
      </c>
    </row>
    <row r="165" spans="1:7" ht="27" customHeight="1" x14ac:dyDescent="0.35">
      <c r="A165" s="26">
        <v>79120</v>
      </c>
      <c r="B165" s="56" t="s">
        <v>195</v>
      </c>
      <c r="C165" s="10">
        <f>IFERROR(INDEX('حسابهای دریافتنی'!H:H,MATCH(Table223[[#This Row],[كد تفصيلي]],'حسابهای دریافتنی'!A:A,0)),0)</f>
        <v>-15776160000</v>
      </c>
      <c r="D165" s="11">
        <f>IFERROR(INDEX('درجریان وصول'!F:F,MATCH(Table223[[#This Row],[كد تفصيلي]],'درجریان وصول'!A:A,0)),0)</f>
        <v>0</v>
      </c>
      <c r="E165" s="11">
        <f>IFERROR(INDEX('چکهای دریافتنی'!F:F,MATCH(Table223[[#This Row],[كد تفصيلي]],'چکهای دریافتنی'!A:A,0)),0)</f>
        <v>0</v>
      </c>
      <c r="F165" s="11">
        <f>Table223[[#This Row],[حسابهای دریافتنی]]+Table223[[#This Row],[چکهای در جریان وصول]]+Table223[[#This Row],[چکهای نزد صندوق]]</f>
        <v>-15776160000</v>
      </c>
      <c r="G165" s="12">
        <f>IFERROR(INDEX('مانده سوفاله'!F:F,MATCH(Table223[[#This Row],[كد تفصيلي]],'مانده سوفاله'!A:A,0)),0)</f>
        <v>0</v>
      </c>
    </row>
    <row r="166" spans="1:7" ht="27" customHeight="1" x14ac:dyDescent="0.35">
      <c r="A166" s="27">
        <v>30006</v>
      </c>
      <c r="B166" s="55" t="s">
        <v>56</v>
      </c>
      <c r="C166" s="10">
        <f>IFERROR(INDEX('حسابهای دریافتنی'!H:H,MATCH(Table223[[#This Row],[كد تفصيلي]],'حسابهای دریافتنی'!A:A,0)),0)</f>
        <v>-162677545</v>
      </c>
      <c r="D166" s="11">
        <f>IFERROR(INDEX('درجریان وصول'!F:F,MATCH(Table223[[#This Row],[كد تفصيلي]],'درجریان وصول'!A:A,0)),0)</f>
        <v>0</v>
      </c>
      <c r="E166" s="11">
        <f>IFERROR(INDEX('چکهای دریافتنی'!F:F,MATCH(Table223[[#This Row],[كد تفصيلي]],'چکهای دریافتنی'!A:A,0)),0)</f>
        <v>0</v>
      </c>
      <c r="F166" s="11">
        <f>Table223[[#This Row],[حسابهای دریافتنی]]+Table223[[#This Row],[چکهای در جریان وصول]]+Table223[[#This Row],[چکهای نزد صندوق]]</f>
        <v>-162677545</v>
      </c>
      <c r="G166" s="12">
        <f>IFERROR(INDEX('مانده سوفاله'!F:F,MATCH(Table223[[#This Row],[كد تفصيلي]],'مانده سوفاله'!A:A,0)),0)</f>
        <v>-6</v>
      </c>
    </row>
    <row r="167" spans="1:7" ht="27" customHeight="1" x14ac:dyDescent="0.35">
      <c r="A167" s="27">
        <v>10092</v>
      </c>
      <c r="B167" s="55" t="s">
        <v>260</v>
      </c>
      <c r="C167" s="10">
        <f>IFERROR(INDEX('حسابهای دریافتنی'!H:H,MATCH(Table223[[#This Row],[كد تفصيلي]],'حسابهای دریافتنی'!A:A,0)),0)</f>
        <v>-1749946500</v>
      </c>
      <c r="D167" s="11">
        <f>IFERROR(INDEX('درجریان وصول'!F:F,MATCH(Table223[[#This Row],[كد تفصيلي]],'درجریان وصول'!A:A,0)),0)</f>
        <v>0</v>
      </c>
      <c r="E167" s="11">
        <f>IFERROR(INDEX('چکهای دریافتنی'!F:F,MATCH(Table223[[#This Row],[كد تفصيلي]],'چکهای دریافتنی'!A:A,0)),0)</f>
        <v>300000000</v>
      </c>
      <c r="F167" s="11">
        <f>Table223[[#This Row],[حسابهای دریافتنی]]+Table223[[#This Row],[چکهای در جریان وصول]]+Table223[[#This Row],[چکهای نزد صندوق]]</f>
        <v>-1449946500</v>
      </c>
      <c r="G167" s="12">
        <f>IFERROR(INDEX('مانده سوفاله'!F:F,MATCH(Table223[[#This Row],[كد تفصيلي]],'مانده سوفاله'!A:A,0)),0)</f>
        <v>0</v>
      </c>
    </row>
    <row r="168" spans="1:7" ht="27" customHeight="1" x14ac:dyDescent="0.35">
      <c r="A168" s="27">
        <v>30200</v>
      </c>
      <c r="B168" s="55" t="s">
        <v>513</v>
      </c>
      <c r="C168" s="10">
        <f>IFERROR(INDEX('حسابهای دریافتنی'!H:H,MATCH(Table223[[#This Row],[كد تفصيلي]],'حسابهای دریافتنی'!A:A,0)),0)</f>
        <v>-10000</v>
      </c>
      <c r="D168" s="11">
        <f>IFERROR(INDEX('درجریان وصول'!F:F,MATCH(Table223[[#This Row],[كد تفصيلي]],'درجریان وصول'!A:A,0)),0)</f>
        <v>0</v>
      </c>
      <c r="E168" s="11">
        <f>IFERROR(INDEX('چکهای دریافتنی'!F:F,MATCH(Table223[[#This Row],[كد تفصيلي]],'چکهای دریافتنی'!A:A,0)),0)</f>
        <v>0</v>
      </c>
      <c r="F168" s="11">
        <f>Table223[[#This Row],[حسابهای دریافتنی]]+Table223[[#This Row],[چکهای در جریان وصول]]+Table223[[#This Row],[چکهای نزد صندوق]]</f>
        <v>-10000</v>
      </c>
      <c r="G168" s="12">
        <f>IFERROR(INDEX('مانده سوفاله'!F:F,MATCH(Table223[[#This Row],[كد تفصيلي]],'مانده سوفاله'!A:A,0)),0)</f>
        <v>0</v>
      </c>
    </row>
    <row r="169" spans="1:7" ht="27" customHeight="1" x14ac:dyDescent="0.35">
      <c r="A169" s="26">
        <v>10009</v>
      </c>
      <c r="B169" s="56" t="s">
        <v>16</v>
      </c>
      <c r="C169" s="10">
        <f>IFERROR(INDEX('حسابهای دریافتنی'!H:H,MATCH(Table223[[#This Row],[كد تفصيلي]],'حسابهای دریافتنی'!A:A,0)),0)</f>
        <v>-4260580000</v>
      </c>
      <c r="D169" s="11">
        <f>IFERROR(INDEX('درجریان وصول'!F:F,MATCH(Table223[[#This Row],[كد تفصيلي]],'درجریان وصول'!A:A,0)),0)</f>
        <v>0</v>
      </c>
      <c r="E169" s="11">
        <f>IFERROR(INDEX('چکهای دریافتنی'!F:F,MATCH(Table223[[#This Row],[كد تفصيلي]],'چکهای دریافتنی'!A:A,0)),0)</f>
        <v>1600000000</v>
      </c>
      <c r="F169" s="11">
        <f>Table223[[#This Row],[حسابهای دریافتنی]]+Table223[[#This Row],[چکهای در جریان وصول]]+Table223[[#This Row],[چکهای نزد صندوق]]</f>
        <v>-2660580000</v>
      </c>
      <c r="G169" s="12">
        <f>IFERROR(INDEX('مانده سوفاله'!F:F,MATCH(Table223[[#This Row],[كد تفصيلي]],'مانده سوفاله'!A:A,0)),0)</f>
        <v>9952</v>
      </c>
    </row>
    <row r="170" spans="1:7" ht="27" customHeight="1" x14ac:dyDescent="0.35">
      <c r="A170" s="27">
        <v>30131</v>
      </c>
      <c r="B170" s="55" t="s">
        <v>213</v>
      </c>
      <c r="C170" s="10">
        <f>IFERROR(INDEX('حسابهای دریافتنی'!H:H,MATCH(Table223[[#This Row],[كد تفصيلي]],'حسابهای دریافتنی'!A:A,0)),0)</f>
        <v>-6228486500</v>
      </c>
      <c r="D170" s="11">
        <f>IFERROR(INDEX('درجریان وصول'!F:F,MATCH(Table223[[#This Row],[كد تفصيلي]],'درجریان وصول'!A:A,0)),0)</f>
        <v>0</v>
      </c>
      <c r="E170" s="11">
        <f>IFERROR(INDEX('چکهای دریافتنی'!F:F,MATCH(Table223[[#This Row],[كد تفصيلي]],'چکهای دریافتنی'!A:A,0)),0)</f>
        <v>0</v>
      </c>
      <c r="F170" s="11">
        <f>Table223[[#This Row],[حسابهای دریافتنی]]+Table223[[#This Row],[چکهای در جریان وصول]]+Table223[[#This Row],[چکهای نزد صندوق]]</f>
        <v>-6228486500</v>
      </c>
      <c r="G170" s="12">
        <f>IFERROR(INDEX('مانده سوفاله'!F:F,MATCH(Table223[[#This Row],[كد تفصيلي]],'مانده سوفاله'!A:A,0)),0)</f>
        <v>222</v>
      </c>
    </row>
    <row r="171" spans="1:7" ht="27" customHeight="1" x14ac:dyDescent="0.35">
      <c r="A171" s="26">
        <v>30098</v>
      </c>
      <c r="B171" s="56" t="s">
        <v>238</v>
      </c>
      <c r="C171" s="10">
        <f>IFERROR(INDEX('حسابهای دریافتنی'!H:H,MATCH(Table223[[#This Row],[كد تفصيلي]],'حسابهای دریافتنی'!A:A,0)),0)</f>
        <v>-45125000</v>
      </c>
      <c r="D171" s="11">
        <f>IFERROR(INDEX('درجریان وصول'!F:F,MATCH(Table223[[#This Row],[كد تفصيلي]],'درجریان وصول'!A:A,0)),0)</f>
        <v>0</v>
      </c>
      <c r="E171" s="11">
        <f>IFERROR(INDEX('چکهای دریافتنی'!F:F,MATCH(Table223[[#This Row],[كد تفصيلي]],'چکهای دریافتنی'!A:A,0)),0)</f>
        <v>0</v>
      </c>
      <c r="F171" s="11">
        <f>Table223[[#This Row],[حسابهای دریافتنی]]+Table223[[#This Row],[چکهای در جریان وصول]]+Table223[[#This Row],[چکهای نزد صندوق]]</f>
        <v>-45125000</v>
      </c>
      <c r="G171" s="12">
        <f>IFERROR(INDEX('مانده سوفاله'!F:F,MATCH(Table223[[#This Row],[كد تفصيلي]],'مانده سوفاله'!A:A,0)),0)</f>
        <v>0</v>
      </c>
    </row>
    <row r="172" spans="1:7" ht="27" customHeight="1" x14ac:dyDescent="0.35">
      <c r="A172" s="26">
        <v>30146</v>
      </c>
      <c r="B172" s="56" t="s">
        <v>266</v>
      </c>
      <c r="C172" s="10">
        <f>IFERROR(INDEX('حسابهای دریافتنی'!H:H,MATCH(Table223[[#This Row],[كد تفصيلي]],'حسابهای دریافتنی'!A:A,0)),0)</f>
        <v>-4146512500</v>
      </c>
      <c r="D172" s="11">
        <f>IFERROR(INDEX('درجریان وصول'!F:F,MATCH(Table223[[#This Row],[كد تفصيلي]],'درجریان وصول'!A:A,0)),0)</f>
        <v>0</v>
      </c>
      <c r="E172" s="11">
        <f>IFERROR(INDEX('چکهای دریافتنی'!F:F,MATCH(Table223[[#This Row],[كد تفصيلي]],'چکهای دریافتنی'!A:A,0)),0)</f>
        <v>0</v>
      </c>
      <c r="F172" s="11">
        <f>Table223[[#This Row],[حسابهای دریافتنی]]+Table223[[#This Row],[چکهای در جریان وصول]]+Table223[[#This Row],[چکهای نزد صندوق]]</f>
        <v>-4146512500</v>
      </c>
      <c r="G172" s="12">
        <f>IFERROR(INDEX('مانده سوفاله'!F:F,MATCH(Table223[[#This Row],[كد تفصيلي]],'مانده سوفاله'!A:A,0)),0)</f>
        <v>2823</v>
      </c>
    </row>
    <row r="173" spans="1:7" ht="27" customHeight="1" x14ac:dyDescent="0.35">
      <c r="A173" s="27">
        <v>30161</v>
      </c>
      <c r="B173" s="55" t="s">
        <v>299</v>
      </c>
      <c r="C173" s="10">
        <f>IFERROR(INDEX('حسابهای دریافتنی'!H:H,MATCH(Table223[[#This Row],[كد تفصيلي]],'حسابهای دریافتنی'!A:A,0)),0)</f>
        <v>0</v>
      </c>
      <c r="D173" s="11">
        <f>IFERROR(INDEX('درجریان وصول'!F:F,MATCH(Table223[[#This Row],[كد تفصيلي]],'درجریان وصول'!A:A,0)),0)</f>
        <v>0</v>
      </c>
      <c r="E173" s="11">
        <f>IFERROR(INDEX('چکهای دریافتنی'!F:F,MATCH(Table223[[#This Row],[كد تفصيلي]],'چکهای دریافتنی'!A:A,0)),0)</f>
        <v>0</v>
      </c>
      <c r="F173" s="11">
        <f>Table223[[#This Row],[حسابهای دریافتنی]]+Table223[[#This Row],[چکهای در جریان وصول]]+Table223[[#This Row],[چکهای نزد صندوق]]</f>
        <v>0</v>
      </c>
      <c r="G173" s="12">
        <f>IFERROR(INDEX('مانده سوفاله'!F:F,MATCH(Table223[[#This Row],[كد تفصيلي]],'مانده سوفاله'!A:A,0)),0)</f>
        <v>0</v>
      </c>
    </row>
    <row r="174" spans="1:7" ht="27" customHeight="1" x14ac:dyDescent="0.35">
      <c r="A174" s="27">
        <v>79043</v>
      </c>
      <c r="B174" s="55" t="s">
        <v>156</v>
      </c>
      <c r="C174" s="10">
        <f>IFERROR(INDEX('حسابهای دریافتنی'!H:H,MATCH(Table223[[#This Row],[كد تفصيلي]],'حسابهای دریافتنی'!A:A,0)),0)</f>
        <v>-16110730000</v>
      </c>
      <c r="D174" s="11">
        <f>IFERROR(INDEX('درجریان وصول'!F:F,MATCH(Table223[[#This Row],[كد تفصيلي]],'درجریان وصول'!A:A,0)),0)</f>
        <v>0</v>
      </c>
      <c r="E174" s="11">
        <f>IFERROR(INDEX('چکهای دریافتنی'!F:F,MATCH(Table223[[#This Row],[كد تفصيلي]],'چکهای دریافتنی'!A:A,0)),0)</f>
        <v>0</v>
      </c>
      <c r="F174" s="11">
        <f>Table223[[#This Row],[حسابهای دریافتنی]]+Table223[[#This Row],[چکهای در جریان وصول]]+Table223[[#This Row],[چکهای نزد صندوق]]</f>
        <v>-16110730000</v>
      </c>
      <c r="G174" s="12">
        <f>IFERROR(INDEX('مانده سوفاله'!F:F,MATCH(Table223[[#This Row],[كد تفصيلي]],'مانده سوفاله'!A:A,0)),0)</f>
        <v>0</v>
      </c>
    </row>
    <row r="175" spans="1:7" ht="27" customHeight="1" x14ac:dyDescent="0.35">
      <c r="A175" s="63"/>
      <c r="B175" s="64"/>
      <c r="C175" s="38">
        <f>SUBTOTAL(109,Table223[حسابهای دریافتنی])</f>
        <v>56992726379</v>
      </c>
      <c r="D175" s="38">
        <f>SUBTOTAL(109,Table223[چکهای در جریان وصول])</f>
        <v>0</v>
      </c>
      <c r="E175" s="38">
        <f>SUBTOTAL(109,Table223[چکهای نزد صندوق])</f>
        <v>62080128942</v>
      </c>
      <c r="F175" s="38"/>
      <c r="G175" s="39">
        <f>SUBTOTAL(109,Table223[مانده سوفاله])</f>
        <v>-134088.5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73"/>
  <sheetViews>
    <sheetView rightToLeft="1" topLeftCell="A145" workbookViewId="0">
      <selection activeCell="A46" sqref="A46:XFD46"/>
    </sheetView>
  </sheetViews>
  <sheetFormatPr defaultColWidth="9.08984375" defaultRowHeight="26.25" customHeight="1" x14ac:dyDescent="0.35"/>
  <cols>
    <col min="1" max="1" width="12.90625" style="5" customWidth="1"/>
    <col min="2" max="2" width="30.453125" style="5" customWidth="1"/>
    <col min="3" max="3" width="20.26953125" style="3" customWidth="1"/>
    <col min="4" max="4" width="18.08984375" style="3" customWidth="1"/>
    <col min="5" max="5" width="21.363281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9" customHeight="1" thickBot="1" x14ac:dyDescent="0.4">
      <c r="A1" s="97" t="s">
        <v>514</v>
      </c>
      <c r="B1" s="98"/>
      <c r="C1" s="98"/>
      <c r="D1" s="98"/>
      <c r="E1" s="98"/>
      <c r="F1" s="98"/>
      <c r="G1" s="99"/>
    </row>
    <row r="2" spans="1:7" s="2" customFormat="1" ht="55.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6.25" customHeight="1" x14ac:dyDescent="0.35">
      <c r="A3" s="74">
        <v>30127</v>
      </c>
      <c r="B3" s="73" t="s">
        <v>163</v>
      </c>
      <c r="C3" s="10">
        <f>IFERROR(INDEX('حسابهای دریافتنی'!H:H,MATCH(Table224[[#This Row],[كد تفصيلي]],'حسابهای دریافتنی'!A:A,0)),0)</f>
        <v>31800110000</v>
      </c>
      <c r="D3" s="11">
        <f>IFERROR(INDEX('درجریان وصول'!F:F,MATCH(Table224[[#This Row],[كد تفصيلي]],'درجریان وصول'!A:A,0)),0)</f>
        <v>0</v>
      </c>
      <c r="E3" s="11">
        <f>IFERROR(INDEX('چکهای دریافتنی'!F:F,MATCH(Table224[[#This Row],[كد تفصيلي]],'چکهای دریافتنی'!A:A,0)),0)</f>
        <v>0</v>
      </c>
      <c r="F3" s="11">
        <f>Table224[[#This Row],[حسابهای دریافتنی]]+Table224[[#This Row],[چکهای در جریان وصول]]+Table224[[#This Row],[چکهای نزد صندوق]]</f>
        <v>31800110000</v>
      </c>
      <c r="G3" s="12">
        <f>IFERROR(INDEX('مانده سوفاله'!F:F,MATCH(Table224[[#This Row],[كد تفصيلي]],'مانده سوفاله'!A:A,0)),0)</f>
        <v>-18472</v>
      </c>
    </row>
    <row r="4" spans="1:7" ht="26.25" customHeight="1" x14ac:dyDescent="0.35">
      <c r="A4" s="75">
        <v>10003</v>
      </c>
      <c r="B4" s="72" t="s">
        <v>10</v>
      </c>
      <c r="C4" s="10">
        <f>IFERROR(INDEX('حسابهای دریافتنی'!H:H,MATCH(Table224[[#This Row],[كد تفصيلي]],'حسابهای دریافتنی'!A:A,0)),0)</f>
        <v>10804267992</v>
      </c>
      <c r="D4" s="11">
        <f>IFERROR(INDEX('درجریان وصول'!F:F,MATCH(Table224[[#This Row],[كد تفصيلي]],'درجریان وصول'!A:A,0)),0)</f>
        <v>0</v>
      </c>
      <c r="E4" s="11">
        <f>IFERROR(INDEX('چکهای دریافتنی'!F:F,MATCH(Table224[[#This Row],[كد تفصيلي]],'چکهای دریافتنی'!A:A,0)),0)</f>
        <v>13698001280</v>
      </c>
      <c r="F4" s="11">
        <f>Table224[[#This Row],[حسابهای دریافتنی]]+Table224[[#This Row],[چکهای در جریان وصول]]+Table224[[#This Row],[چکهای نزد صندوق]]</f>
        <v>24502269272</v>
      </c>
      <c r="G4" s="12">
        <f>IFERROR(INDEX('مانده سوفاله'!F:F,MATCH(Table224[[#This Row],[كد تفصيلي]],'مانده سوفاله'!A:A,0)),0)</f>
        <v>-39886</v>
      </c>
    </row>
    <row r="5" spans="1:7" ht="26.25" customHeight="1" x14ac:dyDescent="0.35">
      <c r="A5" s="75">
        <v>10055</v>
      </c>
      <c r="B5" s="72" t="s">
        <v>162</v>
      </c>
      <c r="C5" s="10">
        <f>IFERROR(INDEX('حسابهای دریافتنی'!H:H,MATCH(Table224[[#This Row],[كد تفصيلي]],'حسابهای دریافتنی'!A:A,0)),0)</f>
        <v>10460111325</v>
      </c>
      <c r="D5" s="11">
        <f>IFERROR(INDEX('درجریان وصول'!F:F,MATCH(Table224[[#This Row],[كد تفصيلي]],'درجریان وصول'!A:A,0)),0)</f>
        <v>0</v>
      </c>
      <c r="E5" s="11">
        <f>IFERROR(INDEX('چکهای دریافتنی'!F:F,MATCH(Table224[[#This Row],[كد تفصيلي]],'چکهای دریافتنی'!A:A,0)),0)</f>
        <v>2783298655</v>
      </c>
      <c r="F5" s="11">
        <f>Table224[[#This Row],[حسابهای دریافتنی]]+Table224[[#This Row],[چکهای در جریان وصول]]+Table224[[#This Row],[چکهای نزد صندوق]]</f>
        <v>13243409980</v>
      </c>
      <c r="G5" s="12">
        <f>IFERROR(INDEX('مانده سوفاله'!F:F,MATCH(Table224[[#This Row],[كد تفصيلي]],'مانده سوفاله'!A:A,0)),0)</f>
        <v>-12714</v>
      </c>
    </row>
    <row r="6" spans="1:7" ht="26.25" customHeight="1" x14ac:dyDescent="0.35">
      <c r="A6" s="75">
        <v>30009</v>
      </c>
      <c r="B6" s="72" t="s">
        <v>164</v>
      </c>
      <c r="C6" s="10">
        <f>IFERROR(INDEX('حسابهای دریافتنی'!H:H,MATCH(Table224[[#This Row],[كد تفصيلي]],'حسابهای دریافتنی'!A:A,0)),0)</f>
        <v>7853844277</v>
      </c>
      <c r="D6" s="11">
        <f>IFERROR(INDEX('درجریان وصول'!F:F,MATCH(Table224[[#This Row],[كد تفصيلي]],'درجریان وصول'!A:A,0)),0)</f>
        <v>0</v>
      </c>
      <c r="E6" s="11">
        <f>IFERROR(INDEX('چکهای دریافتنی'!F:F,MATCH(Table224[[#This Row],[كد تفصيلي]],'چکهای دریافتنی'!A:A,0)),0)</f>
        <v>6474835380</v>
      </c>
      <c r="F6" s="11">
        <f>Table224[[#This Row],[حسابهای دریافتنی]]+Table224[[#This Row],[چکهای در جریان وصول]]+Table224[[#This Row],[چکهای نزد صندوق]]</f>
        <v>14328679657</v>
      </c>
      <c r="G6" s="12">
        <f>IFERROR(INDEX('مانده سوفاله'!F:F,MATCH(Table224[[#This Row],[كد تفصيلي]],'مانده سوفاله'!A:A,0)),0)</f>
        <v>-11452</v>
      </c>
    </row>
    <row r="7" spans="1:7" ht="26.25" customHeight="1" x14ac:dyDescent="0.35">
      <c r="A7" s="74">
        <v>30004</v>
      </c>
      <c r="B7" s="73" t="s">
        <v>54</v>
      </c>
      <c r="C7" s="10">
        <f>IFERROR(INDEX('حسابهای دریافتنی'!H:H,MATCH(Table224[[#This Row],[كد تفصيلي]],'حسابهای دریافتنی'!A:A,0)),0)</f>
        <v>7598548260</v>
      </c>
      <c r="D7" s="11">
        <f>IFERROR(INDEX('درجریان وصول'!F:F,MATCH(Table224[[#This Row],[كد تفصيلي]],'درجریان وصول'!A:A,0)),0)</f>
        <v>0</v>
      </c>
      <c r="E7" s="11">
        <f>IFERROR(INDEX('چکهای دریافتنی'!F:F,MATCH(Table224[[#This Row],[كد تفصيلي]],'چکهای دریافتنی'!A:A,0)),0)</f>
        <v>11698760000</v>
      </c>
      <c r="F7" s="11">
        <f>Table224[[#This Row],[حسابهای دریافتنی]]+Table224[[#This Row],[چکهای در جریان وصول]]+Table224[[#This Row],[چکهای نزد صندوق]]</f>
        <v>19297308260</v>
      </c>
      <c r="G7" s="12">
        <f>IFERROR(INDEX('مانده سوفاله'!F:F,MATCH(Table224[[#This Row],[كد تفصيلي]],'مانده سوفاله'!A:A,0)),0)</f>
        <v>-4237</v>
      </c>
    </row>
    <row r="8" spans="1:7" ht="26.25" customHeight="1" x14ac:dyDescent="0.35">
      <c r="A8" s="74">
        <v>10026</v>
      </c>
      <c r="B8" s="73" t="s">
        <v>32</v>
      </c>
      <c r="C8" s="10">
        <f>IFERROR(INDEX('حسابهای دریافتنی'!H:H,MATCH(Table224[[#This Row],[كد تفصيلي]],'حسابهای دریافتنی'!A:A,0)),0)</f>
        <v>3795031844</v>
      </c>
      <c r="D8" s="11">
        <f>IFERROR(INDEX('درجریان وصول'!F:F,MATCH(Table224[[#This Row],[كد تفصيلي]],'درجریان وصول'!A:A,0)),0)</f>
        <v>0</v>
      </c>
      <c r="E8" s="11">
        <f>IFERROR(INDEX('چکهای دریافتنی'!F:F,MATCH(Table224[[#This Row],[كد تفصيلي]],'چکهای دریافتنی'!A:A,0)),0)</f>
        <v>2690000000</v>
      </c>
      <c r="F8" s="11">
        <f>Table224[[#This Row],[حسابهای دریافتنی]]+Table224[[#This Row],[چکهای در جریان وصول]]+Table224[[#This Row],[چکهای نزد صندوق]]</f>
        <v>6485031844</v>
      </c>
      <c r="G8" s="12">
        <f>IFERROR(INDEX('مانده سوفاله'!F:F,MATCH(Table224[[#This Row],[كد تفصيلي]],'مانده سوفاله'!A:A,0)),0)</f>
        <v>-12543</v>
      </c>
    </row>
    <row r="9" spans="1:7" ht="26.25" customHeight="1" x14ac:dyDescent="0.35">
      <c r="A9" s="75">
        <v>30066</v>
      </c>
      <c r="B9" s="72" t="s">
        <v>111</v>
      </c>
      <c r="C9" s="10">
        <f>IFERROR(INDEX('حسابهای دریافتنی'!H:H,MATCH(Table224[[#This Row],[كد تفصيلي]],'حسابهای دریافتنی'!A:A,0)),0)</f>
        <v>6484147500</v>
      </c>
      <c r="D9" s="11">
        <f>IFERROR(INDEX('درجریان وصول'!F:F,MATCH(Table224[[#This Row],[كد تفصيلي]],'درجریان وصول'!A:A,0)),0)</f>
        <v>0</v>
      </c>
      <c r="E9" s="11">
        <f>IFERROR(INDEX('چکهای دریافتنی'!F:F,MATCH(Table224[[#This Row],[كد تفصيلي]],'چکهای دریافتنی'!A:A,0)),0)</f>
        <v>0</v>
      </c>
      <c r="F9" s="11">
        <f>Table224[[#This Row],[حسابهای دریافتنی]]+Table224[[#This Row],[چکهای در جریان وصول]]+Table224[[#This Row],[چکهای نزد صندوق]]</f>
        <v>6484147500</v>
      </c>
      <c r="G9" s="12">
        <f>IFERROR(INDEX('مانده سوفاله'!F:F,MATCH(Table224[[#This Row],[كد تفصيلي]],'مانده سوفاله'!A:A,0)),0)</f>
        <v>-1320</v>
      </c>
    </row>
    <row r="10" spans="1:7" ht="26.25" customHeight="1" x14ac:dyDescent="0.35">
      <c r="A10" s="74">
        <v>50016</v>
      </c>
      <c r="B10" s="73" t="s">
        <v>160</v>
      </c>
      <c r="C10" s="10">
        <f>IFERROR(INDEX('حسابهای دریافتنی'!H:H,MATCH(Table224[[#This Row],[كد تفصيلي]],'حسابهای دریافتنی'!A:A,0)),0)</f>
        <v>6344545550</v>
      </c>
      <c r="D10" s="11">
        <f>IFERROR(INDEX('درجریان وصول'!F:F,MATCH(Table224[[#This Row],[كد تفصيلي]],'درجریان وصول'!A:A,0)),0)</f>
        <v>0</v>
      </c>
      <c r="E10" s="11">
        <f>IFERROR(INDEX('چکهای دریافتنی'!F:F,MATCH(Table224[[#This Row],[كد تفصيلي]],'چکهای دریافتنی'!A:A,0)),0)</f>
        <v>0</v>
      </c>
      <c r="F10" s="11">
        <f>Table224[[#This Row],[حسابهای دریافتنی]]+Table224[[#This Row],[چکهای در جریان وصول]]+Table224[[#This Row],[چکهای نزد صندوق]]</f>
        <v>6344545550</v>
      </c>
      <c r="G10" s="12">
        <f>IFERROR(INDEX('مانده سوفاله'!F:F,MATCH(Table224[[#This Row],[كد تفصيلي]],'مانده سوفاله'!A:A,0)),0)</f>
        <v>5508</v>
      </c>
    </row>
    <row r="11" spans="1:7" ht="26.25" customHeight="1" x14ac:dyDescent="0.35">
      <c r="A11" s="74">
        <v>30099</v>
      </c>
      <c r="B11" s="73" t="s">
        <v>167</v>
      </c>
      <c r="C11" s="10">
        <f>IFERROR(INDEX('حسابهای دریافتنی'!H:H,MATCH(Table224[[#This Row],[كد تفصيلي]],'حسابهای دریافتنی'!A:A,0)),0)</f>
        <v>1398393484</v>
      </c>
      <c r="D11" s="11">
        <f>IFERROR(INDEX('درجریان وصول'!F:F,MATCH(Table224[[#This Row],[كد تفصيلي]],'درجریان وصول'!A:A,0)),0)</f>
        <v>0</v>
      </c>
      <c r="E11" s="11">
        <f>IFERROR(INDEX('چکهای دریافتنی'!F:F,MATCH(Table224[[#This Row],[كد تفصيلي]],'چکهای دریافتنی'!A:A,0)),0)</f>
        <v>583000000</v>
      </c>
      <c r="F11" s="11">
        <f>Table224[[#This Row],[حسابهای دریافتنی]]+Table224[[#This Row],[چکهای در جریان وصول]]+Table224[[#This Row],[چکهای نزد صندوق]]</f>
        <v>1981393484</v>
      </c>
      <c r="G11" s="12">
        <f>IFERROR(INDEX('مانده سوفاله'!F:F,MATCH(Table224[[#This Row],[كد تفصيلي]],'مانده سوفاله'!A:A,0)),0)</f>
        <v>-332</v>
      </c>
    </row>
    <row r="12" spans="1:7" ht="26.25" customHeight="1" x14ac:dyDescent="0.35">
      <c r="A12" s="74">
        <v>30022</v>
      </c>
      <c r="B12" s="73" t="s">
        <v>70</v>
      </c>
      <c r="C12" s="10">
        <f>IFERROR(INDEX('حسابهای دریافتنی'!H:H,MATCH(Table224[[#This Row],[كد تفصيلي]],'حسابهای دریافتنی'!A:A,0)),0)</f>
        <v>2933770530</v>
      </c>
      <c r="D12" s="11">
        <f>IFERROR(INDEX('درجریان وصول'!F:F,MATCH(Table224[[#This Row],[كد تفصيلي]],'درجریان وصول'!A:A,0)),0)</f>
        <v>0</v>
      </c>
      <c r="E12" s="11">
        <f>IFERROR(INDEX('چکهای دریافتنی'!F:F,MATCH(Table224[[#This Row],[كد تفصيلي]],'چکهای دریافتنی'!A:A,0)),0)</f>
        <v>0</v>
      </c>
      <c r="F12" s="11">
        <f>Table224[[#This Row],[حسابهای دریافتنی]]+Table224[[#This Row],[چکهای در جریان وصول]]+Table224[[#This Row],[چکهای نزد صندوق]]</f>
        <v>2933770530</v>
      </c>
      <c r="G12" s="12">
        <f>IFERROR(INDEX('مانده سوفاله'!F:F,MATCH(Table224[[#This Row],[كد تفصيلي]],'مانده سوفاله'!A:A,0)),0)</f>
        <v>-14747</v>
      </c>
    </row>
    <row r="13" spans="1:7" ht="26.25" customHeight="1" x14ac:dyDescent="0.35">
      <c r="A13" s="75">
        <v>30191</v>
      </c>
      <c r="B13" s="72" t="s">
        <v>460</v>
      </c>
      <c r="C13" s="10">
        <f>IFERROR(INDEX('حسابهای دریافتنی'!H:H,MATCH(Table224[[#This Row],[كد تفصيلي]],'حسابهای دریافتنی'!A:A,0)),0)</f>
        <v>792933000</v>
      </c>
      <c r="D13" s="11">
        <f>IFERROR(INDEX('درجریان وصول'!F:F,MATCH(Table224[[#This Row],[كد تفصيلي]],'درجریان وصول'!A:A,0)),0)</f>
        <v>0</v>
      </c>
      <c r="E13" s="11">
        <f>IFERROR(INDEX('چکهای دریافتنی'!F:F,MATCH(Table224[[#This Row],[كد تفصيلي]],'چکهای دریافتنی'!A:A,0)),0)</f>
        <v>0</v>
      </c>
      <c r="F13" s="11">
        <f>Table224[[#This Row],[حسابهای دریافتنی]]+Table224[[#This Row],[چکهای در جریان وصول]]+Table224[[#This Row],[چکهای نزد صندوق]]</f>
        <v>792933000</v>
      </c>
      <c r="G13" s="12">
        <f>IFERROR(INDEX('مانده سوفاله'!F:F,MATCH(Table224[[#This Row],[كد تفصيلي]],'مانده سوفاله'!A:A,0)),0)</f>
        <v>134</v>
      </c>
    </row>
    <row r="14" spans="1:7" ht="26.25" customHeight="1" x14ac:dyDescent="0.35">
      <c r="A14" s="74">
        <v>30014</v>
      </c>
      <c r="B14" s="73" t="s">
        <v>63</v>
      </c>
      <c r="C14" s="10">
        <f>IFERROR(INDEX('حسابهای دریافتنی'!H:H,MATCH(Table224[[#This Row],[كد تفصيلي]],'حسابهای دریافتنی'!A:A,0)),0)</f>
        <v>1762223932</v>
      </c>
      <c r="D14" s="11">
        <f>IFERROR(INDEX('درجریان وصول'!F:F,MATCH(Table224[[#This Row],[كد تفصيلي]],'درجریان وصول'!A:A,0)),0)</f>
        <v>0</v>
      </c>
      <c r="E14" s="11">
        <f>IFERROR(INDEX('چکهای دریافتنی'!F:F,MATCH(Table224[[#This Row],[كد تفصيلي]],'چکهای دریافتنی'!A:A,0)),0)</f>
        <v>0</v>
      </c>
      <c r="F14" s="11">
        <f>Table224[[#This Row],[حسابهای دریافتنی]]+Table224[[#This Row],[چکهای در جریان وصول]]+Table224[[#This Row],[چکهای نزد صندوق]]</f>
        <v>1762223932</v>
      </c>
      <c r="G14" s="12">
        <f>IFERROR(INDEX('مانده سوفاله'!F:F,MATCH(Table224[[#This Row],[كد تفصيلي]],'مانده سوفاله'!A:A,0)),0)</f>
        <v>-1368</v>
      </c>
    </row>
    <row r="15" spans="1:7" ht="26.25" customHeight="1" x14ac:dyDescent="0.35">
      <c r="A15" s="74">
        <v>30131</v>
      </c>
      <c r="B15" s="73" t="s">
        <v>213</v>
      </c>
      <c r="C15" s="10">
        <f>IFERROR(INDEX('حسابهای دریافتنی'!H:H,MATCH(Table224[[#This Row],[كد تفصيلي]],'حسابهای دریافتنی'!A:A,0)),0)</f>
        <v>-6228486500</v>
      </c>
      <c r="D15" s="11">
        <f>IFERROR(INDEX('درجریان وصول'!F:F,MATCH(Table224[[#This Row],[كد تفصيلي]],'درجریان وصول'!A:A,0)),0)</f>
        <v>0</v>
      </c>
      <c r="E15" s="11">
        <f>IFERROR(INDEX('چکهای دریافتنی'!F:F,MATCH(Table224[[#This Row],[كد تفصيلي]],'چکهای دریافتنی'!A:A,0)),0)</f>
        <v>0</v>
      </c>
      <c r="F15" s="11">
        <f>Table224[[#This Row],[حسابهای دریافتنی]]+Table224[[#This Row],[چکهای در جریان وصول]]+Table224[[#This Row],[چکهای نزد صندوق]]</f>
        <v>-6228486500</v>
      </c>
      <c r="G15" s="12">
        <f>IFERROR(INDEX('مانده سوفاله'!F:F,MATCH(Table224[[#This Row],[كد تفصيلي]],'مانده سوفاله'!A:A,0)),0)</f>
        <v>222</v>
      </c>
    </row>
    <row r="16" spans="1:7" ht="26.25" customHeight="1" x14ac:dyDescent="0.35">
      <c r="A16" s="75">
        <v>10029</v>
      </c>
      <c r="B16" s="72" t="s">
        <v>35</v>
      </c>
      <c r="C16" s="10">
        <f>IFERROR(INDEX('حسابهای دریافتنی'!H:H,MATCH(Table224[[#This Row],[كد تفصيلي]],'حسابهای دریافتنی'!A:A,0)),0)</f>
        <v>-1038298620</v>
      </c>
      <c r="D16" s="11">
        <f>IFERROR(INDEX('درجریان وصول'!F:F,MATCH(Table224[[#This Row],[كد تفصيلي]],'درجریان وصول'!A:A,0)),0)</f>
        <v>0</v>
      </c>
      <c r="E16" s="11">
        <f>IFERROR(INDEX('چکهای دریافتنی'!F:F,MATCH(Table224[[#This Row],[كد تفصيلي]],'چکهای دریافتنی'!A:A,0)),0)</f>
        <v>2019000000</v>
      </c>
      <c r="F16" s="11">
        <f>Table224[[#This Row],[حسابهای دریافتنی]]+Table224[[#This Row],[چکهای در جریان وصول]]+Table224[[#This Row],[چکهای نزد صندوق]]</f>
        <v>980701380</v>
      </c>
      <c r="G16" s="12">
        <f>IFERROR(INDEX('مانده سوفاله'!F:F,MATCH(Table224[[#This Row],[كد تفصيلي]],'مانده سوفاله'!A:A,0)),0)</f>
        <v>6603</v>
      </c>
    </row>
    <row r="17" spans="1:7" ht="26.25" customHeight="1" x14ac:dyDescent="0.35">
      <c r="A17" s="75">
        <v>30058</v>
      </c>
      <c r="B17" s="72" t="s">
        <v>103</v>
      </c>
      <c r="C17" s="10">
        <f>IFERROR(INDEX('حسابهای دریافتنی'!H:H,MATCH(Table224[[#This Row],[كد تفصيلي]],'حسابهای دریافتنی'!A:A,0)),0)</f>
        <v>1700045560</v>
      </c>
      <c r="D17" s="11">
        <f>IFERROR(INDEX('درجریان وصول'!F:F,MATCH(Table224[[#This Row],[كد تفصيلي]],'درجریان وصول'!A:A,0)),0)</f>
        <v>0</v>
      </c>
      <c r="E17" s="11">
        <f>IFERROR(INDEX('چکهای دریافتنی'!F:F,MATCH(Table224[[#This Row],[كد تفصيلي]],'چکهای دریافتنی'!A:A,0)),0)</f>
        <v>0</v>
      </c>
      <c r="F17" s="11">
        <f>Table224[[#This Row],[حسابهای دریافتنی]]+Table224[[#This Row],[چکهای در جریان وصول]]+Table224[[#This Row],[چکهای نزد صندوق]]</f>
        <v>1700045560</v>
      </c>
      <c r="G17" s="12">
        <f>IFERROR(INDEX('مانده سوفاله'!F:F,MATCH(Table224[[#This Row],[كد تفصيلي]],'مانده سوفاله'!A:A,0)),0)</f>
        <v>-225</v>
      </c>
    </row>
    <row r="18" spans="1:7" ht="26.25" customHeight="1" x14ac:dyDescent="0.35">
      <c r="A18" s="74">
        <v>10127</v>
      </c>
      <c r="B18" s="73" t="s">
        <v>371</v>
      </c>
      <c r="C18" s="10">
        <f>IFERROR(INDEX('حسابهای دریافتنی'!H:H,MATCH(Table224[[#This Row],[كد تفصيلي]],'حسابهای دریافتنی'!A:A,0)),0)</f>
        <v>803728000</v>
      </c>
      <c r="D18" s="11">
        <f>IFERROR(INDEX('درجریان وصول'!F:F,MATCH(Table224[[#This Row],[كد تفصيلي]],'درجریان وصول'!A:A,0)),0)</f>
        <v>0</v>
      </c>
      <c r="E18" s="11">
        <f>IFERROR(INDEX('چکهای دریافتنی'!F:F,MATCH(Table224[[#This Row],[كد تفصيلي]],'چکهای دریافتنی'!A:A,0)),0)</f>
        <v>0</v>
      </c>
      <c r="F18" s="11">
        <f>Table224[[#This Row],[حسابهای دریافتنی]]+Table224[[#This Row],[چکهای در جریان وصول]]+Table224[[#This Row],[چکهای نزد صندوق]]</f>
        <v>803728000</v>
      </c>
      <c r="G18" s="12">
        <f>IFERROR(INDEX('مانده سوفاله'!F:F,MATCH(Table224[[#This Row],[كد تفصيلي]],'مانده سوفاله'!A:A,0)),0)</f>
        <v>-1469</v>
      </c>
    </row>
    <row r="19" spans="1:7" ht="26.25" customHeight="1" x14ac:dyDescent="0.35">
      <c r="A19" s="75">
        <v>30186</v>
      </c>
      <c r="B19" s="72" t="s">
        <v>367</v>
      </c>
      <c r="C19" s="10">
        <f>IFERROR(INDEX('حسابهای دریافتنی'!H:H,MATCH(Table224[[#This Row],[كد تفصيلي]],'حسابهای دریافتنی'!A:A,0)),0)</f>
        <v>986425000</v>
      </c>
      <c r="D19" s="11">
        <f>IFERROR(INDEX('درجریان وصول'!F:F,MATCH(Table224[[#This Row],[كد تفصيلي]],'درجریان وصول'!A:A,0)),0)</f>
        <v>0</v>
      </c>
      <c r="E19" s="11">
        <f>IFERROR(INDEX('چکهای دریافتنی'!F:F,MATCH(Table224[[#This Row],[كد تفصيلي]],'چکهای دریافتنی'!A:A,0)),0)</f>
        <v>5982430000</v>
      </c>
      <c r="F19" s="11">
        <f>Table224[[#This Row],[حسابهای دریافتنی]]+Table224[[#This Row],[چکهای در جریان وصول]]+Table224[[#This Row],[چکهای نزد صندوق]]</f>
        <v>6968855000</v>
      </c>
      <c r="G19" s="12">
        <f>IFERROR(INDEX('مانده سوفاله'!F:F,MATCH(Table224[[#This Row],[كد تفصيلي]],'مانده سوفاله'!A:A,0)),0)</f>
        <v>-7388</v>
      </c>
    </row>
    <row r="20" spans="1:7" ht="26.25" customHeight="1" x14ac:dyDescent="0.35">
      <c r="A20" s="75">
        <v>10057</v>
      </c>
      <c r="B20" s="72" t="s">
        <v>225</v>
      </c>
      <c r="C20" s="10">
        <f>IFERROR(INDEX('حسابهای دریافتنی'!H:H,MATCH(Table224[[#This Row],[كد تفصيلي]],'حسابهای دریافتنی'!A:A,0)),0)</f>
        <v>1390485500</v>
      </c>
      <c r="D20" s="11">
        <f>IFERROR(INDEX('درجریان وصول'!F:F,MATCH(Table224[[#This Row],[كد تفصيلي]],'درجریان وصول'!A:A,0)),0)</f>
        <v>0</v>
      </c>
      <c r="E20" s="11">
        <f>IFERROR(INDEX('چکهای دریافتنی'!F:F,MATCH(Table224[[#This Row],[كد تفصيلي]],'چکهای دریافتنی'!A:A,0)),0)</f>
        <v>0</v>
      </c>
      <c r="F20" s="11">
        <f>Table224[[#This Row],[حسابهای دریافتنی]]+Table224[[#This Row],[چکهای در جریان وصول]]+Table224[[#This Row],[چکهای نزد صندوق]]</f>
        <v>1390485500</v>
      </c>
      <c r="G20" s="12">
        <f>IFERROR(INDEX('مانده سوفاله'!F:F,MATCH(Table224[[#This Row],[كد تفصيلي]],'مانده سوفاله'!A:A,0)),0)</f>
        <v>-2044</v>
      </c>
    </row>
    <row r="21" spans="1:7" ht="26.25" customHeight="1" x14ac:dyDescent="0.35">
      <c r="A21" s="74">
        <v>30012</v>
      </c>
      <c r="B21" s="73" t="s">
        <v>61</v>
      </c>
      <c r="C21" s="10">
        <f>IFERROR(INDEX('حسابهای دریافتنی'!H:H,MATCH(Table224[[#This Row],[كد تفصيلي]],'حسابهای دریافتنی'!A:A,0)),0)</f>
        <v>-46099000</v>
      </c>
      <c r="D21" s="11">
        <f>IFERROR(INDEX('درجریان وصول'!F:F,MATCH(Table224[[#This Row],[كد تفصيلي]],'درجریان وصول'!A:A,0)),0)</f>
        <v>0</v>
      </c>
      <c r="E21" s="11">
        <f>IFERROR(INDEX('چکهای دریافتنی'!F:F,MATCH(Table224[[#This Row],[كد تفصيلي]],'چکهای دریافتنی'!A:A,0)),0)</f>
        <v>348650000</v>
      </c>
      <c r="F21" s="11">
        <f>Table224[[#This Row],[حسابهای دریافتنی]]+Table224[[#This Row],[چکهای در جریان وصول]]+Table224[[#This Row],[چکهای نزد صندوق]]</f>
        <v>302551000</v>
      </c>
      <c r="G21" s="12">
        <f>IFERROR(INDEX('مانده سوفاله'!F:F,MATCH(Table224[[#This Row],[كد تفصيلي]],'مانده سوفاله'!A:A,0)),0)</f>
        <v>141</v>
      </c>
    </row>
    <row r="22" spans="1:7" ht="26.25" customHeight="1" x14ac:dyDescent="0.35">
      <c r="A22" s="74">
        <v>10008</v>
      </c>
      <c r="B22" s="73" t="s">
        <v>15</v>
      </c>
      <c r="C22" s="10">
        <f>IFERROR(INDEX('حسابهای دریافتنی'!H:H,MATCH(Table224[[#This Row],[كد تفصيلي]],'حسابهای دریافتنی'!A:A,0)),0)</f>
        <v>597342000</v>
      </c>
      <c r="D22" s="11">
        <f>IFERROR(INDEX('درجریان وصول'!F:F,MATCH(Table224[[#This Row],[كد تفصيلي]],'درجریان وصول'!A:A,0)),0)</f>
        <v>0</v>
      </c>
      <c r="E22" s="11">
        <f>IFERROR(INDEX('چکهای دریافتنی'!F:F,MATCH(Table224[[#This Row],[كد تفصيلي]],'چکهای دریافتنی'!A:A,0)),0)</f>
        <v>0</v>
      </c>
      <c r="F22" s="11">
        <f>Table224[[#This Row],[حسابهای دریافتنی]]+Table224[[#This Row],[چکهای در جریان وصول]]+Table224[[#This Row],[چکهای نزد صندوق]]</f>
        <v>597342000</v>
      </c>
      <c r="G22" s="12">
        <f>IFERROR(INDEX('مانده سوفاله'!F:F,MATCH(Table224[[#This Row],[كد تفصيلي]],'مانده سوفاله'!A:A,0)),0)</f>
        <v>-578</v>
      </c>
    </row>
    <row r="23" spans="1:7" ht="26.25" customHeight="1" x14ac:dyDescent="0.35">
      <c r="A23" s="74">
        <v>10070</v>
      </c>
      <c r="B23" s="73" t="s">
        <v>230</v>
      </c>
      <c r="C23" s="10">
        <f>IFERROR(INDEX('حسابهای دریافتنی'!H:H,MATCH(Table224[[#This Row],[كد تفصيلي]],'حسابهای دریافتنی'!A:A,0)),0)</f>
        <v>508152500</v>
      </c>
      <c r="D23" s="11">
        <f>IFERROR(INDEX('درجریان وصول'!F:F,MATCH(Table224[[#This Row],[كد تفصيلي]],'درجریان وصول'!A:A,0)),0)</f>
        <v>0</v>
      </c>
      <c r="E23" s="11">
        <f>IFERROR(INDEX('چکهای دریافتنی'!F:F,MATCH(Table224[[#This Row],[كد تفصيلي]],'چکهای دریافتنی'!A:A,0)),0)</f>
        <v>570000000</v>
      </c>
      <c r="F23" s="11">
        <f>Table224[[#This Row],[حسابهای دریافتنی]]+Table224[[#This Row],[چکهای در جریان وصول]]+Table224[[#This Row],[چکهای نزد صندوق]]</f>
        <v>1078152500</v>
      </c>
      <c r="G23" s="12">
        <f>IFERROR(INDEX('مانده سوفاله'!F:F,MATCH(Table224[[#This Row],[كد تفصيلي]],'مانده سوفاله'!A:A,0)),0)</f>
        <v>-3170</v>
      </c>
    </row>
    <row r="24" spans="1:7" ht="26.25" customHeight="1" x14ac:dyDescent="0.35">
      <c r="A24" s="74">
        <v>30081</v>
      </c>
      <c r="B24" s="73" t="s">
        <v>126</v>
      </c>
      <c r="C24" s="10">
        <f>IFERROR(INDEX('حسابهای دریافتنی'!H:H,MATCH(Table224[[#This Row],[كد تفصيلي]],'حسابهای دریافتنی'!A:A,0)),0)</f>
        <v>1148992373</v>
      </c>
      <c r="D24" s="11">
        <f>IFERROR(INDEX('درجریان وصول'!F:F,MATCH(Table224[[#This Row],[كد تفصيلي]],'درجریان وصول'!A:A,0)),0)</f>
        <v>0</v>
      </c>
      <c r="E24" s="11">
        <f>IFERROR(INDEX('چکهای دریافتنی'!F:F,MATCH(Table224[[#This Row],[كد تفصيلي]],'چکهای دریافتنی'!A:A,0)),0)</f>
        <v>0</v>
      </c>
      <c r="F24" s="11">
        <f>Table224[[#This Row],[حسابهای دریافتنی]]+Table224[[#This Row],[چکهای در جریان وصول]]+Table224[[#This Row],[چکهای نزد صندوق]]</f>
        <v>1148992373</v>
      </c>
      <c r="G24" s="12">
        <f>IFERROR(INDEX('مانده سوفاله'!F:F,MATCH(Table224[[#This Row],[كد تفصيلي]],'مانده سوفاله'!A:A,0)),0)</f>
        <v>-6924</v>
      </c>
    </row>
    <row r="25" spans="1:7" ht="26.25" customHeight="1" x14ac:dyDescent="0.35">
      <c r="A25" s="74">
        <v>10020</v>
      </c>
      <c r="B25" s="73" t="s">
        <v>27</v>
      </c>
      <c r="C25" s="10">
        <f>IFERROR(INDEX('حسابهای دریافتنی'!H:H,MATCH(Table224[[#This Row],[كد تفصيلي]],'حسابهای دریافتنی'!A:A,0)),0)</f>
        <v>57999963</v>
      </c>
      <c r="D25" s="11">
        <f>IFERROR(INDEX('درجریان وصول'!F:F,MATCH(Table224[[#This Row],[كد تفصيلي]],'درجریان وصول'!A:A,0)),0)</f>
        <v>0</v>
      </c>
      <c r="E25" s="11">
        <f>IFERROR(INDEX('چکهای دریافتنی'!F:F,MATCH(Table224[[#This Row],[كد تفصيلي]],'چکهای دریافتنی'!A:A,0)),0)</f>
        <v>728000000</v>
      </c>
      <c r="F25" s="11">
        <f>Table224[[#This Row],[حسابهای دریافتنی]]+Table224[[#This Row],[چکهای در جریان وصول]]+Table224[[#This Row],[چکهای نزد صندوق]]</f>
        <v>785999963</v>
      </c>
      <c r="G25" s="12">
        <f>IFERROR(INDEX('مانده سوفاله'!F:F,MATCH(Table224[[#This Row],[كد تفصيلي]],'مانده سوفاله'!A:A,0)),0)</f>
        <v>-1031</v>
      </c>
    </row>
    <row r="26" spans="1:7" ht="26.25" customHeight="1" x14ac:dyDescent="0.35">
      <c r="A26" s="74">
        <v>30169</v>
      </c>
      <c r="B26" s="73" t="s">
        <v>318</v>
      </c>
      <c r="C26" s="10">
        <f>IFERROR(INDEX('حسابهای دریافتنی'!H:H,MATCH(Table224[[#This Row],[كد تفصيلي]],'حسابهای دریافتنی'!A:A,0)),0)</f>
        <v>-658993316</v>
      </c>
      <c r="D26" s="11">
        <f>IFERROR(INDEX('درجریان وصول'!F:F,MATCH(Table224[[#This Row],[كد تفصيلي]],'درجریان وصول'!A:A,0)),0)</f>
        <v>0</v>
      </c>
      <c r="E26" s="11">
        <f>IFERROR(INDEX('چکهای دریافتنی'!F:F,MATCH(Table224[[#This Row],[كد تفصيلي]],'چکهای دریافتنی'!A:A,0)),0)</f>
        <v>2085000000</v>
      </c>
      <c r="F26" s="11">
        <f>Table224[[#This Row],[حسابهای دریافتنی]]+Table224[[#This Row],[چکهای در جریان وصول]]+Table224[[#This Row],[چکهای نزد صندوق]]</f>
        <v>1426006684</v>
      </c>
      <c r="G26" s="12">
        <f>IFERROR(INDEX('مانده سوفاله'!F:F,MATCH(Table224[[#This Row],[كد تفصيلي]],'مانده سوفاله'!A:A,0)),0)</f>
        <v>0</v>
      </c>
    </row>
    <row r="27" spans="1:7" ht="26.25" customHeight="1" x14ac:dyDescent="0.35">
      <c r="A27" s="75">
        <v>10097</v>
      </c>
      <c r="B27" s="72" t="s">
        <v>270</v>
      </c>
      <c r="C27" s="10">
        <f>IFERROR(INDEX('حسابهای دریافتنی'!H:H,MATCH(Table224[[#This Row],[كد تفصيلي]],'حسابهای دریافتنی'!A:A,0)),0)</f>
        <v>270642500</v>
      </c>
      <c r="D27" s="11">
        <f>IFERROR(INDEX('درجریان وصول'!F:F,MATCH(Table224[[#This Row],[كد تفصيلي]],'درجریان وصول'!A:A,0)),0)</f>
        <v>0</v>
      </c>
      <c r="E27" s="11">
        <f>IFERROR(INDEX('چکهای دریافتنی'!F:F,MATCH(Table224[[#This Row],[كد تفصيلي]],'چکهای دریافتنی'!A:A,0)),0)</f>
        <v>287000000</v>
      </c>
      <c r="F27" s="11">
        <f>Table224[[#This Row],[حسابهای دریافتنی]]+Table224[[#This Row],[چکهای در جریان وصول]]+Table224[[#This Row],[چکهای نزد صندوق]]</f>
        <v>557642500</v>
      </c>
      <c r="G27" s="12">
        <f>IFERROR(INDEX('مانده سوفاله'!F:F,MATCH(Table224[[#This Row],[كد تفصيلي]],'مانده سوفاله'!A:A,0)),0)</f>
        <v>0</v>
      </c>
    </row>
    <row r="28" spans="1:7" ht="26.25" customHeight="1" x14ac:dyDescent="0.35">
      <c r="A28" s="74">
        <v>30069</v>
      </c>
      <c r="B28" s="73" t="s">
        <v>114</v>
      </c>
      <c r="C28" s="10">
        <f>IFERROR(INDEX('حسابهای دریافتنی'!H:H,MATCH(Table224[[#This Row],[كد تفصيلي]],'حسابهای دریافتنی'!A:A,0)),0)</f>
        <v>377909400</v>
      </c>
      <c r="D28" s="11">
        <f>IFERROR(INDEX('درجریان وصول'!F:F,MATCH(Table224[[#This Row],[كد تفصيلي]],'درجریان وصول'!A:A,0)),0)</f>
        <v>0</v>
      </c>
      <c r="E28" s="11">
        <f>IFERROR(INDEX('چکهای دریافتنی'!F:F,MATCH(Table224[[#This Row],[كد تفصيلي]],'چکهای دریافتنی'!A:A,0)),0)</f>
        <v>0</v>
      </c>
      <c r="F28" s="11">
        <f>Table224[[#This Row],[حسابهای دریافتنی]]+Table224[[#This Row],[چکهای در جریان وصول]]+Table224[[#This Row],[چکهای نزد صندوق]]</f>
        <v>377909400</v>
      </c>
      <c r="G28" s="12">
        <f>IFERROR(INDEX('مانده سوفاله'!F:F,MATCH(Table224[[#This Row],[كد تفصيلي]],'مانده سوفاله'!A:A,0)),0)</f>
        <v>66</v>
      </c>
    </row>
    <row r="29" spans="1:7" ht="26.25" customHeight="1" x14ac:dyDescent="0.35">
      <c r="A29" s="75">
        <v>30070</v>
      </c>
      <c r="B29" s="72" t="s">
        <v>115</v>
      </c>
      <c r="C29" s="10">
        <f>IFERROR(INDEX('حسابهای دریافتنی'!H:H,MATCH(Table224[[#This Row],[كد تفصيلي]],'حسابهای دریافتنی'!A:A,0)),0)</f>
        <v>2651728820</v>
      </c>
      <c r="D29" s="11">
        <f>IFERROR(INDEX('درجریان وصول'!F:F,MATCH(Table224[[#This Row],[كد تفصيلي]],'درجریان وصول'!A:A,0)),0)</f>
        <v>0</v>
      </c>
      <c r="E29" s="11">
        <f>IFERROR(INDEX('چکهای دریافتنی'!F:F,MATCH(Table224[[#This Row],[كد تفصيلي]],'چکهای دریافتنی'!A:A,0)),0)</f>
        <v>3660000000</v>
      </c>
      <c r="F29" s="11">
        <f>Table224[[#This Row],[حسابهای دریافتنی]]+Table224[[#This Row],[چکهای در جریان وصول]]+Table224[[#This Row],[چکهای نزد صندوق]]</f>
        <v>6311728820</v>
      </c>
      <c r="G29" s="12">
        <f>IFERROR(INDEX('مانده سوفاله'!F:F,MATCH(Table224[[#This Row],[كد تفصيلي]],'مانده سوفاله'!A:A,0)),0)</f>
        <v>4378</v>
      </c>
    </row>
    <row r="30" spans="1:7" ht="26.25" customHeight="1" x14ac:dyDescent="0.35">
      <c r="A30" s="74">
        <v>10004</v>
      </c>
      <c r="B30" s="73" t="s">
        <v>11</v>
      </c>
      <c r="C30" s="10">
        <f>IFERROR(INDEX('حسابهای دریافتنی'!H:H,MATCH(Table224[[#This Row],[كد تفصيلي]],'حسابهای دریافتنی'!A:A,0)),0)</f>
        <v>853000</v>
      </c>
      <c r="D30" s="11">
        <f>IFERROR(INDEX('درجریان وصول'!F:F,MATCH(Table224[[#This Row],[كد تفصيلي]],'درجریان وصول'!A:A,0)),0)</f>
        <v>0</v>
      </c>
      <c r="E30" s="11">
        <f>IFERROR(INDEX('چکهای دریافتنی'!F:F,MATCH(Table224[[#This Row],[كد تفصيلي]],'چکهای دریافتنی'!A:A,0)),0)</f>
        <v>341000000</v>
      </c>
      <c r="F30" s="11">
        <f>Table224[[#This Row],[حسابهای دریافتنی]]+Table224[[#This Row],[چکهای در جریان وصول]]+Table224[[#This Row],[چکهای نزد صندوق]]</f>
        <v>341853000</v>
      </c>
      <c r="G30" s="12">
        <f>IFERROR(INDEX('مانده سوفاله'!F:F,MATCH(Table224[[#This Row],[كد تفصيلي]],'مانده سوفاله'!A:A,0)),0)</f>
        <v>-12</v>
      </c>
    </row>
    <row r="31" spans="1:7" ht="26.25" customHeight="1" x14ac:dyDescent="0.35">
      <c r="A31" s="75">
        <v>30162</v>
      </c>
      <c r="B31" s="72" t="s">
        <v>301</v>
      </c>
      <c r="C31" s="10">
        <f>IFERROR(INDEX('حسابهای دریافتنی'!H:H,MATCH(Table224[[#This Row],[كد تفصيلي]],'حسابهای دریافتنی'!A:A,0)),0)</f>
        <v>204890235</v>
      </c>
      <c r="D31" s="11">
        <f>IFERROR(INDEX('درجریان وصول'!F:F,MATCH(Table224[[#This Row],[كد تفصيلي]],'درجریان وصول'!A:A,0)),0)</f>
        <v>0</v>
      </c>
      <c r="E31" s="11">
        <f>IFERROR(INDEX('چکهای دریافتنی'!F:F,MATCH(Table224[[#This Row],[كد تفصيلي]],'چکهای دریافتنی'!A:A,0)),0)</f>
        <v>0</v>
      </c>
      <c r="F31" s="11">
        <f>Table224[[#This Row],[حسابهای دریافتنی]]+Table224[[#This Row],[چکهای در جریان وصول]]+Table224[[#This Row],[چکهای نزد صندوق]]</f>
        <v>204890235</v>
      </c>
      <c r="G31" s="12">
        <f>IFERROR(INDEX('مانده سوفاله'!F:F,MATCH(Table224[[#This Row],[كد تفصيلي]],'مانده سوفاله'!A:A,0)),0)</f>
        <v>-251</v>
      </c>
    </row>
    <row r="32" spans="1:7" ht="26.25" customHeight="1" x14ac:dyDescent="0.35">
      <c r="A32" s="74">
        <v>10002</v>
      </c>
      <c r="B32" s="73" t="s">
        <v>9</v>
      </c>
      <c r="C32" s="10">
        <f>IFERROR(INDEX('حسابهای دریافتنی'!H:H,MATCH(Table224[[#This Row],[كد تفصيلي]],'حسابهای دریافتنی'!A:A,0)),0)</f>
        <v>-3600000000</v>
      </c>
      <c r="D32" s="11">
        <f>IFERROR(INDEX('درجریان وصول'!F:F,MATCH(Table224[[#This Row],[كد تفصيلي]],'درجریان وصول'!A:A,0)),0)</f>
        <v>0</v>
      </c>
      <c r="E32" s="11">
        <f>IFERROR(INDEX('چکهای دریافتنی'!F:F,MATCH(Table224[[#This Row],[كد تفصيلي]],'چکهای دریافتنی'!A:A,0)),0)</f>
        <v>0</v>
      </c>
      <c r="F32" s="11">
        <f>Table224[[#This Row],[حسابهای دریافتنی]]+Table224[[#This Row],[چکهای در جریان وصول]]+Table224[[#This Row],[چکهای نزد صندوق]]</f>
        <v>-3600000000</v>
      </c>
      <c r="G32" s="12">
        <f>IFERROR(INDEX('مانده سوفاله'!F:F,MATCH(Table224[[#This Row],[كد تفصيلي]],'مانده سوفاله'!A:A,0)),0)</f>
        <v>0</v>
      </c>
    </row>
    <row r="33" spans="1:7" ht="26.25" customHeight="1" x14ac:dyDescent="0.35">
      <c r="A33" s="75">
        <v>30180</v>
      </c>
      <c r="B33" s="72" t="s">
        <v>406</v>
      </c>
      <c r="C33" s="10">
        <f>IFERROR(INDEX('حسابهای دریافتنی'!H:H,MATCH(Table224[[#This Row],[كد تفصيلي]],'حسابهای دریافتنی'!A:A,0)),0)</f>
        <v>0</v>
      </c>
      <c r="D33" s="11">
        <f>IFERROR(INDEX('درجریان وصول'!F:F,MATCH(Table224[[#This Row],[كد تفصيلي]],'درجریان وصول'!A:A,0)),0)</f>
        <v>0</v>
      </c>
      <c r="E33" s="11">
        <f>IFERROR(INDEX('چکهای دریافتنی'!F:F,MATCH(Table224[[#This Row],[كد تفصيلي]],'چکهای دریافتنی'!A:A,0)),0)</f>
        <v>0</v>
      </c>
      <c r="F33" s="11">
        <f>Table224[[#This Row],[حسابهای دریافتنی]]+Table224[[#This Row],[چکهای در جریان وصول]]+Table224[[#This Row],[چکهای نزد صندوق]]</f>
        <v>0</v>
      </c>
      <c r="G33" s="12">
        <f>IFERROR(INDEX('مانده سوفاله'!F:F,MATCH(Table224[[#This Row],[كد تفصيلي]],'مانده سوفاله'!A:A,0)),0)</f>
        <v>0</v>
      </c>
    </row>
    <row r="34" spans="1:7" ht="26.25" customHeight="1" x14ac:dyDescent="0.35">
      <c r="A34" s="75">
        <v>30086</v>
      </c>
      <c r="B34" s="72" t="s">
        <v>131</v>
      </c>
      <c r="C34" s="10">
        <f>IFERROR(INDEX('حسابهای دریافتنی'!H:H,MATCH(Table224[[#This Row],[كد تفصيلي]],'حسابهای دریافتنی'!A:A,0)),0)</f>
        <v>187376603</v>
      </c>
      <c r="D34" s="11">
        <f>IFERROR(INDEX('درجریان وصول'!F:F,MATCH(Table224[[#This Row],[كد تفصيلي]],'درجریان وصول'!A:A,0)),0)</f>
        <v>0</v>
      </c>
      <c r="E34" s="11">
        <f>IFERROR(INDEX('چکهای دریافتنی'!F:F,MATCH(Table224[[#This Row],[كد تفصيلي]],'چکهای دریافتنی'!A:A,0)),0)</f>
        <v>0</v>
      </c>
      <c r="F34" s="11">
        <f>Table224[[#This Row],[حسابهای دریافتنی]]+Table224[[#This Row],[چکهای در جریان وصول]]+Table224[[#This Row],[چکهای نزد صندوق]]</f>
        <v>187376603</v>
      </c>
      <c r="G34" s="12">
        <f>IFERROR(INDEX('مانده سوفاله'!F:F,MATCH(Table224[[#This Row],[كد تفصيلي]],'مانده سوفاله'!A:A,0)),0)</f>
        <v>1549</v>
      </c>
    </row>
    <row r="35" spans="1:7" ht="26.25" customHeight="1" x14ac:dyDescent="0.35">
      <c r="A35" s="75">
        <v>30140</v>
      </c>
      <c r="B35" s="72" t="s">
        <v>259</v>
      </c>
      <c r="C35" s="10">
        <f>IFERROR(INDEX('حسابهای دریافتنی'!H:H,MATCH(Table224[[#This Row],[كد تفصيلي]],'حسابهای دریافتنی'!A:A,0)),0)</f>
        <v>553728200</v>
      </c>
      <c r="D35" s="11">
        <f>IFERROR(INDEX('درجریان وصول'!F:F,MATCH(Table224[[#This Row],[كد تفصيلي]],'درجریان وصول'!A:A,0)),0)</f>
        <v>0</v>
      </c>
      <c r="E35" s="11">
        <f>IFERROR(INDEX('چکهای دریافتنی'!F:F,MATCH(Table224[[#This Row],[كد تفصيلي]],'چکهای دریافتنی'!A:A,0)),0)</f>
        <v>1030000000</v>
      </c>
      <c r="F35" s="11">
        <f>Table224[[#This Row],[حسابهای دریافتنی]]+Table224[[#This Row],[چکهای در جریان وصول]]+Table224[[#This Row],[چکهای نزد صندوق]]</f>
        <v>1583728200</v>
      </c>
      <c r="G35" s="12">
        <f>IFERROR(INDEX('مانده سوفاله'!F:F,MATCH(Table224[[#This Row],[كد تفصيلي]],'مانده سوفاله'!A:A,0)),0)</f>
        <v>-12630</v>
      </c>
    </row>
    <row r="36" spans="1:7" ht="26.25" customHeight="1" x14ac:dyDescent="0.35">
      <c r="A36" s="75">
        <v>30003</v>
      </c>
      <c r="B36" s="72" t="s">
        <v>53</v>
      </c>
      <c r="C36" s="10">
        <f>IFERROR(INDEX('حسابهای دریافتنی'!H:H,MATCH(Table224[[#This Row],[كد تفصيلي]],'حسابهای دریافتنی'!A:A,0)),0)</f>
        <v>754765900</v>
      </c>
      <c r="D36" s="11">
        <f>IFERROR(INDEX('درجریان وصول'!F:F,MATCH(Table224[[#This Row],[كد تفصيلي]],'درجریان وصول'!A:A,0)),0)</f>
        <v>0</v>
      </c>
      <c r="E36" s="11">
        <f>IFERROR(INDEX('چکهای دریافتنی'!F:F,MATCH(Table224[[#This Row],[كد تفصيلي]],'چکهای دریافتنی'!A:A,0)),0)</f>
        <v>571000000</v>
      </c>
      <c r="F36" s="11">
        <f>Table224[[#This Row],[حسابهای دریافتنی]]+Table224[[#This Row],[چکهای در جریان وصول]]+Table224[[#This Row],[چکهای نزد صندوق]]</f>
        <v>1325765900</v>
      </c>
      <c r="G36" s="12">
        <f>IFERROR(INDEX('مانده سوفاله'!F:F,MATCH(Table224[[#This Row],[كد تفصيلي]],'مانده سوفاله'!A:A,0)),0)</f>
        <v>-3538</v>
      </c>
    </row>
    <row r="37" spans="1:7" ht="26.25" customHeight="1" x14ac:dyDescent="0.35">
      <c r="A37" s="74">
        <v>30018</v>
      </c>
      <c r="B37" s="73" t="s">
        <v>66</v>
      </c>
      <c r="C37" s="10">
        <f>IFERROR(INDEX('حسابهای دریافتنی'!H:H,MATCH(Table224[[#This Row],[كد تفصيلي]],'حسابهای دریافتنی'!A:A,0)),0)</f>
        <v>1901077182</v>
      </c>
      <c r="D37" s="11">
        <f>IFERROR(INDEX('درجریان وصول'!F:F,MATCH(Table224[[#This Row],[كد تفصيلي]],'درجریان وصول'!A:A,0)),0)</f>
        <v>0</v>
      </c>
      <c r="E37" s="11">
        <f>IFERROR(INDEX('چکهای دریافتنی'!F:F,MATCH(Table224[[#This Row],[كد تفصيلي]],'چکهای دریافتنی'!A:A,0)),0)</f>
        <v>0</v>
      </c>
      <c r="F37" s="11">
        <f>Table224[[#This Row],[حسابهای دریافتنی]]+Table224[[#This Row],[چکهای در جریان وصول]]+Table224[[#This Row],[چکهای نزد صندوق]]</f>
        <v>1901077182</v>
      </c>
      <c r="G37" s="12">
        <f>IFERROR(INDEX('مانده سوفاله'!F:F,MATCH(Table224[[#This Row],[كد تفصيلي]],'مانده سوفاله'!A:A,0)),0)</f>
        <v>-3024</v>
      </c>
    </row>
    <row r="38" spans="1:7" ht="26.25" customHeight="1" x14ac:dyDescent="0.35">
      <c r="A38" s="75">
        <v>30001</v>
      </c>
      <c r="B38" s="72" t="s">
        <v>190</v>
      </c>
      <c r="C38" s="10">
        <f>IFERROR(INDEX('حسابهای دریافتنی'!H:H,MATCH(Table224[[#This Row],[كد تفصيلي]],'حسابهای دریافتنی'!A:A,0)),0)</f>
        <v>119647176</v>
      </c>
      <c r="D38" s="11">
        <f>IFERROR(INDEX('درجریان وصول'!F:F,MATCH(Table224[[#This Row],[كد تفصيلي]],'درجریان وصول'!A:A,0)),0)</f>
        <v>0</v>
      </c>
      <c r="E38" s="11">
        <f>IFERROR(INDEX('چکهای دریافتنی'!F:F,MATCH(Table224[[#This Row],[كد تفصيلي]],'چکهای دریافتنی'!A:A,0)),0)</f>
        <v>0</v>
      </c>
      <c r="F38" s="11">
        <f>Table224[[#This Row],[حسابهای دریافتنی]]+Table224[[#This Row],[چکهای در جریان وصول]]+Table224[[#This Row],[چکهای نزد صندوق]]</f>
        <v>119647176</v>
      </c>
      <c r="G38" s="12">
        <f>IFERROR(INDEX('مانده سوفاله'!F:F,MATCH(Table224[[#This Row],[كد تفصيلي]],'مانده سوفاله'!A:A,0)),0)</f>
        <v>123</v>
      </c>
    </row>
    <row r="39" spans="1:7" ht="26.25" customHeight="1" x14ac:dyDescent="0.35">
      <c r="A39" s="74">
        <v>30077</v>
      </c>
      <c r="B39" s="73" t="s">
        <v>122</v>
      </c>
      <c r="C39" s="10">
        <f>IFERROR(INDEX('حسابهای دریافتنی'!H:H,MATCH(Table224[[#This Row],[كد تفصيلي]],'حسابهای دریافتنی'!A:A,0)),0)</f>
        <v>360000</v>
      </c>
      <c r="D39" s="11">
        <f>IFERROR(INDEX('درجریان وصول'!F:F,MATCH(Table224[[#This Row],[كد تفصيلي]],'درجریان وصول'!A:A,0)),0)</f>
        <v>0</v>
      </c>
      <c r="E39" s="11">
        <f>IFERROR(INDEX('چکهای دریافتنی'!F:F,MATCH(Table224[[#This Row],[كد تفصيلي]],'چکهای دریافتنی'!A:A,0)),0)</f>
        <v>0</v>
      </c>
      <c r="F39" s="11">
        <f>Table224[[#This Row],[حسابهای دریافتنی]]+Table224[[#This Row],[چکهای در جریان وصول]]+Table224[[#This Row],[چکهای نزد صندوق]]</f>
        <v>360000</v>
      </c>
      <c r="G39" s="12">
        <f>IFERROR(INDEX('مانده سوفاله'!F:F,MATCH(Table224[[#This Row],[كد تفصيلي]],'مانده سوفاله'!A:A,0)),0)</f>
        <v>-32</v>
      </c>
    </row>
    <row r="40" spans="1:7" ht="26.25" customHeight="1" x14ac:dyDescent="0.35">
      <c r="A40" s="74">
        <v>30196</v>
      </c>
      <c r="B40" s="73" t="s">
        <v>481</v>
      </c>
      <c r="C40" s="10">
        <f>IFERROR(INDEX('حسابهای دریافتنی'!H:H,MATCH(Table224[[#This Row],[كد تفصيلي]],'حسابهای دریافتنی'!A:A,0)),0)</f>
        <v>3592950000</v>
      </c>
      <c r="D40" s="11">
        <f>IFERROR(INDEX('درجریان وصول'!F:F,MATCH(Table224[[#This Row],[كد تفصيلي]],'درجریان وصول'!A:A,0)),0)</f>
        <v>0</v>
      </c>
      <c r="E40" s="11">
        <f>IFERROR(INDEX('چکهای دریافتنی'!F:F,MATCH(Table224[[#This Row],[كد تفصيلي]],'چکهای دریافتنی'!A:A,0)),0)</f>
        <v>0</v>
      </c>
      <c r="F40" s="11">
        <f>Table224[[#This Row],[حسابهای دریافتنی]]+Table224[[#This Row],[چکهای در جریان وصول]]+Table224[[#This Row],[چکهای نزد صندوق]]</f>
        <v>3592950000</v>
      </c>
      <c r="G40" s="12">
        <f>IFERROR(INDEX('مانده سوفاله'!F:F,MATCH(Table224[[#This Row],[كد تفصيلي]],'مانده سوفاله'!A:A,0)),0)</f>
        <v>-8965</v>
      </c>
    </row>
    <row r="41" spans="1:7" ht="26.25" customHeight="1" x14ac:dyDescent="0.35">
      <c r="A41" s="74">
        <v>10018</v>
      </c>
      <c r="B41" s="73" t="s">
        <v>25</v>
      </c>
      <c r="C41" s="10">
        <f>IFERROR(INDEX('حسابهای دریافتنی'!H:H,MATCH(Table224[[#This Row],[كد تفصيلي]],'حسابهای دریافتنی'!A:A,0)),0)</f>
        <v>95282000</v>
      </c>
      <c r="D41" s="11">
        <f>IFERROR(INDEX('درجریان وصول'!F:F,MATCH(Table224[[#This Row],[كد تفصيلي]],'درجریان وصول'!A:A,0)),0)</f>
        <v>0</v>
      </c>
      <c r="E41" s="11">
        <f>IFERROR(INDEX('چکهای دریافتنی'!F:F,MATCH(Table224[[#This Row],[كد تفصيلي]],'چکهای دریافتنی'!A:A,0)),0)</f>
        <v>0</v>
      </c>
      <c r="F41" s="11">
        <f>Table224[[#This Row],[حسابهای دریافتنی]]+Table224[[#This Row],[چکهای در جریان وصول]]+Table224[[#This Row],[چکهای نزد صندوق]]</f>
        <v>95282000</v>
      </c>
      <c r="G41" s="12">
        <f>IFERROR(INDEX('مانده سوفاله'!F:F,MATCH(Table224[[#This Row],[كد تفصيلي]],'مانده سوفاله'!A:A,0)),0)</f>
        <v>-32</v>
      </c>
    </row>
    <row r="42" spans="1:7" ht="26.25" customHeight="1" x14ac:dyDescent="0.35">
      <c r="A42" s="74">
        <v>10096</v>
      </c>
      <c r="B42" s="73" t="s">
        <v>271</v>
      </c>
      <c r="C42" s="10">
        <f>IFERROR(INDEX('حسابهای دریافتنی'!H:H,MATCH(Table224[[#This Row],[كد تفصيلي]],'حسابهای دریافتنی'!A:A,0)),0)</f>
        <v>36455500</v>
      </c>
      <c r="D42" s="11">
        <f>IFERROR(INDEX('درجریان وصول'!F:F,MATCH(Table224[[#This Row],[كد تفصيلي]],'درجریان وصول'!A:A,0)),0)</f>
        <v>0</v>
      </c>
      <c r="E42" s="11">
        <f>IFERROR(INDEX('چکهای دریافتنی'!F:F,MATCH(Table224[[#This Row],[كد تفصيلي]],'چکهای دریافتنی'!A:A,0)),0)</f>
        <v>0</v>
      </c>
      <c r="F42" s="11">
        <f>Table224[[#This Row],[حسابهای دریافتنی]]+Table224[[#This Row],[چکهای در جریان وصول]]+Table224[[#This Row],[چکهای نزد صندوق]]</f>
        <v>36455500</v>
      </c>
      <c r="G42" s="12">
        <f>IFERROR(INDEX('مانده سوفاله'!F:F,MATCH(Table224[[#This Row],[كد تفصيلي]],'مانده سوفاله'!A:A,0)),0)</f>
        <v>0</v>
      </c>
    </row>
    <row r="43" spans="1:7" ht="26.25" customHeight="1" x14ac:dyDescent="0.35">
      <c r="A43" s="75">
        <v>30025</v>
      </c>
      <c r="B43" s="72" t="s">
        <v>73</v>
      </c>
      <c r="C43" s="10">
        <f>IFERROR(INDEX('حسابهای دریافتنی'!H:H,MATCH(Table224[[#This Row],[كد تفصيلي]],'حسابهای دریافتنی'!A:A,0)),0)</f>
        <v>35598920</v>
      </c>
      <c r="D43" s="11">
        <f>IFERROR(INDEX('درجریان وصول'!F:F,MATCH(Table224[[#This Row],[كد تفصيلي]],'درجریان وصول'!A:A,0)),0)</f>
        <v>0</v>
      </c>
      <c r="E43" s="11">
        <f>IFERROR(INDEX('چکهای دریافتنی'!F:F,MATCH(Table224[[#This Row],[كد تفصيلي]],'چکهای دریافتنی'!A:A,0)),0)</f>
        <v>0</v>
      </c>
      <c r="F43" s="11">
        <f>Table224[[#This Row],[حسابهای دریافتنی]]+Table224[[#This Row],[چکهای در جریان وصول]]+Table224[[#This Row],[چکهای نزد صندوق]]</f>
        <v>35598920</v>
      </c>
      <c r="G43" s="12">
        <f>IFERROR(INDEX('مانده سوفاله'!F:F,MATCH(Table224[[#This Row],[كد تفصيلي]],'مانده سوفاله'!A:A,0)),0)</f>
        <v>-165</v>
      </c>
    </row>
    <row r="44" spans="1:7" ht="26.25" customHeight="1" x14ac:dyDescent="0.35">
      <c r="A44" s="75">
        <v>30005</v>
      </c>
      <c r="B44" s="72" t="s">
        <v>55</v>
      </c>
      <c r="C44" s="10">
        <f>IFERROR(INDEX('حسابهای دریافتنی'!H:H,MATCH(Table224[[#This Row],[كد تفصيلي]],'حسابهای دریافتنی'!A:A,0)),0)</f>
        <v>35368209</v>
      </c>
      <c r="D44" s="11">
        <f>IFERROR(INDEX('درجریان وصول'!F:F,MATCH(Table224[[#This Row],[كد تفصيلي]],'درجریان وصول'!A:A,0)),0)</f>
        <v>0</v>
      </c>
      <c r="E44" s="11">
        <f>IFERROR(INDEX('چکهای دریافتنی'!F:F,MATCH(Table224[[#This Row],[كد تفصيلي]],'چکهای دریافتنی'!A:A,0)),0)</f>
        <v>0</v>
      </c>
      <c r="F44" s="11">
        <f>Table224[[#This Row],[حسابهای دریافتنی]]+Table224[[#This Row],[چکهای در جریان وصول]]+Table224[[#This Row],[چکهای نزد صندوق]]</f>
        <v>35368209</v>
      </c>
      <c r="G44" s="12">
        <f>IFERROR(INDEX('مانده سوفاله'!F:F,MATCH(Table224[[#This Row],[كد تفصيلي]],'مانده سوفاله'!A:A,0)),0)</f>
        <v>61</v>
      </c>
    </row>
    <row r="45" spans="1:7" ht="26.25" customHeight="1" x14ac:dyDescent="0.35">
      <c r="A45" s="75">
        <v>50011</v>
      </c>
      <c r="B45" s="72" t="s">
        <v>147</v>
      </c>
      <c r="C45" s="10">
        <f>IFERROR(INDEX('حسابهای دریافتنی'!H:H,MATCH(Table224[[#This Row],[كد تفصيلي]],'حسابهای دریافتنی'!A:A,0)),0)</f>
        <v>832182413</v>
      </c>
      <c r="D45" s="11">
        <f>IFERROR(INDEX('درجریان وصول'!F:F,MATCH(Table224[[#This Row],[كد تفصيلي]],'درجریان وصول'!A:A,0)),0)</f>
        <v>0</v>
      </c>
      <c r="E45" s="11">
        <f>IFERROR(INDEX('چکهای دریافتنی'!F:F,MATCH(Table224[[#This Row],[كد تفصيلي]],'چکهای دریافتنی'!A:A,0)),0)</f>
        <v>0</v>
      </c>
      <c r="F45" s="11">
        <f>Table224[[#This Row],[حسابهای دریافتنی]]+Table224[[#This Row],[چکهای در جریان وصول]]+Table224[[#This Row],[چکهای نزد صندوق]]</f>
        <v>832182413</v>
      </c>
      <c r="G45" s="12">
        <f>IFERROR(INDEX('مانده سوفاله'!F:F,MATCH(Table224[[#This Row],[كد تفصيلي]],'مانده سوفاله'!A:A,0)),0)</f>
        <v>30</v>
      </c>
    </row>
    <row r="46" spans="1:7" ht="26.25" customHeight="1" x14ac:dyDescent="0.35">
      <c r="A46" s="74">
        <v>10119</v>
      </c>
      <c r="B46" s="73" t="s">
        <v>333</v>
      </c>
      <c r="C46" s="10">
        <f>IFERROR(INDEX('حسابهای دریافتنی'!H:H,MATCH(Table224[[#This Row],[كد تفصيلي]],'حسابهای دریافتنی'!A:A,0)),0)</f>
        <v>-2592000</v>
      </c>
      <c r="D46" s="11">
        <f>IFERROR(INDEX('درجریان وصول'!F:F,MATCH(Table224[[#This Row],[كد تفصيلي]],'درجریان وصول'!A:A,0)),0)</f>
        <v>0</v>
      </c>
      <c r="E46" s="11">
        <f>IFERROR(INDEX('چکهای دریافتنی'!F:F,MATCH(Table224[[#This Row],[كد تفصيلي]],'چکهای دریافتنی'!A:A,0)),0)</f>
        <v>0</v>
      </c>
      <c r="F46" s="11">
        <f>Table224[[#This Row],[حسابهای دریافتنی]]+Table224[[#This Row],[چکهای در جریان وصول]]+Table224[[#This Row],[چکهای نزد صندوق]]</f>
        <v>-2592000</v>
      </c>
      <c r="G46" s="12">
        <f>IFERROR(INDEX('مانده سوفاله'!F:F,MATCH(Table224[[#This Row],[كد تفصيلي]],'مانده سوفاله'!A:A,0)),0)</f>
        <v>353</v>
      </c>
    </row>
    <row r="47" spans="1:7" ht="26.25" customHeight="1" x14ac:dyDescent="0.35">
      <c r="A47" s="74">
        <v>30101</v>
      </c>
      <c r="B47" s="73" t="s">
        <v>196</v>
      </c>
      <c r="C47" s="10">
        <f>IFERROR(INDEX('حسابهای دریافتنی'!H:H,MATCH(Table224[[#This Row],[كد تفصيلي]],'حسابهای دریافتنی'!A:A,0)),0)</f>
        <v>203336095</v>
      </c>
      <c r="D47" s="11">
        <f>IFERROR(INDEX('درجریان وصول'!F:F,MATCH(Table224[[#This Row],[كد تفصيلي]],'درجریان وصول'!A:A,0)),0)</f>
        <v>0</v>
      </c>
      <c r="E47" s="11">
        <f>IFERROR(INDEX('چکهای دریافتنی'!F:F,MATCH(Table224[[#This Row],[كد تفصيلي]],'چکهای دریافتنی'!A:A,0)),0)</f>
        <v>0</v>
      </c>
      <c r="F47" s="11">
        <f>Table224[[#This Row],[حسابهای دریافتنی]]+Table224[[#This Row],[چکهای در جریان وصول]]+Table224[[#This Row],[چکهای نزد صندوق]]</f>
        <v>203336095</v>
      </c>
      <c r="G47" s="12">
        <f>IFERROR(INDEX('مانده سوفاله'!F:F,MATCH(Table224[[#This Row],[كد تفصيلي]],'مانده سوفاله'!A:A,0)),0)</f>
        <v>15</v>
      </c>
    </row>
    <row r="48" spans="1:7" ht="26.25" customHeight="1" x14ac:dyDescent="0.35">
      <c r="A48" s="74">
        <v>30008</v>
      </c>
      <c r="B48" s="73" t="s">
        <v>58</v>
      </c>
      <c r="C48" s="10">
        <f>IFERROR(INDEX('حسابهای دریافتنی'!H:H,MATCH(Table224[[#This Row],[كد تفصيلي]],'حسابهای دریافتنی'!A:A,0)),0)</f>
        <v>15520000</v>
      </c>
      <c r="D48" s="11">
        <f>IFERROR(INDEX('درجریان وصول'!F:F,MATCH(Table224[[#This Row],[كد تفصيلي]],'درجریان وصول'!A:A,0)),0)</f>
        <v>0</v>
      </c>
      <c r="E48" s="11">
        <f>IFERROR(INDEX('چکهای دریافتنی'!F:F,MATCH(Table224[[#This Row],[كد تفصيلي]],'چکهای دریافتنی'!A:A,0)),0)</f>
        <v>0</v>
      </c>
      <c r="F48" s="11">
        <f>Table224[[#This Row],[حسابهای دریافتنی]]+Table224[[#This Row],[چکهای در جریان وصول]]+Table224[[#This Row],[چکهای نزد صندوق]]</f>
        <v>15520000</v>
      </c>
      <c r="G48" s="12">
        <f>IFERROR(INDEX('مانده سوفاله'!F:F,MATCH(Table224[[#This Row],[كد تفصيلي]],'مانده سوفاله'!A:A,0)),0)</f>
        <v>0</v>
      </c>
    </row>
    <row r="49" spans="1:7" ht="26.25" customHeight="1" x14ac:dyDescent="0.35">
      <c r="A49" s="75">
        <v>10007</v>
      </c>
      <c r="B49" s="72" t="s">
        <v>14</v>
      </c>
      <c r="C49" s="10">
        <f>IFERROR(INDEX('حسابهای دریافتنی'!H:H,MATCH(Table224[[#This Row],[كد تفصيلي]],'حسابهای دریافتنی'!A:A,0)),0)</f>
        <v>12770000</v>
      </c>
      <c r="D49" s="11">
        <f>IFERROR(INDEX('درجریان وصول'!F:F,MATCH(Table224[[#This Row],[كد تفصيلي]],'درجریان وصول'!A:A,0)),0)</f>
        <v>0</v>
      </c>
      <c r="E49" s="11">
        <f>IFERROR(INDEX('چکهای دریافتنی'!F:F,MATCH(Table224[[#This Row],[كد تفصيلي]],'چکهای دریافتنی'!A:A,0)),0)</f>
        <v>0</v>
      </c>
      <c r="F49" s="11">
        <f>Table224[[#This Row],[حسابهای دریافتنی]]+Table224[[#This Row],[چکهای در جریان وصول]]+Table224[[#This Row],[چکهای نزد صندوق]]</f>
        <v>12770000</v>
      </c>
      <c r="G49" s="12">
        <f>IFERROR(INDEX('مانده سوفاله'!F:F,MATCH(Table224[[#This Row],[كد تفصيلي]],'مانده سوفاله'!A:A,0)),0)</f>
        <v>-52.5</v>
      </c>
    </row>
    <row r="50" spans="1:7" ht="26.25" customHeight="1" x14ac:dyDescent="0.35">
      <c r="A50" s="75">
        <v>10105</v>
      </c>
      <c r="B50" s="72" t="s">
        <v>294</v>
      </c>
      <c r="C50" s="10">
        <f>IFERROR(INDEX('حسابهای دریافتنی'!H:H,MATCH(Table224[[#This Row],[كد تفصيلي]],'حسابهای دریافتنی'!A:A,0)),0)</f>
        <v>7630000</v>
      </c>
      <c r="D50" s="11">
        <f>IFERROR(INDEX('درجریان وصول'!F:F,MATCH(Table224[[#This Row],[كد تفصيلي]],'درجریان وصول'!A:A,0)),0)</f>
        <v>0</v>
      </c>
      <c r="E50" s="11">
        <f>IFERROR(INDEX('چکهای دریافتنی'!F:F,MATCH(Table224[[#This Row],[كد تفصيلي]],'چکهای دریافتنی'!A:A,0)),0)</f>
        <v>0</v>
      </c>
      <c r="F50" s="11">
        <f>Table224[[#This Row],[حسابهای دریافتنی]]+Table224[[#This Row],[چکهای در جریان وصول]]+Table224[[#This Row],[چکهای نزد صندوق]]</f>
        <v>7630000</v>
      </c>
      <c r="G50" s="12">
        <f>IFERROR(INDEX('مانده سوفاله'!F:F,MATCH(Table224[[#This Row],[كد تفصيلي]],'مانده سوفاله'!A:A,0)),0)</f>
        <v>0</v>
      </c>
    </row>
    <row r="51" spans="1:7" ht="26.25" customHeight="1" x14ac:dyDescent="0.35">
      <c r="A51" s="75">
        <v>30156</v>
      </c>
      <c r="B51" s="72" t="s">
        <v>290</v>
      </c>
      <c r="C51" s="10">
        <f>IFERROR(INDEX('حسابهای دریافتنی'!H:H,MATCH(Table224[[#This Row],[كد تفصيلي]],'حسابهای دریافتنی'!A:A,0)),0)</f>
        <v>-180917500</v>
      </c>
      <c r="D51" s="11">
        <f>IFERROR(INDEX('درجریان وصول'!F:F,MATCH(Table224[[#This Row],[كد تفصيلي]],'درجریان وصول'!A:A,0)),0)</f>
        <v>0</v>
      </c>
      <c r="E51" s="11">
        <f>IFERROR(INDEX('چکهای دریافتنی'!F:F,MATCH(Table224[[#This Row],[كد تفصيلي]],'چکهای دریافتنی'!A:A,0)),0)</f>
        <v>0</v>
      </c>
      <c r="F51" s="11">
        <f>Table224[[#This Row],[حسابهای دریافتنی]]+Table224[[#This Row],[چکهای در جریان وصول]]+Table224[[#This Row],[چکهای نزد صندوق]]</f>
        <v>-180917500</v>
      </c>
      <c r="G51" s="12">
        <f>IFERROR(INDEX('مانده سوفاله'!F:F,MATCH(Table224[[#This Row],[كد تفصيلي]],'مانده سوفاله'!A:A,0)),0)</f>
        <v>0</v>
      </c>
    </row>
    <row r="52" spans="1:7" ht="26.25" customHeight="1" x14ac:dyDescent="0.35">
      <c r="A52" s="75">
        <v>10027</v>
      </c>
      <c r="B52" s="72" t="s">
        <v>33</v>
      </c>
      <c r="C52" s="10">
        <f>IFERROR(INDEX('حسابهای دریافتنی'!H:H,MATCH(Table224[[#This Row],[كد تفصيلي]],'حسابهای دریافتنی'!A:A,0)),0)</f>
        <v>33078340</v>
      </c>
      <c r="D52" s="11">
        <f>IFERROR(INDEX('درجریان وصول'!F:F,MATCH(Table224[[#This Row],[كد تفصيلي]],'درجریان وصول'!A:A,0)),0)</f>
        <v>0</v>
      </c>
      <c r="E52" s="11">
        <f>IFERROR(INDEX('چکهای دریافتنی'!F:F,MATCH(Table224[[#This Row],[كد تفصيلي]],'چکهای دریافتنی'!A:A,0)),0)</f>
        <v>1588359160</v>
      </c>
      <c r="F52" s="11">
        <f>Table224[[#This Row],[حسابهای دریافتنی]]+Table224[[#This Row],[چکهای در جریان وصول]]+Table224[[#This Row],[چکهای نزد صندوق]]</f>
        <v>1621437500</v>
      </c>
      <c r="G52" s="12">
        <f>IFERROR(INDEX('مانده سوفاله'!F:F,MATCH(Table224[[#This Row],[كد تفصيلي]],'مانده سوفاله'!A:A,0)),0)</f>
        <v>-647</v>
      </c>
    </row>
    <row r="53" spans="1:7" ht="26.25" customHeight="1" x14ac:dyDescent="0.35">
      <c r="A53" s="74">
        <v>30145</v>
      </c>
      <c r="B53" s="73" t="s">
        <v>265</v>
      </c>
      <c r="C53" s="10">
        <f>IFERROR(INDEX('حسابهای دریافتنی'!H:H,MATCH(Table224[[#This Row],[كد تفصيلي]],'حسابهای دریافتنی'!A:A,0)),0)</f>
        <v>6442500</v>
      </c>
      <c r="D53" s="11">
        <f>IFERROR(INDEX('درجریان وصول'!F:F,MATCH(Table224[[#This Row],[كد تفصيلي]],'درجریان وصول'!A:A,0)),0)</f>
        <v>0</v>
      </c>
      <c r="E53" s="11">
        <f>IFERROR(INDEX('چکهای دریافتنی'!F:F,MATCH(Table224[[#This Row],[كد تفصيلي]],'چکهای دریافتنی'!A:A,0)),0)</f>
        <v>0</v>
      </c>
      <c r="F53" s="11">
        <f>Table224[[#This Row],[حسابهای دریافتنی]]+Table224[[#This Row],[چکهای در جریان وصول]]+Table224[[#This Row],[چکهای نزد صندوق]]</f>
        <v>6442500</v>
      </c>
      <c r="G53" s="12">
        <f>IFERROR(INDEX('مانده سوفاله'!F:F,MATCH(Table224[[#This Row],[كد تفصيلي]],'مانده سوفاله'!A:A,0)),0)</f>
        <v>0</v>
      </c>
    </row>
    <row r="54" spans="1:7" ht="26.25" customHeight="1" x14ac:dyDescent="0.35">
      <c r="A54" s="75">
        <v>30047</v>
      </c>
      <c r="B54" s="72" t="s">
        <v>94</v>
      </c>
      <c r="C54" s="10">
        <f>IFERROR(INDEX('حسابهای دریافتنی'!H:H,MATCH(Table224[[#This Row],[كد تفصيلي]],'حسابهای دریافتنی'!A:A,0)),0)</f>
        <v>5794900</v>
      </c>
      <c r="D54" s="11">
        <f>IFERROR(INDEX('درجریان وصول'!F:F,MATCH(Table224[[#This Row],[كد تفصيلي]],'درجریان وصول'!A:A,0)),0)</f>
        <v>0</v>
      </c>
      <c r="E54" s="11">
        <f>IFERROR(INDEX('چکهای دریافتنی'!F:F,MATCH(Table224[[#This Row],[كد تفصيلي]],'چکهای دریافتنی'!A:A,0)),0)</f>
        <v>0</v>
      </c>
      <c r="F54" s="11">
        <f>Table224[[#This Row],[حسابهای دریافتنی]]+Table224[[#This Row],[چکهای در جریان وصول]]+Table224[[#This Row],[چکهای نزد صندوق]]</f>
        <v>5794900</v>
      </c>
      <c r="G54" s="12">
        <f>IFERROR(INDEX('مانده سوفاله'!F:F,MATCH(Table224[[#This Row],[كد تفصيلي]],'مانده سوفاله'!A:A,0)),0)</f>
        <v>-630</v>
      </c>
    </row>
    <row r="55" spans="1:7" ht="26.25" customHeight="1" x14ac:dyDescent="0.35">
      <c r="A55" s="75">
        <v>30011</v>
      </c>
      <c r="B55" s="72" t="s">
        <v>60</v>
      </c>
      <c r="C55" s="10">
        <f>IFERROR(INDEX('حسابهای دریافتنی'!H:H,MATCH(Table224[[#This Row],[كد تفصيلي]],'حسابهای دریافتنی'!A:A,0)),0)</f>
        <v>5595200</v>
      </c>
      <c r="D55" s="11">
        <f>IFERROR(INDEX('درجریان وصول'!F:F,MATCH(Table224[[#This Row],[كد تفصيلي]],'درجریان وصول'!A:A,0)),0)</f>
        <v>0</v>
      </c>
      <c r="E55" s="11">
        <f>IFERROR(INDEX('چکهای دریافتنی'!F:F,MATCH(Table224[[#This Row],[كد تفصيلي]],'چکهای دریافتنی'!A:A,0)),0)</f>
        <v>0</v>
      </c>
      <c r="F55" s="11">
        <f>Table224[[#This Row],[حسابهای دریافتنی]]+Table224[[#This Row],[چکهای در جریان وصول]]+Table224[[#This Row],[چکهای نزد صندوق]]</f>
        <v>5595200</v>
      </c>
      <c r="G55" s="12">
        <f>IFERROR(INDEX('مانده سوفاله'!F:F,MATCH(Table224[[#This Row],[كد تفصيلي]],'مانده سوفاله'!A:A,0)),0)</f>
        <v>-5</v>
      </c>
    </row>
    <row r="56" spans="1:7" ht="26.25" customHeight="1" x14ac:dyDescent="0.35">
      <c r="A56" s="74">
        <v>10080</v>
      </c>
      <c r="B56" s="73" t="s">
        <v>214</v>
      </c>
      <c r="C56" s="10">
        <f>IFERROR(INDEX('حسابهای دریافتنی'!H:H,MATCH(Table224[[#This Row],[كد تفصيلي]],'حسابهای دریافتنی'!A:A,0)),0)</f>
        <v>5395000</v>
      </c>
      <c r="D56" s="11">
        <f>IFERROR(INDEX('درجریان وصول'!F:F,MATCH(Table224[[#This Row],[كد تفصيلي]],'درجریان وصول'!A:A,0)),0)</f>
        <v>0</v>
      </c>
      <c r="E56" s="11">
        <f>IFERROR(INDEX('چکهای دریافتنی'!F:F,MATCH(Table224[[#This Row],[كد تفصيلي]],'چکهای دریافتنی'!A:A,0)),0)</f>
        <v>0</v>
      </c>
      <c r="F56" s="11">
        <f>Table224[[#This Row],[حسابهای دریافتنی]]+Table224[[#This Row],[چکهای در جریان وصول]]+Table224[[#This Row],[چکهای نزد صندوق]]</f>
        <v>5395000</v>
      </c>
      <c r="G56" s="12">
        <f>IFERROR(INDEX('مانده سوفاله'!F:F,MATCH(Table224[[#This Row],[كد تفصيلي]],'مانده سوفاله'!A:A,0)),0)</f>
        <v>0</v>
      </c>
    </row>
    <row r="57" spans="1:7" ht="26.25" customHeight="1" x14ac:dyDescent="0.35">
      <c r="A57" s="75">
        <v>30114</v>
      </c>
      <c r="B57" s="72" t="s">
        <v>175</v>
      </c>
      <c r="C57" s="10">
        <f>IFERROR(INDEX('حسابهای دریافتنی'!H:H,MATCH(Table224[[#This Row],[كد تفصيلي]],'حسابهای دریافتنی'!A:A,0)),0)</f>
        <v>5385600</v>
      </c>
      <c r="D57" s="11">
        <f>IFERROR(INDEX('درجریان وصول'!F:F,MATCH(Table224[[#This Row],[كد تفصيلي]],'درجریان وصول'!A:A,0)),0)</f>
        <v>0</v>
      </c>
      <c r="E57" s="11">
        <f>IFERROR(INDEX('چکهای دریافتنی'!F:F,MATCH(Table224[[#This Row],[كد تفصيلي]],'چکهای دریافتنی'!A:A,0)),0)</f>
        <v>0</v>
      </c>
      <c r="F57" s="11">
        <f>Table224[[#This Row],[حسابهای دریافتنی]]+Table224[[#This Row],[چکهای در جریان وصول]]+Table224[[#This Row],[چکهای نزد صندوق]]</f>
        <v>5385600</v>
      </c>
      <c r="G57" s="12">
        <f>IFERROR(INDEX('مانده سوفاله'!F:F,MATCH(Table224[[#This Row],[كد تفصيلي]],'مانده سوفاله'!A:A,0)),0)</f>
        <v>0</v>
      </c>
    </row>
    <row r="58" spans="1:7" ht="26.25" customHeight="1" x14ac:dyDescent="0.35">
      <c r="A58" s="74">
        <v>30123</v>
      </c>
      <c r="B58" s="73" t="s">
        <v>208</v>
      </c>
      <c r="C58" s="10">
        <f>IFERROR(INDEX('حسابهای دریافتنی'!H:H,MATCH(Table224[[#This Row],[كد تفصيلي]],'حسابهای دریافتنی'!A:A,0)),0)</f>
        <v>4138250</v>
      </c>
      <c r="D58" s="11">
        <f>IFERROR(INDEX('درجریان وصول'!F:F,MATCH(Table224[[#This Row],[كد تفصيلي]],'درجریان وصول'!A:A,0)),0)</f>
        <v>0</v>
      </c>
      <c r="E58" s="11">
        <f>IFERROR(INDEX('چکهای دریافتنی'!F:F,MATCH(Table224[[#This Row],[كد تفصيلي]],'چکهای دریافتنی'!A:A,0)),0)</f>
        <v>0</v>
      </c>
      <c r="F58" s="11">
        <f>Table224[[#This Row],[حسابهای دریافتنی]]+Table224[[#This Row],[چکهای در جریان وصول]]+Table224[[#This Row],[چکهای نزد صندوق]]</f>
        <v>4138250</v>
      </c>
      <c r="G58" s="12">
        <f>IFERROR(INDEX('مانده سوفاله'!F:F,MATCH(Table224[[#This Row],[كد تفصيلي]],'مانده سوفاله'!A:A,0)),0)</f>
        <v>-20</v>
      </c>
    </row>
    <row r="59" spans="1:7" ht="26.25" customHeight="1" x14ac:dyDescent="0.35">
      <c r="A59" s="75">
        <v>10116</v>
      </c>
      <c r="B59" s="72" t="s">
        <v>321</v>
      </c>
      <c r="C59" s="10">
        <f>IFERROR(INDEX('حسابهای دریافتنی'!H:H,MATCH(Table224[[#This Row],[كد تفصيلي]],'حسابهای دریافتنی'!A:A,0)),0)</f>
        <v>3892500</v>
      </c>
      <c r="D59" s="11">
        <f>IFERROR(INDEX('درجریان وصول'!F:F,MATCH(Table224[[#This Row],[كد تفصيلي]],'درجریان وصول'!A:A,0)),0)</f>
        <v>0</v>
      </c>
      <c r="E59" s="11">
        <f>IFERROR(INDEX('چکهای دریافتنی'!F:F,MATCH(Table224[[#This Row],[كد تفصيلي]],'چکهای دریافتنی'!A:A,0)),0)</f>
        <v>0</v>
      </c>
      <c r="F59" s="11">
        <f>Table224[[#This Row],[حسابهای دریافتنی]]+Table224[[#This Row],[چکهای در جریان وصول]]+Table224[[#This Row],[چکهای نزد صندوق]]</f>
        <v>3892500</v>
      </c>
      <c r="G59" s="12">
        <f>IFERROR(INDEX('مانده سوفاله'!F:F,MATCH(Table224[[#This Row],[كد تفصيلي]],'مانده سوفاله'!A:A,0)),0)</f>
        <v>0</v>
      </c>
    </row>
    <row r="60" spans="1:7" ht="26.25" customHeight="1" x14ac:dyDescent="0.35">
      <c r="A60" s="74">
        <v>10030</v>
      </c>
      <c r="B60" s="73" t="s">
        <v>36</v>
      </c>
      <c r="C60" s="10">
        <f>IFERROR(INDEX('حسابهای دریافتنی'!H:H,MATCH(Table224[[#This Row],[كد تفصيلي]],'حسابهای دریافتنی'!A:A,0)),0)</f>
        <v>3272000</v>
      </c>
      <c r="D60" s="11">
        <f>IFERROR(INDEX('درجریان وصول'!F:F,MATCH(Table224[[#This Row],[كد تفصيلي]],'درجریان وصول'!A:A,0)),0)</f>
        <v>0</v>
      </c>
      <c r="E60" s="11">
        <f>IFERROR(INDEX('چکهای دریافتنی'!F:F,MATCH(Table224[[#This Row],[كد تفصيلي]],'چکهای دریافتنی'!A:A,0)),0)</f>
        <v>0</v>
      </c>
      <c r="F60" s="11">
        <f>Table224[[#This Row],[حسابهای دریافتنی]]+Table224[[#This Row],[چکهای در جریان وصول]]+Table224[[#This Row],[چکهای نزد صندوق]]</f>
        <v>3272000</v>
      </c>
      <c r="G60" s="12">
        <f>IFERROR(INDEX('مانده سوفاله'!F:F,MATCH(Table224[[#This Row],[كد تفصيلي]],'مانده سوفاله'!A:A,0)),0)</f>
        <v>-222</v>
      </c>
    </row>
    <row r="61" spans="1:7" ht="26.25" customHeight="1" x14ac:dyDescent="0.35">
      <c r="A61" s="75">
        <v>30178</v>
      </c>
      <c r="B61" s="72" t="s">
        <v>335</v>
      </c>
      <c r="C61" s="10">
        <f>IFERROR(INDEX('حسابهای دریافتنی'!H:H,MATCH(Table224[[#This Row],[كد تفصيلي]],'حسابهای دریافتنی'!A:A,0)),0)</f>
        <v>3040000</v>
      </c>
      <c r="D61" s="11">
        <f>IFERROR(INDEX('درجریان وصول'!F:F,MATCH(Table224[[#This Row],[كد تفصيلي]],'درجریان وصول'!A:A,0)),0)</f>
        <v>0</v>
      </c>
      <c r="E61" s="11">
        <f>IFERROR(INDEX('چکهای دریافتنی'!F:F,MATCH(Table224[[#This Row],[كد تفصيلي]],'چکهای دریافتنی'!A:A,0)),0)</f>
        <v>0</v>
      </c>
      <c r="F61" s="11">
        <f>Table224[[#This Row],[حسابهای دریافتنی]]+Table224[[#This Row],[چکهای در جریان وصول]]+Table224[[#This Row],[چکهای نزد صندوق]]</f>
        <v>3040000</v>
      </c>
      <c r="G61" s="12">
        <f>IFERROR(INDEX('مانده سوفاله'!F:F,MATCH(Table224[[#This Row],[كد تفصيلي]],'مانده سوفاله'!A:A,0)),0)</f>
        <v>0</v>
      </c>
    </row>
    <row r="62" spans="1:7" ht="26.25" customHeight="1" x14ac:dyDescent="0.35">
      <c r="A62" s="74">
        <v>30020</v>
      </c>
      <c r="B62" s="73" t="s">
        <v>68</v>
      </c>
      <c r="C62" s="10">
        <f>IFERROR(INDEX('حسابهای دریافتنی'!H:H,MATCH(Table224[[#This Row],[كد تفصيلي]],'حسابهای دریافتنی'!A:A,0)),0)</f>
        <v>2253500</v>
      </c>
      <c r="D62" s="11">
        <f>IFERROR(INDEX('درجریان وصول'!F:F,MATCH(Table224[[#This Row],[كد تفصيلي]],'درجریان وصول'!A:A,0)),0)</f>
        <v>0</v>
      </c>
      <c r="E62" s="11">
        <f>IFERROR(INDEX('چکهای دریافتنی'!F:F,MATCH(Table224[[#This Row],[كد تفصيلي]],'چکهای دریافتنی'!A:A,0)),0)</f>
        <v>0</v>
      </c>
      <c r="F62" s="11">
        <f>Table224[[#This Row],[حسابهای دریافتنی]]+Table224[[#This Row],[چکهای در جریان وصول]]+Table224[[#This Row],[چکهای نزد صندوق]]</f>
        <v>2253500</v>
      </c>
      <c r="G62" s="12">
        <f>IFERROR(INDEX('مانده سوفاله'!F:F,MATCH(Table224[[#This Row],[كد تفصيلي]],'مانده سوفاله'!A:A,0)),0)</f>
        <v>4</v>
      </c>
    </row>
    <row r="63" spans="1:7" ht="26.25" customHeight="1" x14ac:dyDescent="0.35">
      <c r="A63" s="75">
        <v>30084</v>
      </c>
      <c r="B63" s="72" t="s">
        <v>129</v>
      </c>
      <c r="C63" s="10">
        <f>IFERROR(INDEX('حسابهای دریافتنی'!H:H,MATCH(Table224[[#This Row],[كد تفصيلي]],'حسابهای دریافتنی'!A:A,0)),0)</f>
        <v>1220000</v>
      </c>
      <c r="D63" s="11">
        <f>IFERROR(INDEX('درجریان وصول'!F:F,MATCH(Table224[[#This Row],[كد تفصيلي]],'درجریان وصول'!A:A,0)),0)</f>
        <v>0</v>
      </c>
      <c r="E63" s="11">
        <f>IFERROR(INDEX('چکهای دریافتنی'!F:F,MATCH(Table224[[#This Row],[كد تفصيلي]],'چکهای دریافتنی'!A:A,0)),0)</f>
        <v>0</v>
      </c>
      <c r="F63" s="11">
        <f>Table224[[#This Row],[حسابهای دریافتنی]]+Table224[[#This Row],[چکهای در جریان وصول]]+Table224[[#This Row],[چکهای نزد صندوق]]</f>
        <v>1220000</v>
      </c>
      <c r="G63" s="12">
        <f>IFERROR(INDEX('مانده سوفاله'!F:F,MATCH(Table224[[#This Row],[كد تفصيلي]],'مانده سوفاله'!A:A,0)),0)</f>
        <v>0</v>
      </c>
    </row>
    <row r="64" spans="1:7" ht="26.25" customHeight="1" x14ac:dyDescent="0.35">
      <c r="A64" s="74">
        <v>10048</v>
      </c>
      <c r="B64" s="73" t="s">
        <v>191</v>
      </c>
      <c r="C64" s="10">
        <f>IFERROR(INDEX('حسابهای دریافتنی'!H:H,MATCH(Table224[[#This Row],[كد تفصيلي]],'حسابهای دریافتنی'!A:A,0)),0)</f>
        <v>0</v>
      </c>
      <c r="D64" s="11">
        <f>IFERROR(INDEX('درجریان وصول'!F:F,MATCH(Table224[[#This Row],[كد تفصيلي]],'درجریان وصول'!A:A,0)),0)</f>
        <v>0</v>
      </c>
      <c r="E64" s="11">
        <f>IFERROR(INDEX('چکهای دریافتنی'!F:F,MATCH(Table224[[#This Row],[كد تفصيلي]],'چکهای دریافتنی'!A:A,0)),0)</f>
        <v>0</v>
      </c>
      <c r="F64" s="11">
        <f>Table224[[#This Row],[حسابهای دریافتنی]]+Table224[[#This Row],[چکهای در جریان وصول]]+Table224[[#This Row],[چکهای نزد صندوق]]</f>
        <v>0</v>
      </c>
      <c r="G64" s="12">
        <f>IFERROR(INDEX('مانده سوفاله'!F:F,MATCH(Table224[[#This Row],[كد تفصيلي]],'مانده سوفاله'!A:A,0)),0)</f>
        <v>-1097</v>
      </c>
    </row>
    <row r="65" spans="1:7" ht="26.25" customHeight="1" x14ac:dyDescent="0.35">
      <c r="A65" s="74">
        <v>79055</v>
      </c>
      <c r="B65" s="73" t="s">
        <v>297</v>
      </c>
      <c r="C65" s="10">
        <f>IFERROR(INDEX('حسابهای دریافتنی'!H:H,MATCH(Table224[[#This Row],[كد تفصيلي]],'حسابهای دریافتنی'!A:A,0)),0)</f>
        <v>896500</v>
      </c>
      <c r="D65" s="11">
        <f>IFERROR(INDEX('درجریان وصول'!F:F,MATCH(Table224[[#This Row],[كد تفصيلي]],'درجریان وصول'!A:A,0)),0)</f>
        <v>0</v>
      </c>
      <c r="E65" s="11">
        <f>IFERROR(INDEX('چکهای دریافتنی'!F:F,MATCH(Table224[[#This Row],[كد تفصيلي]],'چکهای دریافتنی'!A:A,0)),0)</f>
        <v>0</v>
      </c>
      <c r="F65" s="11">
        <f>Table224[[#This Row],[حسابهای دریافتنی]]+Table224[[#This Row],[چکهای در جریان وصول]]+Table224[[#This Row],[چکهای نزد صندوق]]</f>
        <v>896500</v>
      </c>
      <c r="G65" s="12">
        <f>IFERROR(INDEX('مانده سوفاله'!F:F,MATCH(Table224[[#This Row],[كد تفصيلي]],'مانده سوفاله'!A:A,0)),0)</f>
        <v>0</v>
      </c>
    </row>
    <row r="66" spans="1:7" ht="26.25" customHeight="1" x14ac:dyDescent="0.35">
      <c r="A66" s="74">
        <v>30030</v>
      </c>
      <c r="B66" s="73" t="s">
        <v>77</v>
      </c>
      <c r="C66" s="10">
        <f>IFERROR(INDEX('حسابهای دریافتنی'!H:H,MATCH(Table224[[#This Row],[كد تفصيلي]],'حسابهای دریافتنی'!A:A,0)),0)</f>
        <v>850500</v>
      </c>
      <c r="D66" s="11">
        <f>IFERROR(INDEX('درجریان وصول'!F:F,MATCH(Table224[[#This Row],[كد تفصيلي]],'درجریان وصول'!A:A,0)),0)</f>
        <v>0</v>
      </c>
      <c r="E66" s="11">
        <f>IFERROR(INDEX('چکهای دریافتنی'!F:F,MATCH(Table224[[#This Row],[كد تفصيلي]],'چکهای دریافتنی'!A:A,0)),0)</f>
        <v>0</v>
      </c>
      <c r="F66" s="11">
        <f>Table224[[#This Row],[حسابهای دریافتنی]]+Table224[[#This Row],[چکهای در جریان وصول]]+Table224[[#This Row],[چکهای نزد صندوق]]</f>
        <v>850500</v>
      </c>
      <c r="G66" s="12">
        <f>IFERROR(INDEX('مانده سوفاله'!F:F,MATCH(Table224[[#This Row],[كد تفصيلي]],'مانده سوفاله'!A:A,0)),0)</f>
        <v>-49</v>
      </c>
    </row>
    <row r="67" spans="1:7" ht="26.25" customHeight="1" x14ac:dyDescent="0.35">
      <c r="A67" s="74">
        <v>30129</v>
      </c>
      <c r="B67" s="73" t="s">
        <v>178</v>
      </c>
      <c r="C67" s="10">
        <f>IFERROR(INDEX('حسابهای دریافتنی'!H:H,MATCH(Table224[[#This Row],[كد تفصيلي]],'حسابهای دریافتنی'!A:A,0)),0)</f>
        <v>783000</v>
      </c>
      <c r="D67" s="11">
        <f>IFERROR(INDEX('درجریان وصول'!F:F,MATCH(Table224[[#This Row],[كد تفصيلي]],'درجریان وصول'!A:A,0)),0)</f>
        <v>0</v>
      </c>
      <c r="E67" s="11">
        <f>IFERROR(INDEX('چکهای دریافتنی'!F:F,MATCH(Table224[[#This Row],[كد تفصيلي]],'چکهای دریافتنی'!A:A,0)),0)</f>
        <v>0</v>
      </c>
      <c r="F67" s="11">
        <f>Table224[[#This Row],[حسابهای دریافتنی]]+Table224[[#This Row],[چکهای در جریان وصول]]+Table224[[#This Row],[چکهای نزد صندوق]]</f>
        <v>783000</v>
      </c>
      <c r="G67" s="12">
        <f>IFERROR(INDEX('مانده سوفاله'!F:F,MATCH(Table224[[#This Row],[كد تفصيلي]],'مانده سوفاله'!A:A,0)),0)</f>
        <v>0</v>
      </c>
    </row>
    <row r="68" spans="1:7" ht="26.25" customHeight="1" x14ac:dyDescent="0.35">
      <c r="A68" s="75">
        <v>30090</v>
      </c>
      <c r="B68" s="72" t="s">
        <v>144</v>
      </c>
      <c r="C68" s="10">
        <f>IFERROR(INDEX('حسابهای دریافتنی'!H:H,MATCH(Table224[[#This Row],[كد تفصيلي]],'حسابهای دریافتنی'!A:A,0)),0)</f>
        <v>640100</v>
      </c>
      <c r="D68" s="11">
        <f>IFERROR(INDEX('درجریان وصول'!F:F,MATCH(Table224[[#This Row],[كد تفصيلي]],'درجریان وصول'!A:A,0)),0)</f>
        <v>0</v>
      </c>
      <c r="E68" s="11">
        <f>IFERROR(INDEX('چکهای دریافتنی'!F:F,MATCH(Table224[[#This Row],[كد تفصيلي]],'چکهای دریافتنی'!A:A,0)),0)</f>
        <v>0</v>
      </c>
      <c r="F68" s="11">
        <f>Table224[[#This Row],[حسابهای دریافتنی]]+Table224[[#This Row],[چکهای در جریان وصول]]+Table224[[#This Row],[چکهای نزد صندوق]]</f>
        <v>640100</v>
      </c>
      <c r="G68" s="12">
        <f>IFERROR(INDEX('مانده سوفاله'!F:F,MATCH(Table224[[#This Row],[كد تفصيلي]],'مانده سوفاله'!A:A,0)),0)</f>
        <v>0</v>
      </c>
    </row>
    <row r="69" spans="1:7" ht="26.25" customHeight="1" x14ac:dyDescent="0.35">
      <c r="A69" s="74">
        <v>30109</v>
      </c>
      <c r="B69" s="73" t="s">
        <v>165</v>
      </c>
      <c r="C69" s="10">
        <f>IFERROR(INDEX('حسابهای دریافتنی'!H:H,MATCH(Table224[[#This Row],[كد تفصيلي]],'حسابهای دریافتنی'!A:A,0)),0)</f>
        <v>607300</v>
      </c>
      <c r="D69" s="11">
        <f>IFERROR(INDEX('درجریان وصول'!F:F,MATCH(Table224[[#This Row],[كد تفصيلي]],'درجریان وصول'!A:A,0)),0)</f>
        <v>0</v>
      </c>
      <c r="E69" s="11">
        <f>IFERROR(INDEX('چکهای دریافتنی'!F:F,MATCH(Table224[[#This Row],[كد تفصيلي]],'چکهای دریافتنی'!A:A,0)),0)</f>
        <v>0</v>
      </c>
      <c r="F69" s="11">
        <f>Table224[[#This Row],[حسابهای دریافتنی]]+Table224[[#This Row],[چکهای در جریان وصول]]+Table224[[#This Row],[چکهای نزد صندوق]]</f>
        <v>607300</v>
      </c>
      <c r="G69" s="12">
        <f>IFERROR(INDEX('مانده سوفاله'!F:F,MATCH(Table224[[#This Row],[كد تفصيلي]],'مانده سوفاله'!A:A,0)),0)</f>
        <v>0</v>
      </c>
    </row>
    <row r="70" spans="1:7" ht="26.25" customHeight="1" x14ac:dyDescent="0.35">
      <c r="A70" s="74">
        <v>10084</v>
      </c>
      <c r="B70" s="73" t="s">
        <v>217</v>
      </c>
      <c r="C70" s="10">
        <f>IFERROR(INDEX('حسابهای دریافتنی'!H:H,MATCH(Table224[[#This Row],[كد تفصيلي]],'حسابهای دریافتنی'!A:A,0)),0)</f>
        <v>358092810</v>
      </c>
      <c r="D70" s="11">
        <f>IFERROR(INDEX('درجریان وصول'!F:F,MATCH(Table224[[#This Row],[كد تفصيلي]],'درجریان وصول'!A:A,0)),0)</f>
        <v>0</v>
      </c>
      <c r="E70" s="11">
        <f>IFERROR(INDEX('چکهای دریافتنی'!F:F,MATCH(Table224[[#This Row],[كد تفصيلي]],'چکهای دریافتنی'!A:A,0)),0)</f>
        <v>870000000</v>
      </c>
      <c r="F70" s="11">
        <f>Table224[[#This Row],[حسابهای دریافتنی]]+Table224[[#This Row],[چکهای در جریان وصول]]+Table224[[#This Row],[چکهای نزد صندوق]]</f>
        <v>1228092810</v>
      </c>
      <c r="G70" s="12">
        <f>IFERROR(INDEX('مانده سوفاله'!F:F,MATCH(Table224[[#This Row],[كد تفصيلي]],'مانده سوفاله'!A:A,0)),0)</f>
        <v>-1656</v>
      </c>
    </row>
    <row r="71" spans="1:7" ht="26.25" customHeight="1" x14ac:dyDescent="0.35">
      <c r="A71" s="74">
        <v>30010</v>
      </c>
      <c r="B71" s="73" t="s">
        <v>59</v>
      </c>
      <c r="C71" s="10">
        <f>IFERROR(INDEX('حسابهای دریافتنی'!H:H,MATCH(Table224[[#This Row],[كد تفصيلي]],'حسابهای دریافتنی'!A:A,0)),0)</f>
        <v>366215</v>
      </c>
      <c r="D71" s="11">
        <f>IFERROR(INDEX('درجریان وصول'!F:F,MATCH(Table224[[#This Row],[كد تفصيلي]],'درجریان وصول'!A:A,0)),0)</f>
        <v>0</v>
      </c>
      <c r="E71" s="11">
        <f>IFERROR(INDEX('چکهای دریافتنی'!F:F,MATCH(Table224[[#This Row],[كد تفصيلي]],'چکهای دریافتنی'!A:A,0)),0)</f>
        <v>0</v>
      </c>
      <c r="F71" s="11">
        <f>Table224[[#This Row],[حسابهای دریافتنی]]+Table224[[#This Row],[چکهای در جریان وصول]]+Table224[[#This Row],[چکهای نزد صندوق]]</f>
        <v>366215</v>
      </c>
      <c r="G71" s="12">
        <f>IFERROR(INDEX('مانده سوفاله'!F:F,MATCH(Table224[[#This Row],[كد تفصيلي]],'مانده سوفاله'!A:A,0)),0)</f>
        <v>8</v>
      </c>
    </row>
    <row r="72" spans="1:7" ht="26.25" customHeight="1" x14ac:dyDescent="0.35">
      <c r="A72" s="75">
        <v>30027</v>
      </c>
      <c r="B72" s="72" t="s">
        <v>75</v>
      </c>
      <c r="C72" s="10">
        <f>IFERROR(INDEX('حسابهای دریافتنی'!H:H,MATCH(Table224[[#This Row],[كد تفصيلي]],'حسابهای دریافتنی'!A:A,0)),0)</f>
        <v>326950</v>
      </c>
      <c r="D72" s="11">
        <f>IFERROR(INDEX('درجریان وصول'!F:F,MATCH(Table224[[#This Row],[كد تفصيلي]],'درجریان وصول'!A:A,0)),0)</f>
        <v>0</v>
      </c>
      <c r="E72" s="11">
        <f>IFERROR(INDEX('چکهای دریافتنی'!F:F,MATCH(Table224[[#This Row],[كد تفصيلي]],'چکهای دریافتنی'!A:A,0)),0)</f>
        <v>0</v>
      </c>
      <c r="F72" s="11">
        <f>Table224[[#This Row],[حسابهای دریافتنی]]+Table224[[#This Row],[چکهای در جریان وصول]]+Table224[[#This Row],[چکهای نزد صندوق]]</f>
        <v>326950</v>
      </c>
      <c r="G72" s="12">
        <f>IFERROR(INDEX('مانده سوفاله'!F:F,MATCH(Table224[[#This Row],[كد تفصيلي]],'مانده سوفاله'!A:A,0)),0)</f>
        <v>0</v>
      </c>
    </row>
    <row r="73" spans="1:7" ht="26.25" customHeight="1" x14ac:dyDescent="0.35">
      <c r="A73" s="74">
        <v>30135</v>
      </c>
      <c r="B73" s="73" t="s">
        <v>179</v>
      </c>
      <c r="C73" s="10">
        <f>IFERROR(INDEX('حسابهای دریافتنی'!H:H,MATCH(Table224[[#This Row],[كد تفصيلي]],'حسابهای دریافتنی'!A:A,0)),0)</f>
        <v>195000</v>
      </c>
      <c r="D73" s="11">
        <f>IFERROR(INDEX('درجریان وصول'!F:F,MATCH(Table224[[#This Row],[كد تفصيلي]],'درجریان وصول'!A:A,0)),0)</f>
        <v>0</v>
      </c>
      <c r="E73" s="11">
        <f>IFERROR(INDEX('چکهای دریافتنی'!F:F,MATCH(Table224[[#This Row],[كد تفصيلي]],'چکهای دریافتنی'!A:A,0)),0)</f>
        <v>0</v>
      </c>
      <c r="F73" s="11">
        <f>Table224[[#This Row],[حسابهای دریافتنی]]+Table224[[#This Row],[چکهای در جریان وصول]]+Table224[[#This Row],[چکهای نزد صندوق]]</f>
        <v>195000</v>
      </c>
      <c r="G73" s="12">
        <f>IFERROR(INDEX('مانده سوفاله'!F:F,MATCH(Table224[[#This Row],[كد تفصيلي]],'مانده سوفاله'!A:A,0)),0)</f>
        <v>-5</v>
      </c>
    </row>
    <row r="74" spans="1:7" ht="26.25" customHeight="1" x14ac:dyDescent="0.35">
      <c r="A74" s="74">
        <v>10088</v>
      </c>
      <c r="B74" s="73" t="s">
        <v>254</v>
      </c>
      <c r="C74" s="10">
        <f>IFERROR(INDEX('حسابهای دریافتنی'!H:H,MATCH(Table224[[#This Row],[كد تفصيلي]],'حسابهای دریافتنی'!A:A,0)),0)</f>
        <v>113500</v>
      </c>
      <c r="D74" s="11">
        <f>IFERROR(INDEX('درجریان وصول'!F:F,MATCH(Table224[[#This Row],[كد تفصيلي]],'درجریان وصول'!A:A,0)),0)</f>
        <v>0</v>
      </c>
      <c r="E74" s="11">
        <f>IFERROR(INDEX('چکهای دریافتنی'!F:F,MATCH(Table224[[#This Row],[كد تفصيلي]],'چکهای دریافتنی'!A:A,0)),0)</f>
        <v>0</v>
      </c>
      <c r="F74" s="11">
        <f>Table224[[#This Row],[حسابهای دریافتنی]]+Table224[[#This Row],[چکهای در جریان وصول]]+Table224[[#This Row],[چکهای نزد صندوق]]</f>
        <v>113500</v>
      </c>
      <c r="G74" s="12">
        <f>IFERROR(INDEX('مانده سوفاله'!F:F,MATCH(Table224[[#This Row],[كد تفصيلي]],'مانده سوفاله'!A:A,0)),0)</f>
        <v>0</v>
      </c>
    </row>
    <row r="75" spans="1:7" ht="26.25" customHeight="1" x14ac:dyDescent="0.35">
      <c r="A75" s="75">
        <v>30124</v>
      </c>
      <c r="B75" s="72" t="s">
        <v>246</v>
      </c>
      <c r="C75" s="10">
        <f>IFERROR(INDEX('حسابهای دریافتنی'!H:H,MATCH(Table224[[#This Row],[كد تفصيلي]],'حسابهای دریافتنی'!A:A,0)),0)</f>
        <v>0</v>
      </c>
      <c r="D75" s="11">
        <f>IFERROR(INDEX('درجریان وصول'!F:F,MATCH(Table224[[#This Row],[كد تفصيلي]],'درجریان وصول'!A:A,0)),0)</f>
        <v>0</v>
      </c>
      <c r="E75" s="11">
        <f>IFERROR(INDEX('چکهای دریافتنی'!F:F,MATCH(Table224[[#This Row],[كد تفصيلي]],'چکهای دریافتنی'!A:A,0)),0)</f>
        <v>505676000</v>
      </c>
      <c r="F75" s="11">
        <f>Table224[[#This Row],[حسابهای دریافتنی]]+Table224[[#This Row],[چکهای در جریان وصول]]+Table224[[#This Row],[چکهای نزد صندوق]]</f>
        <v>505676000</v>
      </c>
      <c r="G75" s="12">
        <f>IFERROR(INDEX('مانده سوفاله'!F:F,MATCH(Table224[[#This Row],[كد تفصيلي]],'مانده سوفاله'!A:A,0)),0)</f>
        <v>1498</v>
      </c>
    </row>
    <row r="76" spans="1:7" ht="26.25" customHeight="1" x14ac:dyDescent="0.35">
      <c r="A76" s="75">
        <v>30019</v>
      </c>
      <c r="B76" s="72" t="s">
        <v>67</v>
      </c>
      <c r="C76" s="10">
        <f>IFERROR(INDEX('حسابهای دریافتنی'!H:H,MATCH(Table224[[#This Row],[كد تفصيلي]],'حسابهای دریافتنی'!A:A,0)),0)</f>
        <v>823484840</v>
      </c>
      <c r="D76" s="11">
        <f>IFERROR(INDEX('درجریان وصول'!F:F,MATCH(Table224[[#This Row],[كد تفصيلي]],'درجریان وصول'!A:A,0)),0)</f>
        <v>0</v>
      </c>
      <c r="E76" s="11">
        <f>IFERROR(INDEX('چکهای دریافتنی'!F:F,MATCH(Table224[[#This Row],[كد تفصيلي]],'چکهای دریافتنی'!A:A,0)),0)</f>
        <v>0</v>
      </c>
      <c r="F76" s="11">
        <f>Table224[[#This Row],[حسابهای دریافتنی]]+Table224[[#This Row],[چکهای در جریان وصول]]+Table224[[#This Row],[چکهای نزد صندوق]]</f>
        <v>823484840</v>
      </c>
      <c r="G76" s="12">
        <f>IFERROR(INDEX('مانده سوفاله'!F:F,MATCH(Table224[[#This Row],[كد تفصيلي]],'مانده سوفاله'!A:A,0)),0)</f>
        <v>612</v>
      </c>
    </row>
    <row r="77" spans="1:7" ht="26.25" customHeight="1" x14ac:dyDescent="0.35">
      <c r="A77" s="75">
        <v>10091</v>
      </c>
      <c r="B77" s="72" t="s">
        <v>258</v>
      </c>
      <c r="C77" s="10">
        <f>IFERROR(INDEX('حسابهای دریافتنی'!H:H,MATCH(Table224[[#This Row],[كد تفصيلي]],'حسابهای دریافتنی'!A:A,0)),0)</f>
        <v>59321500</v>
      </c>
      <c r="D77" s="11">
        <f>IFERROR(INDEX('درجریان وصول'!F:F,MATCH(Table224[[#This Row],[كد تفصيلي]],'درجریان وصول'!A:A,0)),0)</f>
        <v>0</v>
      </c>
      <c r="E77" s="11">
        <f>IFERROR(INDEX('چکهای دریافتنی'!F:F,MATCH(Table224[[#This Row],[كد تفصيلي]],'چکهای دریافتنی'!A:A,0)),0)</f>
        <v>0</v>
      </c>
      <c r="F77" s="11">
        <f>Table224[[#This Row],[حسابهای دریافتنی]]+Table224[[#This Row],[چکهای در جریان وصول]]+Table224[[#This Row],[چکهای نزد صندوق]]</f>
        <v>59321500</v>
      </c>
      <c r="G77" s="12">
        <f>IFERROR(INDEX('مانده سوفاله'!F:F,MATCH(Table224[[#This Row],[كد تفصيلي]],'مانده سوفاله'!A:A,0)),0)</f>
        <v>0</v>
      </c>
    </row>
    <row r="78" spans="1:7" ht="26.25" customHeight="1" x14ac:dyDescent="0.35">
      <c r="A78" s="74">
        <v>10010</v>
      </c>
      <c r="B78" s="73" t="s">
        <v>17</v>
      </c>
      <c r="C78" s="10">
        <f>IFERROR(INDEX('حسابهای دریافتنی'!H:H,MATCH(Table224[[#This Row],[كد تفصيلي]],'حسابهای دریافتنی'!A:A,0)),0)</f>
        <v>0</v>
      </c>
      <c r="D78" s="11">
        <f>IFERROR(INDEX('درجریان وصول'!F:F,MATCH(Table224[[#This Row],[كد تفصيلي]],'درجریان وصول'!A:A,0)),0)</f>
        <v>0</v>
      </c>
      <c r="E78" s="11">
        <f>IFERROR(INDEX('چکهای دریافتنی'!F:F,MATCH(Table224[[#This Row],[كد تفصيلي]],'چکهای دریافتنی'!A:A,0)),0)</f>
        <v>0</v>
      </c>
      <c r="F78" s="11">
        <f>Table224[[#This Row],[حسابهای دریافتنی]]+Table224[[#This Row],[چکهای در جریان وصول]]+Table224[[#This Row],[چکهای نزد صندوق]]</f>
        <v>0</v>
      </c>
      <c r="G78" s="12">
        <f>IFERROR(INDEX('مانده سوفاله'!F:F,MATCH(Table224[[#This Row],[كد تفصيلي]],'مانده سوفاله'!A:A,0)),0)</f>
        <v>8</v>
      </c>
    </row>
    <row r="79" spans="1:7" ht="26.25" customHeight="1" x14ac:dyDescent="0.35">
      <c r="A79" s="74">
        <v>10014</v>
      </c>
      <c r="B79" s="73" t="s">
        <v>21</v>
      </c>
      <c r="C79" s="10">
        <f>IFERROR(INDEX('حسابهای دریافتنی'!H:H,MATCH(Table224[[#This Row],[كد تفصيلي]],'حسابهای دریافتنی'!A:A,0)),0)</f>
        <v>0</v>
      </c>
      <c r="D79" s="11">
        <f>IFERROR(INDEX('درجریان وصول'!F:F,MATCH(Table224[[#This Row],[كد تفصيلي]],'درجریان وصول'!A:A,0)),0)</f>
        <v>0</v>
      </c>
      <c r="E79" s="11">
        <f>IFERROR(INDEX('چکهای دریافتنی'!F:F,MATCH(Table224[[#This Row],[كد تفصيلي]],'چکهای دریافتنی'!A:A,0)),0)</f>
        <v>0</v>
      </c>
      <c r="F79" s="11">
        <f>Table224[[#This Row],[حسابهای دریافتنی]]+Table224[[#This Row],[چکهای در جریان وصول]]+Table224[[#This Row],[چکهای نزد صندوق]]</f>
        <v>0</v>
      </c>
      <c r="G79" s="12">
        <f>IFERROR(INDEX('مانده سوفاله'!F:F,MATCH(Table224[[#This Row],[كد تفصيلي]],'مانده سوفاله'!A:A,0)),0)</f>
        <v>21</v>
      </c>
    </row>
    <row r="80" spans="1:7" ht="26.25" customHeight="1" x14ac:dyDescent="0.35">
      <c r="A80" s="75">
        <v>10023</v>
      </c>
      <c r="B80" s="72" t="s">
        <v>155</v>
      </c>
      <c r="C80" s="10">
        <f>IFERROR(INDEX('حسابهای دریافتنی'!H:H,MATCH(Table224[[#This Row],[كد تفصيلي]],'حسابهای دریافتنی'!A:A,0)),0)</f>
        <v>0</v>
      </c>
      <c r="D80" s="11">
        <f>IFERROR(INDEX('درجریان وصول'!F:F,MATCH(Table224[[#This Row],[كد تفصيلي]],'درجریان وصول'!A:A,0)),0)</f>
        <v>0</v>
      </c>
      <c r="E80" s="11">
        <f>IFERROR(INDEX('چکهای دریافتنی'!F:F,MATCH(Table224[[#This Row],[كد تفصيلي]],'چکهای دریافتنی'!A:A,0)),0)</f>
        <v>0</v>
      </c>
      <c r="F80" s="11">
        <f>Table224[[#This Row],[حسابهای دریافتنی]]+Table224[[#This Row],[چکهای در جریان وصول]]+Table224[[#This Row],[چکهای نزد صندوق]]</f>
        <v>0</v>
      </c>
      <c r="G80" s="12">
        <f>IFERROR(INDEX('مانده سوفاله'!F:F,MATCH(Table224[[#This Row],[كد تفصيلي]],'مانده سوفاله'!A:A,0)),0)</f>
        <v>6</v>
      </c>
    </row>
    <row r="81" spans="1:7" customFormat="1" ht="26.25" customHeight="1" x14ac:dyDescent="0.35">
      <c r="A81" s="76">
        <v>10039</v>
      </c>
      <c r="B81" s="72" t="s">
        <v>45</v>
      </c>
      <c r="C81" s="10">
        <f>IFERROR(INDEX('حسابهای دریافتنی'!H:H,MATCH(Table224[[#This Row],[كد تفصيلي]],'حسابهای دریافتنی'!A:A,0)),0)</f>
        <v>0</v>
      </c>
      <c r="D81" s="11">
        <f>IFERROR(INDEX('درجریان وصول'!F:F,MATCH(Table224[[#This Row],[كد تفصيلي]],'درجریان وصول'!A:A,0)),0)</f>
        <v>0</v>
      </c>
      <c r="E81" s="11">
        <f>IFERROR(INDEX('چکهای دریافتنی'!F:F,MATCH(Table224[[#This Row],[كد تفصيلي]],'چکهای دریافتنی'!A:A,0)),0)</f>
        <v>0</v>
      </c>
      <c r="F81" s="11">
        <f>Table224[[#This Row],[حسابهای دریافتنی]]+Table224[[#This Row],[چکهای در جریان وصول]]+Table224[[#This Row],[چکهای نزد صندوق]]</f>
        <v>0</v>
      </c>
      <c r="G81" s="12">
        <f>IFERROR(INDEX('مانده سوفاله'!F:F,MATCH(Table224[[#This Row],[كد تفصيلي]],'مانده سوفاله'!A:A,0)),0)</f>
        <v>4</v>
      </c>
    </row>
    <row r="82" spans="1:7" customFormat="1" ht="26.25" customHeight="1" x14ac:dyDescent="0.35">
      <c r="A82" s="77">
        <v>10046</v>
      </c>
      <c r="B82" s="73" t="s">
        <v>51</v>
      </c>
      <c r="C82" s="10">
        <f>IFERROR(INDEX('حسابهای دریافتنی'!H:H,MATCH(Table224[[#This Row],[كد تفصيلي]],'حسابهای دریافتنی'!A:A,0)),0)</f>
        <v>0</v>
      </c>
      <c r="D82" s="11">
        <f>IFERROR(INDEX('درجریان وصول'!F:F,MATCH(Table224[[#This Row],[كد تفصيلي]],'درجریان وصول'!A:A,0)),0)</f>
        <v>0</v>
      </c>
      <c r="E82" s="11">
        <f>IFERROR(INDEX('چکهای دریافتنی'!F:F,MATCH(Table224[[#This Row],[كد تفصيلي]],'چکهای دریافتنی'!A:A,0)),0)</f>
        <v>0</v>
      </c>
      <c r="F82" s="11">
        <f>Table224[[#This Row],[حسابهای دریافتنی]]+Table224[[#This Row],[چکهای در جریان وصول]]+Table224[[#This Row],[چکهای نزد صندوق]]</f>
        <v>0</v>
      </c>
      <c r="G82" s="12">
        <f>IFERROR(INDEX('مانده سوفاله'!F:F,MATCH(Table224[[#This Row],[كد تفصيلي]],'مانده سوفاله'!A:A,0)),0)</f>
        <v>118</v>
      </c>
    </row>
    <row r="83" spans="1:7" customFormat="1" ht="26.25" customHeight="1" x14ac:dyDescent="0.35">
      <c r="A83" s="76">
        <v>10065</v>
      </c>
      <c r="B83" s="72" t="s">
        <v>228</v>
      </c>
      <c r="C83" s="10">
        <f>IFERROR(INDEX('حسابهای دریافتنی'!H:H,MATCH(Table224[[#This Row],[كد تفصيلي]],'حسابهای دریافتنی'!A:A,0)),0)</f>
        <v>0</v>
      </c>
      <c r="D83" s="11">
        <f>IFERROR(INDEX('درجریان وصول'!F:F,MATCH(Table224[[#This Row],[كد تفصيلي]],'درجریان وصول'!A:A,0)),0)</f>
        <v>0</v>
      </c>
      <c r="E83" s="11">
        <f>IFERROR(INDEX('چکهای دریافتنی'!F:F,MATCH(Table224[[#This Row],[كد تفصيلي]],'چکهای دریافتنی'!A:A,0)),0)</f>
        <v>0</v>
      </c>
      <c r="F83" s="11">
        <f>Table224[[#This Row],[حسابهای دریافتنی]]+Table224[[#This Row],[چکهای در جریان وصول]]+Table224[[#This Row],[چکهای نزد صندوق]]</f>
        <v>0</v>
      </c>
      <c r="G83" s="12">
        <f>IFERROR(INDEX('مانده سوفاله'!F:F,MATCH(Table224[[#This Row],[كد تفصيلي]],'مانده سوفاله'!A:A,0)),0)</f>
        <v>127</v>
      </c>
    </row>
    <row r="84" spans="1:7" customFormat="1" ht="26.25" customHeight="1" x14ac:dyDescent="0.35">
      <c r="A84" s="77">
        <v>10076</v>
      </c>
      <c r="B84" s="73" t="s">
        <v>182</v>
      </c>
      <c r="C84" s="10">
        <f>IFERROR(INDEX('حسابهای دریافتنی'!H:H,MATCH(Table224[[#This Row],[كد تفصيلي]],'حسابهای دریافتنی'!A:A,0)),0)</f>
        <v>0</v>
      </c>
      <c r="D84" s="11">
        <f>IFERROR(INDEX('درجریان وصول'!F:F,MATCH(Table224[[#This Row],[كد تفصيلي]],'درجریان وصول'!A:A,0)),0)</f>
        <v>0</v>
      </c>
      <c r="E84" s="11">
        <f>IFERROR(INDEX('چکهای دریافتنی'!F:F,MATCH(Table224[[#This Row],[كد تفصيلي]],'چکهای دریافتنی'!A:A,0)),0)</f>
        <v>0</v>
      </c>
      <c r="F84" s="11">
        <f>Table224[[#This Row],[حسابهای دریافتنی]]+Table224[[#This Row],[چکهای در جریان وصول]]+Table224[[#This Row],[چکهای نزد صندوق]]</f>
        <v>0</v>
      </c>
      <c r="G84" s="12">
        <f>IFERROR(INDEX('مانده سوفاله'!F:F,MATCH(Table224[[#This Row],[كد تفصيلي]],'مانده سوفاله'!A:A,0)),0)</f>
        <v>-13</v>
      </c>
    </row>
    <row r="85" spans="1:7" customFormat="1" ht="26.25" customHeight="1" x14ac:dyDescent="0.35">
      <c r="A85" s="76">
        <v>30031</v>
      </c>
      <c r="B85" s="72" t="s">
        <v>78</v>
      </c>
      <c r="C85" s="10">
        <f>IFERROR(INDEX('حسابهای دریافتنی'!H:H,MATCH(Table224[[#This Row],[كد تفصيلي]],'حسابهای دریافتنی'!A:A,0)),0)</f>
        <v>0</v>
      </c>
      <c r="D85" s="11">
        <f>IFERROR(INDEX('درجریان وصول'!F:F,MATCH(Table224[[#This Row],[كد تفصيلي]],'درجریان وصول'!A:A,0)),0)</f>
        <v>0</v>
      </c>
      <c r="E85" s="11">
        <f>IFERROR(INDEX('چکهای دریافتنی'!F:F,MATCH(Table224[[#This Row],[كد تفصيلي]],'چکهای دریافتنی'!A:A,0)),0)</f>
        <v>0</v>
      </c>
      <c r="F85" s="11">
        <f>Table224[[#This Row],[حسابهای دریافتنی]]+Table224[[#This Row],[چکهای در جریان وصول]]+Table224[[#This Row],[چکهای نزد صندوق]]</f>
        <v>0</v>
      </c>
      <c r="G85" s="12">
        <f>IFERROR(INDEX('مانده سوفاله'!F:F,MATCH(Table224[[#This Row],[كد تفصيلي]],'مانده سوفاله'!A:A,0)),0)</f>
        <v>-1</v>
      </c>
    </row>
    <row r="86" spans="1:7" ht="26.25" customHeight="1" x14ac:dyDescent="0.35">
      <c r="A86" s="77">
        <v>30055</v>
      </c>
      <c r="B86" s="73" t="s">
        <v>100</v>
      </c>
      <c r="C86" s="10">
        <f>IFERROR(INDEX('حسابهای دریافتنی'!H:H,MATCH(Table224[[#This Row],[كد تفصيلي]],'حسابهای دریافتنی'!A:A,0)),0)</f>
        <v>0</v>
      </c>
      <c r="D86" s="11">
        <f>IFERROR(INDEX('درجریان وصول'!F:F,MATCH(Table224[[#This Row],[كد تفصيلي]],'درجریان وصول'!A:A,0)),0)</f>
        <v>0</v>
      </c>
      <c r="E86" s="11">
        <f>IFERROR(INDEX('چکهای دریافتنی'!F:F,MATCH(Table224[[#This Row],[كد تفصيلي]],'چکهای دریافتنی'!A:A,0)),0)</f>
        <v>0</v>
      </c>
      <c r="F86" s="11">
        <f>Table224[[#This Row],[حسابهای دریافتنی]]+Table224[[#This Row],[چکهای در جریان وصول]]+Table224[[#This Row],[چکهای نزد صندوق]]</f>
        <v>0</v>
      </c>
      <c r="G86" s="12">
        <f>IFERROR(INDEX('مانده سوفاله'!F:F,MATCH(Table224[[#This Row],[كد تفصيلي]],'مانده سوفاله'!A:A,0)),0)</f>
        <v>48</v>
      </c>
    </row>
    <row r="87" spans="1:7" ht="26.25" customHeight="1" x14ac:dyDescent="0.35">
      <c r="A87" s="74">
        <v>30065</v>
      </c>
      <c r="B87" s="73" t="s">
        <v>110</v>
      </c>
      <c r="C87" s="10">
        <f>IFERROR(INDEX('حسابهای دریافتنی'!H:H,MATCH(Table224[[#This Row],[كد تفصيلي]],'حسابهای دریافتنی'!A:A,0)),0)</f>
        <v>0</v>
      </c>
      <c r="D87" s="11">
        <f>IFERROR(INDEX('درجریان وصول'!F:F,MATCH(Table224[[#This Row],[كد تفصيلي]],'درجریان وصول'!A:A,0)),0)</f>
        <v>0</v>
      </c>
      <c r="E87" s="11">
        <f>IFERROR(INDEX('چکهای دریافتنی'!F:F,MATCH(Table224[[#This Row],[كد تفصيلي]],'چکهای دریافتنی'!A:A,0)),0)</f>
        <v>0</v>
      </c>
      <c r="F87" s="11">
        <f>Table224[[#This Row],[حسابهای دریافتنی]]+Table224[[#This Row],[چکهای در جریان وصول]]+Table224[[#This Row],[چکهای نزد صندوق]]</f>
        <v>0</v>
      </c>
      <c r="G87" s="12">
        <f>IFERROR(INDEX('مانده سوفاله'!F:F,MATCH(Table224[[#This Row],[كد تفصيلي]],'مانده سوفاله'!A:A,0)),0)</f>
        <v>33</v>
      </c>
    </row>
    <row r="88" spans="1:7" ht="26.25" customHeight="1" x14ac:dyDescent="0.35">
      <c r="A88" s="74">
        <v>30071</v>
      </c>
      <c r="B88" s="73" t="s">
        <v>116</v>
      </c>
      <c r="C88" s="10">
        <f>IFERROR(INDEX('حسابهای دریافتنی'!H:H,MATCH(Table224[[#This Row],[كد تفصيلي]],'حسابهای دریافتنی'!A:A,0)),0)</f>
        <v>0</v>
      </c>
      <c r="D88" s="11">
        <f>IFERROR(INDEX('درجریان وصول'!F:F,MATCH(Table224[[#This Row],[كد تفصيلي]],'درجریان وصول'!A:A,0)),0)</f>
        <v>0</v>
      </c>
      <c r="E88" s="11">
        <f>IFERROR(INDEX('چکهای دریافتنی'!F:F,MATCH(Table224[[#This Row],[كد تفصيلي]],'چکهای دریافتنی'!A:A,0)),0)</f>
        <v>0</v>
      </c>
      <c r="F88" s="11">
        <f>Table224[[#This Row],[حسابهای دریافتنی]]+Table224[[#This Row],[چکهای در جریان وصول]]+Table224[[#This Row],[چکهای نزد صندوق]]</f>
        <v>0</v>
      </c>
      <c r="G88" s="12">
        <f>IFERROR(INDEX('مانده سوفاله'!F:F,MATCH(Table224[[#This Row],[كد تفصيلي]],'مانده سوفاله'!A:A,0)),0)</f>
        <v>3</v>
      </c>
    </row>
    <row r="89" spans="1:7" ht="26.25" customHeight="1" x14ac:dyDescent="0.35">
      <c r="A89" s="74">
        <v>30079</v>
      </c>
      <c r="B89" s="73" t="s">
        <v>124</v>
      </c>
      <c r="C89" s="10">
        <f>IFERROR(INDEX('حسابهای دریافتنی'!H:H,MATCH(Table224[[#This Row],[كد تفصيلي]],'حسابهای دریافتنی'!A:A,0)),0)</f>
        <v>0</v>
      </c>
      <c r="D89" s="11">
        <f>IFERROR(INDEX('درجریان وصول'!F:F,MATCH(Table224[[#This Row],[كد تفصيلي]],'درجریان وصول'!A:A,0)),0)</f>
        <v>0</v>
      </c>
      <c r="E89" s="11">
        <f>IFERROR(INDEX('چکهای دریافتنی'!F:F,MATCH(Table224[[#This Row],[كد تفصيلي]],'چکهای دریافتنی'!A:A,0)),0)</f>
        <v>0</v>
      </c>
      <c r="F89" s="11">
        <f>Table224[[#This Row],[حسابهای دریافتنی]]+Table224[[#This Row],[چکهای در جریان وصول]]+Table224[[#This Row],[چکهای نزد صندوق]]</f>
        <v>0</v>
      </c>
      <c r="G89" s="12">
        <f>IFERROR(INDEX('مانده سوفاله'!F:F,MATCH(Table224[[#This Row],[كد تفصيلي]],'مانده سوفاله'!A:A,0)),0)</f>
        <v>-85</v>
      </c>
    </row>
    <row r="90" spans="1:7" ht="26.25" customHeight="1" x14ac:dyDescent="0.35">
      <c r="A90" s="74">
        <v>30097</v>
      </c>
      <c r="B90" s="73" t="s">
        <v>188</v>
      </c>
      <c r="C90" s="10">
        <f>IFERROR(INDEX('حسابهای دریافتنی'!H:H,MATCH(Table224[[#This Row],[كد تفصيلي]],'حسابهای دریافتنی'!A:A,0)),0)</f>
        <v>0</v>
      </c>
      <c r="D90" s="11">
        <f>IFERROR(INDEX('درجریان وصول'!F:F,MATCH(Table224[[#This Row],[كد تفصيلي]],'درجریان وصول'!A:A,0)),0)</f>
        <v>0</v>
      </c>
      <c r="E90" s="11">
        <f>IFERROR(INDEX('چکهای دریافتنی'!F:F,MATCH(Table224[[#This Row],[كد تفصيلي]],'چکهای دریافتنی'!A:A,0)),0)</f>
        <v>0</v>
      </c>
      <c r="F90" s="11">
        <f>Table224[[#This Row],[حسابهای دریافتنی]]+Table224[[#This Row],[چکهای در جریان وصول]]+Table224[[#This Row],[چکهای نزد صندوق]]</f>
        <v>0</v>
      </c>
      <c r="G90" s="12">
        <f>IFERROR(INDEX('مانده سوفاله'!F:F,MATCH(Table224[[#This Row],[كد تفصيلي]],'مانده سوفاله'!A:A,0)),0)</f>
        <v>-82</v>
      </c>
    </row>
    <row r="91" spans="1:7" ht="26.25" customHeight="1" x14ac:dyDescent="0.35">
      <c r="A91" s="75">
        <v>30118</v>
      </c>
      <c r="B91" s="72" t="s">
        <v>205</v>
      </c>
      <c r="C91" s="10">
        <f>IFERROR(INDEX('حسابهای دریافتنی'!H:H,MATCH(Table224[[#This Row],[كد تفصيلي]],'حسابهای دریافتنی'!A:A,0)),0)</f>
        <v>0</v>
      </c>
      <c r="D91" s="11">
        <f>IFERROR(INDEX('درجریان وصول'!F:F,MATCH(Table224[[#This Row],[كد تفصيلي]],'درجریان وصول'!A:A,0)),0)</f>
        <v>0</v>
      </c>
      <c r="E91" s="11">
        <f>IFERROR(INDEX('چکهای دریافتنی'!F:F,MATCH(Table224[[#This Row],[كد تفصيلي]],'چکهای دریافتنی'!A:A,0)),0)</f>
        <v>0</v>
      </c>
      <c r="F91" s="11">
        <f>Table224[[#This Row],[حسابهای دریافتنی]]+Table224[[#This Row],[چکهای در جریان وصول]]+Table224[[#This Row],[چکهای نزد صندوق]]</f>
        <v>0</v>
      </c>
      <c r="G91" s="12">
        <f>IFERROR(INDEX('مانده سوفاله'!F:F,MATCH(Table224[[#This Row],[كد تفصيلي]],'مانده سوفاله'!A:A,0)),0)</f>
        <v>-20</v>
      </c>
    </row>
    <row r="92" spans="1:7" ht="26.25" customHeight="1" x14ac:dyDescent="0.35">
      <c r="A92" s="74">
        <v>30137</v>
      </c>
      <c r="B92" s="73" t="s">
        <v>218</v>
      </c>
      <c r="C92" s="10">
        <f>IFERROR(INDEX('حسابهای دریافتنی'!H:H,MATCH(Table224[[#This Row],[كد تفصيلي]],'حسابهای دریافتنی'!A:A,0)),0)</f>
        <v>0</v>
      </c>
      <c r="D92" s="11">
        <f>IFERROR(INDEX('درجریان وصول'!F:F,MATCH(Table224[[#This Row],[كد تفصيلي]],'درجریان وصول'!A:A,0)),0)</f>
        <v>0</v>
      </c>
      <c r="E92" s="11">
        <f>IFERROR(INDEX('چکهای دریافتنی'!F:F,MATCH(Table224[[#This Row],[كد تفصيلي]],'چکهای دریافتنی'!A:A,0)),0)</f>
        <v>213182200</v>
      </c>
      <c r="F92" s="11">
        <f>Table224[[#This Row],[حسابهای دریافتنی]]+Table224[[#This Row],[چکهای در جریان وصول]]+Table224[[#This Row],[چکهای نزد صندوق]]</f>
        <v>213182200</v>
      </c>
      <c r="G92" s="12">
        <f>IFERROR(INDEX('مانده سوفاله'!F:F,MATCH(Table224[[#This Row],[كد تفصيلي]],'مانده سوفاله'!A:A,0)),0)</f>
        <v>0</v>
      </c>
    </row>
    <row r="93" spans="1:7" ht="26.25" customHeight="1" x14ac:dyDescent="0.35">
      <c r="A93" s="74">
        <v>30141</v>
      </c>
      <c r="B93" s="73" t="s">
        <v>261</v>
      </c>
      <c r="C93" s="10">
        <f>IFERROR(INDEX('حسابهای دریافتنی'!H:H,MATCH(Table224[[#This Row],[كد تفصيلي]],'حسابهای دریافتنی'!A:A,0)),0)</f>
        <v>0</v>
      </c>
      <c r="D93" s="11">
        <f>IFERROR(INDEX('درجریان وصول'!F:F,MATCH(Table224[[#This Row],[كد تفصيلي]],'درجریان وصول'!A:A,0)),0)</f>
        <v>0</v>
      </c>
      <c r="E93" s="11">
        <f>IFERROR(INDEX('چکهای دریافتنی'!F:F,MATCH(Table224[[#This Row],[كد تفصيلي]],'چکهای دریافتنی'!A:A,0)),0)</f>
        <v>0</v>
      </c>
      <c r="F93" s="11">
        <f>Table224[[#This Row],[حسابهای دریافتنی]]+Table224[[#This Row],[چکهای در جریان وصول]]+Table224[[#This Row],[چکهای نزد صندوق]]</f>
        <v>0</v>
      </c>
      <c r="G93" s="12">
        <f>IFERROR(INDEX('مانده سوفاله'!F:F,MATCH(Table224[[#This Row],[كد تفصيلي]],'مانده سوفاله'!A:A,0)),0)</f>
        <v>-42</v>
      </c>
    </row>
    <row r="94" spans="1:7" ht="26.25" customHeight="1" x14ac:dyDescent="0.35">
      <c r="A94" s="75">
        <v>30142</v>
      </c>
      <c r="B94" s="72" t="s">
        <v>263</v>
      </c>
      <c r="C94" s="10">
        <f>IFERROR(INDEX('حسابهای دریافتنی'!H:H,MATCH(Table224[[#This Row],[كد تفصيلي]],'حسابهای دریافتنی'!A:A,0)),0)</f>
        <v>0</v>
      </c>
      <c r="D94" s="11">
        <f>IFERROR(INDEX('درجریان وصول'!F:F,MATCH(Table224[[#This Row],[كد تفصيلي]],'درجریان وصول'!A:A,0)),0)</f>
        <v>0</v>
      </c>
      <c r="E94" s="11">
        <f>IFERROR(INDEX('چکهای دریافتنی'!F:F,MATCH(Table224[[#This Row],[كد تفصيلي]],'چکهای دریافتنی'!A:A,0)),0)</f>
        <v>0</v>
      </c>
      <c r="F94" s="11">
        <f>Table224[[#This Row],[حسابهای دریافتنی]]+Table224[[#This Row],[چکهای در جریان وصول]]+Table224[[#This Row],[چکهای نزد صندوق]]</f>
        <v>0</v>
      </c>
      <c r="G94" s="12">
        <f>IFERROR(INDEX('مانده سوفاله'!F:F,MATCH(Table224[[#This Row],[كد تفصيلي]],'مانده سوفاله'!A:A,0)),0)</f>
        <v>13</v>
      </c>
    </row>
    <row r="95" spans="1:7" ht="26.25" customHeight="1" x14ac:dyDescent="0.35">
      <c r="A95" s="75">
        <v>30160</v>
      </c>
      <c r="B95" s="72" t="s">
        <v>296</v>
      </c>
      <c r="C95" s="10">
        <f>IFERROR(INDEX('حسابهای دریافتنی'!H:H,MATCH(Table224[[#This Row],[كد تفصيلي]],'حسابهای دریافتنی'!A:A,0)),0)</f>
        <v>0</v>
      </c>
      <c r="D95" s="11">
        <f>IFERROR(INDEX('درجریان وصول'!F:F,MATCH(Table224[[#This Row],[كد تفصيلي]],'درجریان وصول'!A:A,0)),0)</f>
        <v>0</v>
      </c>
      <c r="E95" s="11">
        <f>IFERROR(INDEX('چکهای دریافتنی'!F:F,MATCH(Table224[[#This Row],[كد تفصيلي]],'چکهای دریافتنی'!A:A,0)),0)</f>
        <v>0</v>
      </c>
      <c r="F95" s="11">
        <f>Table224[[#This Row],[حسابهای دریافتنی]]+Table224[[#This Row],[چکهای در جریان وصول]]+Table224[[#This Row],[چکهای نزد صندوق]]</f>
        <v>0</v>
      </c>
      <c r="G95" s="12">
        <f>IFERROR(INDEX('مانده سوفاله'!F:F,MATCH(Table224[[#This Row],[كد تفصيلي]],'مانده سوفاله'!A:A,0)),0)</f>
        <v>-425</v>
      </c>
    </row>
    <row r="96" spans="1:7" ht="26.25" customHeight="1" x14ac:dyDescent="0.35">
      <c r="A96" s="74">
        <v>30187</v>
      </c>
      <c r="B96" s="73" t="s">
        <v>369</v>
      </c>
      <c r="C96" s="10">
        <f>IFERROR(INDEX('حسابهای دریافتنی'!H:H,MATCH(Table224[[#This Row],[كد تفصيلي]],'حسابهای دریافتنی'!A:A,0)),0)</f>
        <v>337825500</v>
      </c>
      <c r="D96" s="11">
        <f>IFERROR(INDEX('درجریان وصول'!F:F,MATCH(Table224[[#This Row],[كد تفصيلي]],'درجریان وصول'!A:A,0)),0)</f>
        <v>0</v>
      </c>
      <c r="E96" s="11">
        <f>IFERROR(INDEX('چکهای دریافتنی'!F:F,MATCH(Table224[[#This Row],[كد تفصيلي]],'چکهای دریافتنی'!A:A,0)),0)</f>
        <v>0</v>
      </c>
      <c r="F96" s="11">
        <f>Table224[[#This Row],[حسابهای دریافتنی]]+Table224[[#This Row],[چکهای در جریان وصول]]+Table224[[#This Row],[چکهای نزد صندوق]]</f>
        <v>337825500</v>
      </c>
      <c r="G96" s="12">
        <f>IFERROR(INDEX('مانده سوفاله'!F:F,MATCH(Table224[[#This Row],[كد تفصيلي]],'مانده سوفاله'!A:A,0)),0)</f>
        <v>-108</v>
      </c>
    </row>
    <row r="97" spans="1:7" ht="26.25" customHeight="1" x14ac:dyDescent="0.35">
      <c r="A97" s="74">
        <v>79010</v>
      </c>
      <c r="B97" s="73" t="s">
        <v>176</v>
      </c>
      <c r="C97" s="10">
        <f>IFERROR(INDEX('حسابهای دریافتنی'!H:H,MATCH(Table224[[#This Row],[كد تفصيلي]],'حسابهای دریافتنی'!A:A,0)),0)</f>
        <v>0</v>
      </c>
      <c r="D97" s="11">
        <f>IFERROR(INDEX('درجریان وصول'!F:F,MATCH(Table224[[#This Row],[كد تفصيلي]],'درجریان وصول'!A:A,0)),0)</f>
        <v>0</v>
      </c>
      <c r="E97" s="11">
        <f>IFERROR(INDEX('چکهای دریافتنی'!F:F,MATCH(Table224[[#This Row],[كد تفصيلي]],'چکهای دریافتنی'!A:A,0)),0)</f>
        <v>0</v>
      </c>
      <c r="F97" s="11">
        <f>Table224[[#This Row],[حسابهای دریافتنی]]+Table224[[#This Row],[چکهای در جریان وصول]]+Table224[[#This Row],[چکهای نزد صندوق]]</f>
        <v>0</v>
      </c>
      <c r="G97" s="12">
        <f>IFERROR(INDEX('مانده سوفاله'!F:F,MATCH(Table224[[#This Row],[كد تفصيلي]],'مانده سوفاله'!A:A,0)),0)</f>
        <v>-110</v>
      </c>
    </row>
    <row r="98" spans="1:7" ht="26.25" customHeight="1" x14ac:dyDescent="0.35">
      <c r="A98" s="75">
        <v>30174</v>
      </c>
      <c r="B98" s="72" t="s">
        <v>327</v>
      </c>
      <c r="C98" s="10">
        <f>IFERROR(INDEX('حسابهای دریافتنی'!H:H,MATCH(Table224[[#This Row],[كد تفصيلي]],'حسابهای دریافتنی'!A:A,0)),0)</f>
        <v>-5000</v>
      </c>
      <c r="D98" s="11">
        <f>IFERROR(INDEX('درجریان وصول'!F:F,MATCH(Table224[[#This Row],[كد تفصيلي]],'درجریان وصول'!A:A,0)),0)</f>
        <v>0</v>
      </c>
      <c r="E98" s="11">
        <f>IFERROR(INDEX('چکهای دریافتنی'!F:F,MATCH(Table224[[#This Row],[كد تفصيلي]],'چکهای دریافتنی'!A:A,0)),0)</f>
        <v>0</v>
      </c>
      <c r="F98" s="11">
        <f>Table224[[#This Row],[حسابهای دریافتنی]]+Table224[[#This Row],[چکهای در جریان وصول]]+Table224[[#This Row],[چکهای نزد صندوق]]</f>
        <v>-5000</v>
      </c>
      <c r="G98" s="12">
        <f>IFERROR(INDEX('مانده سوفاله'!F:F,MATCH(Table224[[#This Row],[كد تفصيلي]],'مانده سوفاله'!A:A,0)),0)</f>
        <v>0</v>
      </c>
    </row>
    <row r="99" spans="1:7" ht="26.25" customHeight="1" x14ac:dyDescent="0.35">
      <c r="A99" s="74">
        <v>30195</v>
      </c>
      <c r="B99" s="73" t="s">
        <v>477</v>
      </c>
      <c r="C99" s="10">
        <f>IFERROR(INDEX('حسابهای دریافتنی'!H:H,MATCH(Table224[[#This Row],[كد تفصيلي]],'حسابهای دریافتنی'!A:A,0)),0)</f>
        <v>-1861000</v>
      </c>
      <c r="D99" s="11">
        <f>IFERROR(INDEX('درجریان وصول'!F:F,MATCH(Table224[[#This Row],[كد تفصيلي]],'درجریان وصول'!A:A,0)),0)</f>
        <v>0</v>
      </c>
      <c r="E99" s="11">
        <f>IFERROR(INDEX('چکهای دریافتنی'!F:F,MATCH(Table224[[#This Row],[كد تفصيلي]],'چکهای دریافتنی'!A:A,0)),0)</f>
        <v>0</v>
      </c>
      <c r="F99" s="11">
        <f>Table224[[#This Row],[حسابهای دریافتنی]]+Table224[[#This Row],[چکهای در جریان وصول]]+Table224[[#This Row],[چکهای نزد صندوق]]</f>
        <v>-1861000</v>
      </c>
      <c r="G99" s="12">
        <f>IFERROR(INDEX('مانده سوفاله'!F:F,MATCH(Table224[[#This Row],[كد تفصيلي]],'مانده سوفاله'!A:A,0)),0)</f>
        <v>0</v>
      </c>
    </row>
    <row r="100" spans="1:7" ht="26.25" customHeight="1" x14ac:dyDescent="0.35">
      <c r="A100" s="74">
        <v>30026</v>
      </c>
      <c r="B100" s="73" t="s">
        <v>74</v>
      </c>
      <c r="C100" s="10">
        <f>IFERROR(INDEX('حسابهای دریافتنی'!H:H,MATCH(Table224[[#This Row],[كد تفصيلي]],'حسابهای دریافتنی'!A:A,0)),0)</f>
        <v>5689439</v>
      </c>
      <c r="D100" s="11">
        <f>IFERROR(INDEX('درجریان وصول'!F:F,MATCH(Table224[[#This Row],[كد تفصيلي]],'درجریان وصول'!A:A,0)),0)</f>
        <v>0</v>
      </c>
      <c r="E100" s="11">
        <f>IFERROR(INDEX('چکهای دریافتنی'!F:F,MATCH(Table224[[#This Row],[كد تفصيلي]],'چکهای دریافتنی'!A:A,0)),0)</f>
        <v>0</v>
      </c>
      <c r="F100" s="11">
        <f>Table224[[#This Row],[حسابهای دریافتنی]]+Table224[[#This Row],[چکهای در جریان وصول]]+Table224[[#This Row],[چکهای نزد صندوق]]</f>
        <v>5689439</v>
      </c>
      <c r="G100" s="12">
        <f>IFERROR(INDEX('مانده سوفاله'!F:F,MATCH(Table224[[#This Row],[كد تفصيلي]],'مانده سوفاله'!A:A,0)),0)</f>
        <v>764</v>
      </c>
    </row>
    <row r="101" spans="1:7" ht="26.25" customHeight="1" x14ac:dyDescent="0.35">
      <c r="A101" s="75">
        <v>10133</v>
      </c>
      <c r="B101" s="72" t="s">
        <v>465</v>
      </c>
      <c r="C101" s="10">
        <f>IFERROR(INDEX('حسابهای دریافتنی'!H:H,MATCH(Table224[[#This Row],[كد تفصيلي]],'حسابهای دریافتنی'!A:A,0)),0)</f>
        <v>-1249039000</v>
      </c>
      <c r="D101" s="11">
        <f>IFERROR(INDEX('درجریان وصول'!F:F,MATCH(Table224[[#This Row],[كد تفصيلي]],'درجریان وصول'!A:A,0)),0)</f>
        <v>0</v>
      </c>
      <c r="E101" s="11">
        <f>IFERROR(INDEX('چکهای دریافتنی'!F:F,MATCH(Table224[[#This Row],[كد تفصيلي]],'چکهای دریافتنی'!A:A,0)),0)</f>
        <v>0</v>
      </c>
      <c r="F101" s="11">
        <f>Table224[[#This Row],[حسابهای دریافتنی]]+Table224[[#This Row],[چکهای در جریان وصول]]+Table224[[#This Row],[چکهای نزد صندوق]]</f>
        <v>-1249039000</v>
      </c>
      <c r="G101" s="12">
        <f>IFERROR(INDEX('مانده سوفاله'!F:F,MATCH(Table224[[#This Row],[كد تفصيلي]],'مانده سوفاله'!A:A,0)),0)</f>
        <v>0</v>
      </c>
    </row>
    <row r="102" spans="1:7" ht="26.25" customHeight="1" x14ac:dyDescent="0.35">
      <c r="A102" s="74">
        <v>10109</v>
      </c>
      <c r="B102" s="73" t="s">
        <v>303</v>
      </c>
      <c r="C102" s="10">
        <f>IFERROR(INDEX('حسابهای دریافتنی'!H:H,MATCH(Table224[[#This Row],[كد تفصيلي]],'حسابهای دریافتنی'!A:A,0)),0)</f>
        <v>-1124737000</v>
      </c>
      <c r="D102" s="11">
        <f>IFERROR(INDEX('درجریان وصول'!F:F,MATCH(Table224[[#This Row],[كد تفصيلي]],'درجریان وصول'!A:A,0)),0)</f>
        <v>0</v>
      </c>
      <c r="E102" s="11">
        <f>IFERROR(INDEX('چکهای دریافتنی'!F:F,MATCH(Table224[[#This Row],[كد تفصيلي]],'چکهای دریافتنی'!A:A,0)),0)</f>
        <v>0</v>
      </c>
      <c r="F102" s="11">
        <f>Table224[[#This Row],[حسابهای دریافتنی]]+Table224[[#This Row],[چکهای در جریان وصول]]+Table224[[#This Row],[چکهای نزد صندوق]]</f>
        <v>-1124737000</v>
      </c>
      <c r="G102" s="12">
        <f>IFERROR(INDEX('مانده سوفاله'!F:F,MATCH(Table224[[#This Row],[كد تفصيلي]],'مانده سوفاله'!A:A,0)),0)</f>
        <v>-241</v>
      </c>
    </row>
    <row r="103" spans="1:7" ht="26.25" customHeight="1" x14ac:dyDescent="0.35">
      <c r="A103" s="75">
        <v>30021</v>
      </c>
      <c r="B103" s="72" t="s">
        <v>69</v>
      </c>
      <c r="C103" s="10">
        <f>IFERROR(INDEX('حسابهای دریافتنی'!H:H,MATCH(Table224[[#This Row],[كد تفصيلي]],'حسابهای دریافتنی'!A:A,0)),0)</f>
        <v>-122000</v>
      </c>
      <c r="D103" s="11">
        <f>IFERROR(INDEX('درجریان وصول'!F:F,MATCH(Table224[[#This Row],[كد تفصيلي]],'درجریان وصول'!A:A,0)),0)</f>
        <v>0</v>
      </c>
      <c r="E103" s="11">
        <f>IFERROR(INDEX('چکهای دریافتنی'!F:F,MATCH(Table224[[#This Row],[كد تفصيلي]],'چکهای دریافتنی'!A:A,0)),0)</f>
        <v>0</v>
      </c>
      <c r="F103" s="11">
        <f>Table224[[#This Row],[حسابهای دریافتنی]]+Table224[[#This Row],[چکهای در جریان وصول]]+Table224[[#This Row],[چکهای نزد صندوق]]</f>
        <v>-122000</v>
      </c>
      <c r="G103" s="12">
        <f>IFERROR(INDEX('مانده سوفاله'!F:F,MATCH(Table224[[#This Row],[كد تفصيلي]],'مانده سوفاله'!A:A,0)),0)</f>
        <v>0</v>
      </c>
    </row>
    <row r="104" spans="1:7" ht="26.25" customHeight="1" x14ac:dyDescent="0.35">
      <c r="A104" s="74">
        <v>10066</v>
      </c>
      <c r="B104" s="73" t="s">
        <v>262</v>
      </c>
      <c r="C104" s="10">
        <f>IFERROR(INDEX('حسابهای دریافتنی'!H:H,MATCH(Table224[[#This Row],[كد تفصيلي]],'حسابهای دریافتنی'!A:A,0)),0)</f>
        <v>-191500</v>
      </c>
      <c r="D104" s="11">
        <f>IFERROR(INDEX('درجریان وصول'!F:F,MATCH(Table224[[#This Row],[كد تفصيلي]],'درجریان وصول'!A:A,0)),0)</f>
        <v>0</v>
      </c>
      <c r="E104" s="11">
        <f>IFERROR(INDEX('چکهای دریافتنی'!F:F,MATCH(Table224[[#This Row],[كد تفصيلي]],'چکهای دریافتنی'!A:A,0)),0)</f>
        <v>0</v>
      </c>
      <c r="F104" s="11">
        <f>Table224[[#This Row],[حسابهای دریافتنی]]+Table224[[#This Row],[چکهای در جریان وصول]]+Table224[[#This Row],[چکهای نزد صندوق]]</f>
        <v>-191500</v>
      </c>
      <c r="G104" s="12">
        <f>IFERROR(INDEX('مانده سوفاله'!F:F,MATCH(Table224[[#This Row],[كد تفصيلي]],'مانده سوفاله'!A:A,0)),0)</f>
        <v>2</v>
      </c>
    </row>
    <row r="105" spans="1:7" ht="26.25" customHeight="1" x14ac:dyDescent="0.35">
      <c r="A105" s="74">
        <v>30167</v>
      </c>
      <c r="B105" s="73" t="s">
        <v>311</v>
      </c>
      <c r="C105" s="10">
        <f>IFERROR(INDEX('حسابهای دریافتنی'!H:H,MATCH(Table224[[#This Row],[كد تفصيلي]],'حسابهای دریافتنی'!A:A,0)),0)</f>
        <v>-221000</v>
      </c>
      <c r="D105" s="11">
        <f>IFERROR(INDEX('درجریان وصول'!F:F,MATCH(Table224[[#This Row],[كد تفصيلي]],'درجریان وصول'!A:A,0)),0)</f>
        <v>0</v>
      </c>
      <c r="E105" s="11">
        <f>IFERROR(INDEX('چکهای دریافتنی'!F:F,MATCH(Table224[[#This Row],[كد تفصيلي]],'چکهای دریافتنی'!A:A,0)),0)</f>
        <v>0</v>
      </c>
      <c r="F105" s="11">
        <f>Table224[[#This Row],[حسابهای دریافتنی]]+Table224[[#This Row],[چکهای در جریان وصول]]+Table224[[#This Row],[چکهای نزد صندوق]]</f>
        <v>-221000</v>
      </c>
      <c r="G105" s="12">
        <f>IFERROR(INDEX('مانده سوفاله'!F:F,MATCH(Table224[[#This Row],[كد تفصيلي]],'مانده سوفاله'!A:A,0)),0)</f>
        <v>6</v>
      </c>
    </row>
    <row r="106" spans="1:7" ht="26.25" customHeight="1" x14ac:dyDescent="0.35">
      <c r="A106" s="75">
        <v>10077</v>
      </c>
      <c r="B106" s="72" t="s">
        <v>210</v>
      </c>
      <c r="C106" s="10">
        <f>IFERROR(INDEX('حسابهای دریافتنی'!H:H,MATCH(Table224[[#This Row],[كد تفصيلي]],'حسابهای دریافتنی'!A:A,0)),0)</f>
        <v>-238500</v>
      </c>
      <c r="D106" s="11">
        <f>IFERROR(INDEX('درجریان وصول'!F:F,MATCH(Table224[[#This Row],[كد تفصيلي]],'درجریان وصول'!A:A,0)),0)</f>
        <v>0</v>
      </c>
      <c r="E106" s="11">
        <f>IFERROR(INDEX('چکهای دریافتنی'!F:F,MATCH(Table224[[#This Row],[كد تفصيلي]],'چکهای دریافتنی'!A:A,0)),0)</f>
        <v>0</v>
      </c>
      <c r="F106" s="11">
        <f>Table224[[#This Row],[حسابهای دریافتنی]]+Table224[[#This Row],[چکهای در جریان وصول]]+Table224[[#This Row],[چکهای نزد صندوق]]</f>
        <v>-238500</v>
      </c>
      <c r="G106" s="12">
        <f>IFERROR(INDEX('مانده سوفاله'!F:F,MATCH(Table224[[#This Row],[كد تفصيلي]],'مانده سوفاله'!A:A,0)),0)</f>
        <v>0</v>
      </c>
    </row>
    <row r="107" spans="1:7" ht="26.25" customHeight="1" x14ac:dyDescent="0.35">
      <c r="A107" s="74">
        <v>10012</v>
      </c>
      <c r="B107" s="73" t="s">
        <v>19</v>
      </c>
      <c r="C107" s="10">
        <f>IFERROR(INDEX('حسابهای دریافتنی'!H:H,MATCH(Table224[[#This Row],[كد تفصيلي]],'حسابهای دریافتنی'!A:A,0)),0)</f>
        <v>-244000</v>
      </c>
      <c r="D107" s="11">
        <f>IFERROR(INDEX('درجریان وصول'!F:F,MATCH(Table224[[#This Row],[كد تفصيلي]],'درجریان وصول'!A:A,0)),0)</f>
        <v>0</v>
      </c>
      <c r="E107" s="11">
        <f>IFERROR(INDEX('چکهای دریافتنی'!F:F,MATCH(Table224[[#This Row],[كد تفصيلي]],'چکهای دریافتنی'!A:A,0)),0)</f>
        <v>0</v>
      </c>
      <c r="F107" s="11">
        <f>Table224[[#This Row],[حسابهای دریافتنی]]+Table224[[#This Row],[چکهای در جریان وصول]]+Table224[[#This Row],[چکهای نزد صندوق]]</f>
        <v>-244000</v>
      </c>
      <c r="G107" s="12">
        <f>IFERROR(INDEX('مانده سوفاله'!F:F,MATCH(Table224[[#This Row],[كد تفصيلي]],'مانده سوفاله'!A:A,0)),0)</f>
        <v>0</v>
      </c>
    </row>
    <row r="108" spans="1:7" ht="26.25" customHeight="1" x14ac:dyDescent="0.35">
      <c r="A108" s="75">
        <v>30088</v>
      </c>
      <c r="B108" s="72" t="s">
        <v>142</v>
      </c>
      <c r="C108" s="10">
        <f>IFERROR(INDEX('حسابهای دریافتنی'!H:H,MATCH(Table224[[#This Row],[كد تفصيلي]],'حسابهای دریافتنی'!A:A,0)),0)</f>
        <v>-252000</v>
      </c>
      <c r="D108" s="11">
        <f>IFERROR(INDEX('درجریان وصول'!F:F,MATCH(Table224[[#This Row],[كد تفصيلي]],'درجریان وصول'!A:A,0)),0)</f>
        <v>0</v>
      </c>
      <c r="E108" s="11">
        <f>IFERROR(INDEX('چکهای دریافتنی'!F:F,MATCH(Table224[[#This Row],[كد تفصيلي]],'چکهای دریافتنی'!A:A,0)),0)</f>
        <v>0</v>
      </c>
      <c r="F108" s="11">
        <f>Table224[[#This Row],[حسابهای دریافتنی]]+Table224[[#This Row],[چکهای در جریان وصول]]+Table224[[#This Row],[چکهای نزد صندوق]]</f>
        <v>-252000</v>
      </c>
      <c r="G108" s="12">
        <f>IFERROR(INDEX('مانده سوفاله'!F:F,MATCH(Table224[[#This Row],[كد تفصيلي]],'مانده سوفاله'!A:A,0)),0)</f>
        <v>0</v>
      </c>
    </row>
    <row r="109" spans="1:7" ht="26.25" customHeight="1" x14ac:dyDescent="0.35">
      <c r="A109" s="75">
        <v>10045</v>
      </c>
      <c r="B109" s="72" t="s">
        <v>50</v>
      </c>
      <c r="C109" s="10">
        <f>IFERROR(INDEX('حسابهای دریافتنی'!H:H,MATCH(Table224[[#This Row],[كد تفصيلي]],'حسابهای دریافتنی'!A:A,0)),0)</f>
        <v>-383000</v>
      </c>
      <c r="D109" s="11">
        <f>IFERROR(INDEX('درجریان وصول'!F:F,MATCH(Table224[[#This Row],[كد تفصيلي]],'درجریان وصول'!A:A,0)),0)</f>
        <v>0</v>
      </c>
      <c r="E109" s="11">
        <f>IFERROR(INDEX('چکهای دریافتنی'!F:F,MATCH(Table224[[#This Row],[كد تفصيلي]],'چکهای دریافتنی'!A:A,0)),0)</f>
        <v>0</v>
      </c>
      <c r="F109" s="11">
        <f>Table224[[#This Row],[حسابهای دریافتنی]]+Table224[[#This Row],[چکهای در جریان وصول]]+Table224[[#This Row],[چکهای نزد صندوق]]</f>
        <v>-383000</v>
      </c>
      <c r="G109" s="12">
        <f>IFERROR(INDEX('مانده سوفاله'!F:F,MATCH(Table224[[#This Row],[كد تفصيلي]],'مانده سوفاله'!A:A,0)),0)</f>
        <v>-30</v>
      </c>
    </row>
    <row r="110" spans="1:7" ht="26.25" customHeight="1" x14ac:dyDescent="0.35">
      <c r="A110" s="75">
        <v>30051</v>
      </c>
      <c r="B110" s="72" t="s">
        <v>98</v>
      </c>
      <c r="C110" s="10">
        <f>IFERROR(INDEX('حسابهای دریافتنی'!H:H,MATCH(Table224[[#This Row],[كد تفصيلي]],'حسابهای دریافتنی'!A:A,0)),0)</f>
        <v>-384000</v>
      </c>
      <c r="D110" s="11">
        <f>IFERROR(INDEX('درجریان وصول'!F:F,MATCH(Table224[[#This Row],[كد تفصيلي]],'درجریان وصول'!A:A,0)),0)</f>
        <v>0</v>
      </c>
      <c r="E110" s="11">
        <f>IFERROR(INDEX('چکهای دریافتنی'!F:F,MATCH(Table224[[#This Row],[كد تفصيلي]],'چکهای دریافتنی'!A:A,0)),0)</f>
        <v>0</v>
      </c>
      <c r="F110" s="11">
        <f>Table224[[#This Row],[حسابهای دریافتنی]]+Table224[[#This Row],[چکهای در جریان وصول]]+Table224[[#This Row],[چکهای نزد صندوق]]</f>
        <v>-384000</v>
      </c>
      <c r="G110" s="12">
        <f>IFERROR(INDEX('مانده سوفاله'!F:F,MATCH(Table224[[#This Row],[كد تفصيلي]],'مانده سوفاله'!A:A,0)),0)</f>
        <v>0</v>
      </c>
    </row>
    <row r="111" spans="1:7" ht="26.25" customHeight="1" x14ac:dyDescent="0.35">
      <c r="A111" s="74">
        <v>30044</v>
      </c>
      <c r="B111" s="73" t="s">
        <v>91</v>
      </c>
      <c r="C111" s="10">
        <f>IFERROR(INDEX('حسابهای دریافتنی'!H:H,MATCH(Table224[[#This Row],[كد تفصيلي]],'حسابهای دریافتنی'!A:A,0)),0)</f>
        <v>-492500</v>
      </c>
      <c r="D111" s="11">
        <f>IFERROR(INDEX('درجریان وصول'!F:F,MATCH(Table224[[#This Row],[كد تفصيلي]],'درجریان وصول'!A:A,0)),0)</f>
        <v>0</v>
      </c>
      <c r="E111" s="11">
        <f>IFERROR(INDEX('چکهای دریافتنی'!F:F,MATCH(Table224[[#This Row],[كد تفصيلي]],'چکهای دریافتنی'!A:A,0)),0)</f>
        <v>0</v>
      </c>
      <c r="F111" s="11">
        <f>Table224[[#This Row],[حسابهای دریافتنی]]+Table224[[#This Row],[چکهای در جریان وصول]]+Table224[[#This Row],[چکهای نزد صندوق]]</f>
        <v>-492500</v>
      </c>
      <c r="G111" s="12">
        <f>IFERROR(INDEX('مانده سوفاله'!F:F,MATCH(Table224[[#This Row],[كد تفصيلي]],'مانده سوفاله'!A:A,0)),0)</f>
        <v>2</v>
      </c>
    </row>
    <row r="112" spans="1:7" ht="26.25" customHeight="1" x14ac:dyDescent="0.35">
      <c r="A112" s="75">
        <v>10095</v>
      </c>
      <c r="B112" s="72" t="s">
        <v>268</v>
      </c>
      <c r="C112" s="10">
        <f>IFERROR(INDEX('حسابهای دریافتنی'!H:H,MATCH(Table224[[#This Row],[كد تفصيلي]],'حسابهای دریافتنی'!A:A,0)),0)</f>
        <v>-496500</v>
      </c>
      <c r="D112" s="11">
        <f>IFERROR(INDEX('درجریان وصول'!F:F,MATCH(Table224[[#This Row],[كد تفصيلي]],'درجریان وصول'!A:A,0)),0)</f>
        <v>0</v>
      </c>
      <c r="E112" s="11">
        <f>IFERROR(INDEX('چکهای دریافتنی'!F:F,MATCH(Table224[[#This Row],[كد تفصيلي]],'چکهای دریافتنی'!A:A,0)),0)</f>
        <v>0</v>
      </c>
      <c r="F112" s="11">
        <f>Table224[[#This Row],[حسابهای دریافتنی]]+Table224[[#This Row],[چکهای در جریان وصول]]+Table224[[#This Row],[چکهای نزد صندوق]]</f>
        <v>-496500</v>
      </c>
      <c r="G112" s="12">
        <f>IFERROR(INDEX('مانده سوفاله'!F:F,MATCH(Table224[[#This Row],[كد تفصيلي]],'مانده سوفاله'!A:A,0)),0)</f>
        <v>0</v>
      </c>
    </row>
    <row r="113" spans="1:7" ht="26.25" customHeight="1" x14ac:dyDescent="0.35">
      <c r="A113" s="74">
        <v>30052</v>
      </c>
      <c r="B113" s="73" t="s">
        <v>149</v>
      </c>
      <c r="C113" s="10">
        <f>IFERROR(INDEX('حسابهای دریافتنی'!H:H,MATCH(Table224[[#This Row],[كد تفصيلي]],'حسابهای دریافتنی'!A:A,0)),0)</f>
        <v>-539000</v>
      </c>
      <c r="D113" s="11">
        <f>IFERROR(INDEX('درجریان وصول'!F:F,MATCH(Table224[[#This Row],[كد تفصيلي]],'درجریان وصول'!A:A,0)),0)</f>
        <v>0</v>
      </c>
      <c r="E113" s="11">
        <f>IFERROR(INDEX('چکهای دریافتنی'!F:F,MATCH(Table224[[#This Row],[كد تفصيلي]],'چکهای دریافتنی'!A:A,0)),0)</f>
        <v>0</v>
      </c>
      <c r="F113" s="11">
        <f>Table224[[#This Row],[حسابهای دریافتنی]]+Table224[[#This Row],[چکهای در جریان وصول]]+Table224[[#This Row],[چکهای نزد صندوق]]</f>
        <v>-539000</v>
      </c>
      <c r="G113" s="12">
        <f>IFERROR(INDEX('مانده سوفاله'!F:F,MATCH(Table224[[#This Row],[كد تفصيلي]],'مانده سوفاله'!A:A,0)),0)</f>
        <v>0</v>
      </c>
    </row>
    <row r="114" spans="1:7" ht="26.25" customHeight="1" x14ac:dyDescent="0.35">
      <c r="A114" s="75">
        <v>10061</v>
      </c>
      <c r="B114" s="72" t="s">
        <v>194</v>
      </c>
      <c r="C114" s="10">
        <f>IFERROR(INDEX('حسابهای دریافتنی'!H:H,MATCH(Table224[[#This Row],[كد تفصيلي]],'حسابهای دریافتنی'!A:A,0)),0)</f>
        <v>-565500</v>
      </c>
      <c r="D114" s="11">
        <f>IFERROR(INDEX('درجریان وصول'!F:F,MATCH(Table224[[#This Row],[كد تفصيلي]],'درجریان وصول'!A:A,0)),0)</f>
        <v>0</v>
      </c>
      <c r="E114" s="11">
        <f>IFERROR(INDEX('چکهای دریافتنی'!F:F,MATCH(Table224[[#This Row],[كد تفصيلي]],'چکهای دریافتنی'!A:A,0)),0)</f>
        <v>0</v>
      </c>
      <c r="F114" s="11">
        <f>Table224[[#This Row],[حسابهای دریافتنی]]+Table224[[#This Row],[چکهای در جریان وصول]]+Table224[[#This Row],[چکهای نزد صندوق]]</f>
        <v>-565500</v>
      </c>
      <c r="G114" s="12">
        <f>IFERROR(INDEX('مانده سوفاله'!F:F,MATCH(Table224[[#This Row],[كد تفصيلي]],'مانده سوفاله'!A:A,0)),0)</f>
        <v>0</v>
      </c>
    </row>
    <row r="115" spans="1:7" ht="26.25" customHeight="1" x14ac:dyDescent="0.35">
      <c r="A115" s="75">
        <v>10118</v>
      </c>
      <c r="B115" s="72" t="s">
        <v>334</v>
      </c>
      <c r="C115" s="10">
        <f>IFERROR(INDEX('حسابهای دریافتنی'!H:H,MATCH(Table224[[#This Row],[كد تفصيلي]],'حسابهای دریافتنی'!A:A,0)),0)</f>
        <v>-587500</v>
      </c>
      <c r="D115" s="11">
        <f>IFERROR(INDEX('درجریان وصول'!F:F,MATCH(Table224[[#This Row],[كد تفصيلي]],'درجریان وصول'!A:A,0)),0)</f>
        <v>0</v>
      </c>
      <c r="E115" s="11">
        <f>IFERROR(INDEX('چکهای دریافتنی'!F:F,MATCH(Table224[[#This Row],[كد تفصيلي]],'چکهای دریافتنی'!A:A,0)),0)</f>
        <v>0</v>
      </c>
      <c r="F115" s="11">
        <f>Table224[[#This Row],[حسابهای دریافتنی]]+Table224[[#This Row],[چکهای در جریان وصول]]+Table224[[#This Row],[چکهای نزد صندوق]]</f>
        <v>-587500</v>
      </c>
      <c r="G115" s="12">
        <f>IFERROR(INDEX('مانده سوفاله'!F:F,MATCH(Table224[[#This Row],[كد تفصيلي]],'مانده سوفاله'!A:A,0)),0)</f>
        <v>0</v>
      </c>
    </row>
    <row r="116" spans="1:7" ht="26.25" customHeight="1" x14ac:dyDescent="0.35">
      <c r="A116" s="74">
        <v>10131</v>
      </c>
      <c r="B116" s="73" t="s">
        <v>457</v>
      </c>
      <c r="C116" s="10">
        <f>IFERROR(INDEX('حسابهای دریافتنی'!H:H,MATCH(Table224[[#This Row],[كد تفصيلي]],'حسابهای دریافتنی'!A:A,0)),0)</f>
        <v>-1194000</v>
      </c>
      <c r="D116" s="11">
        <f>IFERROR(INDEX('درجریان وصول'!F:F,MATCH(Table224[[#This Row],[كد تفصيلي]],'درجریان وصول'!A:A,0)),0)</f>
        <v>0</v>
      </c>
      <c r="E116" s="11">
        <f>IFERROR(INDEX('چکهای دریافتنی'!F:F,MATCH(Table224[[#This Row],[كد تفصيلي]],'چکهای دریافتنی'!A:A,0)),0)</f>
        <v>0</v>
      </c>
      <c r="F116" s="11">
        <f>Table224[[#This Row],[حسابهای دریافتنی]]+Table224[[#This Row],[چکهای در جریان وصول]]+Table224[[#This Row],[چکهای نزد صندوق]]</f>
        <v>-1194000</v>
      </c>
      <c r="G116" s="12">
        <f>IFERROR(INDEX('مانده سوفاله'!F:F,MATCH(Table224[[#This Row],[كد تفصيلي]],'مانده سوفاله'!A:A,0)),0)</f>
        <v>1</v>
      </c>
    </row>
    <row r="117" spans="1:7" ht="26.25" customHeight="1" x14ac:dyDescent="0.35">
      <c r="A117" s="75">
        <v>30112</v>
      </c>
      <c r="B117" s="72" t="s">
        <v>201</v>
      </c>
      <c r="C117" s="10">
        <f>IFERROR(INDEX('حسابهای دریافتنی'!H:H,MATCH(Table224[[#This Row],[كد تفصيلي]],'حسابهای دریافتنی'!A:A,0)),0)</f>
        <v>-720500</v>
      </c>
      <c r="D117" s="11">
        <f>IFERROR(INDEX('درجریان وصول'!F:F,MATCH(Table224[[#This Row],[كد تفصيلي]],'درجریان وصول'!A:A,0)),0)</f>
        <v>0</v>
      </c>
      <c r="E117" s="11">
        <f>IFERROR(INDEX('چکهای دریافتنی'!F:F,MATCH(Table224[[#This Row],[كد تفصيلي]],'چکهای دریافتنی'!A:A,0)),0)</f>
        <v>0</v>
      </c>
      <c r="F117" s="11">
        <f>Table224[[#This Row],[حسابهای دریافتنی]]+Table224[[#This Row],[چکهای در جریان وصول]]+Table224[[#This Row],[چکهای نزد صندوق]]</f>
        <v>-720500</v>
      </c>
      <c r="G117" s="12">
        <f>IFERROR(INDEX('مانده سوفاله'!F:F,MATCH(Table224[[#This Row],[كد تفصيلي]],'مانده سوفاله'!A:A,0)),0)</f>
        <v>36</v>
      </c>
    </row>
    <row r="118" spans="1:7" ht="26.25" customHeight="1" x14ac:dyDescent="0.35">
      <c r="A118" s="75">
        <v>10013</v>
      </c>
      <c r="B118" s="72" t="s">
        <v>20</v>
      </c>
      <c r="C118" s="10">
        <f>IFERROR(INDEX('حسابهای دریافتنی'!H:H,MATCH(Table224[[#This Row],[كد تفصيلي]],'حسابهای دریافتنی'!A:A,0)),0)</f>
        <v>-915000</v>
      </c>
      <c r="D118" s="11">
        <f>IFERROR(INDEX('درجریان وصول'!F:F,MATCH(Table224[[#This Row],[كد تفصيلي]],'درجریان وصول'!A:A,0)),0)</f>
        <v>0</v>
      </c>
      <c r="E118" s="11">
        <f>IFERROR(INDEX('چکهای دریافتنی'!F:F,MATCH(Table224[[#This Row],[كد تفصيلي]],'چکهای دریافتنی'!A:A,0)),0)</f>
        <v>0</v>
      </c>
      <c r="F118" s="11">
        <f>Table224[[#This Row],[حسابهای دریافتنی]]+Table224[[#This Row],[چکهای در جریان وصول]]+Table224[[#This Row],[چکهای نزد صندوق]]</f>
        <v>-915000</v>
      </c>
      <c r="G118" s="12">
        <f>IFERROR(INDEX('مانده سوفاله'!F:F,MATCH(Table224[[#This Row],[كد تفصيلي]],'مانده سوفاله'!A:A,0)),0)</f>
        <v>0</v>
      </c>
    </row>
    <row r="119" spans="1:7" ht="26.25" customHeight="1" x14ac:dyDescent="0.35">
      <c r="A119" s="74">
        <v>10042</v>
      </c>
      <c r="B119" s="73" t="s">
        <v>47</v>
      </c>
      <c r="C119" s="10">
        <f>IFERROR(INDEX('حسابهای دریافتنی'!H:H,MATCH(Table224[[#This Row],[كد تفصيلي]],'حسابهای دریافتنی'!A:A,0)),0)</f>
        <v>-1120000</v>
      </c>
      <c r="D119" s="11">
        <f>IFERROR(INDEX('درجریان وصول'!F:F,MATCH(Table224[[#This Row],[كد تفصيلي]],'درجریان وصول'!A:A,0)),0)</f>
        <v>0</v>
      </c>
      <c r="E119" s="11">
        <f>IFERROR(INDEX('چکهای دریافتنی'!F:F,MATCH(Table224[[#This Row],[كد تفصيلي]],'چکهای دریافتنی'!A:A,0)),0)</f>
        <v>0</v>
      </c>
      <c r="F119" s="11">
        <f>Table224[[#This Row],[حسابهای دریافتنی]]+Table224[[#This Row],[چکهای در جریان وصول]]+Table224[[#This Row],[چکهای نزد صندوق]]</f>
        <v>-1120000</v>
      </c>
      <c r="G119" s="12">
        <f>IFERROR(INDEX('مانده سوفاله'!F:F,MATCH(Table224[[#This Row],[كد تفصيلي]],'مانده سوفاله'!A:A,0)),0)</f>
        <v>2</v>
      </c>
    </row>
    <row r="120" spans="1:7" ht="26.25" customHeight="1" x14ac:dyDescent="0.35">
      <c r="A120" s="74">
        <v>30032</v>
      </c>
      <c r="B120" s="73" t="s">
        <v>79</v>
      </c>
      <c r="C120" s="10">
        <f>IFERROR(INDEX('حسابهای دریافتنی'!H:H,MATCH(Table224[[#This Row],[كد تفصيلي]],'حسابهای دریافتنی'!A:A,0)),0)</f>
        <v>-1347000</v>
      </c>
      <c r="D120" s="11">
        <f>IFERROR(INDEX('درجریان وصول'!F:F,MATCH(Table224[[#This Row],[كد تفصيلي]],'درجریان وصول'!A:A,0)),0)</f>
        <v>0</v>
      </c>
      <c r="E120" s="11">
        <f>IFERROR(INDEX('چکهای دریافتنی'!F:F,MATCH(Table224[[#This Row],[كد تفصيلي]],'چکهای دریافتنی'!A:A,0)),0)</f>
        <v>0</v>
      </c>
      <c r="F120" s="11">
        <f>Table224[[#This Row],[حسابهای دریافتنی]]+Table224[[#This Row],[چکهای در جریان وصول]]+Table224[[#This Row],[چکهای نزد صندوق]]</f>
        <v>-1347000</v>
      </c>
      <c r="G120" s="12">
        <f>IFERROR(INDEX('مانده سوفاله'!F:F,MATCH(Table224[[#This Row],[كد تفصيلي]],'مانده سوفاله'!A:A,0)),0)</f>
        <v>0</v>
      </c>
    </row>
    <row r="121" spans="1:7" ht="26.25" customHeight="1" x14ac:dyDescent="0.35">
      <c r="A121" s="74">
        <v>30171</v>
      </c>
      <c r="B121" s="73" t="s">
        <v>322</v>
      </c>
      <c r="C121" s="10">
        <f>IFERROR(INDEX('حسابهای دریافتنی'!H:H,MATCH(Table224[[#This Row],[كد تفصيلي]],'حسابهای دریافتنی'!A:A,0)),0)</f>
        <v>-1500000</v>
      </c>
      <c r="D121" s="11">
        <f>IFERROR(INDEX('درجریان وصول'!F:F,MATCH(Table224[[#This Row],[كد تفصيلي]],'درجریان وصول'!A:A,0)),0)</f>
        <v>0</v>
      </c>
      <c r="E121" s="11">
        <f>IFERROR(INDEX('چکهای دریافتنی'!F:F,MATCH(Table224[[#This Row],[كد تفصيلي]],'چکهای دریافتنی'!A:A,0)),0)</f>
        <v>0</v>
      </c>
      <c r="F121" s="11">
        <f>Table224[[#This Row],[حسابهای دریافتنی]]+Table224[[#This Row],[چکهای در جریان وصول]]+Table224[[#This Row],[چکهای نزد صندوق]]</f>
        <v>-1500000</v>
      </c>
      <c r="G121" s="12">
        <f>IFERROR(INDEX('مانده سوفاله'!F:F,MATCH(Table224[[#This Row],[كد تفصيلي]],'مانده سوفاله'!A:A,0)),0)</f>
        <v>0</v>
      </c>
    </row>
    <row r="122" spans="1:7" ht="26.25" customHeight="1" x14ac:dyDescent="0.35">
      <c r="A122" s="75">
        <v>10103</v>
      </c>
      <c r="B122" s="72" t="s">
        <v>283</v>
      </c>
      <c r="C122" s="10">
        <f>IFERROR(INDEX('حسابهای دریافتنی'!H:H,MATCH(Table224[[#This Row],[كد تفصيلي]],'حسابهای دریافتنی'!A:A,0)),0)</f>
        <v>-1580000</v>
      </c>
      <c r="D122" s="11">
        <f>IFERROR(INDEX('درجریان وصول'!F:F,MATCH(Table224[[#This Row],[كد تفصيلي]],'درجریان وصول'!A:A,0)),0)</f>
        <v>0</v>
      </c>
      <c r="E122" s="11">
        <f>IFERROR(INDEX('چکهای دریافتنی'!F:F,MATCH(Table224[[#This Row],[كد تفصيلي]],'چکهای دریافتنی'!A:A,0)),0)</f>
        <v>0</v>
      </c>
      <c r="F122" s="11">
        <f>Table224[[#This Row],[حسابهای دریافتنی]]+Table224[[#This Row],[چکهای در جریان وصول]]+Table224[[#This Row],[چکهای نزد صندوق]]</f>
        <v>-1580000</v>
      </c>
      <c r="G122" s="12">
        <f>IFERROR(INDEX('مانده سوفاله'!F:F,MATCH(Table224[[#This Row],[كد تفصيلي]],'مانده سوفاله'!A:A,0)),0)</f>
        <v>0</v>
      </c>
    </row>
    <row r="123" spans="1:7" ht="26.25" customHeight="1" x14ac:dyDescent="0.35">
      <c r="A123" s="74">
        <v>10125</v>
      </c>
      <c r="B123" s="73" t="s">
        <v>345</v>
      </c>
      <c r="C123" s="10">
        <f>IFERROR(INDEX('حسابهای دریافتنی'!H:H,MATCH(Table224[[#This Row],[كد تفصيلي]],'حسابهای دریافتنی'!A:A,0)),0)</f>
        <v>-1650000</v>
      </c>
      <c r="D123" s="11">
        <f>IFERROR(INDEX('درجریان وصول'!F:F,MATCH(Table224[[#This Row],[كد تفصيلي]],'درجریان وصول'!A:A,0)),0)</f>
        <v>0</v>
      </c>
      <c r="E123" s="11">
        <f>IFERROR(INDEX('چکهای دریافتنی'!F:F,MATCH(Table224[[#This Row],[كد تفصيلي]],'چکهای دریافتنی'!A:A,0)),0)</f>
        <v>0</v>
      </c>
      <c r="F123" s="11">
        <f>Table224[[#This Row],[حسابهای دریافتنی]]+Table224[[#This Row],[چکهای در جریان وصول]]+Table224[[#This Row],[چکهای نزد صندوق]]</f>
        <v>-1650000</v>
      </c>
      <c r="G123" s="12">
        <f>IFERROR(INDEX('مانده سوفاله'!F:F,MATCH(Table224[[#This Row],[كد تفصيلي]],'مانده سوفاله'!A:A,0)),0)</f>
        <v>0</v>
      </c>
    </row>
    <row r="124" spans="1:7" ht="26.25" customHeight="1" x14ac:dyDescent="0.35">
      <c r="A124" s="75">
        <v>10110</v>
      </c>
      <c r="B124" s="72" t="s">
        <v>306</v>
      </c>
      <c r="C124" s="10">
        <f>IFERROR(INDEX('حسابهای دریافتنی'!H:H,MATCH(Table224[[#This Row],[كد تفصيلي]],'حسابهای دریافتنی'!A:A,0)),0)</f>
        <v>-1817500</v>
      </c>
      <c r="D124" s="11">
        <f>IFERROR(INDEX('درجریان وصول'!F:F,MATCH(Table224[[#This Row],[كد تفصيلي]],'درجریان وصول'!A:A,0)),0)</f>
        <v>0</v>
      </c>
      <c r="E124" s="11">
        <f>IFERROR(INDEX('چکهای دریافتنی'!F:F,MATCH(Table224[[#This Row],[كد تفصيلي]],'چکهای دریافتنی'!A:A,0)),0)</f>
        <v>0</v>
      </c>
      <c r="F124" s="11">
        <f>Table224[[#This Row],[حسابهای دریافتنی]]+Table224[[#This Row],[چکهای در جریان وصول]]+Table224[[#This Row],[چکهای نزد صندوق]]</f>
        <v>-1817500</v>
      </c>
      <c r="G124" s="12">
        <f>IFERROR(INDEX('مانده سوفاله'!F:F,MATCH(Table224[[#This Row],[كد تفصيلي]],'مانده سوفاله'!A:A,0)),0)</f>
        <v>7</v>
      </c>
    </row>
    <row r="125" spans="1:7" ht="26.25" customHeight="1" x14ac:dyDescent="0.35">
      <c r="A125" s="74">
        <v>30103</v>
      </c>
      <c r="B125" s="73" t="s">
        <v>240</v>
      </c>
      <c r="C125" s="10">
        <f>IFERROR(INDEX('حسابهای دریافتنی'!H:H,MATCH(Table224[[#This Row],[كد تفصيلي]],'حسابهای دریافتنی'!A:A,0)),0)</f>
        <v>-1820000</v>
      </c>
      <c r="D125" s="11">
        <f>IFERROR(INDEX('درجریان وصول'!F:F,MATCH(Table224[[#This Row],[كد تفصيلي]],'درجریان وصول'!A:A,0)),0)</f>
        <v>0</v>
      </c>
      <c r="E125" s="11">
        <f>IFERROR(INDEX('چکهای دریافتنی'!F:F,MATCH(Table224[[#This Row],[كد تفصيلي]],'چکهای دریافتنی'!A:A,0)),0)</f>
        <v>0</v>
      </c>
      <c r="F125" s="11">
        <f>Table224[[#This Row],[حسابهای دریافتنی]]+Table224[[#This Row],[چکهای در جریان وصول]]+Table224[[#This Row],[چکهای نزد صندوق]]</f>
        <v>-1820000</v>
      </c>
      <c r="G125" s="12">
        <f>IFERROR(INDEX('مانده سوفاله'!F:F,MATCH(Table224[[#This Row],[كد تفصيلي]],'مانده سوفاله'!A:A,0)),0)</f>
        <v>0</v>
      </c>
    </row>
    <row r="126" spans="1:7" ht="26.25" customHeight="1" x14ac:dyDescent="0.35">
      <c r="A126" s="75">
        <v>30128</v>
      </c>
      <c r="B126" s="72" t="s">
        <v>212</v>
      </c>
      <c r="C126" s="10">
        <f>IFERROR(INDEX('حسابهای دریافتنی'!H:H,MATCH(Table224[[#This Row],[كد تفصيلي]],'حسابهای دریافتنی'!A:A,0)),0)</f>
        <v>-2451320</v>
      </c>
      <c r="D126" s="11">
        <f>IFERROR(INDEX('درجریان وصول'!F:F,MATCH(Table224[[#This Row],[كد تفصيلي]],'درجریان وصول'!A:A,0)),0)</f>
        <v>0</v>
      </c>
      <c r="E126" s="11">
        <f>IFERROR(INDEX('چکهای دریافتنی'!F:F,MATCH(Table224[[#This Row],[كد تفصيلي]],'چکهای دریافتنی'!A:A,0)),0)</f>
        <v>0</v>
      </c>
      <c r="F126" s="11">
        <f>Table224[[#This Row],[حسابهای دریافتنی]]+Table224[[#This Row],[چکهای در جریان وصول]]+Table224[[#This Row],[چکهای نزد صندوق]]</f>
        <v>-2451320</v>
      </c>
      <c r="G126" s="12">
        <f>IFERROR(INDEX('مانده سوفاله'!F:F,MATCH(Table224[[#This Row],[كد تفصيلي]],'مانده سوفاله'!A:A,0)),0)</f>
        <v>0</v>
      </c>
    </row>
    <row r="127" spans="1:7" ht="26.25" customHeight="1" x14ac:dyDescent="0.35">
      <c r="A127" s="75">
        <v>30013</v>
      </c>
      <c r="B127" s="72" t="s">
        <v>62</v>
      </c>
      <c r="C127" s="10">
        <f>IFERROR(INDEX('حسابهای دریافتنی'!H:H,MATCH(Table224[[#This Row],[كد تفصيلي]],'حسابهای دریافتنی'!A:A,0)),0)</f>
        <v>-2744620</v>
      </c>
      <c r="D127" s="11">
        <f>IFERROR(INDEX('درجریان وصول'!F:F,MATCH(Table224[[#This Row],[كد تفصيلي]],'درجریان وصول'!A:A,0)),0)</f>
        <v>0</v>
      </c>
      <c r="E127" s="11">
        <f>IFERROR(INDEX('چکهای دریافتنی'!F:F,MATCH(Table224[[#This Row],[كد تفصيلي]],'چکهای دریافتنی'!A:A,0)),0)</f>
        <v>0</v>
      </c>
      <c r="F127" s="11">
        <f>Table224[[#This Row],[حسابهای دریافتنی]]+Table224[[#This Row],[چکهای در جریان وصول]]+Table224[[#This Row],[چکهای نزد صندوق]]</f>
        <v>-2744620</v>
      </c>
      <c r="G127" s="12">
        <f>IFERROR(INDEX('مانده سوفاله'!F:F,MATCH(Table224[[#This Row],[كد تفصيلي]],'مانده سوفاله'!A:A,0)),0)</f>
        <v>0</v>
      </c>
    </row>
    <row r="128" spans="1:7" ht="26.25" customHeight="1" x14ac:dyDescent="0.35">
      <c r="A128" s="75">
        <v>30015</v>
      </c>
      <c r="B128" s="72" t="s">
        <v>64</v>
      </c>
      <c r="C128" s="10">
        <f>IFERROR(INDEX('حسابهای دریافتنی'!H:H,MATCH(Table224[[#This Row],[كد تفصيلي]],'حسابهای دریافتنی'!A:A,0)),0)</f>
        <v>-3105895</v>
      </c>
      <c r="D128" s="11">
        <f>IFERROR(INDEX('درجریان وصول'!F:F,MATCH(Table224[[#This Row],[كد تفصيلي]],'درجریان وصول'!A:A,0)),0)</f>
        <v>0</v>
      </c>
      <c r="E128" s="11">
        <f>IFERROR(INDEX('چکهای دریافتنی'!F:F,MATCH(Table224[[#This Row],[كد تفصيلي]],'چکهای دریافتنی'!A:A,0)),0)</f>
        <v>0</v>
      </c>
      <c r="F128" s="11">
        <f>Table224[[#This Row],[حسابهای دریافتنی]]+Table224[[#This Row],[چکهای در جریان وصول]]+Table224[[#This Row],[چکهای نزد صندوق]]</f>
        <v>-3105895</v>
      </c>
      <c r="G128" s="12">
        <f>IFERROR(INDEX('مانده سوفاله'!F:F,MATCH(Table224[[#This Row],[كد تفصيلي]],'مانده سوفاله'!A:A,0)),0)</f>
        <v>0</v>
      </c>
    </row>
    <row r="129" spans="1:7" ht="26.25" customHeight="1" x14ac:dyDescent="0.35">
      <c r="A129" s="75">
        <v>30110</v>
      </c>
      <c r="B129" s="72" t="s">
        <v>200</v>
      </c>
      <c r="C129" s="10">
        <f>IFERROR(INDEX('حسابهای دریافتنی'!H:H,MATCH(Table224[[#This Row],[كد تفصيلي]],'حسابهای دریافتنی'!A:A,0)),0)</f>
        <v>-3492360</v>
      </c>
      <c r="D129" s="11">
        <f>IFERROR(INDEX('درجریان وصول'!F:F,MATCH(Table224[[#This Row],[كد تفصيلي]],'درجریان وصول'!A:A,0)),0)</f>
        <v>0</v>
      </c>
      <c r="E129" s="11">
        <f>IFERROR(INDEX('چکهای دریافتنی'!F:F,MATCH(Table224[[#This Row],[كد تفصيلي]],'چکهای دریافتنی'!A:A,0)),0)</f>
        <v>0</v>
      </c>
      <c r="F129" s="11">
        <f>Table224[[#This Row],[حسابهای دریافتنی]]+Table224[[#This Row],[چکهای در جریان وصول]]+Table224[[#This Row],[چکهای نزد صندوق]]</f>
        <v>-3492360</v>
      </c>
      <c r="G129" s="12">
        <f>IFERROR(INDEX('مانده سوفاله'!F:F,MATCH(Table224[[#This Row],[كد تفصيلي]],'مانده سوفاله'!A:A,0)),0)</f>
        <v>0</v>
      </c>
    </row>
    <row r="130" spans="1:7" ht="26.25" customHeight="1" x14ac:dyDescent="0.35">
      <c r="A130" s="75">
        <v>10049</v>
      </c>
      <c r="B130" s="72" t="s">
        <v>157</v>
      </c>
      <c r="C130" s="10">
        <f>IFERROR(INDEX('حسابهای دریافتنی'!H:H,MATCH(Table224[[#This Row],[كد تفصيلي]],'حسابهای دریافتنی'!A:A,0)),0)</f>
        <v>-32909500</v>
      </c>
      <c r="D130" s="11">
        <f>IFERROR(INDEX('درجریان وصول'!F:F,MATCH(Table224[[#This Row],[كد تفصيلي]],'درجریان وصول'!A:A,0)),0)</f>
        <v>0</v>
      </c>
      <c r="E130" s="11">
        <f>IFERROR(INDEX('چکهای دریافتنی'!F:F,MATCH(Table224[[#This Row],[كد تفصيلي]],'چکهای دریافتنی'!A:A,0)),0)</f>
        <v>0</v>
      </c>
      <c r="F130" s="11">
        <f>Table224[[#This Row],[حسابهای دریافتنی]]+Table224[[#This Row],[چکهای در جریان وصول]]+Table224[[#This Row],[چکهای نزد صندوق]]</f>
        <v>-32909500</v>
      </c>
      <c r="G130" s="12">
        <f>IFERROR(INDEX('مانده سوفاله'!F:F,MATCH(Table224[[#This Row],[كد تفصيلي]],'مانده سوفاله'!A:A,0)),0)</f>
        <v>0</v>
      </c>
    </row>
    <row r="131" spans="1:7" ht="26.25" customHeight="1" x14ac:dyDescent="0.35">
      <c r="A131" s="75">
        <v>10015</v>
      </c>
      <c r="B131" s="72" t="s">
        <v>22</v>
      </c>
      <c r="C131" s="10">
        <f>IFERROR(INDEX('حسابهای دریافتنی'!H:H,MATCH(Table224[[#This Row],[كد تفصيلي]],'حسابهای دریافتنی'!A:A,0)),0)</f>
        <v>-4735000</v>
      </c>
      <c r="D131" s="11">
        <f>IFERROR(INDEX('درجریان وصول'!F:F,MATCH(Table224[[#This Row],[كد تفصيلي]],'درجریان وصول'!A:A,0)),0)</f>
        <v>0</v>
      </c>
      <c r="E131" s="11">
        <f>IFERROR(INDEX('چکهای دریافتنی'!F:F,MATCH(Table224[[#This Row],[كد تفصيلي]],'چکهای دریافتنی'!A:A,0)),0)</f>
        <v>0</v>
      </c>
      <c r="F131" s="11">
        <f>Table224[[#This Row],[حسابهای دریافتنی]]+Table224[[#This Row],[چکهای در جریان وصول]]+Table224[[#This Row],[چکهای نزد صندوق]]</f>
        <v>-4735000</v>
      </c>
      <c r="G131" s="12">
        <f>IFERROR(INDEX('مانده سوفاله'!F:F,MATCH(Table224[[#This Row],[كد تفصيلي]],'مانده سوفاله'!A:A,0)),0)</f>
        <v>12</v>
      </c>
    </row>
    <row r="132" spans="1:7" ht="26.25" customHeight="1" x14ac:dyDescent="0.35">
      <c r="A132" s="74">
        <v>30153</v>
      </c>
      <c r="B132" s="73" t="s">
        <v>279</v>
      </c>
      <c r="C132" s="10">
        <f>IFERROR(INDEX('حسابهای دریافتنی'!H:H,MATCH(Table224[[#This Row],[كد تفصيلي]],'حسابهای دریافتنی'!A:A,0)),0)</f>
        <v>-4818000</v>
      </c>
      <c r="D132" s="11">
        <f>IFERROR(INDEX('درجریان وصول'!F:F,MATCH(Table224[[#This Row],[كد تفصيلي]],'درجریان وصول'!A:A,0)),0)</f>
        <v>0</v>
      </c>
      <c r="E132" s="11">
        <f>IFERROR(INDEX('چکهای دریافتنی'!F:F,MATCH(Table224[[#This Row],[كد تفصيلي]],'چکهای دریافتنی'!A:A,0)),0)</f>
        <v>0</v>
      </c>
      <c r="F132" s="11">
        <f>Table224[[#This Row],[حسابهای دریافتنی]]+Table224[[#This Row],[چکهای در جریان وصول]]+Table224[[#This Row],[چکهای نزد صندوق]]</f>
        <v>-4818000</v>
      </c>
      <c r="G132" s="12">
        <f>IFERROR(INDEX('مانده سوفاله'!F:F,MATCH(Table224[[#This Row],[كد تفصيلي]],'مانده سوفاله'!A:A,0)),0)</f>
        <v>0</v>
      </c>
    </row>
    <row r="133" spans="1:7" customFormat="1" ht="26.25" customHeight="1" x14ac:dyDescent="0.35">
      <c r="A133" s="76">
        <v>30023</v>
      </c>
      <c r="B133" s="72" t="s">
        <v>71</v>
      </c>
      <c r="C133" s="10">
        <f>IFERROR(INDEX('حسابهای دریافتنی'!H:H,MATCH(Table224[[#This Row],[كد تفصيلي]],'حسابهای دریافتنی'!A:A,0)),0)</f>
        <v>-5793600</v>
      </c>
      <c r="D133" s="11">
        <f>IFERROR(INDEX('درجریان وصول'!F:F,MATCH(Table224[[#This Row],[كد تفصيلي]],'درجریان وصول'!A:A,0)),0)</f>
        <v>0</v>
      </c>
      <c r="E133" s="11">
        <f>IFERROR(INDEX('چکهای دریافتنی'!F:F,MATCH(Table224[[#This Row],[كد تفصيلي]],'چکهای دریافتنی'!A:A,0)),0)</f>
        <v>0</v>
      </c>
      <c r="F133" s="11">
        <f>Table224[[#This Row],[حسابهای دریافتنی]]+Table224[[#This Row],[چکهای در جریان وصول]]+Table224[[#This Row],[چکهای نزد صندوق]]</f>
        <v>-5793600</v>
      </c>
      <c r="G133" s="12">
        <f>IFERROR(INDEX('مانده سوفاله'!F:F,MATCH(Table224[[#This Row],[كد تفصيلي]],'مانده سوفاله'!A:A,0)),0)</f>
        <v>0</v>
      </c>
    </row>
    <row r="134" spans="1:7" customFormat="1" ht="26.25" customHeight="1" x14ac:dyDescent="0.35">
      <c r="A134" s="76">
        <v>30176</v>
      </c>
      <c r="B134" s="72" t="s">
        <v>332</v>
      </c>
      <c r="C134" s="10">
        <f>IFERROR(INDEX('حسابهای دریافتنی'!H:H,MATCH(Table224[[#This Row],[كد تفصيلي]],'حسابهای دریافتنی'!A:A,0)),0)</f>
        <v>-7540075</v>
      </c>
      <c r="D134" s="11">
        <f>IFERROR(INDEX('درجریان وصول'!F:F,MATCH(Table224[[#This Row],[كد تفصيلي]],'درجریان وصول'!A:A,0)),0)</f>
        <v>0</v>
      </c>
      <c r="E134" s="11">
        <f>IFERROR(INDEX('چکهای دریافتنی'!F:F,MATCH(Table224[[#This Row],[كد تفصيلي]],'چکهای دریافتنی'!A:A,0)),0)</f>
        <v>0</v>
      </c>
      <c r="F134" s="11">
        <f>Table224[[#This Row],[حسابهای دریافتنی]]+Table224[[#This Row],[چکهای در جریان وصول]]+Table224[[#This Row],[چکهای نزد صندوق]]</f>
        <v>-7540075</v>
      </c>
      <c r="G134" s="12">
        <f>IFERROR(INDEX('مانده سوفاله'!F:F,MATCH(Table224[[#This Row],[كد تفصيلي]],'مانده سوفاله'!A:A,0)),0)</f>
        <v>0</v>
      </c>
    </row>
    <row r="135" spans="1:7" customFormat="1" ht="26.25" customHeight="1" x14ac:dyDescent="0.35">
      <c r="A135" s="76">
        <v>10106</v>
      </c>
      <c r="B135" s="72" t="s">
        <v>298</v>
      </c>
      <c r="C135" s="10">
        <f>IFERROR(INDEX('حسابهای دریافتنی'!H:H,MATCH(Table224[[#This Row],[كد تفصيلي]],'حسابهای دریافتنی'!A:A,0)),0)</f>
        <v>-9134000</v>
      </c>
      <c r="D135" s="11">
        <f>IFERROR(INDEX('درجریان وصول'!F:F,MATCH(Table224[[#This Row],[كد تفصيلي]],'درجریان وصول'!A:A,0)),0)</f>
        <v>0</v>
      </c>
      <c r="E135" s="11">
        <f>IFERROR(INDEX('چکهای دریافتنی'!F:F,MATCH(Table224[[#This Row],[كد تفصيلي]],'چکهای دریافتنی'!A:A,0)),0)</f>
        <v>0</v>
      </c>
      <c r="F135" s="11">
        <f>Table224[[#This Row],[حسابهای دریافتنی]]+Table224[[#This Row],[چکهای در جریان وصول]]+Table224[[#This Row],[چکهای نزد صندوق]]</f>
        <v>-9134000</v>
      </c>
      <c r="G135" s="12">
        <f>IFERROR(INDEX('مانده سوفاله'!F:F,MATCH(Table224[[#This Row],[كد تفصيلي]],'مانده سوفاله'!A:A,0)),0)</f>
        <v>0</v>
      </c>
    </row>
    <row r="136" spans="1:7" customFormat="1" ht="26.25" customHeight="1" x14ac:dyDescent="0.35">
      <c r="A136" s="76">
        <v>30189</v>
      </c>
      <c r="B136" s="72" t="s">
        <v>458</v>
      </c>
      <c r="C136" s="10">
        <f>IFERROR(INDEX('حسابهای دریافتنی'!H:H,MATCH(Table224[[#This Row],[كد تفصيلي]],'حسابهای دریافتنی'!A:A,0)),0)</f>
        <v>20776490</v>
      </c>
      <c r="D136" s="11">
        <f>IFERROR(INDEX('درجریان وصول'!F:F,MATCH(Table224[[#This Row],[كد تفصيلي]],'درجریان وصول'!A:A,0)),0)</f>
        <v>0</v>
      </c>
      <c r="E136" s="11">
        <f>IFERROR(INDEX('چکهای دریافتنی'!F:F,MATCH(Table224[[#This Row],[كد تفصيلي]],'چکهای دریافتنی'!A:A,0)),0)</f>
        <v>0</v>
      </c>
      <c r="F136" s="11">
        <f>Table224[[#This Row],[حسابهای دریافتنی]]+Table224[[#This Row],[چکهای در جریان وصول]]+Table224[[#This Row],[چکهای نزد صندوق]]</f>
        <v>20776490</v>
      </c>
      <c r="G136" s="12">
        <f>IFERROR(INDEX('مانده سوفاله'!F:F,MATCH(Table224[[#This Row],[كد تفصيلي]],'مانده سوفاله'!A:A,0)),0)</f>
        <v>0</v>
      </c>
    </row>
    <row r="137" spans="1:7" customFormat="1" ht="26.25" customHeight="1" x14ac:dyDescent="0.35">
      <c r="A137" s="77">
        <v>10102</v>
      </c>
      <c r="B137" s="73" t="s">
        <v>282</v>
      </c>
      <c r="C137" s="10">
        <f>IFERROR(INDEX('حسابهای دریافتنی'!H:H,MATCH(Table224[[#This Row],[كد تفصيلي]],'حسابهای دریافتنی'!A:A,0)),0)</f>
        <v>-10374000</v>
      </c>
      <c r="D137" s="11">
        <f>IFERROR(INDEX('درجریان وصول'!F:F,MATCH(Table224[[#This Row],[كد تفصيلي]],'درجریان وصول'!A:A,0)),0)</f>
        <v>0</v>
      </c>
      <c r="E137" s="11">
        <f>IFERROR(INDEX('چکهای دریافتنی'!F:F,MATCH(Table224[[#This Row],[كد تفصيلي]],'چکهای دریافتنی'!A:A,0)),0)</f>
        <v>0</v>
      </c>
      <c r="F137" s="11">
        <f>Table224[[#This Row],[حسابهای دریافتنی]]+Table224[[#This Row],[چکهای در جریان وصول]]+Table224[[#This Row],[چکهای نزد صندوق]]</f>
        <v>-10374000</v>
      </c>
      <c r="G137" s="12">
        <f>IFERROR(INDEX('مانده سوفاله'!F:F,MATCH(Table224[[#This Row],[كد تفصيلي]],'مانده سوفاله'!A:A,0)),0)</f>
        <v>0</v>
      </c>
    </row>
    <row r="138" spans="1:7" customFormat="1" ht="26.25" customHeight="1" x14ac:dyDescent="0.35">
      <c r="A138" s="77">
        <v>10058</v>
      </c>
      <c r="B138" s="73" t="s">
        <v>173</v>
      </c>
      <c r="C138" s="10">
        <f>IFERROR(INDEX('حسابهای دریافتنی'!H:H,MATCH(Table224[[#This Row],[كد تفصيلي]],'حسابهای دریافتنی'!A:A,0)),0)</f>
        <v>-13650000</v>
      </c>
      <c r="D138" s="11">
        <f>IFERROR(INDEX('درجریان وصول'!F:F,MATCH(Table224[[#This Row],[كد تفصيلي]],'درجریان وصول'!A:A,0)),0)</f>
        <v>0</v>
      </c>
      <c r="E138" s="11">
        <f>IFERROR(INDEX('چکهای دریافتنی'!F:F,MATCH(Table224[[#This Row],[كد تفصيلي]],'چکهای دریافتنی'!A:A,0)),0)</f>
        <v>0</v>
      </c>
      <c r="F138" s="11">
        <f>Table224[[#This Row],[حسابهای دریافتنی]]+Table224[[#This Row],[چکهای در جریان وصول]]+Table224[[#This Row],[چکهای نزد صندوق]]</f>
        <v>-13650000</v>
      </c>
      <c r="G138" s="12">
        <f>IFERROR(INDEX('مانده سوفاله'!F:F,MATCH(Table224[[#This Row],[كد تفصيلي]],'مانده سوفاله'!A:A,0)),0)</f>
        <v>0</v>
      </c>
    </row>
    <row r="139" spans="1:7" customFormat="1" ht="26.25" customHeight="1" x14ac:dyDescent="0.35">
      <c r="A139" s="76">
        <v>10126</v>
      </c>
      <c r="B139" s="72" t="s">
        <v>370</v>
      </c>
      <c r="C139" s="10">
        <f>IFERROR(INDEX('حسابهای دریافتنی'!H:H,MATCH(Table224[[#This Row],[كد تفصيلي]],'حسابهای دریافتنی'!A:A,0)),0)</f>
        <v>12165000</v>
      </c>
      <c r="D139" s="11">
        <f>IFERROR(INDEX('درجریان وصول'!F:F,MATCH(Table224[[#This Row],[كد تفصيلي]],'درجریان وصول'!A:A,0)),0)</f>
        <v>0</v>
      </c>
      <c r="E139" s="11">
        <f>IFERROR(INDEX('چکهای دریافتنی'!F:F,MATCH(Table224[[#This Row],[كد تفصيلي]],'چکهای دریافتنی'!A:A,0)),0)</f>
        <v>0</v>
      </c>
      <c r="F139" s="11">
        <f>Table224[[#This Row],[حسابهای دریافتنی]]+Table224[[#This Row],[چکهای در جریان وصول]]+Table224[[#This Row],[چکهای نزد صندوق]]</f>
        <v>12165000</v>
      </c>
      <c r="G139" s="12">
        <f>IFERROR(INDEX('مانده سوفاله'!F:F,MATCH(Table224[[#This Row],[كد تفصيلي]],'مانده سوفاله'!A:A,0)),0)</f>
        <v>0</v>
      </c>
    </row>
    <row r="140" spans="1:7" customFormat="1" ht="26.25" customHeight="1" x14ac:dyDescent="0.35">
      <c r="A140" s="76">
        <v>30082</v>
      </c>
      <c r="B140" s="72" t="s">
        <v>127</v>
      </c>
      <c r="C140" s="10">
        <f>IFERROR(INDEX('حسابهای دریافتنی'!H:H,MATCH(Table224[[#This Row],[كد تفصيلي]],'حسابهای دریافتنی'!A:A,0)),0)</f>
        <v>-15037000</v>
      </c>
      <c r="D140" s="11">
        <f>IFERROR(INDEX('درجریان وصول'!F:F,MATCH(Table224[[#This Row],[كد تفصيلي]],'درجریان وصول'!A:A,0)),0)</f>
        <v>0</v>
      </c>
      <c r="E140" s="11">
        <f>IFERROR(INDEX('چکهای دریافتنی'!F:F,MATCH(Table224[[#This Row],[كد تفصيلي]],'چکهای دریافتنی'!A:A,0)),0)</f>
        <v>0</v>
      </c>
      <c r="F140" s="11">
        <f>Table224[[#This Row],[حسابهای دریافتنی]]+Table224[[#This Row],[چکهای در جریان وصول]]+Table224[[#This Row],[چکهای نزد صندوق]]</f>
        <v>-15037000</v>
      </c>
      <c r="G140" s="12">
        <f>IFERROR(INDEX('مانده سوفاله'!F:F,MATCH(Table224[[#This Row],[كد تفصيلي]],'مانده سوفاله'!A:A,0)),0)</f>
        <v>-16</v>
      </c>
    </row>
    <row r="141" spans="1:7" customFormat="1" ht="26.25" customHeight="1" x14ac:dyDescent="0.35">
      <c r="A141" s="76">
        <v>10128</v>
      </c>
      <c r="B141" s="72" t="s">
        <v>372</v>
      </c>
      <c r="C141" s="10">
        <f>IFERROR(INDEX('حسابهای دریافتنی'!H:H,MATCH(Table224[[#This Row],[كد تفصيلي]],'حسابهای دریافتنی'!A:A,0)),0)</f>
        <v>-45000</v>
      </c>
      <c r="D141" s="11">
        <f>IFERROR(INDEX('درجریان وصول'!F:F,MATCH(Table224[[#This Row],[كد تفصيلي]],'درجریان وصول'!A:A,0)),0)</f>
        <v>0</v>
      </c>
      <c r="E141" s="11">
        <f>IFERROR(INDEX('چکهای دریافتنی'!F:F,MATCH(Table224[[#This Row],[كد تفصيلي]],'چکهای دریافتنی'!A:A,0)),0)</f>
        <v>0</v>
      </c>
      <c r="F141" s="11">
        <f>Table224[[#This Row],[حسابهای دریافتنی]]+Table224[[#This Row],[چکهای در جریان وصول]]+Table224[[#This Row],[چکهای نزد صندوق]]</f>
        <v>-45000</v>
      </c>
      <c r="G141" s="12">
        <f>IFERROR(INDEX('مانده سوفاله'!F:F,MATCH(Table224[[#This Row],[كد تفصيلي]],'مانده سوفاله'!A:A,0)),0)</f>
        <v>6</v>
      </c>
    </row>
    <row r="142" spans="1:7" customFormat="1" ht="26.25" customHeight="1" x14ac:dyDescent="0.35">
      <c r="A142" s="77">
        <v>30034</v>
      </c>
      <c r="B142" s="73" t="s">
        <v>81</v>
      </c>
      <c r="C142" s="10">
        <f>IFERROR(INDEX('حسابهای دریافتنی'!H:H,MATCH(Table224[[#This Row],[كد تفصيلي]],'حسابهای دریافتنی'!A:A,0)),0)</f>
        <v>388329200</v>
      </c>
      <c r="D142" s="11">
        <f>IFERROR(INDEX('درجریان وصول'!F:F,MATCH(Table224[[#This Row],[كد تفصيلي]],'درجریان وصول'!A:A,0)),0)</f>
        <v>0</v>
      </c>
      <c r="E142" s="11">
        <f>IFERROR(INDEX('چکهای دریافتنی'!F:F,MATCH(Table224[[#This Row],[كد تفصيلي]],'چکهای دریافتنی'!A:A,0)),0)</f>
        <v>0</v>
      </c>
      <c r="F142" s="11">
        <f>Table224[[#This Row],[حسابهای دریافتنی]]+Table224[[#This Row],[چکهای در جریان وصول]]+Table224[[#This Row],[چکهای نزد صندوق]]</f>
        <v>388329200</v>
      </c>
      <c r="G142" s="12">
        <f>IFERROR(INDEX('مانده سوفاله'!F:F,MATCH(Table224[[#This Row],[كد تفصيلي]],'مانده سوفاله'!A:A,0)),0)</f>
        <v>2886</v>
      </c>
    </row>
    <row r="143" spans="1:7" customFormat="1" ht="26.25" customHeight="1" x14ac:dyDescent="0.35">
      <c r="A143" s="77">
        <v>30042</v>
      </c>
      <c r="B143" s="73" t="s">
        <v>89</v>
      </c>
      <c r="C143" s="10">
        <f>IFERROR(INDEX('حسابهای دریافتنی'!H:H,MATCH(Table224[[#This Row],[كد تفصيلي]],'حسابهای دریافتنی'!A:A,0)),0)</f>
        <v>-18303540</v>
      </c>
      <c r="D143" s="11">
        <f>IFERROR(INDEX('درجریان وصول'!F:F,MATCH(Table224[[#This Row],[كد تفصيلي]],'درجریان وصول'!A:A,0)),0)</f>
        <v>0</v>
      </c>
      <c r="E143" s="11">
        <f>IFERROR(INDEX('چکهای دریافتنی'!F:F,MATCH(Table224[[#This Row],[كد تفصيلي]],'چکهای دریافتنی'!A:A,0)),0)</f>
        <v>0</v>
      </c>
      <c r="F143" s="11">
        <f>Table224[[#This Row],[حسابهای دریافتنی]]+Table224[[#This Row],[چکهای در جریان وصول]]+Table224[[#This Row],[چکهای نزد صندوق]]</f>
        <v>-18303540</v>
      </c>
      <c r="G143" s="12">
        <f>IFERROR(INDEX('مانده سوفاله'!F:F,MATCH(Table224[[#This Row],[كد تفصيلي]],'مانده سوفاله'!A:A,0)),0)</f>
        <v>0</v>
      </c>
    </row>
    <row r="144" spans="1:7" customFormat="1" ht="26.25" customHeight="1" x14ac:dyDescent="0.35">
      <c r="A144" s="77">
        <v>30028</v>
      </c>
      <c r="B144" s="73" t="s">
        <v>76</v>
      </c>
      <c r="C144" s="10">
        <f>IFERROR(INDEX('حسابهای دریافتنی'!H:H,MATCH(Table224[[#This Row],[كد تفصيلي]],'حسابهای دریافتنی'!A:A,0)),0)</f>
        <v>-23665000</v>
      </c>
      <c r="D144" s="11">
        <f>IFERROR(INDEX('درجریان وصول'!F:F,MATCH(Table224[[#This Row],[كد تفصيلي]],'درجریان وصول'!A:A,0)),0)</f>
        <v>0</v>
      </c>
      <c r="E144" s="11">
        <f>IFERROR(INDEX('چکهای دریافتنی'!F:F,MATCH(Table224[[#This Row],[كد تفصيلي]],'چکهای دریافتنی'!A:A,0)),0)</f>
        <v>0</v>
      </c>
      <c r="F144" s="11">
        <f>Table224[[#This Row],[حسابهای دریافتنی]]+Table224[[#This Row],[چکهای در جریان وصول]]+Table224[[#This Row],[چکهای نزد صندوق]]</f>
        <v>-23665000</v>
      </c>
      <c r="G144" s="12">
        <f>IFERROR(INDEX('مانده سوفاله'!F:F,MATCH(Table224[[#This Row],[كد تفصيلي]],'مانده سوفاله'!A:A,0)),0)</f>
        <v>0</v>
      </c>
    </row>
    <row r="145" spans="1:7" customFormat="1" ht="26.25" customHeight="1" x14ac:dyDescent="0.35">
      <c r="A145" s="76">
        <v>30072</v>
      </c>
      <c r="B145" s="72" t="s">
        <v>117</v>
      </c>
      <c r="C145" s="10">
        <f>IFERROR(INDEX('حسابهای دریافتنی'!H:H,MATCH(Table224[[#This Row],[كد تفصيلي]],'حسابهای دریافتنی'!A:A,0)),0)</f>
        <v>-30178900</v>
      </c>
      <c r="D145" s="11">
        <f>IFERROR(INDEX('درجریان وصول'!F:F,MATCH(Table224[[#This Row],[كد تفصيلي]],'درجریان وصول'!A:A,0)),0)</f>
        <v>0</v>
      </c>
      <c r="E145" s="11">
        <f>IFERROR(INDEX('چکهای دریافتنی'!F:F,MATCH(Table224[[#This Row],[كد تفصيلي]],'چکهای دریافتنی'!A:A,0)),0)</f>
        <v>0</v>
      </c>
      <c r="F145" s="11">
        <f>Table224[[#This Row],[حسابهای دریافتنی]]+Table224[[#This Row],[چکهای در جریان وصول]]+Table224[[#This Row],[چکهای نزد صندوق]]</f>
        <v>-30178900</v>
      </c>
      <c r="G145" s="12">
        <f>IFERROR(INDEX('مانده سوفاله'!F:F,MATCH(Table224[[#This Row],[كد تفصيلي]],'مانده سوفاله'!A:A,0)),0)</f>
        <v>-79</v>
      </c>
    </row>
    <row r="146" spans="1:7" customFormat="1" ht="26.25" customHeight="1" x14ac:dyDescent="0.35">
      <c r="A146" s="76">
        <v>30064</v>
      </c>
      <c r="B146" s="72" t="s">
        <v>109</v>
      </c>
      <c r="C146" s="10">
        <f>IFERROR(INDEX('حسابهای دریافتنی'!H:H,MATCH(Table224[[#This Row],[كد تفصيلي]],'حسابهای دریافتنی'!A:A,0)),0)</f>
        <v>-49679500</v>
      </c>
      <c r="D146" s="11">
        <f>IFERROR(INDEX('درجریان وصول'!F:F,MATCH(Table224[[#This Row],[كد تفصيلي]],'درجریان وصول'!A:A,0)),0)</f>
        <v>0</v>
      </c>
      <c r="E146" s="11">
        <f>IFERROR(INDEX('چکهای دریافتنی'!F:F,MATCH(Table224[[#This Row],[كد تفصيلي]],'چکهای دریافتنی'!A:A,0)),0)</f>
        <v>0</v>
      </c>
      <c r="F146" s="11">
        <f>Table224[[#This Row],[حسابهای دریافتنی]]+Table224[[#This Row],[چکهای در جریان وصول]]+Table224[[#This Row],[چکهای نزد صندوق]]</f>
        <v>-49679500</v>
      </c>
      <c r="G146" s="12">
        <f>IFERROR(INDEX('مانده سوفاله'!F:F,MATCH(Table224[[#This Row],[كد تفصيلي]],'مانده سوفاله'!A:A,0)),0)</f>
        <v>0</v>
      </c>
    </row>
    <row r="147" spans="1:7" customFormat="1" ht="26.25" customHeight="1" x14ac:dyDescent="0.35">
      <c r="A147" s="77">
        <v>10123</v>
      </c>
      <c r="B147" s="73" t="s">
        <v>340</v>
      </c>
      <c r="C147" s="10">
        <f>IFERROR(INDEX('حسابهای دریافتنی'!H:H,MATCH(Table224[[#This Row],[كد تفصيلي]],'حسابهای دریافتنی'!A:A,0)),0)</f>
        <v>-50813000</v>
      </c>
      <c r="D147" s="11">
        <f>IFERROR(INDEX('درجریان وصول'!F:F,MATCH(Table224[[#This Row],[كد تفصيلي]],'درجریان وصول'!A:A,0)),0)</f>
        <v>0</v>
      </c>
      <c r="E147" s="11">
        <f>IFERROR(INDEX('چکهای دریافتنی'!F:F,MATCH(Table224[[#This Row],[كد تفصيلي]],'چکهای دریافتنی'!A:A,0)),0)</f>
        <v>0</v>
      </c>
      <c r="F147" s="11">
        <f>Table224[[#This Row],[حسابهای دریافتنی]]+Table224[[#This Row],[چکهای در جریان وصول]]+Table224[[#This Row],[چکهای نزد صندوق]]</f>
        <v>-50813000</v>
      </c>
      <c r="G147" s="12">
        <f>IFERROR(INDEX('مانده سوفاله'!F:F,MATCH(Table224[[#This Row],[كد تفصيلي]],'مانده سوفاله'!A:A,0)),0)</f>
        <v>0</v>
      </c>
    </row>
    <row r="148" spans="1:7" customFormat="1" ht="26.25" customHeight="1" x14ac:dyDescent="0.35">
      <c r="A148" s="77">
        <v>30000</v>
      </c>
      <c r="B148" s="73" t="s">
        <v>189</v>
      </c>
      <c r="C148" s="10">
        <f>IFERROR(INDEX('حسابهای دریافتنی'!H:H,MATCH(Table224[[#This Row],[كد تفصيلي]],'حسابهای دریافتنی'!A:A,0)),0)</f>
        <v>-55440000</v>
      </c>
      <c r="D148" s="11">
        <f>IFERROR(INDEX('درجریان وصول'!F:F,MATCH(Table224[[#This Row],[كد تفصيلي]],'درجریان وصول'!A:A,0)),0)</f>
        <v>0</v>
      </c>
      <c r="E148" s="11">
        <f>IFERROR(INDEX('چکهای دریافتنی'!F:F,MATCH(Table224[[#This Row],[كد تفصيلي]],'چکهای دریافتنی'!A:A,0)),0)</f>
        <v>0</v>
      </c>
      <c r="F148" s="11">
        <f>Table224[[#This Row],[حسابهای دریافتنی]]+Table224[[#This Row],[چکهای در جریان وصول]]+Table224[[#This Row],[چکهای نزد صندوق]]</f>
        <v>-55440000</v>
      </c>
      <c r="G148" s="12">
        <f>IFERROR(INDEX('مانده سوفاله'!F:F,MATCH(Table224[[#This Row],[كد تفصيلي]],'مانده سوفاله'!A:A,0)),0)</f>
        <v>0</v>
      </c>
    </row>
    <row r="149" spans="1:7" customFormat="1" ht="26.25" customHeight="1" x14ac:dyDescent="0.35">
      <c r="A149" s="77">
        <v>30133</v>
      </c>
      <c r="B149" s="73" t="s">
        <v>251</v>
      </c>
      <c r="C149" s="10">
        <f>IFERROR(INDEX('حسابهای دریافتنی'!H:H,MATCH(Table224[[#This Row],[كد تفصيلي]],'حسابهای دریافتنی'!A:A,0)),0)</f>
        <v>-66889500</v>
      </c>
      <c r="D149" s="11">
        <f>IFERROR(INDEX('درجریان وصول'!F:F,MATCH(Table224[[#This Row],[كد تفصيلي]],'درجریان وصول'!A:A,0)),0)</f>
        <v>0</v>
      </c>
      <c r="E149" s="11">
        <f>IFERROR(INDEX('چکهای دریافتنی'!F:F,MATCH(Table224[[#This Row],[كد تفصيلي]],'چکهای دریافتنی'!A:A,0)),0)</f>
        <v>0</v>
      </c>
      <c r="F149" s="11">
        <f>Table224[[#This Row],[حسابهای دریافتنی]]+Table224[[#This Row],[چکهای در جریان وصول]]+Table224[[#This Row],[چکهای نزد صندوق]]</f>
        <v>-66889500</v>
      </c>
      <c r="G149" s="12">
        <f>IFERROR(INDEX('مانده سوفاله'!F:F,MATCH(Table224[[#This Row],[كد تفصيلي]],'مانده سوفاله'!A:A,0)),0)</f>
        <v>0</v>
      </c>
    </row>
    <row r="150" spans="1:7" customFormat="1" ht="26.25" customHeight="1" x14ac:dyDescent="0.35">
      <c r="A150" s="76">
        <v>30146</v>
      </c>
      <c r="B150" s="72" t="s">
        <v>266</v>
      </c>
      <c r="C150" s="10">
        <f>IFERROR(INDEX('حسابهای دریافتنی'!H:H,MATCH(Table224[[#This Row],[كد تفصيلي]],'حسابهای دریافتنی'!A:A,0)),0)</f>
        <v>-4146512500</v>
      </c>
      <c r="D150" s="11">
        <f>IFERROR(INDEX('درجریان وصول'!F:F,MATCH(Table224[[#This Row],[كد تفصيلي]],'درجریان وصول'!A:A,0)),0)</f>
        <v>0</v>
      </c>
      <c r="E150" s="11">
        <f>IFERROR(INDEX('چکهای دریافتنی'!F:F,MATCH(Table224[[#This Row],[كد تفصيلي]],'چکهای دریافتنی'!A:A,0)),0)</f>
        <v>0</v>
      </c>
      <c r="F150" s="11">
        <f>Table224[[#This Row],[حسابهای دریافتنی]]+Table224[[#This Row],[چکهای در جریان وصول]]+Table224[[#This Row],[چکهای نزد صندوق]]</f>
        <v>-4146512500</v>
      </c>
      <c r="G150" s="12">
        <f>IFERROR(INDEX('مانده سوفاله'!F:F,MATCH(Table224[[#This Row],[كد تفصيلي]],'مانده سوفاله'!A:A,0)),0)</f>
        <v>2823</v>
      </c>
    </row>
    <row r="151" spans="1:7" customFormat="1" ht="26.25" customHeight="1" x14ac:dyDescent="0.35">
      <c r="A151" s="76">
        <v>30168</v>
      </c>
      <c r="B151" s="72" t="s">
        <v>313</v>
      </c>
      <c r="C151" s="10">
        <f>IFERROR(INDEX('حسابهای دریافتنی'!H:H,MATCH(Table224[[#This Row],[كد تفصيلي]],'حسابهای دریافتنی'!A:A,0)),0)</f>
        <v>-104220000</v>
      </c>
      <c r="D151" s="11">
        <f>IFERROR(INDEX('درجریان وصول'!F:F,MATCH(Table224[[#This Row],[كد تفصيلي]],'درجریان وصول'!A:A,0)),0)</f>
        <v>0</v>
      </c>
      <c r="E151" s="11">
        <f>IFERROR(INDEX('چکهای دریافتنی'!F:F,MATCH(Table224[[#This Row],[كد تفصيلي]],'چکهای دریافتنی'!A:A,0)),0)</f>
        <v>0</v>
      </c>
      <c r="F151" s="11">
        <f>Table224[[#This Row],[حسابهای دریافتنی]]+Table224[[#This Row],[چکهای در جریان وصول]]+Table224[[#This Row],[چکهای نزد صندوق]]</f>
        <v>-104220000</v>
      </c>
      <c r="G151" s="12">
        <f>IFERROR(INDEX('مانده سوفاله'!F:F,MATCH(Table224[[#This Row],[كد تفصيلي]],'مانده سوفاله'!A:A,0)),0)</f>
        <v>0</v>
      </c>
    </row>
    <row r="152" spans="1:7" customFormat="1" ht="26.25" customHeight="1" x14ac:dyDescent="0.35">
      <c r="A152" s="76">
        <v>10089</v>
      </c>
      <c r="B152" s="72" t="s">
        <v>255</v>
      </c>
      <c r="C152" s="10">
        <f>IFERROR(INDEX('حسابهای دریافتنی'!H:H,MATCH(Table224[[#This Row],[كد تفصيلي]],'حسابهای دریافتنی'!A:A,0)),0)</f>
        <v>-143944000</v>
      </c>
      <c r="D152" s="11">
        <f>IFERROR(INDEX('درجریان وصول'!F:F,MATCH(Table224[[#This Row],[كد تفصيلي]],'درجریان وصول'!A:A,0)),0)</f>
        <v>0</v>
      </c>
      <c r="E152" s="11">
        <f>IFERROR(INDEX('چکهای دریافتنی'!F:F,MATCH(Table224[[#This Row],[كد تفصيلي]],'چکهای دریافتنی'!A:A,0)),0)</f>
        <v>0</v>
      </c>
      <c r="F152" s="11">
        <f>Table224[[#This Row],[حسابهای دریافتنی]]+Table224[[#This Row],[چکهای در جریان وصول]]+Table224[[#This Row],[چکهای نزد صندوق]]</f>
        <v>-143944000</v>
      </c>
      <c r="G152" s="12">
        <f>IFERROR(INDEX('مانده سوفاله'!F:F,MATCH(Table224[[#This Row],[كد تفصيلي]],'مانده سوفاله'!A:A,0)),0)</f>
        <v>-948</v>
      </c>
    </row>
    <row r="153" spans="1:7" customFormat="1" ht="26.25" customHeight="1" x14ac:dyDescent="0.35">
      <c r="A153" s="76">
        <v>30017</v>
      </c>
      <c r="B153" s="72" t="s">
        <v>65</v>
      </c>
      <c r="C153" s="10">
        <f>IFERROR(INDEX('حسابهای دریافتنی'!H:H,MATCH(Table224[[#This Row],[كد تفصيلي]],'حسابهای دریافتنی'!A:A,0)),0)</f>
        <v>905000830</v>
      </c>
      <c r="D153" s="11">
        <f>IFERROR(INDEX('درجریان وصول'!F:F,MATCH(Table224[[#This Row],[كد تفصيلي]],'درجریان وصول'!A:A,0)),0)</f>
        <v>0</v>
      </c>
      <c r="E153" s="11">
        <f>IFERROR(INDEX('چکهای دریافتنی'!F:F,MATCH(Table224[[#This Row],[كد تفصيلي]],'چکهای دریافتنی'!A:A,0)),0)</f>
        <v>0</v>
      </c>
      <c r="F153" s="11">
        <f>Table224[[#This Row],[حسابهای دریافتنی]]+Table224[[#This Row],[چکهای در جریان وصول]]+Table224[[#This Row],[چکهای نزد صندوق]]</f>
        <v>905000830</v>
      </c>
      <c r="G153" s="12">
        <f>IFERROR(INDEX('مانده سوفاله'!F:F,MATCH(Table224[[#This Row],[كد تفصيلي]],'مانده سوفاله'!A:A,0)),0)</f>
        <v>-2186</v>
      </c>
    </row>
    <row r="154" spans="1:7" customFormat="1" ht="26.25" customHeight="1" x14ac:dyDescent="0.35">
      <c r="A154" s="77">
        <v>10072</v>
      </c>
      <c r="B154" s="73" t="s">
        <v>177</v>
      </c>
      <c r="C154" s="10">
        <f>IFERROR(INDEX('حسابهای دریافتنی'!H:H,MATCH(Table224[[#This Row],[كد تفصيلي]],'حسابهای دریافتنی'!A:A,0)),0)</f>
        <v>55880</v>
      </c>
      <c r="D154" s="11">
        <f>IFERROR(INDEX('درجریان وصول'!F:F,MATCH(Table224[[#This Row],[كد تفصيلي]],'درجریان وصول'!A:A,0)),0)</f>
        <v>0</v>
      </c>
      <c r="E154" s="11">
        <f>IFERROR(INDEX('چکهای دریافتنی'!F:F,MATCH(Table224[[#This Row],[كد تفصيلي]],'چکهای دریافتنی'!A:A,0)),0)</f>
        <v>427700000</v>
      </c>
      <c r="F154" s="11">
        <f>Table224[[#This Row],[حسابهای دریافتنی]]+Table224[[#This Row],[چکهای در جریان وصول]]+Table224[[#This Row],[چکهای نزد صندوق]]</f>
        <v>427755880</v>
      </c>
      <c r="G154" s="12">
        <f>IFERROR(INDEX('مانده سوفاله'!F:F,MATCH(Table224[[#This Row],[كد تفصيلي]],'مانده سوفاله'!A:A,0)),0)</f>
        <v>0</v>
      </c>
    </row>
    <row r="155" spans="1:7" customFormat="1" ht="26.25" customHeight="1" x14ac:dyDescent="0.35">
      <c r="A155" s="76">
        <v>10079</v>
      </c>
      <c r="B155" s="72" t="s">
        <v>174</v>
      </c>
      <c r="C155" s="10">
        <f>IFERROR(INDEX('حسابهای دریافتنی'!H:H,MATCH(Table224[[#This Row],[كد تفصيلي]],'حسابهای دریافتنی'!A:A,0)),0)</f>
        <v>-226593500</v>
      </c>
      <c r="D155" s="11">
        <f>IFERROR(INDEX('درجریان وصول'!F:F,MATCH(Table224[[#This Row],[كد تفصيلي]],'درجریان وصول'!A:A,0)),0)</f>
        <v>0</v>
      </c>
      <c r="E155" s="11">
        <f>IFERROR(INDEX('چکهای دریافتنی'!F:F,MATCH(Table224[[#This Row],[كد تفصيلي]],'چکهای دریافتنی'!A:A,0)),0)</f>
        <v>0</v>
      </c>
      <c r="F155" s="11">
        <f>Table224[[#This Row],[حسابهای دریافتنی]]+Table224[[#This Row],[چکهای در جریان وصول]]+Table224[[#This Row],[چکهای نزد صندوق]]</f>
        <v>-226593500</v>
      </c>
      <c r="G155" s="12">
        <f>IFERROR(INDEX('مانده سوفاله'!F:F,MATCH(Table224[[#This Row],[كد تفصيلي]],'مانده سوفاله'!A:A,0)),0)</f>
        <v>0</v>
      </c>
    </row>
    <row r="156" spans="1:7" customFormat="1" ht="26.25" customHeight="1" x14ac:dyDescent="0.35">
      <c r="A156" s="77">
        <v>30155</v>
      </c>
      <c r="B156" s="73" t="s">
        <v>289</v>
      </c>
      <c r="C156" s="10">
        <f>IFERROR(INDEX('حسابهای دریافتنی'!H:H,MATCH(Table224[[#This Row],[كد تفصيلي]],'حسابهای دریافتنی'!A:A,0)),0)</f>
        <v>-454985417</v>
      </c>
      <c r="D156" s="11">
        <f>IFERROR(INDEX('درجریان وصول'!F:F,MATCH(Table224[[#This Row],[كد تفصيلي]],'درجریان وصول'!A:A,0)),0)</f>
        <v>0</v>
      </c>
      <c r="E156" s="11">
        <f>IFERROR(INDEX('چکهای دریافتنی'!F:F,MATCH(Table224[[#This Row],[كد تفصيلي]],'چکهای دریافتنی'!A:A,0)),0)</f>
        <v>1379936267</v>
      </c>
      <c r="F156" s="11">
        <f>Table224[[#This Row],[حسابهای دریافتنی]]+Table224[[#This Row],[چکهای در جریان وصول]]+Table224[[#This Row],[چکهای نزد صندوق]]</f>
        <v>924950850</v>
      </c>
      <c r="G156" s="12">
        <f>IFERROR(INDEX('مانده سوفاله'!F:F,MATCH(Table224[[#This Row],[كد تفصيلي]],'مانده سوفاله'!A:A,0)),0)</f>
        <v>0</v>
      </c>
    </row>
    <row r="157" spans="1:7" customFormat="1" ht="26.25" customHeight="1" x14ac:dyDescent="0.35">
      <c r="A157" s="77">
        <v>10104</v>
      </c>
      <c r="B157" s="73" t="s">
        <v>293</v>
      </c>
      <c r="C157" s="10">
        <f>IFERROR(INDEX('حسابهای دریافتنی'!H:H,MATCH(Table224[[#This Row],[كد تفصيلي]],'حسابهای دریافتنی'!A:A,0)),0)</f>
        <v>0</v>
      </c>
      <c r="D157" s="11">
        <f>IFERROR(INDEX('درجریان وصول'!F:F,MATCH(Table224[[#This Row],[كد تفصيلي]],'درجریان وصول'!A:A,0)),0)</f>
        <v>0</v>
      </c>
      <c r="E157" s="11">
        <f>IFERROR(INDEX('چکهای دریافتنی'!F:F,MATCH(Table224[[#This Row],[كد تفصيلي]],'چکهای دریافتنی'!A:A,0)),0)</f>
        <v>0</v>
      </c>
      <c r="F157" s="11">
        <f>Table224[[#This Row],[حسابهای دریافتنی]]+Table224[[#This Row],[چکهای در جریان وصول]]+Table224[[#This Row],[چکهای نزد صندوق]]</f>
        <v>0</v>
      </c>
      <c r="G157" s="12">
        <f>IFERROR(INDEX('مانده سوفاله'!F:F,MATCH(Table224[[#This Row],[كد تفصيلي]],'مانده سوفاله'!A:A,0)),0)</f>
        <v>4065</v>
      </c>
    </row>
    <row r="158" spans="1:7" customFormat="1" ht="26.25" customHeight="1" x14ac:dyDescent="0.35">
      <c r="A158" s="76">
        <v>10093</v>
      </c>
      <c r="B158" s="72" t="s">
        <v>264</v>
      </c>
      <c r="C158" s="10">
        <f>IFERROR(INDEX('حسابهای دریافتنی'!H:H,MATCH(Table224[[#This Row],[كد تفصيلي]],'حسابهای دریافتنی'!A:A,0)),0)</f>
        <v>-2214000</v>
      </c>
      <c r="D158" s="11">
        <f>IFERROR(INDEX('درجریان وصول'!F:F,MATCH(Table224[[#This Row],[كد تفصيلي]],'درجریان وصول'!A:A,0)),0)</f>
        <v>0</v>
      </c>
      <c r="E158" s="11">
        <f>IFERROR(INDEX('چکهای دریافتنی'!F:F,MATCH(Table224[[#This Row],[كد تفصيلي]],'چکهای دریافتنی'!A:A,0)),0)</f>
        <v>0</v>
      </c>
      <c r="F158" s="11">
        <f>Table224[[#This Row],[حسابهای دریافتنی]]+Table224[[#This Row],[چکهای در جریان وصول]]+Table224[[#This Row],[چکهای نزد صندوق]]</f>
        <v>-2214000</v>
      </c>
      <c r="G158" s="12">
        <f>IFERROR(INDEX('مانده سوفاله'!F:F,MATCH(Table224[[#This Row],[كد تفصيلي]],'مانده سوفاله'!A:A,0)),0)</f>
        <v>0</v>
      </c>
    </row>
    <row r="159" spans="1:7" ht="26.25" customHeight="1" x14ac:dyDescent="0.35">
      <c r="A159" s="75">
        <v>30164</v>
      </c>
      <c r="B159" s="72" t="s">
        <v>304</v>
      </c>
      <c r="C159" s="10">
        <f>IFERROR(INDEX('حسابهای دریافتنی'!H:H,MATCH(Table224[[#This Row],[كد تفصيلي]],'حسابهای دریافتنی'!A:A,0)),0)</f>
        <v>184944000</v>
      </c>
      <c r="D159" s="11">
        <f>IFERROR(INDEX('درجریان وصول'!F:F,MATCH(Table224[[#This Row],[كد تفصيلي]],'درجریان وصول'!A:A,0)),0)</f>
        <v>0</v>
      </c>
      <c r="E159" s="11">
        <f>IFERROR(INDEX('چکهای دریافتنی'!F:F,MATCH(Table224[[#This Row],[كد تفصيلي]],'چکهای دریافتنی'!A:A,0)),0)</f>
        <v>0</v>
      </c>
      <c r="F159" s="11">
        <f>Table224[[#This Row],[حسابهای دریافتنی]]+Table224[[#This Row],[چکهای در جریان وصول]]+Table224[[#This Row],[چکهای نزد صندوق]]</f>
        <v>184944000</v>
      </c>
      <c r="G159" s="12">
        <f>IFERROR(INDEX('مانده سوفاله'!F:F,MATCH(Table224[[#This Row],[كد تفصيلي]],'مانده سوفاله'!A:A,0)),0)</f>
        <v>561</v>
      </c>
    </row>
    <row r="160" spans="1:7" ht="26.25" customHeight="1" x14ac:dyDescent="0.35">
      <c r="A160" s="75">
        <v>10069</v>
      </c>
      <c r="B160" s="72" t="s">
        <v>204</v>
      </c>
      <c r="C160" s="10">
        <f>IFERROR(INDEX('حسابهای دریافتنی'!H:H,MATCH(Table224[[#This Row],[كد تفصيلي]],'حسابهای دریافتنی'!A:A,0)),0)</f>
        <v>952500</v>
      </c>
      <c r="D160" s="11">
        <f>IFERROR(INDEX('درجریان وصول'!F:F,MATCH(Table224[[#This Row],[كد تفصيلي]],'درجریان وصول'!A:A,0)),0)</f>
        <v>0</v>
      </c>
      <c r="E160" s="11">
        <f>IFERROR(INDEX('چکهای دریافتنی'!F:F,MATCH(Table224[[#This Row],[كد تفصيلي]],'چکهای دریافتنی'!A:A,0)),0)</f>
        <v>73000000</v>
      </c>
      <c r="F160" s="11">
        <f>Table224[[#This Row],[حسابهای دریافتنی]]+Table224[[#This Row],[چکهای در جریان وصول]]+Table224[[#This Row],[چکهای نزد صندوق]]</f>
        <v>73952500</v>
      </c>
      <c r="G160" s="12">
        <f>IFERROR(INDEX('مانده سوفاله'!F:F,MATCH(Table224[[#This Row],[كد تفصيلي]],'مانده سوفاله'!A:A,0)),0)</f>
        <v>339</v>
      </c>
    </row>
    <row r="161" spans="1:7" ht="26.25" customHeight="1" x14ac:dyDescent="0.35">
      <c r="A161" s="74">
        <v>50008</v>
      </c>
      <c r="B161" s="73" t="s">
        <v>146</v>
      </c>
      <c r="C161" s="10">
        <f>IFERROR(INDEX('حسابهای دریافتنی'!H:H,MATCH(Table224[[#This Row],[كد تفصيلي]],'حسابهای دریافتنی'!A:A,0)),0)</f>
        <v>-406230000</v>
      </c>
      <c r="D161" s="11">
        <f>IFERROR(INDEX('درجریان وصول'!F:F,MATCH(Table224[[#This Row],[كد تفصيلي]],'درجریان وصول'!A:A,0)),0)</f>
        <v>0</v>
      </c>
      <c r="E161" s="11">
        <f>IFERROR(INDEX('چکهای دریافتنی'!F:F,MATCH(Table224[[#This Row],[كد تفصيلي]],'چکهای دریافتنی'!A:A,0)),0)</f>
        <v>0</v>
      </c>
      <c r="F161" s="11">
        <f>Table224[[#This Row],[حسابهای دریافتنی]]+Table224[[#This Row],[چکهای در جریان وصول]]+Table224[[#This Row],[چکهای نزد صندوق]]</f>
        <v>-406230000</v>
      </c>
      <c r="G161" s="12">
        <f>IFERROR(INDEX('مانده سوفاله'!F:F,MATCH(Table224[[#This Row],[كد تفصيلي]],'مانده سوفاله'!A:A,0)),0)</f>
        <v>0</v>
      </c>
    </row>
    <row r="162" spans="1:7" ht="26.25" customHeight="1" x14ac:dyDescent="0.35">
      <c r="A162" s="75">
        <v>30182</v>
      </c>
      <c r="B162" s="72" t="s">
        <v>342</v>
      </c>
      <c r="C162" s="10">
        <f>IFERROR(INDEX('حسابهای دریافتنی'!H:H,MATCH(Table224[[#This Row],[كد تفصيلي]],'حسابهای دریافتنی'!A:A,0)),0)</f>
        <v>-528256400</v>
      </c>
      <c r="D162" s="11">
        <f>IFERROR(INDEX('درجریان وصول'!F:F,MATCH(Table224[[#This Row],[كد تفصيلي]],'درجریان وصول'!A:A,0)),0)</f>
        <v>0</v>
      </c>
      <c r="E162" s="11">
        <f>IFERROR(INDEX('چکهای دریافتنی'!F:F,MATCH(Table224[[#This Row],[كد تفصيلي]],'چکهای دریافتنی'!A:A,0)),0)</f>
        <v>0</v>
      </c>
      <c r="F162" s="11">
        <f>Table224[[#This Row],[حسابهای دریافتنی]]+Table224[[#This Row],[چکهای در جریان وصول]]+Table224[[#This Row],[چکهای نزد صندوق]]</f>
        <v>-528256400</v>
      </c>
      <c r="G162" s="12">
        <f>IFERROR(INDEX('مانده سوفاله'!F:F,MATCH(Table224[[#This Row],[كد تفصيلي]],'مانده سوفاله'!A:A,0)),0)</f>
        <v>0</v>
      </c>
    </row>
    <row r="163" spans="1:7" ht="26.25" customHeight="1" x14ac:dyDescent="0.35">
      <c r="A163" s="74">
        <v>10056</v>
      </c>
      <c r="B163" s="73" t="s">
        <v>166</v>
      </c>
      <c r="C163" s="10">
        <f>IFERROR(INDEX('حسابهای دریافتنی'!H:H,MATCH(Table224[[#This Row],[كد تفصيلي]],'حسابهای دریافتنی'!A:A,0)),0)</f>
        <v>812653500</v>
      </c>
      <c r="D163" s="11">
        <f>IFERROR(INDEX('درجریان وصول'!F:F,MATCH(Table224[[#This Row],[كد تفصيلي]],'درجریان وصول'!A:A,0)),0)</f>
        <v>0</v>
      </c>
      <c r="E163" s="11">
        <f>IFERROR(INDEX('چکهای دریافتنی'!F:F,MATCH(Table224[[#This Row],[كد تفصيلي]],'چکهای دریافتنی'!A:A,0)),0)</f>
        <v>0</v>
      </c>
      <c r="F163" s="11">
        <f>Table224[[#This Row],[حسابهای دریافتنی]]+Table224[[#This Row],[چکهای در جریان وصول]]+Table224[[#This Row],[چکهای نزد صندوق]]</f>
        <v>812653500</v>
      </c>
      <c r="G163" s="12">
        <f>IFERROR(INDEX('مانده سوفاله'!F:F,MATCH(Table224[[#This Row],[كد تفصيلي]],'مانده سوفاله'!A:A,0)),0)</f>
        <v>0</v>
      </c>
    </row>
    <row r="164" spans="1:7" ht="26.25" customHeight="1" x14ac:dyDescent="0.35">
      <c r="A164" s="74">
        <v>30040</v>
      </c>
      <c r="B164" s="73" t="s">
        <v>87</v>
      </c>
      <c r="C164" s="10">
        <f>IFERROR(INDEX('حسابهای دریافتنی'!H:H,MATCH(Table224[[#This Row],[كد تفصيلي]],'حسابهای دریافتنی'!A:A,0)),0)</f>
        <v>0</v>
      </c>
      <c r="D164" s="11">
        <f>IFERROR(INDEX('درجریان وصول'!F:F,MATCH(Table224[[#This Row],[كد تفصيلي]],'درجریان وصول'!A:A,0)),0)</f>
        <v>0</v>
      </c>
      <c r="E164" s="11">
        <f>IFERROR(INDEX('چکهای دریافتنی'!F:F,MATCH(Table224[[#This Row],[كد تفصيلي]],'چکهای دریافتنی'!A:A,0)),0)</f>
        <v>0</v>
      </c>
      <c r="F164" s="11">
        <f>Table224[[#This Row],[حسابهای دریافتنی]]+Table224[[#This Row],[چکهای در جریان وصول]]+Table224[[#This Row],[چکهای نزد صندوق]]</f>
        <v>0</v>
      </c>
      <c r="G164" s="12">
        <f>IFERROR(INDEX('مانده سوفاله'!F:F,MATCH(Table224[[#This Row],[كد تفصيلي]],'مانده سوفاله'!A:A,0)),0)</f>
        <v>0</v>
      </c>
    </row>
    <row r="165" spans="1:7" ht="26.25" customHeight="1" x14ac:dyDescent="0.35">
      <c r="A165" s="75">
        <v>79120</v>
      </c>
      <c r="B165" s="72" t="s">
        <v>195</v>
      </c>
      <c r="C165" s="10">
        <f>IFERROR(INDEX('حسابهای دریافتنی'!H:H,MATCH(Table224[[#This Row],[كد تفصيلي]],'حسابهای دریافتنی'!A:A,0)),0)</f>
        <v>-15776160000</v>
      </c>
      <c r="D165" s="11">
        <f>IFERROR(INDEX('درجریان وصول'!F:F,MATCH(Table224[[#This Row],[كد تفصيلي]],'درجریان وصول'!A:A,0)),0)</f>
        <v>0</v>
      </c>
      <c r="E165" s="11">
        <f>IFERROR(INDEX('چکهای دریافتنی'!F:F,MATCH(Table224[[#This Row],[كد تفصيلي]],'چکهای دریافتنی'!A:A,0)),0)</f>
        <v>0</v>
      </c>
      <c r="F165" s="11">
        <f>Table224[[#This Row],[حسابهای دریافتنی]]+Table224[[#This Row],[چکهای در جریان وصول]]+Table224[[#This Row],[چکهای نزد صندوق]]</f>
        <v>-15776160000</v>
      </c>
      <c r="G165" s="12">
        <f>IFERROR(INDEX('مانده سوفاله'!F:F,MATCH(Table224[[#This Row],[كد تفصيلي]],'مانده سوفاله'!A:A,0)),0)</f>
        <v>0</v>
      </c>
    </row>
    <row r="166" spans="1:7" ht="26.25" customHeight="1" x14ac:dyDescent="0.35">
      <c r="A166" s="74">
        <v>30006</v>
      </c>
      <c r="B166" s="73" t="s">
        <v>56</v>
      </c>
      <c r="C166" s="10">
        <f>IFERROR(INDEX('حسابهای دریافتنی'!H:H,MATCH(Table224[[#This Row],[كد تفصيلي]],'حسابهای دریافتنی'!A:A,0)),0)</f>
        <v>-162677545</v>
      </c>
      <c r="D166" s="11">
        <f>IFERROR(INDEX('درجریان وصول'!F:F,MATCH(Table224[[#This Row],[كد تفصيلي]],'درجریان وصول'!A:A,0)),0)</f>
        <v>0</v>
      </c>
      <c r="E166" s="11">
        <f>IFERROR(INDEX('چکهای دریافتنی'!F:F,MATCH(Table224[[#This Row],[كد تفصيلي]],'چکهای دریافتنی'!A:A,0)),0)</f>
        <v>0</v>
      </c>
      <c r="F166" s="11">
        <f>Table224[[#This Row],[حسابهای دریافتنی]]+Table224[[#This Row],[چکهای در جریان وصول]]+Table224[[#This Row],[چکهای نزد صندوق]]</f>
        <v>-162677545</v>
      </c>
      <c r="G166" s="12">
        <f>IFERROR(INDEX('مانده سوفاله'!F:F,MATCH(Table224[[#This Row],[كد تفصيلي]],'مانده سوفاله'!A:A,0)),0)</f>
        <v>-6</v>
      </c>
    </row>
    <row r="167" spans="1:7" ht="26.25" customHeight="1" x14ac:dyDescent="0.35">
      <c r="A167" s="75">
        <v>10009</v>
      </c>
      <c r="B167" s="72" t="s">
        <v>16</v>
      </c>
      <c r="C167" s="10">
        <f>IFERROR(INDEX('حسابهای دریافتنی'!H:H,MATCH(Table224[[#This Row],[كد تفصيلي]],'حسابهای دریافتنی'!A:A,0)),0)</f>
        <v>-4260580000</v>
      </c>
      <c r="D167" s="11">
        <f>IFERROR(INDEX('درجریان وصول'!F:F,MATCH(Table224[[#This Row],[كد تفصيلي]],'درجریان وصول'!A:A,0)),0)</f>
        <v>0</v>
      </c>
      <c r="E167" s="11">
        <f>IFERROR(INDEX('چکهای دریافتنی'!F:F,MATCH(Table224[[#This Row],[كد تفصيلي]],'چکهای دریافتنی'!A:A,0)),0)</f>
        <v>1600000000</v>
      </c>
      <c r="F167" s="11">
        <f>Table224[[#This Row],[حسابهای دریافتنی]]+Table224[[#This Row],[چکهای در جریان وصول]]+Table224[[#This Row],[چکهای نزد صندوق]]</f>
        <v>-2660580000</v>
      </c>
      <c r="G167" s="12">
        <f>IFERROR(INDEX('مانده سوفاله'!F:F,MATCH(Table224[[#This Row],[كد تفصيلي]],'مانده سوفاله'!A:A,0)),0)</f>
        <v>9952</v>
      </c>
    </row>
    <row r="168" spans="1:7" ht="26.25" customHeight="1" x14ac:dyDescent="0.35">
      <c r="A168" s="74">
        <v>10092</v>
      </c>
      <c r="B168" s="73" t="s">
        <v>260</v>
      </c>
      <c r="C168" s="10">
        <f>IFERROR(INDEX('حسابهای دریافتنی'!H:H,MATCH(Table224[[#This Row],[كد تفصيلي]],'حسابهای دریافتنی'!A:A,0)),0)</f>
        <v>-1749946500</v>
      </c>
      <c r="D168" s="11">
        <f>IFERROR(INDEX('درجریان وصول'!F:F,MATCH(Table224[[#This Row],[كد تفصيلي]],'درجریان وصول'!A:A,0)),0)</f>
        <v>0</v>
      </c>
      <c r="E168" s="11">
        <f>IFERROR(INDEX('چکهای دریافتنی'!F:F,MATCH(Table224[[#This Row],[كد تفصيلي]],'چکهای دریافتنی'!A:A,0)),0)</f>
        <v>300000000</v>
      </c>
      <c r="F168" s="11">
        <f>Table224[[#This Row],[حسابهای دریافتنی]]+Table224[[#This Row],[چکهای در جریان وصول]]+Table224[[#This Row],[چکهای نزد صندوق]]</f>
        <v>-1449946500</v>
      </c>
      <c r="G168" s="12">
        <f>IFERROR(INDEX('مانده سوفاله'!F:F,MATCH(Table224[[#This Row],[كد تفصيلي]],'مانده سوفاله'!A:A,0)),0)</f>
        <v>0</v>
      </c>
    </row>
    <row r="169" spans="1:7" ht="26.25" customHeight="1" x14ac:dyDescent="0.35">
      <c r="A169" s="75">
        <v>30200</v>
      </c>
      <c r="B169" s="72" t="s">
        <v>513</v>
      </c>
      <c r="C169" s="10">
        <f>IFERROR(INDEX('حسابهای دریافتنی'!H:H,MATCH(Table224[[#This Row],[كد تفصيلي]],'حسابهای دریافتنی'!A:A,0)),0)</f>
        <v>-10000</v>
      </c>
      <c r="D169" s="11">
        <f>IFERROR(INDEX('درجریان وصول'!F:F,MATCH(Table224[[#This Row],[كد تفصيلي]],'درجریان وصول'!A:A,0)),0)</f>
        <v>0</v>
      </c>
      <c r="E169" s="11">
        <f>IFERROR(INDEX('چکهای دریافتنی'!F:F,MATCH(Table224[[#This Row],[كد تفصيلي]],'چکهای دریافتنی'!A:A,0)),0)</f>
        <v>0</v>
      </c>
      <c r="F169" s="11">
        <f>Table224[[#This Row],[حسابهای دریافتنی]]+Table224[[#This Row],[چکهای در جریان وصول]]+Table224[[#This Row],[چکهای نزد صندوق]]</f>
        <v>-10000</v>
      </c>
      <c r="G169" s="12">
        <f>IFERROR(INDEX('مانده سوفاله'!F:F,MATCH(Table224[[#This Row],[كد تفصيلي]],'مانده سوفاله'!A:A,0)),0)</f>
        <v>0</v>
      </c>
    </row>
    <row r="170" spans="1:7" ht="26.25" customHeight="1" x14ac:dyDescent="0.35">
      <c r="A170" s="75">
        <v>30098</v>
      </c>
      <c r="B170" s="72" t="s">
        <v>238</v>
      </c>
      <c r="C170" s="10">
        <f>IFERROR(INDEX('حسابهای دریافتنی'!H:H,MATCH(Table224[[#This Row],[كد تفصيلي]],'حسابهای دریافتنی'!A:A,0)),0)</f>
        <v>-45125000</v>
      </c>
      <c r="D170" s="11">
        <f>IFERROR(INDEX('درجریان وصول'!F:F,MATCH(Table224[[#This Row],[كد تفصيلي]],'درجریان وصول'!A:A,0)),0)</f>
        <v>0</v>
      </c>
      <c r="E170" s="11">
        <f>IFERROR(INDEX('چکهای دریافتنی'!F:F,MATCH(Table224[[#This Row],[كد تفصيلي]],'چکهای دریافتنی'!A:A,0)),0)</f>
        <v>0</v>
      </c>
      <c r="F170" s="11">
        <f>Table224[[#This Row],[حسابهای دریافتنی]]+Table224[[#This Row],[چکهای در جریان وصول]]+Table224[[#This Row],[چکهای نزد صندوق]]</f>
        <v>-45125000</v>
      </c>
      <c r="G170" s="12">
        <f>IFERROR(INDEX('مانده سوفاله'!F:F,MATCH(Table224[[#This Row],[كد تفصيلي]],'مانده سوفاله'!A:A,0)),0)</f>
        <v>0</v>
      </c>
    </row>
    <row r="171" spans="1:7" ht="26.25" customHeight="1" x14ac:dyDescent="0.35">
      <c r="A171" s="74">
        <v>30093</v>
      </c>
      <c r="B171" s="73" t="s">
        <v>151</v>
      </c>
      <c r="C171" s="10">
        <f>IFERROR(INDEX('حسابهای دریافتنی'!H:H,MATCH(Table224[[#This Row],[كد تفصيلي]],'حسابهای دریافتنی'!A:A,0)),0)</f>
        <v>0</v>
      </c>
      <c r="D171" s="11">
        <f>IFERROR(INDEX('درجریان وصول'!F:F,MATCH(Table224[[#This Row],[كد تفصيلي]],'درجریان وصول'!A:A,0)),0)</f>
        <v>0</v>
      </c>
      <c r="E171" s="11">
        <f>IFERROR(INDEX('چکهای دریافتنی'!F:F,MATCH(Table224[[#This Row],[كد تفصيلي]],'چکهای دریافتنی'!A:A,0)),0)</f>
        <v>0</v>
      </c>
      <c r="F171" s="11">
        <f>Table224[[#This Row],[حسابهای دریافتنی]]+Table224[[#This Row],[چکهای در جریان وصول]]+Table224[[#This Row],[چکهای نزد صندوق]]</f>
        <v>0</v>
      </c>
      <c r="G171" s="12">
        <v>77</v>
      </c>
    </row>
    <row r="172" spans="1:7" ht="26.25" customHeight="1" x14ac:dyDescent="0.35">
      <c r="A172" s="74">
        <v>79043</v>
      </c>
      <c r="B172" s="73" t="s">
        <v>156</v>
      </c>
      <c r="C172" s="10">
        <f>IFERROR(INDEX('حسابهای دریافتنی'!H:H,MATCH(Table224[[#This Row],[كد تفصيلي]],'حسابهای دریافتنی'!A:A,0)),0)</f>
        <v>-16110730000</v>
      </c>
      <c r="D172" s="11">
        <f>IFERROR(INDEX('درجریان وصول'!F:F,MATCH(Table224[[#This Row],[كد تفصيلي]],'درجریان وصول'!A:A,0)),0)</f>
        <v>0</v>
      </c>
      <c r="E172" s="11">
        <f>IFERROR(INDEX('چکهای دریافتنی'!F:F,MATCH(Table224[[#This Row],[كد تفصيلي]],'چکهای دریافتنی'!A:A,0)),0)</f>
        <v>0</v>
      </c>
      <c r="F172" s="11">
        <f>Table224[[#This Row],[حسابهای دریافتنی]]+Table224[[#This Row],[چکهای در جریان وصول]]+Table224[[#This Row],[چکهای نزد صندوق]]</f>
        <v>-16110730000</v>
      </c>
      <c r="G172" s="12">
        <f>IFERROR(INDEX('مانده سوفاله'!F:F,MATCH(Table224[[#This Row],[كد تفصيلي]],'مانده سوفاله'!A:A,0)),0)</f>
        <v>0</v>
      </c>
    </row>
    <row r="173" spans="1:7" ht="26.25" customHeight="1" x14ac:dyDescent="0.35">
      <c r="A173" s="36"/>
      <c r="B173" s="37"/>
      <c r="C173" s="38">
        <f>SUBTOTAL(109,Table224[حسابهای دریافتنی])</f>
        <v>56426354479</v>
      </c>
      <c r="D173" s="38">
        <f>SUBTOTAL(109,Table224[چکهای در جریان وصول])</f>
        <v>0</v>
      </c>
      <c r="E173" s="38">
        <f>SUBTOTAL(109,Table224[چکهای نزد صندوق])</f>
        <v>62507828942</v>
      </c>
      <c r="F173" s="38"/>
      <c r="G173" s="39">
        <f>SUBTOTAL(109,Table224[مانده سوفاله])</f>
        <v>-134097.5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71"/>
  <sheetViews>
    <sheetView rightToLeft="1" topLeftCell="A163" workbookViewId="0">
      <selection activeCell="E174" sqref="E174"/>
    </sheetView>
  </sheetViews>
  <sheetFormatPr defaultColWidth="9.08984375" defaultRowHeight="24.75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1.25" customHeight="1" thickBot="1" x14ac:dyDescent="0.4">
      <c r="A1" s="97" t="s">
        <v>515</v>
      </c>
      <c r="B1" s="98"/>
      <c r="C1" s="98"/>
      <c r="D1" s="98"/>
      <c r="E1" s="98"/>
      <c r="F1" s="98"/>
      <c r="G1" s="99"/>
    </row>
    <row r="2" spans="1:7" s="2" customFormat="1" ht="55.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.75" customHeight="1" x14ac:dyDescent="0.35">
      <c r="A3" s="74">
        <v>30127</v>
      </c>
      <c r="B3" s="73" t="s">
        <v>163</v>
      </c>
      <c r="C3" s="10">
        <f>IFERROR(INDEX('حسابهای دریافتنی'!H:H,MATCH(Table225[[#This Row],[كد تفصيلي]],'حسابهای دریافتنی'!A:A,0)),0)</f>
        <v>31800110000</v>
      </c>
      <c r="D3" s="11">
        <f>IFERROR(INDEX('درجریان وصول'!F:F,MATCH(Table225[[#This Row],[كد تفصيلي]],'درجریان وصول'!A:A,0)),0)</f>
        <v>0</v>
      </c>
      <c r="E3" s="11">
        <f>IFERROR(INDEX('چکهای دریافتنی'!F:F,MATCH(Table225[[#This Row],[كد تفصيلي]],'چکهای دریافتنی'!A:A,0)),0)</f>
        <v>0</v>
      </c>
      <c r="F3" s="11">
        <f>Table225[[#This Row],[حسابهای دریافتنی]]+Table225[[#This Row],[چکهای در جریان وصول]]+Table225[[#This Row],[چکهای نزد صندوق]]</f>
        <v>31800110000</v>
      </c>
      <c r="G3" s="12">
        <f>IFERROR(INDEX('مانده سوفاله'!F:F,MATCH(Table225[[#This Row],[كد تفصيلي]],'مانده سوفاله'!A:A,0)),0)</f>
        <v>-18472</v>
      </c>
    </row>
    <row r="4" spans="1:7" ht="24.75" customHeight="1" x14ac:dyDescent="0.35">
      <c r="A4" s="75">
        <v>10003</v>
      </c>
      <c r="B4" s="72" t="s">
        <v>10</v>
      </c>
      <c r="C4" s="10">
        <f>IFERROR(INDEX('حسابهای دریافتنی'!H:H,MATCH(Table225[[#This Row],[كد تفصيلي]],'حسابهای دریافتنی'!A:A,0)),0)</f>
        <v>10804267992</v>
      </c>
      <c r="D4" s="11">
        <f>IFERROR(INDEX('درجریان وصول'!F:F,MATCH(Table225[[#This Row],[كد تفصيلي]],'درجریان وصول'!A:A,0)),0)</f>
        <v>0</v>
      </c>
      <c r="E4" s="11">
        <f>IFERROR(INDEX('چکهای دریافتنی'!F:F,MATCH(Table225[[#This Row],[كد تفصيلي]],'چکهای دریافتنی'!A:A,0)),0)</f>
        <v>13698001280</v>
      </c>
      <c r="F4" s="11">
        <f>Table225[[#This Row],[حسابهای دریافتنی]]+Table225[[#This Row],[چکهای در جریان وصول]]+Table225[[#This Row],[چکهای نزد صندوق]]</f>
        <v>24502269272</v>
      </c>
      <c r="G4" s="12">
        <f>IFERROR(INDEX('مانده سوفاله'!F:F,MATCH(Table225[[#This Row],[كد تفصيلي]],'مانده سوفاله'!A:A,0)),0)</f>
        <v>-39886</v>
      </c>
    </row>
    <row r="5" spans="1:7" ht="24.75" customHeight="1" x14ac:dyDescent="0.35">
      <c r="A5" s="75">
        <v>10055</v>
      </c>
      <c r="B5" s="72" t="s">
        <v>162</v>
      </c>
      <c r="C5" s="10">
        <f>IFERROR(INDEX('حسابهای دریافتنی'!H:H,MATCH(Table225[[#This Row],[كد تفصيلي]],'حسابهای دریافتنی'!A:A,0)),0)</f>
        <v>10460111325</v>
      </c>
      <c r="D5" s="11">
        <f>IFERROR(INDEX('درجریان وصول'!F:F,MATCH(Table225[[#This Row],[كد تفصيلي]],'درجریان وصول'!A:A,0)),0)</f>
        <v>0</v>
      </c>
      <c r="E5" s="11">
        <f>IFERROR(INDEX('چکهای دریافتنی'!F:F,MATCH(Table225[[#This Row],[كد تفصيلي]],'چکهای دریافتنی'!A:A,0)),0)</f>
        <v>2783298655</v>
      </c>
      <c r="F5" s="11">
        <f>Table225[[#This Row],[حسابهای دریافتنی]]+Table225[[#This Row],[چکهای در جریان وصول]]+Table225[[#This Row],[چکهای نزد صندوق]]</f>
        <v>13243409980</v>
      </c>
      <c r="G5" s="12">
        <f>IFERROR(INDEX('مانده سوفاله'!F:F,MATCH(Table225[[#This Row],[كد تفصيلي]],'مانده سوفاله'!A:A,0)),0)</f>
        <v>-12714</v>
      </c>
    </row>
    <row r="6" spans="1:7" ht="24.75" customHeight="1" x14ac:dyDescent="0.35">
      <c r="A6" s="74">
        <v>10026</v>
      </c>
      <c r="B6" s="73" t="s">
        <v>32</v>
      </c>
      <c r="C6" s="10">
        <f>IFERROR(INDEX('حسابهای دریافتنی'!H:H,MATCH(Table225[[#This Row],[كد تفصيلي]],'حسابهای دریافتنی'!A:A,0)),0)</f>
        <v>3795031844</v>
      </c>
      <c r="D6" s="11">
        <f>IFERROR(INDEX('درجریان وصول'!F:F,MATCH(Table225[[#This Row],[كد تفصيلي]],'درجریان وصول'!A:A,0)),0)</f>
        <v>0</v>
      </c>
      <c r="E6" s="11">
        <f>IFERROR(INDEX('چکهای دریافتنی'!F:F,MATCH(Table225[[#This Row],[كد تفصيلي]],'چکهای دریافتنی'!A:A,0)),0)</f>
        <v>2690000000</v>
      </c>
      <c r="F6" s="11">
        <f>Table225[[#This Row],[حسابهای دریافتنی]]+Table225[[#This Row],[چکهای در جریان وصول]]+Table225[[#This Row],[چکهای نزد صندوق]]</f>
        <v>6485031844</v>
      </c>
      <c r="G6" s="12">
        <f>IFERROR(INDEX('مانده سوفاله'!F:F,MATCH(Table225[[#This Row],[كد تفصيلي]],'مانده سوفاله'!A:A,0)),0)</f>
        <v>-12543</v>
      </c>
    </row>
    <row r="7" spans="1:7" ht="24.75" customHeight="1" x14ac:dyDescent="0.35">
      <c r="A7" s="75">
        <v>30009</v>
      </c>
      <c r="B7" s="72" t="s">
        <v>164</v>
      </c>
      <c r="C7" s="10">
        <f>IFERROR(INDEX('حسابهای دریافتنی'!H:H,MATCH(Table225[[#This Row],[كد تفصيلي]],'حسابهای دریافتنی'!A:A,0)),0)</f>
        <v>7853844277</v>
      </c>
      <c r="D7" s="11">
        <f>IFERROR(INDEX('درجریان وصول'!F:F,MATCH(Table225[[#This Row],[كد تفصيلي]],'درجریان وصول'!A:A,0)),0)</f>
        <v>0</v>
      </c>
      <c r="E7" s="11">
        <f>IFERROR(INDEX('چکهای دریافتنی'!F:F,MATCH(Table225[[#This Row],[كد تفصيلي]],'چکهای دریافتنی'!A:A,0)),0)</f>
        <v>6474835380</v>
      </c>
      <c r="F7" s="11">
        <f>Table225[[#This Row],[حسابهای دریافتنی]]+Table225[[#This Row],[چکهای در جریان وصول]]+Table225[[#This Row],[چکهای نزد صندوق]]</f>
        <v>14328679657</v>
      </c>
      <c r="G7" s="12">
        <f>IFERROR(INDEX('مانده سوفاله'!F:F,MATCH(Table225[[#This Row],[كد تفصيلي]],'مانده سوفاله'!A:A,0)),0)</f>
        <v>-11452</v>
      </c>
    </row>
    <row r="8" spans="1:7" ht="24.75" customHeight="1" x14ac:dyDescent="0.35">
      <c r="A8" s="74">
        <v>30004</v>
      </c>
      <c r="B8" s="73" t="s">
        <v>54</v>
      </c>
      <c r="C8" s="10">
        <f>IFERROR(INDEX('حسابهای دریافتنی'!H:H,MATCH(Table225[[#This Row],[كد تفصيلي]],'حسابهای دریافتنی'!A:A,0)),0)</f>
        <v>7598548260</v>
      </c>
      <c r="D8" s="11">
        <f>IFERROR(INDEX('درجریان وصول'!F:F,MATCH(Table225[[#This Row],[كد تفصيلي]],'درجریان وصول'!A:A,0)),0)</f>
        <v>0</v>
      </c>
      <c r="E8" s="11">
        <f>IFERROR(INDEX('چکهای دریافتنی'!F:F,MATCH(Table225[[#This Row],[كد تفصيلي]],'چکهای دریافتنی'!A:A,0)),0)</f>
        <v>11698760000</v>
      </c>
      <c r="F8" s="11">
        <f>Table225[[#This Row],[حسابهای دریافتنی]]+Table225[[#This Row],[چکهای در جریان وصول]]+Table225[[#This Row],[چکهای نزد صندوق]]</f>
        <v>19297308260</v>
      </c>
      <c r="G8" s="12">
        <f>IFERROR(INDEX('مانده سوفاله'!F:F,MATCH(Table225[[#This Row],[كد تفصيلي]],'مانده سوفاله'!A:A,0)),0)</f>
        <v>-4237</v>
      </c>
    </row>
    <row r="9" spans="1:7" ht="24.75" customHeight="1" x14ac:dyDescent="0.35">
      <c r="A9" s="75">
        <v>30066</v>
      </c>
      <c r="B9" s="72" t="s">
        <v>111</v>
      </c>
      <c r="C9" s="10">
        <f>IFERROR(INDEX('حسابهای دریافتنی'!H:H,MATCH(Table225[[#This Row],[كد تفصيلي]],'حسابهای دریافتنی'!A:A,0)),0)</f>
        <v>6484147500</v>
      </c>
      <c r="D9" s="11">
        <f>IFERROR(INDEX('درجریان وصول'!F:F,MATCH(Table225[[#This Row],[كد تفصيلي]],'درجریان وصول'!A:A,0)),0)</f>
        <v>0</v>
      </c>
      <c r="E9" s="11">
        <f>IFERROR(INDEX('چکهای دریافتنی'!F:F,MATCH(Table225[[#This Row],[كد تفصيلي]],'چکهای دریافتنی'!A:A,0)),0)</f>
        <v>0</v>
      </c>
      <c r="F9" s="11">
        <f>Table225[[#This Row],[حسابهای دریافتنی]]+Table225[[#This Row],[چکهای در جریان وصول]]+Table225[[#This Row],[چکهای نزد صندوق]]</f>
        <v>6484147500</v>
      </c>
      <c r="G9" s="12">
        <f>IFERROR(INDEX('مانده سوفاله'!F:F,MATCH(Table225[[#This Row],[كد تفصيلي]],'مانده سوفاله'!A:A,0)),0)</f>
        <v>-1320</v>
      </c>
    </row>
    <row r="10" spans="1:7" ht="24.75" customHeight="1" x14ac:dyDescent="0.35">
      <c r="A10" s="74">
        <v>50016</v>
      </c>
      <c r="B10" s="73" t="s">
        <v>160</v>
      </c>
      <c r="C10" s="10">
        <f>IFERROR(INDEX('حسابهای دریافتنی'!H:H,MATCH(Table225[[#This Row],[كد تفصيلي]],'حسابهای دریافتنی'!A:A,0)),0)</f>
        <v>6344545550</v>
      </c>
      <c r="D10" s="11">
        <f>IFERROR(INDEX('درجریان وصول'!F:F,MATCH(Table225[[#This Row],[كد تفصيلي]],'درجریان وصول'!A:A,0)),0)</f>
        <v>0</v>
      </c>
      <c r="E10" s="11">
        <f>IFERROR(INDEX('چکهای دریافتنی'!F:F,MATCH(Table225[[#This Row],[كد تفصيلي]],'چکهای دریافتنی'!A:A,0)),0)</f>
        <v>0</v>
      </c>
      <c r="F10" s="11">
        <f>Table225[[#This Row],[حسابهای دریافتنی]]+Table225[[#This Row],[چکهای در جریان وصول]]+Table225[[#This Row],[چکهای نزد صندوق]]</f>
        <v>6344545550</v>
      </c>
      <c r="G10" s="12">
        <f>IFERROR(INDEX('مانده سوفاله'!F:F,MATCH(Table225[[#This Row],[كد تفصيلي]],'مانده سوفاله'!A:A,0)),0)</f>
        <v>5508</v>
      </c>
    </row>
    <row r="11" spans="1:7" ht="24.75" customHeight="1" x14ac:dyDescent="0.35">
      <c r="A11" s="74">
        <v>30099</v>
      </c>
      <c r="B11" s="73" t="s">
        <v>167</v>
      </c>
      <c r="C11" s="10">
        <f>IFERROR(INDEX('حسابهای دریافتنی'!H:H,MATCH(Table225[[#This Row],[كد تفصيلي]],'حسابهای دریافتنی'!A:A,0)),0)</f>
        <v>1398393484</v>
      </c>
      <c r="D11" s="11">
        <f>IFERROR(INDEX('درجریان وصول'!F:F,MATCH(Table225[[#This Row],[كد تفصيلي]],'درجریان وصول'!A:A,0)),0)</f>
        <v>0</v>
      </c>
      <c r="E11" s="11">
        <f>IFERROR(INDEX('چکهای دریافتنی'!F:F,MATCH(Table225[[#This Row],[كد تفصيلي]],'چکهای دریافتنی'!A:A,0)),0)</f>
        <v>583000000</v>
      </c>
      <c r="F11" s="11">
        <f>Table225[[#This Row],[حسابهای دریافتنی]]+Table225[[#This Row],[چکهای در جریان وصول]]+Table225[[#This Row],[چکهای نزد صندوق]]</f>
        <v>1981393484</v>
      </c>
      <c r="G11" s="12">
        <f>IFERROR(INDEX('مانده سوفاله'!F:F,MATCH(Table225[[#This Row],[كد تفصيلي]],'مانده سوفاله'!A:A,0)),0)</f>
        <v>-332</v>
      </c>
    </row>
    <row r="12" spans="1:7" ht="24.75" customHeight="1" x14ac:dyDescent="0.35">
      <c r="A12" s="74">
        <v>30022</v>
      </c>
      <c r="B12" s="73" t="s">
        <v>70</v>
      </c>
      <c r="C12" s="10">
        <f>IFERROR(INDEX('حسابهای دریافتنی'!H:H,MATCH(Table225[[#This Row],[كد تفصيلي]],'حسابهای دریافتنی'!A:A,0)),0)</f>
        <v>2933770530</v>
      </c>
      <c r="D12" s="11">
        <f>IFERROR(INDEX('درجریان وصول'!F:F,MATCH(Table225[[#This Row],[كد تفصيلي]],'درجریان وصول'!A:A,0)),0)</f>
        <v>0</v>
      </c>
      <c r="E12" s="11">
        <f>IFERROR(INDEX('چکهای دریافتنی'!F:F,MATCH(Table225[[#This Row],[كد تفصيلي]],'چکهای دریافتنی'!A:A,0)),0)</f>
        <v>0</v>
      </c>
      <c r="F12" s="11">
        <f>Table225[[#This Row],[حسابهای دریافتنی]]+Table225[[#This Row],[چکهای در جریان وصول]]+Table225[[#This Row],[چکهای نزد صندوق]]</f>
        <v>2933770530</v>
      </c>
      <c r="G12" s="12">
        <f>IFERROR(INDEX('مانده سوفاله'!F:F,MATCH(Table225[[#This Row],[كد تفصيلي]],'مانده سوفاله'!A:A,0)),0)</f>
        <v>-14747</v>
      </c>
    </row>
    <row r="13" spans="1:7" ht="24.75" customHeight="1" x14ac:dyDescent="0.35">
      <c r="A13" s="74">
        <v>30014</v>
      </c>
      <c r="B13" s="73" t="s">
        <v>63</v>
      </c>
      <c r="C13" s="10">
        <f>IFERROR(INDEX('حسابهای دریافتنی'!H:H,MATCH(Table225[[#This Row],[كد تفصيلي]],'حسابهای دریافتنی'!A:A,0)),0)</f>
        <v>1762223932</v>
      </c>
      <c r="D13" s="11">
        <f>IFERROR(INDEX('درجریان وصول'!F:F,MATCH(Table225[[#This Row],[كد تفصيلي]],'درجریان وصول'!A:A,0)),0)</f>
        <v>0</v>
      </c>
      <c r="E13" s="11">
        <f>IFERROR(INDEX('چکهای دریافتنی'!F:F,MATCH(Table225[[#This Row],[كد تفصيلي]],'چکهای دریافتنی'!A:A,0)),0)</f>
        <v>0</v>
      </c>
      <c r="F13" s="11">
        <f>Table225[[#This Row],[حسابهای دریافتنی]]+Table225[[#This Row],[چکهای در جریان وصول]]+Table225[[#This Row],[چکهای نزد صندوق]]</f>
        <v>1762223932</v>
      </c>
      <c r="G13" s="12">
        <f>IFERROR(INDEX('مانده سوفاله'!F:F,MATCH(Table225[[#This Row],[كد تفصيلي]],'مانده سوفاله'!A:A,0)),0)</f>
        <v>-1368</v>
      </c>
    </row>
    <row r="14" spans="1:7" ht="24.75" customHeight="1" x14ac:dyDescent="0.35">
      <c r="A14" s="74">
        <v>30131</v>
      </c>
      <c r="B14" s="73" t="s">
        <v>213</v>
      </c>
      <c r="C14" s="10">
        <f>IFERROR(INDEX('حسابهای دریافتنی'!H:H,MATCH(Table225[[#This Row],[كد تفصيلي]],'حسابهای دریافتنی'!A:A,0)),0)</f>
        <v>-6228486500</v>
      </c>
      <c r="D14" s="11">
        <f>IFERROR(INDEX('درجریان وصول'!F:F,MATCH(Table225[[#This Row],[كد تفصيلي]],'درجریان وصول'!A:A,0)),0)</f>
        <v>0</v>
      </c>
      <c r="E14" s="11">
        <f>IFERROR(INDEX('چکهای دریافتنی'!F:F,MATCH(Table225[[#This Row],[كد تفصيلي]],'چکهای دریافتنی'!A:A,0)),0)</f>
        <v>0</v>
      </c>
      <c r="F14" s="11">
        <f>Table225[[#This Row],[حسابهای دریافتنی]]+Table225[[#This Row],[چکهای در جریان وصول]]+Table225[[#This Row],[چکهای نزد صندوق]]</f>
        <v>-6228486500</v>
      </c>
      <c r="G14" s="12">
        <f>IFERROR(INDEX('مانده سوفاله'!F:F,MATCH(Table225[[#This Row],[كد تفصيلي]],'مانده سوفاله'!A:A,0)),0)</f>
        <v>222</v>
      </c>
    </row>
    <row r="15" spans="1:7" ht="24.75" customHeight="1" x14ac:dyDescent="0.35">
      <c r="A15" s="75">
        <v>10029</v>
      </c>
      <c r="B15" s="72" t="s">
        <v>35</v>
      </c>
      <c r="C15" s="10">
        <f>IFERROR(INDEX('حسابهای دریافتنی'!H:H,MATCH(Table225[[#This Row],[كد تفصيلي]],'حسابهای دریافتنی'!A:A,0)),0)</f>
        <v>-1038298620</v>
      </c>
      <c r="D15" s="11">
        <f>IFERROR(INDEX('درجریان وصول'!F:F,MATCH(Table225[[#This Row],[كد تفصيلي]],'درجریان وصول'!A:A,0)),0)</f>
        <v>0</v>
      </c>
      <c r="E15" s="11">
        <f>IFERROR(INDEX('چکهای دریافتنی'!F:F,MATCH(Table225[[#This Row],[كد تفصيلي]],'چکهای دریافتنی'!A:A,0)),0)</f>
        <v>2019000000</v>
      </c>
      <c r="F15" s="11">
        <f>Table225[[#This Row],[حسابهای دریافتنی]]+Table225[[#This Row],[چکهای در جریان وصول]]+Table225[[#This Row],[چکهای نزد صندوق]]</f>
        <v>980701380</v>
      </c>
      <c r="G15" s="12">
        <f>IFERROR(INDEX('مانده سوفاله'!F:F,MATCH(Table225[[#This Row],[كد تفصيلي]],'مانده سوفاله'!A:A,0)),0)</f>
        <v>6603</v>
      </c>
    </row>
    <row r="16" spans="1:7" ht="24.75" customHeight="1" x14ac:dyDescent="0.35">
      <c r="A16" s="74">
        <v>30081</v>
      </c>
      <c r="B16" s="73" t="s">
        <v>126</v>
      </c>
      <c r="C16" s="10">
        <f>IFERROR(INDEX('حسابهای دریافتنی'!H:H,MATCH(Table225[[#This Row],[كد تفصيلي]],'حسابهای دریافتنی'!A:A,0)),0)</f>
        <v>1148992373</v>
      </c>
      <c r="D16" s="11">
        <f>IFERROR(INDEX('درجریان وصول'!F:F,MATCH(Table225[[#This Row],[كد تفصيلي]],'درجریان وصول'!A:A,0)),0)</f>
        <v>0</v>
      </c>
      <c r="E16" s="11">
        <f>IFERROR(INDEX('چکهای دریافتنی'!F:F,MATCH(Table225[[#This Row],[كد تفصيلي]],'چکهای دریافتنی'!A:A,0)),0)</f>
        <v>0</v>
      </c>
      <c r="F16" s="11">
        <f>Table225[[#This Row],[حسابهای دریافتنی]]+Table225[[#This Row],[چکهای در جریان وصول]]+Table225[[#This Row],[چکهای نزد صندوق]]</f>
        <v>1148992373</v>
      </c>
      <c r="G16" s="12">
        <f>IFERROR(INDEX('مانده سوفاله'!F:F,MATCH(Table225[[#This Row],[كد تفصيلي]],'مانده سوفاله'!A:A,0)),0)</f>
        <v>-6924</v>
      </c>
    </row>
    <row r="17" spans="1:7" ht="24.75" customHeight="1" x14ac:dyDescent="0.35">
      <c r="A17" s="74">
        <v>10070</v>
      </c>
      <c r="B17" s="73" t="s">
        <v>230</v>
      </c>
      <c r="C17" s="10">
        <f>IFERROR(INDEX('حسابهای دریافتنی'!H:H,MATCH(Table225[[#This Row],[كد تفصيلي]],'حسابهای دریافتنی'!A:A,0)),0)</f>
        <v>508152500</v>
      </c>
      <c r="D17" s="11">
        <f>IFERROR(INDEX('درجریان وصول'!F:F,MATCH(Table225[[#This Row],[كد تفصيلي]],'درجریان وصول'!A:A,0)),0)</f>
        <v>0</v>
      </c>
      <c r="E17" s="11">
        <f>IFERROR(INDEX('چکهای دریافتنی'!F:F,MATCH(Table225[[#This Row],[كد تفصيلي]],'چکهای دریافتنی'!A:A,0)),0)</f>
        <v>570000000</v>
      </c>
      <c r="F17" s="11">
        <f>Table225[[#This Row],[حسابهای دریافتنی]]+Table225[[#This Row],[چکهای در جریان وصول]]+Table225[[#This Row],[چکهای نزد صندوق]]</f>
        <v>1078152500</v>
      </c>
      <c r="G17" s="12">
        <f>IFERROR(INDEX('مانده سوفاله'!F:F,MATCH(Table225[[#This Row],[كد تفصيلي]],'مانده سوفاله'!A:A,0)),0)</f>
        <v>-3170</v>
      </c>
    </row>
    <row r="18" spans="1:7" ht="24.75" customHeight="1" x14ac:dyDescent="0.35">
      <c r="A18" s="75">
        <v>30017</v>
      </c>
      <c r="B18" s="72" t="s">
        <v>65</v>
      </c>
      <c r="C18" s="10">
        <f>IFERROR(INDEX('حسابهای دریافتنی'!H:H,MATCH(Table225[[#This Row],[كد تفصيلي]],'حسابهای دریافتنی'!A:A,0)),0)</f>
        <v>905000830</v>
      </c>
      <c r="D18" s="11">
        <f>IFERROR(INDEX('درجریان وصول'!F:F,MATCH(Table225[[#This Row],[كد تفصيلي]],'درجریان وصول'!A:A,0)),0)</f>
        <v>0</v>
      </c>
      <c r="E18" s="11">
        <f>IFERROR(INDEX('چکهای دریافتنی'!F:F,MATCH(Table225[[#This Row],[كد تفصيلي]],'چکهای دریافتنی'!A:A,0)),0)</f>
        <v>0</v>
      </c>
      <c r="F18" s="11">
        <f>Table225[[#This Row],[حسابهای دریافتنی]]+Table225[[#This Row],[چکهای در جریان وصول]]+Table225[[#This Row],[چکهای نزد صندوق]]</f>
        <v>905000830</v>
      </c>
      <c r="G18" s="12">
        <f>IFERROR(INDEX('مانده سوفاله'!F:F,MATCH(Table225[[#This Row],[كد تفصيلي]],'مانده سوفاله'!A:A,0)),0)</f>
        <v>-2186</v>
      </c>
    </row>
    <row r="19" spans="1:7" ht="24.75" customHeight="1" x14ac:dyDescent="0.35">
      <c r="A19" s="74">
        <v>30093</v>
      </c>
      <c r="B19" s="73" t="s">
        <v>151</v>
      </c>
      <c r="C19" s="10">
        <f>IFERROR(INDEX('حسابهای دریافتنی'!H:H,MATCH(Table225[[#This Row],[كد تفصيلي]],'حسابهای دریافتنی'!A:A,0)),0)</f>
        <v>0</v>
      </c>
      <c r="D19" s="11">
        <f>IFERROR(INDEX('درجریان وصول'!F:F,MATCH(Table225[[#This Row],[كد تفصيلي]],'درجریان وصول'!A:A,0)),0)</f>
        <v>0</v>
      </c>
      <c r="E19" s="11">
        <f>IFERROR(INDEX('چکهای دریافتنی'!F:F,MATCH(Table225[[#This Row],[كد تفصيلي]],'چکهای دریافتنی'!A:A,0)),0)</f>
        <v>0</v>
      </c>
      <c r="F19" s="11">
        <f>Table225[[#This Row],[حسابهای دریافتنی]]+Table225[[#This Row],[چکهای در جریان وصول]]+Table225[[#This Row],[چکهای نزد صندوق]]</f>
        <v>0</v>
      </c>
      <c r="G19" s="12">
        <v>77</v>
      </c>
    </row>
    <row r="20" spans="1:7" ht="24.75" customHeight="1" x14ac:dyDescent="0.35">
      <c r="A20" s="74">
        <v>10127</v>
      </c>
      <c r="B20" s="73" t="s">
        <v>371</v>
      </c>
      <c r="C20" s="10">
        <f>IFERROR(INDEX('حسابهای دریافتنی'!H:H,MATCH(Table225[[#This Row],[كد تفصيلي]],'حسابهای دریافتنی'!A:A,0)),0)</f>
        <v>803728000</v>
      </c>
      <c r="D20" s="11">
        <f>IFERROR(INDEX('درجریان وصول'!F:F,MATCH(Table225[[#This Row],[كد تفصيلي]],'درجریان وصول'!A:A,0)),0)</f>
        <v>0</v>
      </c>
      <c r="E20" s="11">
        <f>IFERROR(INDEX('چکهای دریافتنی'!F:F,MATCH(Table225[[#This Row],[كد تفصيلي]],'چکهای دریافتنی'!A:A,0)),0)</f>
        <v>0</v>
      </c>
      <c r="F20" s="11">
        <f>Table225[[#This Row],[حسابهای دریافتنی]]+Table225[[#This Row],[چکهای در جریان وصول]]+Table225[[#This Row],[چکهای نزد صندوق]]</f>
        <v>803728000</v>
      </c>
      <c r="G20" s="12">
        <f>IFERROR(INDEX('مانده سوفاله'!F:F,MATCH(Table225[[#This Row],[كد تفصيلي]],'مانده سوفاله'!A:A,0)),0)</f>
        <v>-1469</v>
      </c>
    </row>
    <row r="21" spans="1:7" ht="24.75" customHeight="1" x14ac:dyDescent="0.35">
      <c r="A21" s="75">
        <v>30186</v>
      </c>
      <c r="B21" s="72" t="s">
        <v>367</v>
      </c>
      <c r="C21" s="10">
        <f>IFERROR(INDEX('حسابهای دریافتنی'!H:H,MATCH(Table225[[#This Row],[كد تفصيلي]],'حسابهای دریافتنی'!A:A,0)),0)</f>
        <v>986425000</v>
      </c>
      <c r="D21" s="11">
        <f>IFERROR(INDEX('درجریان وصول'!F:F,MATCH(Table225[[#This Row],[كد تفصيلي]],'درجریان وصول'!A:A,0)),0)</f>
        <v>0</v>
      </c>
      <c r="E21" s="11">
        <f>IFERROR(INDEX('چکهای دریافتنی'!F:F,MATCH(Table225[[#This Row],[كد تفصيلي]],'چکهای دریافتنی'!A:A,0)),0)</f>
        <v>5982430000</v>
      </c>
      <c r="F21" s="11">
        <f>Table225[[#This Row],[حسابهای دریافتنی]]+Table225[[#This Row],[چکهای در جریان وصول]]+Table225[[#This Row],[چکهای نزد صندوق]]</f>
        <v>6968855000</v>
      </c>
      <c r="G21" s="12">
        <f>IFERROR(INDEX('مانده سوفاله'!F:F,MATCH(Table225[[#This Row],[كد تفصيلي]],'مانده سوفاله'!A:A,0)),0)</f>
        <v>-7388</v>
      </c>
    </row>
    <row r="22" spans="1:7" ht="24.75" customHeight="1" x14ac:dyDescent="0.35">
      <c r="A22" s="75">
        <v>30058</v>
      </c>
      <c r="B22" s="72" t="s">
        <v>103</v>
      </c>
      <c r="C22" s="10">
        <f>IFERROR(INDEX('حسابهای دریافتنی'!H:H,MATCH(Table225[[#This Row],[كد تفصيلي]],'حسابهای دریافتنی'!A:A,0)),0)</f>
        <v>1700045560</v>
      </c>
      <c r="D22" s="11">
        <f>IFERROR(INDEX('درجریان وصول'!F:F,MATCH(Table225[[#This Row],[كد تفصيلي]],'درجریان وصول'!A:A,0)),0)</f>
        <v>0</v>
      </c>
      <c r="E22" s="11">
        <f>IFERROR(INDEX('چکهای دریافتنی'!F:F,MATCH(Table225[[#This Row],[كد تفصيلي]],'چکهای دریافتنی'!A:A,0)),0)</f>
        <v>0</v>
      </c>
      <c r="F22" s="11">
        <f>Table225[[#This Row],[حسابهای دریافتنی]]+Table225[[#This Row],[چکهای در جریان وصول]]+Table225[[#This Row],[چکهای نزد صندوق]]</f>
        <v>1700045560</v>
      </c>
      <c r="G22" s="12">
        <f>IFERROR(INDEX('مانده سوفاله'!F:F,MATCH(Table225[[#This Row],[كد تفصيلي]],'مانده سوفاله'!A:A,0)),0)</f>
        <v>-225</v>
      </c>
    </row>
    <row r="23" spans="1:7" ht="24.75" customHeight="1" x14ac:dyDescent="0.35">
      <c r="A23" s="75">
        <v>10057</v>
      </c>
      <c r="B23" s="72" t="s">
        <v>225</v>
      </c>
      <c r="C23" s="10">
        <f>IFERROR(INDEX('حسابهای دریافتنی'!H:H,MATCH(Table225[[#This Row],[كد تفصيلي]],'حسابهای دریافتنی'!A:A,0)),0)</f>
        <v>1390485500</v>
      </c>
      <c r="D23" s="11">
        <f>IFERROR(INDEX('درجریان وصول'!F:F,MATCH(Table225[[#This Row],[كد تفصيلي]],'درجریان وصول'!A:A,0)),0)</f>
        <v>0</v>
      </c>
      <c r="E23" s="11">
        <f>IFERROR(INDEX('چکهای دریافتنی'!F:F,MATCH(Table225[[#This Row],[كد تفصيلي]],'چکهای دریافتنی'!A:A,0)),0)</f>
        <v>0</v>
      </c>
      <c r="F23" s="11">
        <f>Table225[[#This Row],[حسابهای دریافتنی]]+Table225[[#This Row],[چکهای در جریان وصول]]+Table225[[#This Row],[چکهای نزد صندوق]]</f>
        <v>1390485500</v>
      </c>
      <c r="G23" s="12">
        <f>IFERROR(INDEX('مانده سوفاله'!F:F,MATCH(Table225[[#This Row],[كد تفصيلي]],'مانده سوفاله'!A:A,0)),0)</f>
        <v>-2044</v>
      </c>
    </row>
    <row r="24" spans="1:7" ht="24.75" customHeight="1" x14ac:dyDescent="0.35">
      <c r="A24" s="74">
        <v>30012</v>
      </c>
      <c r="B24" s="73" t="s">
        <v>61</v>
      </c>
      <c r="C24" s="10">
        <f>IFERROR(INDEX('حسابهای دریافتنی'!H:H,MATCH(Table225[[#This Row],[كد تفصيلي]],'حسابهای دریافتنی'!A:A,0)),0)</f>
        <v>-46099000</v>
      </c>
      <c r="D24" s="11">
        <f>IFERROR(INDEX('درجریان وصول'!F:F,MATCH(Table225[[#This Row],[كد تفصيلي]],'درجریان وصول'!A:A,0)),0)</f>
        <v>0</v>
      </c>
      <c r="E24" s="11">
        <f>IFERROR(INDEX('چکهای دریافتنی'!F:F,MATCH(Table225[[#This Row],[كد تفصيلي]],'چکهای دریافتنی'!A:A,0)),0)</f>
        <v>348650000</v>
      </c>
      <c r="F24" s="11">
        <f>Table225[[#This Row],[حسابهای دریافتنی]]+Table225[[#This Row],[چکهای در جریان وصول]]+Table225[[#This Row],[چکهای نزد صندوق]]</f>
        <v>302551000</v>
      </c>
      <c r="G24" s="12">
        <f>IFERROR(INDEX('مانده سوفاله'!F:F,MATCH(Table225[[#This Row],[كد تفصيلي]],'مانده سوفاله'!A:A,0)),0)</f>
        <v>141</v>
      </c>
    </row>
    <row r="25" spans="1:7" ht="24.75" customHeight="1" x14ac:dyDescent="0.35">
      <c r="A25" s="74">
        <v>10008</v>
      </c>
      <c r="B25" s="73" t="s">
        <v>15</v>
      </c>
      <c r="C25" s="10">
        <f>IFERROR(INDEX('حسابهای دریافتنی'!H:H,MATCH(Table225[[#This Row],[كد تفصيلي]],'حسابهای دریافتنی'!A:A,0)),0)</f>
        <v>597342000</v>
      </c>
      <c r="D25" s="11">
        <f>IFERROR(INDEX('درجریان وصول'!F:F,MATCH(Table225[[#This Row],[كد تفصيلي]],'درجریان وصول'!A:A,0)),0)</f>
        <v>0</v>
      </c>
      <c r="E25" s="11">
        <f>IFERROR(INDEX('چکهای دریافتنی'!F:F,MATCH(Table225[[#This Row],[كد تفصيلي]],'چکهای دریافتنی'!A:A,0)),0)</f>
        <v>0</v>
      </c>
      <c r="F25" s="11">
        <f>Table225[[#This Row],[حسابهای دریافتنی]]+Table225[[#This Row],[چکهای در جریان وصول]]+Table225[[#This Row],[چکهای نزد صندوق]]</f>
        <v>597342000</v>
      </c>
      <c r="G25" s="12">
        <f>IFERROR(INDEX('مانده سوفاله'!F:F,MATCH(Table225[[#This Row],[كد تفصيلي]],'مانده سوفاله'!A:A,0)),0)</f>
        <v>-578</v>
      </c>
    </row>
    <row r="26" spans="1:7" ht="24.75" customHeight="1" x14ac:dyDescent="0.35">
      <c r="A26" s="74">
        <v>10020</v>
      </c>
      <c r="B26" s="73" t="s">
        <v>27</v>
      </c>
      <c r="C26" s="10">
        <f>IFERROR(INDEX('حسابهای دریافتنی'!H:H,MATCH(Table225[[#This Row],[كد تفصيلي]],'حسابهای دریافتنی'!A:A,0)),0)</f>
        <v>57999963</v>
      </c>
      <c r="D26" s="11">
        <f>IFERROR(INDEX('درجریان وصول'!F:F,MATCH(Table225[[#This Row],[كد تفصيلي]],'درجریان وصول'!A:A,0)),0)</f>
        <v>0</v>
      </c>
      <c r="E26" s="11">
        <f>IFERROR(INDEX('چکهای دریافتنی'!F:F,MATCH(Table225[[#This Row],[كد تفصيلي]],'چکهای دریافتنی'!A:A,0)),0)</f>
        <v>728000000</v>
      </c>
      <c r="F26" s="11">
        <f>Table225[[#This Row],[حسابهای دریافتنی]]+Table225[[#This Row],[چکهای در جریان وصول]]+Table225[[#This Row],[چکهای نزد صندوق]]</f>
        <v>785999963</v>
      </c>
      <c r="G26" s="12">
        <f>IFERROR(INDEX('مانده سوفاله'!F:F,MATCH(Table225[[#This Row],[كد تفصيلي]],'مانده سوفاله'!A:A,0)),0)</f>
        <v>-1031</v>
      </c>
    </row>
    <row r="27" spans="1:7" ht="24.75" customHeight="1" x14ac:dyDescent="0.35">
      <c r="A27" s="75">
        <v>50011</v>
      </c>
      <c r="B27" s="72" t="s">
        <v>147</v>
      </c>
      <c r="C27" s="10">
        <f>IFERROR(INDEX('حسابهای دریافتنی'!H:H,MATCH(Table225[[#This Row],[كد تفصيلي]],'حسابهای دریافتنی'!A:A,0)),0)</f>
        <v>832182413</v>
      </c>
      <c r="D27" s="11">
        <f>IFERROR(INDEX('درجریان وصول'!F:F,MATCH(Table225[[#This Row],[كد تفصيلي]],'درجریان وصول'!A:A,0)),0)</f>
        <v>0</v>
      </c>
      <c r="E27" s="11">
        <f>IFERROR(INDEX('چکهای دریافتنی'!F:F,MATCH(Table225[[#This Row],[كد تفصيلي]],'چکهای دریافتنی'!A:A,0)),0)</f>
        <v>0</v>
      </c>
      <c r="F27" s="11">
        <f>Table225[[#This Row],[حسابهای دریافتنی]]+Table225[[#This Row],[چکهای در جریان وصول]]+Table225[[#This Row],[چکهای نزد صندوق]]</f>
        <v>832182413</v>
      </c>
      <c r="G27" s="12">
        <f>IFERROR(INDEX('مانده سوفاله'!F:F,MATCH(Table225[[#This Row],[كد تفصيلي]],'مانده سوفاله'!A:A,0)),0)</f>
        <v>30</v>
      </c>
    </row>
    <row r="28" spans="1:7" ht="24.75" customHeight="1" x14ac:dyDescent="0.35">
      <c r="A28" s="74">
        <v>30069</v>
      </c>
      <c r="B28" s="73" t="s">
        <v>114</v>
      </c>
      <c r="C28" s="10">
        <f>IFERROR(INDEX('حسابهای دریافتنی'!H:H,MATCH(Table225[[#This Row],[كد تفصيلي]],'حسابهای دریافتنی'!A:A,0)),0)</f>
        <v>377909400</v>
      </c>
      <c r="D28" s="11">
        <f>IFERROR(INDEX('درجریان وصول'!F:F,MATCH(Table225[[#This Row],[كد تفصيلي]],'درجریان وصول'!A:A,0)),0)</f>
        <v>0</v>
      </c>
      <c r="E28" s="11">
        <f>IFERROR(INDEX('چکهای دریافتنی'!F:F,MATCH(Table225[[#This Row],[كد تفصيلي]],'چکهای دریافتنی'!A:A,0)),0)</f>
        <v>0</v>
      </c>
      <c r="F28" s="11">
        <f>Table225[[#This Row],[حسابهای دریافتنی]]+Table225[[#This Row],[چکهای در جریان وصول]]+Table225[[#This Row],[چکهای نزد صندوق]]</f>
        <v>377909400</v>
      </c>
      <c r="G28" s="12">
        <f>IFERROR(INDEX('مانده سوفاله'!F:F,MATCH(Table225[[#This Row],[كد تفصيلي]],'مانده سوفاله'!A:A,0)),0)</f>
        <v>66</v>
      </c>
    </row>
    <row r="29" spans="1:7" ht="24.75" customHeight="1" x14ac:dyDescent="0.35">
      <c r="A29" s="75">
        <v>30070</v>
      </c>
      <c r="B29" s="72" t="s">
        <v>115</v>
      </c>
      <c r="C29" s="10">
        <f>IFERROR(INDEX('حسابهای دریافتنی'!H:H,MATCH(Table225[[#This Row],[كد تفصيلي]],'حسابهای دریافتنی'!A:A,0)),0)</f>
        <v>2651728820</v>
      </c>
      <c r="D29" s="11">
        <f>IFERROR(INDEX('درجریان وصول'!F:F,MATCH(Table225[[#This Row],[كد تفصيلي]],'درجریان وصول'!A:A,0)),0)</f>
        <v>0</v>
      </c>
      <c r="E29" s="11">
        <f>IFERROR(INDEX('چکهای دریافتنی'!F:F,MATCH(Table225[[#This Row],[كد تفصيلي]],'چکهای دریافتنی'!A:A,0)),0)</f>
        <v>3660000000</v>
      </c>
      <c r="F29" s="11">
        <f>Table225[[#This Row],[حسابهای دریافتنی]]+Table225[[#This Row],[چکهای در جریان وصول]]+Table225[[#This Row],[چکهای نزد صندوق]]</f>
        <v>6311728820</v>
      </c>
      <c r="G29" s="12">
        <f>IFERROR(INDEX('مانده سوفاله'!F:F,MATCH(Table225[[#This Row],[كد تفصيلي]],'مانده سوفاله'!A:A,0)),0)</f>
        <v>4378</v>
      </c>
    </row>
    <row r="30" spans="1:7" ht="24.75" customHeight="1" x14ac:dyDescent="0.35">
      <c r="A30" s="74">
        <v>30191</v>
      </c>
      <c r="B30" s="73" t="s">
        <v>460</v>
      </c>
      <c r="C30" s="10">
        <f>IFERROR(INDEX('حسابهای دریافتنی'!H:H,MATCH(Table225[[#This Row],[كد تفصيلي]],'حسابهای دریافتنی'!A:A,0)),0)</f>
        <v>792933000</v>
      </c>
      <c r="D30" s="11">
        <f>IFERROR(INDEX('درجریان وصول'!F:F,MATCH(Table225[[#This Row],[كد تفصيلي]],'درجریان وصول'!A:A,0)),0)</f>
        <v>0</v>
      </c>
      <c r="E30" s="11">
        <f>IFERROR(INDEX('چکهای دریافتنی'!F:F,MATCH(Table225[[#This Row],[كد تفصيلي]],'چکهای دریافتنی'!A:A,0)),0)</f>
        <v>0</v>
      </c>
      <c r="F30" s="11">
        <f>Table225[[#This Row],[حسابهای دریافتنی]]+Table225[[#This Row],[چکهای در جریان وصول]]+Table225[[#This Row],[چکهای نزد صندوق]]</f>
        <v>792933000</v>
      </c>
      <c r="G30" s="12">
        <f>IFERROR(INDEX('مانده سوفاله'!F:F,MATCH(Table225[[#This Row],[كد تفصيلي]],'مانده سوفاله'!A:A,0)),0)</f>
        <v>134</v>
      </c>
    </row>
    <row r="31" spans="1:7" ht="24.75" customHeight="1" x14ac:dyDescent="0.35">
      <c r="A31" s="74">
        <v>10004</v>
      </c>
      <c r="B31" s="73" t="s">
        <v>11</v>
      </c>
      <c r="C31" s="10">
        <f>IFERROR(INDEX('حسابهای دریافتنی'!H:H,MATCH(Table225[[#This Row],[كد تفصيلي]],'حسابهای دریافتنی'!A:A,0)),0)</f>
        <v>853000</v>
      </c>
      <c r="D31" s="11">
        <f>IFERROR(INDEX('درجریان وصول'!F:F,MATCH(Table225[[#This Row],[كد تفصيلي]],'درجریان وصول'!A:A,0)),0)</f>
        <v>0</v>
      </c>
      <c r="E31" s="11">
        <f>IFERROR(INDEX('چکهای دریافتنی'!F:F,MATCH(Table225[[#This Row],[كد تفصيلي]],'چکهای دریافتنی'!A:A,0)),0)</f>
        <v>341000000</v>
      </c>
      <c r="F31" s="11">
        <f>Table225[[#This Row],[حسابهای دریافتنی]]+Table225[[#This Row],[چکهای در جریان وصول]]+Table225[[#This Row],[چکهای نزد صندوق]]</f>
        <v>341853000</v>
      </c>
      <c r="G31" s="12">
        <f>IFERROR(INDEX('مانده سوفاله'!F:F,MATCH(Table225[[#This Row],[كد تفصيلي]],'مانده سوفاله'!A:A,0)),0)</f>
        <v>-12</v>
      </c>
    </row>
    <row r="32" spans="1:7" ht="24.75" customHeight="1" x14ac:dyDescent="0.35">
      <c r="A32" s="75">
        <v>30162</v>
      </c>
      <c r="B32" s="72" t="s">
        <v>301</v>
      </c>
      <c r="C32" s="10">
        <f>IFERROR(INDEX('حسابهای دریافتنی'!H:H,MATCH(Table225[[#This Row],[كد تفصيلي]],'حسابهای دریافتنی'!A:A,0)),0)</f>
        <v>204890235</v>
      </c>
      <c r="D32" s="11">
        <f>IFERROR(INDEX('درجریان وصول'!F:F,MATCH(Table225[[#This Row],[كد تفصيلي]],'درجریان وصول'!A:A,0)),0)</f>
        <v>0</v>
      </c>
      <c r="E32" s="11">
        <f>IFERROR(INDEX('چکهای دریافتنی'!F:F,MATCH(Table225[[#This Row],[كد تفصيلي]],'چکهای دریافتنی'!A:A,0)),0)</f>
        <v>0</v>
      </c>
      <c r="F32" s="11">
        <f>Table225[[#This Row],[حسابهای دریافتنی]]+Table225[[#This Row],[چکهای در جریان وصول]]+Table225[[#This Row],[چکهای نزد صندوق]]</f>
        <v>204890235</v>
      </c>
      <c r="G32" s="12">
        <f>IFERROR(INDEX('مانده سوفاله'!F:F,MATCH(Table225[[#This Row],[كد تفصيلي]],'مانده سوفاله'!A:A,0)),0)</f>
        <v>-251</v>
      </c>
    </row>
    <row r="33" spans="1:7" ht="24.75" customHeight="1" x14ac:dyDescent="0.35">
      <c r="A33" s="75">
        <v>30086</v>
      </c>
      <c r="B33" s="72" t="s">
        <v>131</v>
      </c>
      <c r="C33" s="10">
        <f>IFERROR(INDEX('حسابهای دریافتنی'!H:H,MATCH(Table225[[#This Row],[كد تفصيلي]],'حسابهای دریافتنی'!A:A,0)),0)</f>
        <v>187376603</v>
      </c>
      <c r="D33" s="11">
        <f>IFERROR(INDEX('درجریان وصول'!F:F,MATCH(Table225[[#This Row],[كد تفصيلي]],'درجریان وصول'!A:A,0)),0)</f>
        <v>0</v>
      </c>
      <c r="E33" s="11">
        <f>IFERROR(INDEX('چکهای دریافتنی'!F:F,MATCH(Table225[[#This Row],[كد تفصيلي]],'چکهای دریافتنی'!A:A,0)),0)</f>
        <v>0</v>
      </c>
      <c r="F33" s="11">
        <f>Table225[[#This Row],[حسابهای دریافتنی]]+Table225[[#This Row],[چکهای در جریان وصول]]+Table225[[#This Row],[چکهای نزد صندوق]]</f>
        <v>187376603</v>
      </c>
      <c r="G33" s="12">
        <f>IFERROR(INDEX('مانده سوفاله'!F:F,MATCH(Table225[[#This Row],[كد تفصيلي]],'مانده سوفاله'!A:A,0)),0)</f>
        <v>1549</v>
      </c>
    </row>
    <row r="34" spans="1:7" ht="24.75" customHeight="1" x14ac:dyDescent="0.35">
      <c r="A34" s="75">
        <v>30140</v>
      </c>
      <c r="B34" s="72" t="s">
        <v>259</v>
      </c>
      <c r="C34" s="10">
        <f>IFERROR(INDEX('حسابهای دریافتنی'!H:H,MATCH(Table225[[#This Row],[كد تفصيلي]],'حسابهای دریافتنی'!A:A,0)),0)</f>
        <v>553728200</v>
      </c>
      <c r="D34" s="11">
        <f>IFERROR(INDEX('درجریان وصول'!F:F,MATCH(Table225[[#This Row],[كد تفصيلي]],'درجریان وصول'!A:A,0)),0)</f>
        <v>0</v>
      </c>
      <c r="E34" s="11">
        <f>IFERROR(INDEX('چکهای دریافتنی'!F:F,MATCH(Table225[[#This Row],[كد تفصيلي]],'چکهای دریافتنی'!A:A,0)),0)</f>
        <v>1030000000</v>
      </c>
      <c r="F34" s="11">
        <f>Table225[[#This Row],[حسابهای دریافتنی]]+Table225[[#This Row],[چکهای در جریان وصول]]+Table225[[#This Row],[چکهای نزد صندوق]]</f>
        <v>1583728200</v>
      </c>
      <c r="G34" s="12">
        <f>IFERROR(INDEX('مانده سوفاله'!F:F,MATCH(Table225[[#This Row],[كد تفصيلي]],'مانده سوفاله'!A:A,0)),0)</f>
        <v>-12630</v>
      </c>
    </row>
    <row r="35" spans="1:7" ht="24.75" customHeight="1" x14ac:dyDescent="0.35">
      <c r="A35" s="75">
        <v>30003</v>
      </c>
      <c r="B35" s="72" t="s">
        <v>53</v>
      </c>
      <c r="C35" s="10">
        <f>IFERROR(INDEX('حسابهای دریافتنی'!H:H,MATCH(Table225[[#This Row],[كد تفصيلي]],'حسابهای دریافتنی'!A:A,0)),0)</f>
        <v>754765900</v>
      </c>
      <c r="D35" s="11">
        <f>IFERROR(INDEX('درجریان وصول'!F:F,MATCH(Table225[[#This Row],[كد تفصيلي]],'درجریان وصول'!A:A,0)),0)</f>
        <v>0</v>
      </c>
      <c r="E35" s="11">
        <f>IFERROR(INDEX('چکهای دریافتنی'!F:F,MATCH(Table225[[#This Row],[كد تفصيلي]],'چکهای دریافتنی'!A:A,0)),0)</f>
        <v>571000000</v>
      </c>
      <c r="F35" s="11">
        <f>Table225[[#This Row],[حسابهای دریافتنی]]+Table225[[#This Row],[چکهای در جریان وصول]]+Table225[[#This Row],[چکهای نزد صندوق]]</f>
        <v>1325765900</v>
      </c>
      <c r="G35" s="12">
        <f>IFERROR(INDEX('مانده سوفاله'!F:F,MATCH(Table225[[#This Row],[كد تفصيلي]],'مانده سوفاله'!A:A,0)),0)</f>
        <v>-3538</v>
      </c>
    </row>
    <row r="36" spans="1:7" ht="24.75" customHeight="1" x14ac:dyDescent="0.35">
      <c r="A36" s="74">
        <v>30187</v>
      </c>
      <c r="B36" s="73" t="s">
        <v>369</v>
      </c>
      <c r="C36" s="10">
        <f>IFERROR(INDEX('حسابهای دریافتنی'!H:H,MATCH(Table225[[#This Row],[كد تفصيلي]],'حسابهای دریافتنی'!A:A,0)),0)</f>
        <v>337825500</v>
      </c>
      <c r="D36" s="11">
        <f>IFERROR(INDEX('درجریان وصول'!F:F,MATCH(Table225[[#This Row],[كد تفصيلي]],'درجریان وصول'!A:A,0)),0)</f>
        <v>0</v>
      </c>
      <c r="E36" s="11">
        <f>IFERROR(INDEX('چکهای دریافتنی'!F:F,MATCH(Table225[[#This Row],[كد تفصيلي]],'چکهای دریافتنی'!A:A,0)),0)</f>
        <v>0</v>
      </c>
      <c r="F36" s="11">
        <f>Table225[[#This Row],[حسابهای دریافتنی]]+Table225[[#This Row],[چکهای در جریان وصول]]+Table225[[#This Row],[چکهای نزد صندوق]]</f>
        <v>337825500</v>
      </c>
      <c r="G36" s="12">
        <f>IFERROR(INDEX('مانده سوفاله'!F:F,MATCH(Table225[[#This Row],[كد تفصيلي]],'مانده سوفاله'!A:A,0)),0)</f>
        <v>-108</v>
      </c>
    </row>
    <row r="37" spans="1:7" ht="24.75" customHeight="1" x14ac:dyDescent="0.35">
      <c r="A37" s="75">
        <v>30001</v>
      </c>
      <c r="B37" s="72" t="s">
        <v>190</v>
      </c>
      <c r="C37" s="10">
        <f>IFERROR(INDEX('حسابهای دریافتنی'!H:H,MATCH(Table225[[#This Row],[كد تفصيلي]],'حسابهای دریافتنی'!A:A,0)),0)</f>
        <v>119647176</v>
      </c>
      <c r="D37" s="11">
        <f>IFERROR(INDEX('درجریان وصول'!F:F,MATCH(Table225[[#This Row],[كد تفصيلي]],'درجریان وصول'!A:A,0)),0)</f>
        <v>0</v>
      </c>
      <c r="E37" s="11">
        <f>IFERROR(INDEX('چکهای دریافتنی'!F:F,MATCH(Table225[[#This Row],[كد تفصيلي]],'چکهای دریافتنی'!A:A,0)),0)</f>
        <v>0</v>
      </c>
      <c r="F37" s="11">
        <f>Table225[[#This Row],[حسابهای دریافتنی]]+Table225[[#This Row],[چکهای در جریان وصول]]+Table225[[#This Row],[چکهای نزد صندوق]]</f>
        <v>119647176</v>
      </c>
      <c r="G37" s="12">
        <f>IFERROR(INDEX('مانده سوفاله'!F:F,MATCH(Table225[[#This Row],[كد تفصيلي]],'مانده سوفاله'!A:A,0)),0)</f>
        <v>123</v>
      </c>
    </row>
    <row r="38" spans="1:7" ht="24.75" customHeight="1" x14ac:dyDescent="0.35">
      <c r="A38" s="74">
        <v>30077</v>
      </c>
      <c r="B38" s="73" t="s">
        <v>122</v>
      </c>
      <c r="C38" s="10">
        <f>IFERROR(INDEX('حسابهای دریافتنی'!H:H,MATCH(Table225[[#This Row],[كد تفصيلي]],'حسابهای دریافتنی'!A:A,0)),0)</f>
        <v>360000</v>
      </c>
      <c r="D38" s="11">
        <f>IFERROR(INDEX('درجریان وصول'!F:F,MATCH(Table225[[#This Row],[كد تفصيلي]],'درجریان وصول'!A:A,0)),0)</f>
        <v>0</v>
      </c>
      <c r="E38" s="11">
        <f>IFERROR(INDEX('چکهای دریافتنی'!F:F,MATCH(Table225[[#This Row],[كد تفصيلي]],'چکهای دریافتنی'!A:A,0)),0)</f>
        <v>0</v>
      </c>
      <c r="F38" s="11">
        <f>Table225[[#This Row],[حسابهای دریافتنی]]+Table225[[#This Row],[چکهای در جریان وصول]]+Table225[[#This Row],[چکهای نزد صندوق]]</f>
        <v>360000</v>
      </c>
      <c r="G38" s="12">
        <f>IFERROR(INDEX('مانده سوفاله'!F:F,MATCH(Table225[[#This Row],[كد تفصيلي]],'مانده سوفاله'!A:A,0)),0)</f>
        <v>-32</v>
      </c>
    </row>
    <row r="39" spans="1:7" ht="24.75" customHeight="1" x14ac:dyDescent="0.35">
      <c r="A39" s="74">
        <v>10096</v>
      </c>
      <c r="B39" s="73" t="s">
        <v>271</v>
      </c>
      <c r="C39" s="10">
        <f>IFERROR(INDEX('حسابهای دریافتنی'!H:H,MATCH(Table225[[#This Row],[كد تفصيلي]],'حسابهای دریافتنی'!A:A,0)),0)</f>
        <v>36455500</v>
      </c>
      <c r="D39" s="11">
        <f>IFERROR(INDEX('درجریان وصول'!F:F,MATCH(Table225[[#This Row],[كد تفصيلي]],'درجریان وصول'!A:A,0)),0)</f>
        <v>0</v>
      </c>
      <c r="E39" s="11">
        <f>IFERROR(INDEX('چکهای دریافتنی'!F:F,MATCH(Table225[[#This Row],[كد تفصيلي]],'چکهای دریافتنی'!A:A,0)),0)</f>
        <v>0</v>
      </c>
      <c r="F39" s="11">
        <f>Table225[[#This Row],[حسابهای دریافتنی]]+Table225[[#This Row],[چکهای در جریان وصول]]+Table225[[#This Row],[چکهای نزد صندوق]]</f>
        <v>36455500</v>
      </c>
      <c r="G39" s="12">
        <f>IFERROR(INDEX('مانده سوفاله'!F:F,MATCH(Table225[[#This Row],[كد تفصيلي]],'مانده سوفاله'!A:A,0)),0)</f>
        <v>0</v>
      </c>
    </row>
    <row r="40" spans="1:7" ht="24.75" customHeight="1" x14ac:dyDescent="0.35">
      <c r="A40" s="75">
        <v>30025</v>
      </c>
      <c r="B40" s="72" t="s">
        <v>73</v>
      </c>
      <c r="C40" s="10">
        <f>IFERROR(INDEX('حسابهای دریافتنی'!H:H,MATCH(Table225[[#This Row],[كد تفصيلي]],'حسابهای دریافتنی'!A:A,0)),0)</f>
        <v>35598920</v>
      </c>
      <c r="D40" s="11">
        <f>IFERROR(INDEX('درجریان وصول'!F:F,MATCH(Table225[[#This Row],[كد تفصيلي]],'درجریان وصول'!A:A,0)),0)</f>
        <v>0</v>
      </c>
      <c r="E40" s="11">
        <f>IFERROR(INDEX('چکهای دریافتنی'!F:F,MATCH(Table225[[#This Row],[كد تفصيلي]],'چکهای دریافتنی'!A:A,0)),0)</f>
        <v>0</v>
      </c>
      <c r="F40" s="11">
        <f>Table225[[#This Row],[حسابهای دریافتنی]]+Table225[[#This Row],[چکهای در جریان وصول]]+Table225[[#This Row],[چکهای نزد صندوق]]</f>
        <v>35598920</v>
      </c>
      <c r="G40" s="12">
        <f>IFERROR(INDEX('مانده سوفاله'!F:F,MATCH(Table225[[#This Row],[كد تفصيلي]],'مانده سوفاله'!A:A,0)),0)</f>
        <v>-165</v>
      </c>
    </row>
    <row r="41" spans="1:7" ht="24.75" customHeight="1" x14ac:dyDescent="0.35">
      <c r="A41" s="75">
        <v>30005</v>
      </c>
      <c r="B41" s="72" t="s">
        <v>55</v>
      </c>
      <c r="C41" s="10">
        <f>IFERROR(INDEX('حسابهای دریافتنی'!H:H,MATCH(Table225[[#This Row],[كد تفصيلي]],'حسابهای دریافتنی'!A:A,0)),0)</f>
        <v>35368209</v>
      </c>
      <c r="D41" s="11">
        <f>IFERROR(INDEX('درجریان وصول'!F:F,MATCH(Table225[[#This Row],[كد تفصيلي]],'درجریان وصول'!A:A,0)),0)</f>
        <v>0</v>
      </c>
      <c r="E41" s="11">
        <f>IFERROR(INDEX('چکهای دریافتنی'!F:F,MATCH(Table225[[#This Row],[كد تفصيلي]],'چکهای دریافتنی'!A:A,0)),0)</f>
        <v>0</v>
      </c>
      <c r="F41" s="11">
        <f>Table225[[#This Row],[حسابهای دریافتنی]]+Table225[[#This Row],[چکهای در جریان وصول]]+Table225[[#This Row],[چکهای نزد صندوق]]</f>
        <v>35368209</v>
      </c>
      <c r="G41" s="12">
        <f>IFERROR(INDEX('مانده سوفاله'!F:F,MATCH(Table225[[#This Row],[كد تفصيلي]],'مانده سوفاله'!A:A,0)),0)</f>
        <v>61</v>
      </c>
    </row>
    <row r="42" spans="1:7" ht="24.75" customHeight="1" x14ac:dyDescent="0.35">
      <c r="A42" s="74">
        <v>30018</v>
      </c>
      <c r="B42" s="73" t="s">
        <v>66</v>
      </c>
      <c r="C42" s="10">
        <f>IFERROR(INDEX('حسابهای دریافتنی'!H:H,MATCH(Table225[[#This Row],[كد تفصيلي]],'حسابهای دریافتنی'!A:A,0)),0)</f>
        <v>1901077182</v>
      </c>
      <c r="D42" s="11">
        <f>IFERROR(INDEX('درجریان وصول'!F:F,MATCH(Table225[[#This Row],[كد تفصيلي]],'درجریان وصول'!A:A,0)),0)</f>
        <v>0</v>
      </c>
      <c r="E42" s="11">
        <f>IFERROR(INDEX('چکهای دریافتنی'!F:F,MATCH(Table225[[#This Row],[كد تفصيلي]],'چکهای دریافتنی'!A:A,0)),0)</f>
        <v>0</v>
      </c>
      <c r="F42" s="11">
        <f>Table225[[#This Row],[حسابهای دریافتنی]]+Table225[[#This Row],[چکهای در جریان وصول]]+Table225[[#This Row],[چکهای نزد صندوق]]</f>
        <v>1901077182</v>
      </c>
      <c r="G42" s="12">
        <f>IFERROR(INDEX('مانده سوفاله'!F:F,MATCH(Table225[[#This Row],[كد تفصيلي]],'مانده سوفاله'!A:A,0)),0)</f>
        <v>-3024</v>
      </c>
    </row>
    <row r="43" spans="1:7" ht="24.75" customHeight="1" x14ac:dyDescent="0.35">
      <c r="A43" s="74">
        <v>30101</v>
      </c>
      <c r="B43" s="73" t="s">
        <v>196</v>
      </c>
      <c r="C43" s="10">
        <f>IFERROR(INDEX('حسابهای دریافتنی'!H:H,MATCH(Table225[[#This Row],[كد تفصيلي]],'حسابهای دریافتنی'!A:A,0)),0)</f>
        <v>203336095</v>
      </c>
      <c r="D43" s="11">
        <f>IFERROR(INDEX('درجریان وصول'!F:F,MATCH(Table225[[#This Row],[كد تفصيلي]],'درجریان وصول'!A:A,0)),0)</f>
        <v>0</v>
      </c>
      <c r="E43" s="11">
        <f>IFERROR(INDEX('چکهای دریافتنی'!F:F,MATCH(Table225[[#This Row],[كد تفصيلي]],'چکهای دریافتنی'!A:A,0)),0)</f>
        <v>0</v>
      </c>
      <c r="F43" s="11">
        <f>Table225[[#This Row],[حسابهای دریافتنی]]+Table225[[#This Row],[چکهای در جریان وصول]]+Table225[[#This Row],[چکهای نزد صندوق]]</f>
        <v>203336095</v>
      </c>
      <c r="G43" s="12">
        <f>IFERROR(INDEX('مانده سوفاله'!F:F,MATCH(Table225[[#This Row],[كد تفصيلي]],'مانده سوفاله'!A:A,0)),0)</f>
        <v>15</v>
      </c>
    </row>
    <row r="44" spans="1:7" ht="24.75" customHeight="1" x14ac:dyDescent="0.35">
      <c r="A44" s="74">
        <v>30024</v>
      </c>
      <c r="B44" s="73" t="s">
        <v>72</v>
      </c>
      <c r="C44" s="10">
        <f>IFERROR(INDEX('حسابهای دریافتنی'!H:H,MATCH(Table225[[#This Row],[كد تفصيلي]],'حسابهای دریافتنی'!A:A,0)),0)</f>
        <v>16135000</v>
      </c>
      <c r="D44" s="11">
        <f>IFERROR(INDEX('درجریان وصول'!F:F,MATCH(Table225[[#This Row],[كد تفصيلي]],'درجریان وصول'!A:A,0)),0)</f>
        <v>0</v>
      </c>
      <c r="E44" s="11">
        <f>IFERROR(INDEX('چکهای دریافتنی'!F:F,MATCH(Table225[[#This Row],[كد تفصيلي]],'چکهای دریافتنی'!A:A,0)),0)</f>
        <v>0</v>
      </c>
      <c r="F44" s="11">
        <f>Table225[[#This Row],[حسابهای دریافتنی]]+Table225[[#This Row],[چکهای در جریان وصول]]+Table225[[#This Row],[چکهای نزد صندوق]]</f>
        <v>16135000</v>
      </c>
      <c r="G44" s="12">
        <f>IFERROR(INDEX('مانده سوفاله'!F:F,MATCH(Table225[[#This Row],[كد تفصيلي]],'مانده سوفاله'!A:A,0)),0)</f>
        <v>0</v>
      </c>
    </row>
    <row r="45" spans="1:7" ht="24.75" customHeight="1" x14ac:dyDescent="0.35">
      <c r="A45" s="74">
        <v>30008</v>
      </c>
      <c r="B45" s="73" t="s">
        <v>58</v>
      </c>
      <c r="C45" s="10">
        <f>IFERROR(INDEX('حسابهای دریافتنی'!H:H,MATCH(Table225[[#This Row],[كد تفصيلي]],'حسابهای دریافتنی'!A:A,0)),0)</f>
        <v>15520000</v>
      </c>
      <c r="D45" s="11">
        <f>IFERROR(INDEX('درجریان وصول'!F:F,MATCH(Table225[[#This Row],[كد تفصيلي]],'درجریان وصول'!A:A,0)),0)</f>
        <v>0</v>
      </c>
      <c r="E45" s="11">
        <f>IFERROR(INDEX('چکهای دریافتنی'!F:F,MATCH(Table225[[#This Row],[كد تفصيلي]],'چکهای دریافتنی'!A:A,0)),0)</f>
        <v>0</v>
      </c>
      <c r="F45" s="11">
        <f>Table225[[#This Row],[حسابهای دریافتنی]]+Table225[[#This Row],[چکهای در جریان وصول]]+Table225[[#This Row],[چکهای نزد صندوق]]</f>
        <v>15520000</v>
      </c>
      <c r="G45" s="12">
        <f>IFERROR(INDEX('مانده سوفاله'!F:F,MATCH(Table225[[#This Row],[كد تفصيلي]],'مانده سوفاله'!A:A,0)),0)</f>
        <v>0</v>
      </c>
    </row>
    <row r="46" spans="1:7" ht="24.75" customHeight="1" x14ac:dyDescent="0.35">
      <c r="A46" s="74">
        <v>10092</v>
      </c>
      <c r="B46" s="73" t="s">
        <v>260</v>
      </c>
      <c r="C46" s="10">
        <f>IFERROR(INDEX('حسابهای دریافتنی'!H:H,MATCH(Table225[[#This Row],[كد تفصيلي]],'حسابهای دریافتنی'!A:A,0)),0)</f>
        <v>-1749946500</v>
      </c>
      <c r="D46" s="11">
        <f>IFERROR(INDEX('درجریان وصول'!F:F,MATCH(Table225[[#This Row],[كد تفصيلي]],'درجریان وصول'!A:A,0)),0)</f>
        <v>0</v>
      </c>
      <c r="E46" s="11">
        <f>IFERROR(INDEX('چکهای دریافتنی'!F:F,MATCH(Table225[[#This Row],[كد تفصيلي]],'چکهای دریافتنی'!A:A,0)),0)</f>
        <v>300000000</v>
      </c>
      <c r="F46" s="11">
        <f>Table225[[#This Row],[حسابهای دریافتنی]]+Table225[[#This Row],[چکهای در جریان وصول]]+Table225[[#This Row],[چکهای نزد صندوق]]</f>
        <v>-1449946500</v>
      </c>
      <c r="G46" s="12">
        <f>IFERROR(INDEX('مانده سوفاله'!F:F,MATCH(Table225[[#This Row],[كد تفصيلي]],'مانده سوفاله'!A:A,0)),0)</f>
        <v>0</v>
      </c>
    </row>
    <row r="47" spans="1:7" ht="24.75" customHeight="1" x14ac:dyDescent="0.35">
      <c r="A47" s="75">
        <v>10007</v>
      </c>
      <c r="B47" s="72" t="s">
        <v>14</v>
      </c>
      <c r="C47" s="10">
        <f>IFERROR(INDEX('حسابهای دریافتنی'!H:H,MATCH(Table225[[#This Row],[كد تفصيلي]],'حسابهای دریافتنی'!A:A,0)),0)</f>
        <v>12770000</v>
      </c>
      <c r="D47" s="11">
        <f>IFERROR(INDEX('درجریان وصول'!F:F,MATCH(Table225[[#This Row],[كد تفصيلي]],'درجریان وصول'!A:A,0)),0)</f>
        <v>0</v>
      </c>
      <c r="E47" s="11">
        <f>IFERROR(INDEX('چکهای دریافتنی'!F:F,MATCH(Table225[[#This Row],[كد تفصيلي]],'چکهای دریافتنی'!A:A,0)),0)</f>
        <v>0</v>
      </c>
      <c r="F47" s="11">
        <f>Table225[[#This Row],[حسابهای دریافتنی]]+Table225[[#This Row],[چکهای در جریان وصول]]+Table225[[#This Row],[چکهای نزد صندوق]]</f>
        <v>12770000</v>
      </c>
      <c r="G47" s="12">
        <f>IFERROR(INDEX('مانده سوفاله'!F:F,MATCH(Table225[[#This Row],[كد تفصيلي]],'مانده سوفاله'!A:A,0)),0)</f>
        <v>-52.5</v>
      </c>
    </row>
    <row r="48" spans="1:7" ht="24.75" customHeight="1" x14ac:dyDescent="0.35">
      <c r="A48" s="74">
        <v>10018</v>
      </c>
      <c r="B48" s="73" t="s">
        <v>25</v>
      </c>
      <c r="C48" s="10">
        <f>IFERROR(INDEX('حسابهای دریافتنی'!H:H,MATCH(Table225[[#This Row],[كد تفصيلي]],'حسابهای دریافتنی'!A:A,0)),0)</f>
        <v>95282000</v>
      </c>
      <c r="D48" s="11">
        <f>IFERROR(INDEX('درجریان وصول'!F:F,MATCH(Table225[[#This Row],[كد تفصيلي]],'درجریان وصول'!A:A,0)),0)</f>
        <v>0</v>
      </c>
      <c r="E48" s="11">
        <f>IFERROR(INDEX('چکهای دریافتنی'!F:F,MATCH(Table225[[#This Row],[كد تفصيلي]],'چکهای دریافتنی'!A:A,0)),0)</f>
        <v>0</v>
      </c>
      <c r="F48" s="11">
        <f>Table225[[#This Row],[حسابهای دریافتنی]]+Table225[[#This Row],[چکهای در جریان وصول]]+Table225[[#This Row],[چکهای نزد صندوق]]</f>
        <v>95282000</v>
      </c>
      <c r="G48" s="12">
        <f>IFERROR(INDEX('مانده سوفاله'!F:F,MATCH(Table225[[#This Row],[كد تفصيلي]],'مانده سوفاله'!A:A,0)),0)</f>
        <v>-32</v>
      </c>
    </row>
    <row r="49" spans="1:7" ht="24.75" customHeight="1" x14ac:dyDescent="0.35">
      <c r="A49" s="75">
        <v>10105</v>
      </c>
      <c r="B49" s="72" t="s">
        <v>294</v>
      </c>
      <c r="C49" s="10">
        <f>IFERROR(INDEX('حسابهای دریافتنی'!H:H,MATCH(Table225[[#This Row],[كد تفصيلي]],'حسابهای دریافتنی'!A:A,0)),0)</f>
        <v>7630000</v>
      </c>
      <c r="D49" s="11">
        <f>IFERROR(INDEX('درجریان وصول'!F:F,MATCH(Table225[[#This Row],[كد تفصيلي]],'درجریان وصول'!A:A,0)),0)</f>
        <v>0</v>
      </c>
      <c r="E49" s="11">
        <f>IFERROR(INDEX('چکهای دریافتنی'!F:F,MATCH(Table225[[#This Row],[كد تفصيلي]],'چکهای دریافتنی'!A:A,0)),0)</f>
        <v>0</v>
      </c>
      <c r="F49" s="11">
        <f>Table225[[#This Row],[حسابهای دریافتنی]]+Table225[[#This Row],[چکهای در جریان وصول]]+Table225[[#This Row],[چکهای نزد صندوق]]</f>
        <v>7630000</v>
      </c>
      <c r="G49" s="12">
        <f>IFERROR(INDEX('مانده سوفاله'!F:F,MATCH(Table225[[#This Row],[كد تفصيلي]],'مانده سوفاله'!A:A,0)),0)</f>
        <v>0</v>
      </c>
    </row>
    <row r="50" spans="1:7" ht="24.75" customHeight="1" x14ac:dyDescent="0.35">
      <c r="A50" s="75">
        <v>30156</v>
      </c>
      <c r="B50" s="72" t="s">
        <v>290</v>
      </c>
      <c r="C50" s="10">
        <f>IFERROR(INDEX('حسابهای دریافتنی'!H:H,MATCH(Table225[[#This Row],[كد تفصيلي]],'حسابهای دریافتنی'!A:A,0)),0)</f>
        <v>-180917500</v>
      </c>
      <c r="D50" s="11">
        <f>IFERROR(INDEX('درجریان وصول'!F:F,MATCH(Table225[[#This Row],[كد تفصيلي]],'درجریان وصول'!A:A,0)),0)</f>
        <v>0</v>
      </c>
      <c r="E50" s="11">
        <f>IFERROR(INDEX('چکهای دریافتنی'!F:F,MATCH(Table225[[#This Row],[كد تفصيلي]],'چکهای دریافتنی'!A:A,0)),0)</f>
        <v>0</v>
      </c>
      <c r="F50" s="11">
        <f>Table225[[#This Row],[حسابهای دریافتنی]]+Table225[[#This Row],[چکهای در جریان وصول]]+Table225[[#This Row],[چکهای نزد صندوق]]</f>
        <v>-180917500</v>
      </c>
      <c r="G50" s="12">
        <f>IFERROR(INDEX('مانده سوفاله'!F:F,MATCH(Table225[[#This Row],[كد تفصيلي]],'مانده سوفاله'!A:A,0)),0)</f>
        <v>0</v>
      </c>
    </row>
    <row r="51" spans="1:7" ht="24.75" customHeight="1" x14ac:dyDescent="0.35">
      <c r="A51" s="75">
        <v>10027</v>
      </c>
      <c r="B51" s="72" t="s">
        <v>33</v>
      </c>
      <c r="C51" s="10">
        <f>IFERROR(INDEX('حسابهای دریافتنی'!H:H,MATCH(Table225[[#This Row],[كد تفصيلي]],'حسابهای دریافتنی'!A:A,0)),0)</f>
        <v>33078340</v>
      </c>
      <c r="D51" s="11">
        <f>IFERROR(INDEX('درجریان وصول'!F:F,MATCH(Table225[[#This Row],[كد تفصيلي]],'درجریان وصول'!A:A,0)),0)</f>
        <v>0</v>
      </c>
      <c r="E51" s="11">
        <f>IFERROR(INDEX('چکهای دریافتنی'!F:F,MATCH(Table225[[#This Row],[كد تفصيلي]],'چکهای دریافتنی'!A:A,0)),0)</f>
        <v>1588359160</v>
      </c>
      <c r="F51" s="11">
        <f>Table225[[#This Row],[حسابهای دریافتنی]]+Table225[[#This Row],[چکهای در جریان وصول]]+Table225[[#This Row],[چکهای نزد صندوق]]</f>
        <v>1621437500</v>
      </c>
      <c r="G51" s="12">
        <f>IFERROR(INDEX('مانده سوفاله'!F:F,MATCH(Table225[[#This Row],[كد تفصيلي]],'مانده سوفاله'!A:A,0)),0)</f>
        <v>-647</v>
      </c>
    </row>
    <row r="52" spans="1:7" ht="24.75" customHeight="1" x14ac:dyDescent="0.35">
      <c r="A52" s="74">
        <v>30145</v>
      </c>
      <c r="B52" s="73" t="s">
        <v>265</v>
      </c>
      <c r="C52" s="10">
        <f>IFERROR(INDEX('حسابهای دریافتنی'!H:H,MATCH(Table225[[#This Row],[كد تفصيلي]],'حسابهای دریافتنی'!A:A,0)),0)</f>
        <v>6442500</v>
      </c>
      <c r="D52" s="11">
        <f>IFERROR(INDEX('درجریان وصول'!F:F,MATCH(Table225[[#This Row],[كد تفصيلي]],'درجریان وصول'!A:A,0)),0)</f>
        <v>0</v>
      </c>
      <c r="E52" s="11">
        <f>IFERROR(INDEX('چکهای دریافتنی'!F:F,MATCH(Table225[[#This Row],[كد تفصيلي]],'چکهای دریافتنی'!A:A,0)),0)</f>
        <v>0</v>
      </c>
      <c r="F52" s="11">
        <f>Table225[[#This Row],[حسابهای دریافتنی]]+Table225[[#This Row],[چکهای در جریان وصول]]+Table225[[#This Row],[چکهای نزد صندوق]]</f>
        <v>6442500</v>
      </c>
      <c r="G52" s="12">
        <f>IFERROR(INDEX('مانده سوفاله'!F:F,MATCH(Table225[[#This Row],[كد تفصيلي]],'مانده سوفاله'!A:A,0)),0)</f>
        <v>0</v>
      </c>
    </row>
    <row r="53" spans="1:7" ht="24.75" customHeight="1" x14ac:dyDescent="0.35">
      <c r="A53" s="75">
        <v>30047</v>
      </c>
      <c r="B53" s="72" t="s">
        <v>94</v>
      </c>
      <c r="C53" s="10">
        <f>IFERROR(INDEX('حسابهای دریافتنی'!H:H,MATCH(Table225[[#This Row],[كد تفصيلي]],'حسابهای دریافتنی'!A:A,0)),0)</f>
        <v>5794900</v>
      </c>
      <c r="D53" s="11">
        <f>IFERROR(INDEX('درجریان وصول'!F:F,MATCH(Table225[[#This Row],[كد تفصيلي]],'درجریان وصول'!A:A,0)),0)</f>
        <v>0</v>
      </c>
      <c r="E53" s="11">
        <f>IFERROR(INDEX('چکهای دریافتنی'!F:F,MATCH(Table225[[#This Row],[كد تفصيلي]],'چکهای دریافتنی'!A:A,0)),0)</f>
        <v>0</v>
      </c>
      <c r="F53" s="11">
        <f>Table225[[#This Row],[حسابهای دریافتنی]]+Table225[[#This Row],[چکهای در جریان وصول]]+Table225[[#This Row],[چکهای نزد صندوق]]</f>
        <v>5794900</v>
      </c>
      <c r="G53" s="12">
        <f>IFERROR(INDEX('مانده سوفاله'!F:F,MATCH(Table225[[#This Row],[كد تفصيلي]],'مانده سوفاله'!A:A,0)),0)</f>
        <v>-630</v>
      </c>
    </row>
    <row r="54" spans="1:7" ht="24.75" customHeight="1" x14ac:dyDescent="0.35">
      <c r="A54" s="75">
        <v>30011</v>
      </c>
      <c r="B54" s="72" t="s">
        <v>60</v>
      </c>
      <c r="C54" s="10">
        <f>IFERROR(INDEX('حسابهای دریافتنی'!H:H,MATCH(Table225[[#This Row],[كد تفصيلي]],'حسابهای دریافتنی'!A:A,0)),0)</f>
        <v>5595200</v>
      </c>
      <c r="D54" s="11">
        <f>IFERROR(INDEX('درجریان وصول'!F:F,MATCH(Table225[[#This Row],[كد تفصيلي]],'درجریان وصول'!A:A,0)),0)</f>
        <v>0</v>
      </c>
      <c r="E54" s="11">
        <f>IFERROR(INDEX('چکهای دریافتنی'!F:F,MATCH(Table225[[#This Row],[كد تفصيلي]],'چکهای دریافتنی'!A:A,0)),0)</f>
        <v>0</v>
      </c>
      <c r="F54" s="11">
        <f>Table225[[#This Row],[حسابهای دریافتنی]]+Table225[[#This Row],[چکهای در جریان وصول]]+Table225[[#This Row],[چکهای نزد صندوق]]</f>
        <v>5595200</v>
      </c>
      <c r="G54" s="12">
        <f>IFERROR(INDEX('مانده سوفاله'!F:F,MATCH(Table225[[#This Row],[كد تفصيلي]],'مانده سوفاله'!A:A,0)),0)</f>
        <v>-5</v>
      </c>
    </row>
    <row r="55" spans="1:7" ht="24.75" customHeight="1" x14ac:dyDescent="0.35">
      <c r="A55" s="74">
        <v>10080</v>
      </c>
      <c r="B55" s="73" t="s">
        <v>214</v>
      </c>
      <c r="C55" s="10">
        <f>IFERROR(INDEX('حسابهای دریافتنی'!H:H,MATCH(Table225[[#This Row],[كد تفصيلي]],'حسابهای دریافتنی'!A:A,0)),0)</f>
        <v>5395000</v>
      </c>
      <c r="D55" s="11">
        <f>IFERROR(INDEX('درجریان وصول'!F:F,MATCH(Table225[[#This Row],[كد تفصيلي]],'درجریان وصول'!A:A,0)),0)</f>
        <v>0</v>
      </c>
      <c r="E55" s="11">
        <f>IFERROR(INDEX('چکهای دریافتنی'!F:F,MATCH(Table225[[#This Row],[كد تفصيلي]],'چکهای دریافتنی'!A:A,0)),0)</f>
        <v>0</v>
      </c>
      <c r="F55" s="11">
        <f>Table225[[#This Row],[حسابهای دریافتنی]]+Table225[[#This Row],[چکهای در جریان وصول]]+Table225[[#This Row],[چکهای نزد صندوق]]</f>
        <v>5395000</v>
      </c>
      <c r="G55" s="12">
        <f>IFERROR(INDEX('مانده سوفاله'!F:F,MATCH(Table225[[#This Row],[كد تفصيلي]],'مانده سوفاله'!A:A,0)),0)</f>
        <v>0</v>
      </c>
    </row>
    <row r="56" spans="1:7" ht="24.75" customHeight="1" x14ac:dyDescent="0.35">
      <c r="A56" s="75">
        <v>30114</v>
      </c>
      <c r="B56" s="72" t="s">
        <v>175</v>
      </c>
      <c r="C56" s="10">
        <f>IFERROR(INDEX('حسابهای دریافتنی'!H:H,MATCH(Table225[[#This Row],[كد تفصيلي]],'حسابهای دریافتنی'!A:A,0)),0)</f>
        <v>5385600</v>
      </c>
      <c r="D56" s="11">
        <f>IFERROR(INDEX('درجریان وصول'!F:F,MATCH(Table225[[#This Row],[كد تفصيلي]],'درجریان وصول'!A:A,0)),0)</f>
        <v>0</v>
      </c>
      <c r="E56" s="11">
        <f>IFERROR(INDEX('چکهای دریافتنی'!F:F,MATCH(Table225[[#This Row],[كد تفصيلي]],'چکهای دریافتنی'!A:A,0)),0)</f>
        <v>0</v>
      </c>
      <c r="F56" s="11">
        <f>Table225[[#This Row],[حسابهای دریافتنی]]+Table225[[#This Row],[چکهای در جریان وصول]]+Table225[[#This Row],[چکهای نزد صندوق]]</f>
        <v>5385600</v>
      </c>
      <c r="G56" s="12">
        <f>IFERROR(INDEX('مانده سوفاله'!F:F,MATCH(Table225[[#This Row],[كد تفصيلي]],'مانده سوفاله'!A:A,0)),0)</f>
        <v>0</v>
      </c>
    </row>
    <row r="57" spans="1:7" ht="24.75" customHeight="1" x14ac:dyDescent="0.35">
      <c r="A57" s="74">
        <v>30123</v>
      </c>
      <c r="B57" s="73" t="s">
        <v>208</v>
      </c>
      <c r="C57" s="10">
        <f>IFERROR(INDEX('حسابهای دریافتنی'!H:H,MATCH(Table225[[#This Row],[كد تفصيلي]],'حسابهای دریافتنی'!A:A,0)),0)</f>
        <v>4138250</v>
      </c>
      <c r="D57" s="11">
        <f>IFERROR(INDEX('درجریان وصول'!F:F,MATCH(Table225[[#This Row],[كد تفصيلي]],'درجریان وصول'!A:A,0)),0)</f>
        <v>0</v>
      </c>
      <c r="E57" s="11">
        <f>IFERROR(INDEX('چکهای دریافتنی'!F:F,MATCH(Table225[[#This Row],[كد تفصيلي]],'چکهای دریافتنی'!A:A,0)),0)</f>
        <v>0</v>
      </c>
      <c r="F57" s="11">
        <f>Table225[[#This Row],[حسابهای دریافتنی]]+Table225[[#This Row],[چکهای در جریان وصول]]+Table225[[#This Row],[چکهای نزد صندوق]]</f>
        <v>4138250</v>
      </c>
      <c r="G57" s="12">
        <f>IFERROR(INDEX('مانده سوفاله'!F:F,MATCH(Table225[[#This Row],[كد تفصيلي]],'مانده سوفاله'!A:A,0)),0)</f>
        <v>-20</v>
      </c>
    </row>
    <row r="58" spans="1:7" ht="24.75" customHeight="1" x14ac:dyDescent="0.35">
      <c r="A58" s="75">
        <v>10116</v>
      </c>
      <c r="B58" s="72" t="s">
        <v>321</v>
      </c>
      <c r="C58" s="10">
        <f>IFERROR(INDEX('حسابهای دریافتنی'!H:H,MATCH(Table225[[#This Row],[كد تفصيلي]],'حسابهای دریافتنی'!A:A,0)),0)</f>
        <v>3892500</v>
      </c>
      <c r="D58" s="11">
        <f>IFERROR(INDEX('درجریان وصول'!F:F,MATCH(Table225[[#This Row],[كد تفصيلي]],'درجریان وصول'!A:A,0)),0)</f>
        <v>0</v>
      </c>
      <c r="E58" s="11">
        <f>IFERROR(INDEX('چکهای دریافتنی'!F:F,MATCH(Table225[[#This Row],[كد تفصيلي]],'چکهای دریافتنی'!A:A,0)),0)</f>
        <v>0</v>
      </c>
      <c r="F58" s="11">
        <f>Table225[[#This Row],[حسابهای دریافتنی]]+Table225[[#This Row],[چکهای در جریان وصول]]+Table225[[#This Row],[چکهای نزد صندوق]]</f>
        <v>3892500</v>
      </c>
      <c r="G58" s="12">
        <f>IFERROR(INDEX('مانده سوفاله'!F:F,MATCH(Table225[[#This Row],[كد تفصيلي]],'مانده سوفاله'!A:A,0)),0)</f>
        <v>0</v>
      </c>
    </row>
    <row r="59" spans="1:7" ht="24.75" customHeight="1" x14ac:dyDescent="0.35">
      <c r="A59" s="74">
        <v>10030</v>
      </c>
      <c r="B59" s="73" t="s">
        <v>36</v>
      </c>
      <c r="C59" s="10">
        <f>IFERROR(INDEX('حسابهای دریافتنی'!H:H,MATCH(Table225[[#This Row],[كد تفصيلي]],'حسابهای دریافتنی'!A:A,0)),0)</f>
        <v>3272000</v>
      </c>
      <c r="D59" s="11">
        <f>IFERROR(INDEX('درجریان وصول'!F:F,MATCH(Table225[[#This Row],[كد تفصيلي]],'درجریان وصول'!A:A,0)),0)</f>
        <v>0</v>
      </c>
      <c r="E59" s="11">
        <f>IFERROR(INDEX('چکهای دریافتنی'!F:F,MATCH(Table225[[#This Row],[كد تفصيلي]],'چکهای دریافتنی'!A:A,0)),0)</f>
        <v>0</v>
      </c>
      <c r="F59" s="11">
        <f>Table225[[#This Row],[حسابهای دریافتنی]]+Table225[[#This Row],[چکهای در جریان وصول]]+Table225[[#This Row],[چکهای نزد صندوق]]</f>
        <v>3272000</v>
      </c>
      <c r="G59" s="12">
        <f>IFERROR(INDEX('مانده سوفاله'!F:F,MATCH(Table225[[#This Row],[كد تفصيلي]],'مانده سوفاله'!A:A,0)),0)</f>
        <v>-222</v>
      </c>
    </row>
    <row r="60" spans="1:7" ht="24.75" customHeight="1" x14ac:dyDescent="0.35">
      <c r="A60" s="75">
        <v>30178</v>
      </c>
      <c r="B60" s="72" t="s">
        <v>335</v>
      </c>
      <c r="C60" s="10">
        <f>IFERROR(INDEX('حسابهای دریافتنی'!H:H,MATCH(Table225[[#This Row],[كد تفصيلي]],'حسابهای دریافتنی'!A:A,0)),0)</f>
        <v>3040000</v>
      </c>
      <c r="D60" s="11">
        <f>IFERROR(INDEX('درجریان وصول'!F:F,MATCH(Table225[[#This Row],[كد تفصيلي]],'درجریان وصول'!A:A,0)),0)</f>
        <v>0</v>
      </c>
      <c r="E60" s="11">
        <f>IFERROR(INDEX('چکهای دریافتنی'!F:F,MATCH(Table225[[#This Row],[كد تفصيلي]],'چکهای دریافتنی'!A:A,0)),0)</f>
        <v>0</v>
      </c>
      <c r="F60" s="11">
        <f>Table225[[#This Row],[حسابهای دریافتنی]]+Table225[[#This Row],[چکهای در جریان وصول]]+Table225[[#This Row],[چکهای نزد صندوق]]</f>
        <v>3040000</v>
      </c>
      <c r="G60" s="12">
        <f>IFERROR(INDEX('مانده سوفاله'!F:F,MATCH(Table225[[#This Row],[كد تفصيلي]],'مانده سوفاله'!A:A,0)),0)</f>
        <v>0</v>
      </c>
    </row>
    <row r="61" spans="1:7" ht="24.75" customHeight="1" x14ac:dyDescent="0.35">
      <c r="A61" s="74">
        <v>30020</v>
      </c>
      <c r="B61" s="73" t="s">
        <v>68</v>
      </c>
      <c r="C61" s="10">
        <f>IFERROR(INDEX('حسابهای دریافتنی'!H:H,MATCH(Table225[[#This Row],[كد تفصيلي]],'حسابهای دریافتنی'!A:A,0)),0)</f>
        <v>2253500</v>
      </c>
      <c r="D61" s="11">
        <f>IFERROR(INDEX('درجریان وصول'!F:F,MATCH(Table225[[#This Row],[كد تفصيلي]],'درجریان وصول'!A:A,0)),0)</f>
        <v>0</v>
      </c>
      <c r="E61" s="11">
        <f>IFERROR(INDEX('چکهای دریافتنی'!F:F,MATCH(Table225[[#This Row],[كد تفصيلي]],'چکهای دریافتنی'!A:A,0)),0)</f>
        <v>0</v>
      </c>
      <c r="F61" s="11">
        <f>Table225[[#This Row],[حسابهای دریافتنی]]+Table225[[#This Row],[چکهای در جریان وصول]]+Table225[[#This Row],[چکهای نزد صندوق]]</f>
        <v>2253500</v>
      </c>
      <c r="G61" s="12">
        <f>IFERROR(INDEX('مانده سوفاله'!F:F,MATCH(Table225[[#This Row],[كد تفصيلي]],'مانده سوفاله'!A:A,0)),0)</f>
        <v>4</v>
      </c>
    </row>
    <row r="62" spans="1:7" ht="24.75" customHeight="1" x14ac:dyDescent="0.35">
      <c r="A62" s="74">
        <v>30055</v>
      </c>
      <c r="B62" s="73" t="s">
        <v>100</v>
      </c>
      <c r="C62" s="10">
        <f>IFERROR(INDEX('حسابهای دریافتنی'!H:H,MATCH(Table225[[#This Row],[كد تفصيلي]],'حسابهای دریافتنی'!A:A,0)),0)</f>
        <v>0</v>
      </c>
      <c r="D62" s="11">
        <f>IFERROR(INDEX('درجریان وصول'!F:F,MATCH(Table225[[#This Row],[كد تفصيلي]],'درجریان وصول'!A:A,0)),0)</f>
        <v>0</v>
      </c>
      <c r="E62" s="11">
        <f>IFERROR(INDEX('چکهای دریافتنی'!F:F,MATCH(Table225[[#This Row],[كد تفصيلي]],'چکهای دریافتنی'!A:A,0)),0)</f>
        <v>0</v>
      </c>
      <c r="F62" s="11">
        <f>Table225[[#This Row],[حسابهای دریافتنی]]+Table225[[#This Row],[چکهای در جریان وصول]]+Table225[[#This Row],[چکهای نزد صندوق]]</f>
        <v>0</v>
      </c>
      <c r="G62" s="12">
        <f>IFERROR(INDEX('مانده سوفاله'!F:F,MATCH(Table225[[#This Row],[كد تفصيلي]],'مانده سوفاله'!A:A,0)),0)</f>
        <v>48</v>
      </c>
    </row>
    <row r="63" spans="1:7" ht="24.75" customHeight="1" x14ac:dyDescent="0.35">
      <c r="A63" s="75">
        <v>30084</v>
      </c>
      <c r="B63" s="72" t="s">
        <v>129</v>
      </c>
      <c r="C63" s="10">
        <f>IFERROR(INDEX('حسابهای دریافتنی'!H:H,MATCH(Table225[[#This Row],[كد تفصيلي]],'حسابهای دریافتنی'!A:A,0)),0)</f>
        <v>1220000</v>
      </c>
      <c r="D63" s="11">
        <f>IFERROR(INDEX('درجریان وصول'!F:F,MATCH(Table225[[#This Row],[كد تفصيلي]],'درجریان وصول'!A:A,0)),0)</f>
        <v>0</v>
      </c>
      <c r="E63" s="11">
        <f>IFERROR(INDEX('چکهای دریافتنی'!F:F,MATCH(Table225[[#This Row],[كد تفصيلي]],'چکهای دریافتنی'!A:A,0)),0)</f>
        <v>0</v>
      </c>
      <c r="F63" s="11">
        <f>Table225[[#This Row],[حسابهای دریافتنی]]+Table225[[#This Row],[چکهای در جریان وصول]]+Table225[[#This Row],[چکهای نزد صندوق]]</f>
        <v>1220000</v>
      </c>
      <c r="G63" s="12">
        <f>IFERROR(INDEX('مانده سوفاله'!F:F,MATCH(Table225[[#This Row],[كد تفصيلي]],'مانده سوفاله'!A:A,0)),0)</f>
        <v>0</v>
      </c>
    </row>
    <row r="64" spans="1:7" ht="24.75" customHeight="1" x14ac:dyDescent="0.35">
      <c r="A64" s="74">
        <v>79055</v>
      </c>
      <c r="B64" s="73" t="s">
        <v>297</v>
      </c>
      <c r="C64" s="10">
        <f>IFERROR(INDEX('حسابهای دریافتنی'!H:H,MATCH(Table225[[#This Row],[كد تفصيلي]],'حسابهای دریافتنی'!A:A,0)),0)</f>
        <v>896500</v>
      </c>
      <c r="D64" s="11">
        <f>IFERROR(INDEX('درجریان وصول'!F:F,MATCH(Table225[[#This Row],[كد تفصيلي]],'درجریان وصول'!A:A,0)),0)</f>
        <v>0</v>
      </c>
      <c r="E64" s="11">
        <f>IFERROR(INDEX('چکهای دریافتنی'!F:F,MATCH(Table225[[#This Row],[كد تفصيلي]],'چکهای دریافتنی'!A:A,0)),0)</f>
        <v>0</v>
      </c>
      <c r="F64" s="11">
        <f>Table225[[#This Row],[حسابهای دریافتنی]]+Table225[[#This Row],[چکهای در جریان وصول]]+Table225[[#This Row],[چکهای نزد صندوق]]</f>
        <v>896500</v>
      </c>
      <c r="G64" s="12">
        <f>IFERROR(INDEX('مانده سوفاله'!F:F,MATCH(Table225[[#This Row],[كد تفصيلي]],'مانده سوفاله'!A:A,0)),0)</f>
        <v>0</v>
      </c>
    </row>
    <row r="65" spans="1:7" ht="24.75" customHeight="1" x14ac:dyDescent="0.35">
      <c r="A65" s="74">
        <v>30030</v>
      </c>
      <c r="B65" s="73" t="s">
        <v>77</v>
      </c>
      <c r="C65" s="10">
        <f>IFERROR(INDEX('حسابهای دریافتنی'!H:H,MATCH(Table225[[#This Row],[كد تفصيلي]],'حسابهای دریافتنی'!A:A,0)),0)</f>
        <v>850500</v>
      </c>
      <c r="D65" s="11">
        <f>IFERROR(INDEX('درجریان وصول'!F:F,MATCH(Table225[[#This Row],[كد تفصيلي]],'درجریان وصول'!A:A,0)),0)</f>
        <v>0</v>
      </c>
      <c r="E65" s="11">
        <f>IFERROR(INDEX('چکهای دریافتنی'!F:F,MATCH(Table225[[#This Row],[كد تفصيلي]],'چکهای دریافتنی'!A:A,0)),0)</f>
        <v>0</v>
      </c>
      <c r="F65" s="11">
        <f>Table225[[#This Row],[حسابهای دریافتنی]]+Table225[[#This Row],[چکهای در جریان وصول]]+Table225[[#This Row],[چکهای نزد صندوق]]</f>
        <v>850500</v>
      </c>
      <c r="G65" s="12">
        <f>IFERROR(INDEX('مانده سوفاله'!F:F,MATCH(Table225[[#This Row],[كد تفصيلي]],'مانده سوفاله'!A:A,0)),0)</f>
        <v>-49</v>
      </c>
    </row>
    <row r="66" spans="1:7" ht="24.75" customHeight="1" x14ac:dyDescent="0.35">
      <c r="A66" s="74">
        <v>30129</v>
      </c>
      <c r="B66" s="73" t="s">
        <v>178</v>
      </c>
      <c r="C66" s="10">
        <f>IFERROR(INDEX('حسابهای دریافتنی'!H:H,MATCH(Table225[[#This Row],[كد تفصيلي]],'حسابهای دریافتنی'!A:A,0)),0)</f>
        <v>783000</v>
      </c>
      <c r="D66" s="11">
        <f>IFERROR(INDEX('درجریان وصول'!F:F,MATCH(Table225[[#This Row],[كد تفصيلي]],'درجریان وصول'!A:A,0)),0)</f>
        <v>0</v>
      </c>
      <c r="E66" s="11">
        <f>IFERROR(INDEX('چکهای دریافتنی'!F:F,MATCH(Table225[[#This Row],[كد تفصيلي]],'چکهای دریافتنی'!A:A,0)),0)</f>
        <v>0</v>
      </c>
      <c r="F66" s="11">
        <f>Table225[[#This Row],[حسابهای دریافتنی]]+Table225[[#This Row],[چکهای در جریان وصول]]+Table225[[#This Row],[چکهای نزد صندوق]]</f>
        <v>783000</v>
      </c>
      <c r="G66" s="12">
        <f>IFERROR(INDEX('مانده سوفاله'!F:F,MATCH(Table225[[#This Row],[كد تفصيلي]],'مانده سوفاله'!A:A,0)),0)</f>
        <v>0</v>
      </c>
    </row>
    <row r="67" spans="1:7" ht="24.75" customHeight="1" x14ac:dyDescent="0.35">
      <c r="A67" s="75">
        <v>30090</v>
      </c>
      <c r="B67" s="72" t="s">
        <v>144</v>
      </c>
      <c r="C67" s="10">
        <f>IFERROR(INDEX('حسابهای دریافتنی'!H:H,MATCH(Table225[[#This Row],[كد تفصيلي]],'حسابهای دریافتنی'!A:A,0)),0)</f>
        <v>640100</v>
      </c>
      <c r="D67" s="11">
        <f>IFERROR(INDEX('درجریان وصول'!F:F,MATCH(Table225[[#This Row],[كد تفصيلي]],'درجریان وصول'!A:A,0)),0)</f>
        <v>0</v>
      </c>
      <c r="E67" s="11">
        <f>IFERROR(INDEX('چکهای دریافتنی'!F:F,MATCH(Table225[[#This Row],[كد تفصيلي]],'چکهای دریافتنی'!A:A,0)),0)</f>
        <v>0</v>
      </c>
      <c r="F67" s="11">
        <f>Table225[[#This Row],[حسابهای دریافتنی]]+Table225[[#This Row],[چکهای در جریان وصول]]+Table225[[#This Row],[چکهای نزد صندوق]]</f>
        <v>640100</v>
      </c>
      <c r="G67" s="12">
        <f>IFERROR(INDEX('مانده سوفاله'!F:F,MATCH(Table225[[#This Row],[كد تفصيلي]],'مانده سوفاله'!A:A,0)),0)</f>
        <v>0</v>
      </c>
    </row>
    <row r="68" spans="1:7" ht="24.75" customHeight="1" x14ac:dyDescent="0.35">
      <c r="A68" s="74">
        <v>10048</v>
      </c>
      <c r="B68" s="73" t="s">
        <v>191</v>
      </c>
      <c r="C68" s="10">
        <f>IFERROR(INDEX('حسابهای دریافتنی'!H:H,MATCH(Table225[[#This Row],[كد تفصيلي]],'حسابهای دریافتنی'!A:A,0)),0)</f>
        <v>0</v>
      </c>
      <c r="D68" s="11">
        <f>IFERROR(INDEX('درجریان وصول'!F:F,MATCH(Table225[[#This Row],[كد تفصيلي]],'درجریان وصول'!A:A,0)),0)</f>
        <v>0</v>
      </c>
      <c r="E68" s="11">
        <f>IFERROR(INDEX('چکهای دریافتنی'!F:F,MATCH(Table225[[#This Row],[كد تفصيلي]],'چکهای دریافتنی'!A:A,0)),0)</f>
        <v>0</v>
      </c>
      <c r="F68" s="11">
        <f>Table225[[#This Row],[حسابهای دریافتنی]]+Table225[[#This Row],[چکهای در جریان وصول]]+Table225[[#This Row],[چکهای نزد صندوق]]</f>
        <v>0</v>
      </c>
      <c r="G68" s="12">
        <f>IFERROR(INDEX('مانده سوفاله'!F:F,MATCH(Table225[[#This Row],[كد تفصيلي]],'مانده سوفاله'!A:A,0)),0)</f>
        <v>-1097</v>
      </c>
    </row>
    <row r="69" spans="1:7" ht="24.75" customHeight="1" x14ac:dyDescent="0.35">
      <c r="A69" s="74">
        <v>30109</v>
      </c>
      <c r="B69" s="73" t="s">
        <v>165</v>
      </c>
      <c r="C69" s="10">
        <f>IFERROR(INDEX('حسابهای دریافتنی'!H:H,MATCH(Table225[[#This Row],[كد تفصيلي]],'حسابهای دریافتنی'!A:A,0)),0)</f>
        <v>607300</v>
      </c>
      <c r="D69" s="11">
        <f>IFERROR(INDEX('درجریان وصول'!F:F,MATCH(Table225[[#This Row],[كد تفصيلي]],'درجریان وصول'!A:A,0)),0)</f>
        <v>0</v>
      </c>
      <c r="E69" s="11">
        <f>IFERROR(INDEX('چکهای دریافتنی'!F:F,MATCH(Table225[[#This Row],[كد تفصيلي]],'چکهای دریافتنی'!A:A,0)),0)</f>
        <v>0</v>
      </c>
      <c r="F69" s="11">
        <f>Table225[[#This Row],[حسابهای دریافتنی]]+Table225[[#This Row],[چکهای در جریان وصول]]+Table225[[#This Row],[چکهای نزد صندوق]]</f>
        <v>607300</v>
      </c>
      <c r="G69" s="12">
        <f>IFERROR(INDEX('مانده سوفاله'!F:F,MATCH(Table225[[#This Row],[كد تفصيلي]],'مانده سوفاله'!A:A,0)),0)</f>
        <v>0</v>
      </c>
    </row>
    <row r="70" spans="1:7" ht="24.75" customHeight="1" x14ac:dyDescent="0.35">
      <c r="A70" s="74">
        <v>10084</v>
      </c>
      <c r="B70" s="73" t="s">
        <v>217</v>
      </c>
      <c r="C70" s="10">
        <f>IFERROR(INDEX('حسابهای دریافتنی'!H:H,MATCH(Table225[[#This Row],[كد تفصيلي]],'حسابهای دریافتنی'!A:A,0)),0)</f>
        <v>358092810</v>
      </c>
      <c r="D70" s="11">
        <f>IFERROR(INDEX('درجریان وصول'!F:F,MATCH(Table225[[#This Row],[كد تفصيلي]],'درجریان وصول'!A:A,0)),0)</f>
        <v>0</v>
      </c>
      <c r="E70" s="11">
        <f>IFERROR(INDEX('چکهای دریافتنی'!F:F,MATCH(Table225[[#This Row],[كد تفصيلي]],'چکهای دریافتنی'!A:A,0)),0)</f>
        <v>870000000</v>
      </c>
      <c r="F70" s="11">
        <f>Table225[[#This Row],[حسابهای دریافتنی]]+Table225[[#This Row],[چکهای در جریان وصول]]+Table225[[#This Row],[چکهای نزد صندوق]]</f>
        <v>1228092810</v>
      </c>
      <c r="G70" s="12">
        <f>IFERROR(INDEX('مانده سوفاله'!F:F,MATCH(Table225[[#This Row],[كد تفصيلي]],'مانده سوفاله'!A:A,0)),0)</f>
        <v>-1656</v>
      </c>
    </row>
    <row r="71" spans="1:7" ht="24.75" customHeight="1" x14ac:dyDescent="0.35">
      <c r="A71" s="74">
        <v>30010</v>
      </c>
      <c r="B71" s="73" t="s">
        <v>59</v>
      </c>
      <c r="C71" s="10">
        <f>IFERROR(INDEX('حسابهای دریافتنی'!H:H,MATCH(Table225[[#This Row],[كد تفصيلي]],'حسابهای دریافتنی'!A:A,0)),0)</f>
        <v>366215</v>
      </c>
      <c r="D71" s="11">
        <f>IFERROR(INDEX('درجریان وصول'!F:F,MATCH(Table225[[#This Row],[كد تفصيلي]],'درجریان وصول'!A:A,0)),0)</f>
        <v>0</v>
      </c>
      <c r="E71" s="11">
        <f>IFERROR(INDEX('چکهای دریافتنی'!F:F,MATCH(Table225[[#This Row],[كد تفصيلي]],'چکهای دریافتنی'!A:A,0)),0)</f>
        <v>0</v>
      </c>
      <c r="F71" s="11">
        <f>Table225[[#This Row],[حسابهای دریافتنی]]+Table225[[#This Row],[چکهای در جریان وصول]]+Table225[[#This Row],[چکهای نزد صندوق]]</f>
        <v>366215</v>
      </c>
      <c r="G71" s="12">
        <f>IFERROR(INDEX('مانده سوفاله'!F:F,MATCH(Table225[[#This Row],[كد تفصيلي]],'مانده سوفاله'!A:A,0)),0)</f>
        <v>8</v>
      </c>
    </row>
    <row r="72" spans="1:7" ht="24.75" customHeight="1" x14ac:dyDescent="0.35">
      <c r="A72" s="75">
        <v>30027</v>
      </c>
      <c r="B72" s="72" t="s">
        <v>75</v>
      </c>
      <c r="C72" s="10">
        <f>IFERROR(INDEX('حسابهای دریافتنی'!H:H,MATCH(Table225[[#This Row],[كد تفصيلي]],'حسابهای دریافتنی'!A:A,0)),0)</f>
        <v>326950</v>
      </c>
      <c r="D72" s="11">
        <f>IFERROR(INDEX('درجریان وصول'!F:F,MATCH(Table225[[#This Row],[كد تفصيلي]],'درجریان وصول'!A:A,0)),0)</f>
        <v>0</v>
      </c>
      <c r="E72" s="11">
        <f>IFERROR(INDEX('چکهای دریافتنی'!F:F,MATCH(Table225[[#This Row],[كد تفصيلي]],'چکهای دریافتنی'!A:A,0)),0)</f>
        <v>0</v>
      </c>
      <c r="F72" s="11">
        <f>Table225[[#This Row],[حسابهای دریافتنی]]+Table225[[#This Row],[چکهای در جریان وصول]]+Table225[[#This Row],[چکهای نزد صندوق]]</f>
        <v>326950</v>
      </c>
      <c r="G72" s="12">
        <f>IFERROR(INDEX('مانده سوفاله'!F:F,MATCH(Table225[[#This Row],[كد تفصيلي]],'مانده سوفاله'!A:A,0)),0)</f>
        <v>0</v>
      </c>
    </row>
    <row r="73" spans="1:7" ht="24.75" customHeight="1" x14ac:dyDescent="0.35">
      <c r="A73" s="74">
        <v>30135</v>
      </c>
      <c r="B73" s="73" t="s">
        <v>179</v>
      </c>
      <c r="C73" s="10">
        <f>IFERROR(INDEX('حسابهای دریافتنی'!H:H,MATCH(Table225[[#This Row],[كد تفصيلي]],'حسابهای دریافتنی'!A:A,0)),0)</f>
        <v>195000</v>
      </c>
      <c r="D73" s="11">
        <f>IFERROR(INDEX('درجریان وصول'!F:F,MATCH(Table225[[#This Row],[كد تفصيلي]],'درجریان وصول'!A:A,0)),0)</f>
        <v>0</v>
      </c>
      <c r="E73" s="11">
        <f>IFERROR(INDEX('چکهای دریافتنی'!F:F,MATCH(Table225[[#This Row],[كد تفصيلي]],'چکهای دریافتنی'!A:A,0)),0)</f>
        <v>0</v>
      </c>
      <c r="F73" s="11">
        <f>Table225[[#This Row],[حسابهای دریافتنی]]+Table225[[#This Row],[چکهای در جریان وصول]]+Table225[[#This Row],[چکهای نزد صندوق]]</f>
        <v>195000</v>
      </c>
      <c r="G73" s="12">
        <f>IFERROR(INDEX('مانده سوفاله'!F:F,MATCH(Table225[[#This Row],[كد تفصيلي]],'مانده سوفاله'!A:A,0)),0)</f>
        <v>-5</v>
      </c>
    </row>
    <row r="74" spans="1:7" ht="24.75" customHeight="1" x14ac:dyDescent="0.35">
      <c r="A74" s="74">
        <v>10088</v>
      </c>
      <c r="B74" s="73" t="s">
        <v>254</v>
      </c>
      <c r="C74" s="10">
        <f>IFERROR(INDEX('حسابهای دریافتنی'!H:H,MATCH(Table225[[#This Row],[كد تفصيلي]],'حسابهای دریافتنی'!A:A,0)),0)</f>
        <v>113500</v>
      </c>
      <c r="D74" s="11">
        <f>IFERROR(INDEX('درجریان وصول'!F:F,MATCH(Table225[[#This Row],[كد تفصيلي]],'درجریان وصول'!A:A,0)),0)</f>
        <v>0</v>
      </c>
      <c r="E74" s="11">
        <f>IFERROR(INDEX('چکهای دریافتنی'!F:F,MATCH(Table225[[#This Row],[كد تفصيلي]],'چکهای دریافتنی'!A:A,0)),0)</f>
        <v>0</v>
      </c>
      <c r="F74" s="11">
        <f>Table225[[#This Row],[حسابهای دریافتنی]]+Table225[[#This Row],[چکهای در جریان وصول]]+Table225[[#This Row],[چکهای نزد صندوق]]</f>
        <v>113500</v>
      </c>
      <c r="G74" s="12">
        <f>IFERROR(INDEX('مانده سوفاله'!F:F,MATCH(Table225[[#This Row],[كد تفصيلي]],'مانده سوفاله'!A:A,0)),0)</f>
        <v>0</v>
      </c>
    </row>
    <row r="75" spans="1:7" ht="24.75" customHeight="1" x14ac:dyDescent="0.35">
      <c r="A75" s="75">
        <v>30124</v>
      </c>
      <c r="B75" s="72" t="s">
        <v>246</v>
      </c>
      <c r="C75" s="10">
        <f>IFERROR(INDEX('حسابهای دریافتنی'!H:H,MATCH(Table225[[#This Row],[كد تفصيلي]],'حسابهای دریافتنی'!A:A,0)),0)</f>
        <v>0</v>
      </c>
      <c r="D75" s="11">
        <f>IFERROR(INDEX('درجریان وصول'!F:F,MATCH(Table225[[#This Row],[كد تفصيلي]],'درجریان وصول'!A:A,0)),0)</f>
        <v>0</v>
      </c>
      <c r="E75" s="11">
        <f>IFERROR(INDEX('چکهای دریافتنی'!F:F,MATCH(Table225[[#This Row],[كد تفصيلي]],'چکهای دریافتنی'!A:A,0)),0)</f>
        <v>505676000</v>
      </c>
      <c r="F75" s="11">
        <f>Table225[[#This Row],[حسابهای دریافتنی]]+Table225[[#This Row],[چکهای در جریان وصول]]+Table225[[#This Row],[چکهای نزد صندوق]]</f>
        <v>505676000</v>
      </c>
      <c r="G75" s="12">
        <f>IFERROR(INDEX('مانده سوفاله'!F:F,MATCH(Table225[[#This Row],[كد تفصيلي]],'مانده سوفاله'!A:A,0)),0)</f>
        <v>1498</v>
      </c>
    </row>
    <row r="76" spans="1:7" ht="24.75" customHeight="1" x14ac:dyDescent="0.35">
      <c r="A76" s="75">
        <v>30019</v>
      </c>
      <c r="B76" s="72" t="s">
        <v>67</v>
      </c>
      <c r="C76" s="10">
        <f>IFERROR(INDEX('حسابهای دریافتنی'!H:H,MATCH(Table225[[#This Row],[كد تفصيلي]],'حسابهای دریافتنی'!A:A,0)),0)</f>
        <v>823484840</v>
      </c>
      <c r="D76" s="11">
        <f>IFERROR(INDEX('درجریان وصول'!F:F,MATCH(Table225[[#This Row],[كد تفصيلي]],'درجریان وصول'!A:A,0)),0)</f>
        <v>0</v>
      </c>
      <c r="E76" s="11">
        <f>IFERROR(INDEX('چکهای دریافتنی'!F:F,MATCH(Table225[[#This Row],[كد تفصيلي]],'چکهای دریافتنی'!A:A,0)),0)</f>
        <v>0</v>
      </c>
      <c r="F76" s="11">
        <f>Table225[[#This Row],[حسابهای دریافتنی]]+Table225[[#This Row],[چکهای در جریان وصول]]+Table225[[#This Row],[چکهای نزد صندوق]]</f>
        <v>823484840</v>
      </c>
      <c r="G76" s="12">
        <f>IFERROR(INDEX('مانده سوفاله'!F:F,MATCH(Table225[[#This Row],[كد تفصيلي]],'مانده سوفاله'!A:A,0)),0)</f>
        <v>612</v>
      </c>
    </row>
    <row r="77" spans="1:7" ht="24.75" customHeight="1" x14ac:dyDescent="0.35">
      <c r="A77" s="75">
        <v>10091</v>
      </c>
      <c r="B77" s="72" t="s">
        <v>258</v>
      </c>
      <c r="C77" s="10">
        <f>IFERROR(INDEX('حسابهای دریافتنی'!H:H,MATCH(Table225[[#This Row],[كد تفصيلي]],'حسابهای دریافتنی'!A:A,0)),0)</f>
        <v>59321500</v>
      </c>
      <c r="D77" s="11">
        <f>IFERROR(INDEX('درجریان وصول'!F:F,MATCH(Table225[[#This Row],[كد تفصيلي]],'درجریان وصول'!A:A,0)),0)</f>
        <v>0</v>
      </c>
      <c r="E77" s="11">
        <f>IFERROR(INDEX('چکهای دریافتنی'!F:F,MATCH(Table225[[#This Row],[كد تفصيلي]],'چکهای دریافتنی'!A:A,0)),0)</f>
        <v>0</v>
      </c>
      <c r="F77" s="11">
        <f>Table225[[#This Row],[حسابهای دریافتنی]]+Table225[[#This Row],[چکهای در جریان وصول]]+Table225[[#This Row],[چکهای نزد صندوق]]</f>
        <v>59321500</v>
      </c>
      <c r="G77" s="12">
        <f>IFERROR(INDEX('مانده سوفاله'!F:F,MATCH(Table225[[#This Row],[كد تفصيلي]],'مانده سوفاله'!A:A,0)),0)</f>
        <v>0</v>
      </c>
    </row>
    <row r="78" spans="1:7" ht="24.75" customHeight="1" x14ac:dyDescent="0.35">
      <c r="A78" s="74">
        <v>10010</v>
      </c>
      <c r="B78" s="73" t="s">
        <v>17</v>
      </c>
      <c r="C78" s="10">
        <f>IFERROR(INDEX('حسابهای دریافتنی'!H:H,MATCH(Table225[[#This Row],[كد تفصيلي]],'حسابهای دریافتنی'!A:A,0)),0)</f>
        <v>0</v>
      </c>
      <c r="D78" s="11">
        <f>IFERROR(INDEX('درجریان وصول'!F:F,MATCH(Table225[[#This Row],[كد تفصيلي]],'درجریان وصول'!A:A,0)),0)</f>
        <v>0</v>
      </c>
      <c r="E78" s="11">
        <f>IFERROR(INDEX('چکهای دریافتنی'!F:F,MATCH(Table225[[#This Row],[كد تفصيلي]],'چکهای دریافتنی'!A:A,0)),0)</f>
        <v>0</v>
      </c>
      <c r="F78" s="11">
        <f>Table225[[#This Row],[حسابهای دریافتنی]]+Table225[[#This Row],[چکهای در جریان وصول]]+Table225[[#This Row],[چکهای نزد صندوق]]</f>
        <v>0</v>
      </c>
      <c r="G78" s="12">
        <f>IFERROR(INDEX('مانده سوفاله'!F:F,MATCH(Table225[[#This Row],[كد تفصيلي]],'مانده سوفاله'!A:A,0)),0)</f>
        <v>8</v>
      </c>
    </row>
    <row r="79" spans="1:7" ht="24.75" customHeight="1" x14ac:dyDescent="0.35">
      <c r="A79" s="74">
        <v>10014</v>
      </c>
      <c r="B79" s="73" t="s">
        <v>21</v>
      </c>
      <c r="C79" s="10">
        <f>IFERROR(INDEX('حسابهای دریافتنی'!H:H,MATCH(Table225[[#This Row],[كد تفصيلي]],'حسابهای دریافتنی'!A:A,0)),0)</f>
        <v>0</v>
      </c>
      <c r="D79" s="11">
        <f>IFERROR(INDEX('درجریان وصول'!F:F,MATCH(Table225[[#This Row],[كد تفصيلي]],'درجریان وصول'!A:A,0)),0)</f>
        <v>0</v>
      </c>
      <c r="E79" s="11">
        <f>IFERROR(INDEX('چکهای دریافتنی'!F:F,MATCH(Table225[[#This Row],[كد تفصيلي]],'چکهای دریافتنی'!A:A,0)),0)</f>
        <v>0</v>
      </c>
      <c r="F79" s="11">
        <f>Table225[[#This Row],[حسابهای دریافتنی]]+Table225[[#This Row],[چکهای در جریان وصول]]+Table225[[#This Row],[چکهای نزد صندوق]]</f>
        <v>0</v>
      </c>
      <c r="G79" s="12">
        <f>IFERROR(INDEX('مانده سوفاله'!F:F,MATCH(Table225[[#This Row],[كد تفصيلي]],'مانده سوفاله'!A:A,0)),0)</f>
        <v>21</v>
      </c>
    </row>
    <row r="80" spans="1:7" ht="24.75" customHeight="1" x14ac:dyDescent="0.35">
      <c r="A80" s="75">
        <v>10023</v>
      </c>
      <c r="B80" s="72" t="s">
        <v>155</v>
      </c>
      <c r="C80" s="10">
        <f>IFERROR(INDEX('حسابهای دریافتنی'!H:H,MATCH(Table225[[#This Row],[كد تفصيلي]],'حسابهای دریافتنی'!A:A,0)),0)</f>
        <v>0</v>
      </c>
      <c r="D80" s="11">
        <f>IFERROR(INDEX('درجریان وصول'!F:F,MATCH(Table225[[#This Row],[كد تفصيلي]],'درجریان وصول'!A:A,0)),0)</f>
        <v>0</v>
      </c>
      <c r="E80" s="11">
        <f>IFERROR(INDEX('چکهای دریافتنی'!F:F,MATCH(Table225[[#This Row],[كد تفصيلي]],'چکهای دریافتنی'!A:A,0)),0)</f>
        <v>0</v>
      </c>
      <c r="F80" s="11">
        <f>Table225[[#This Row],[حسابهای دریافتنی]]+Table225[[#This Row],[چکهای در جریان وصول]]+Table225[[#This Row],[چکهای نزد صندوق]]</f>
        <v>0</v>
      </c>
      <c r="G80" s="12">
        <f>IFERROR(INDEX('مانده سوفاله'!F:F,MATCH(Table225[[#This Row],[كد تفصيلي]],'مانده سوفاله'!A:A,0)),0)</f>
        <v>6</v>
      </c>
    </row>
    <row r="81" spans="1:7" ht="24.75" customHeight="1" x14ac:dyDescent="0.35">
      <c r="A81" s="76">
        <v>10039</v>
      </c>
      <c r="B81" s="72" t="s">
        <v>45</v>
      </c>
      <c r="C81" s="10">
        <f>IFERROR(INDEX('حسابهای دریافتنی'!H:H,MATCH(Table225[[#This Row],[كد تفصيلي]],'حسابهای دریافتنی'!A:A,0)),0)</f>
        <v>0</v>
      </c>
      <c r="D81" s="11">
        <f>IFERROR(INDEX('درجریان وصول'!F:F,MATCH(Table225[[#This Row],[كد تفصيلي]],'درجریان وصول'!A:A,0)),0)</f>
        <v>0</v>
      </c>
      <c r="E81" s="11">
        <f>IFERROR(INDEX('چکهای دریافتنی'!F:F,MATCH(Table225[[#This Row],[كد تفصيلي]],'چکهای دریافتنی'!A:A,0)),0)</f>
        <v>0</v>
      </c>
      <c r="F81" s="11">
        <f>Table225[[#This Row],[حسابهای دریافتنی]]+Table225[[#This Row],[چکهای در جریان وصول]]+Table225[[#This Row],[چکهای نزد صندوق]]</f>
        <v>0</v>
      </c>
      <c r="G81" s="12">
        <f>IFERROR(INDEX('مانده سوفاله'!F:F,MATCH(Table225[[#This Row],[كد تفصيلي]],'مانده سوفاله'!A:A,0)),0)</f>
        <v>4</v>
      </c>
    </row>
    <row r="82" spans="1:7" customFormat="1" ht="24.75" customHeight="1" x14ac:dyDescent="0.35">
      <c r="A82" s="77">
        <v>10046</v>
      </c>
      <c r="B82" s="73" t="s">
        <v>51</v>
      </c>
      <c r="C82" s="10">
        <f>IFERROR(INDEX('حسابهای دریافتنی'!H:H,MATCH(Table225[[#This Row],[كد تفصيلي]],'حسابهای دریافتنی'!A:A,0)),0)</f>
        <v>0</v>
      </c>
      <c r="D82" s="11">
        <f>IFERROR(INDEX('درجریان وصول'!F:F,MATCH(Table225[[#This Row],[كد تفصيلي]],'درجریان وصول'!A:A,0)),0)</f>
        <v>0</v>
      </c>
      <c r="E82" s="11">
        <f>IFERROR(INDEX('چکهای دریافتنی'!F:F,MATCH(Table225[[#This Row],[كد تفصيلي]],'چکهای دریافتنی'!A:A,0)),0)</f>
        <v>0</v>
      </c>
      <c r="F82" s="11">
        <f>Table225[[#This Row],[حسابهای دریافتنی]]+Table225[[#This Row],[چکهای در جریان وصول]]+Table225[[#This Row],[چکهای نزد صندوق]]</f>
        <v>0</v>
      </c>
      <c r="G82" s="12">
        <f>IFERROR(INDEX('مانده سوفاله'!F:F,MATCH(Table225[[#This Row],[كد تفصيلي]],'مانده سوفاله'!A:A,0)),0)</f>
        <v>118</v>
      </c>
    </row>
    <row r="83" spans="1:7" customFormat="1" ht="24.75" customHeight="1" x14ac:dyDescent="0.35">
      <c r="A83" s="76">
        <v>10065</v>
      </c>
      <c r="B83" s="72" t="s">
        <v>228</v>
      </c>
      <c r="C83" s="10">
        <f>IFERROR(INDEX('حسابهای دریافتنی'!H:H,MATCH(Table225[[#This Row],[كد تفصيلي]],'حسابهای دریافتنی'!A:A,0)),0)</f>
        <v>0</v>
      </c>
      <c r="D83" s="11">
        <f>IFERROR(INDEX('درجریان وصول'!F:F,MATCH(Table225[[#This Row],[كد تفصيلي]],'درجریان وصول'!A:A,0)),0)</f>
        <v>0</v>
      </c>
      <c r="E83" s="11">
        <f>IFERROR(INDEX('چکهای دریافتنی'!F:F,MATCH(Table225[[#This Row],[كد تفصيلي]],'چکهای دریافتنی'!A:A,0)),0)</f>
        <v>0</v>
      </c>
      <c r="F83" s="11">
        <f>Table225[[#This Row],[حسابهای دریافتنی]]+Table225[[#This Row],[چکهای در جریان وصول]]+Table225[[#This Row],[چکهای نزد صندوق]]</f>
        <v>0</v>
      </c>
      <c r="G83" s="12">
        <f>IFERROR(INDEX('مانده سوفاله'!F:F,MATCH(Table225[[#This Row],[كد تفصيلي]],'مانده سوفاله'!A:A,0)),0)</f>
        <v>127</v>
      </c>
    </row>
    <row r="84" spans="1:7" ht="24.75" customHeight="1" x14ac:dyDescent="0.35">
      <c r="A84" s="77">
        <v>10076</v>
      </c>
      <c r="B84" s="73" t="s">
        <v>182</v>
      </c>
      <c r="C84" s="10">
        <f>IFERROR(INDEX('حسابهای دریافتنی'!H:H,MATCH(Table225[[#This Row],[كد تفصيلي]],'حسابهای دریافتنی'!A:A,0)),0)</f>
        <v>0</v>
      </c>
      <c r="D84" s="11">
        <f>IFERROR(INDEX('درجریان وصول'!F:F,MATCH(Table225[[#This Row],[كد تفصيلي]],'درجریان وصول'!A:A,0)),0)</f>
        <v>0</v>
      </c>
      <c r="E84" s="11">
        <f>IFERROR(INDEX('چکهای دریافتنی'!F:F,MATCH(Table225[[#This Row],[كد تفصيلي]],'چکهای دریافتنی'!A:A,0)),0)</f>
        <v>0</v>
      </c>
      <c r="F84" s="11">
        <f>Table225[[#This Row],[حسابهای دریافتنی]]+Table225[[#This Row],[چکهای در جریان وصول]]+Table225[[#This Row],[چکهای نزد صندوق]]</f>
        <v>0</v>
      </c>
      <c r="G84" s="12">
        <f>IFERROR(INDEX('مانده سوفاله'!F:F,MATCH(Table225[[#This Row],[كد تفصيلي]],'مانده سوفاله'!A:A,0)),0)</f>
        <v>-13</v>
      </c>
    </row>
    <row r="85" spans="1:7" ht="24.75" customHeight="1" x14ac:dyDescent="0.35">
      <c r="A85" s="76">
        <v>30031</v>
      </c>
      <c r="B85" s="72" t="s">
        <v>78</v>
      </c>
      <c r="C85" s="10">
        <f>IFERROR(INDEX('حسابهای دریافتنی'!H:H,MATCH(Table225[[#This Row],[كد تفصيلي]],'حسابهای دریافتنی'!A:A,0)),0)</f>
        <v>0</v>
      </c>
      <c r="D85" s="11">
        <f>IFERROR(INDEX('درجریان وصول'!F:F,MATCH(Table225[[#This Row],[كد تفصيلي]],'درجریان وصول'!A:A,0)),0)</f>
        <v>0</v>
      </c>
      <c r="E85" s="11">
        <f>IFERROR(INDEX('چکهای دریافتنی'!F:F,MATCH(Table225[[#This Row],[كد تفصيلي]],'چکهای دریافتنی'!A:A,0)),0)</f>
        <v>0</v>
      </c>
      <c r="F85" s="11">
        <f>Table225[[#This Row],[حسابهای دریافتنی]]+Table225[[#This Row],[چکهای در جریان وصول]]+Table225[[#This Row],[چکهای نزد صندوق]]</f>
        <v>0</v>
      </c>
      <c r="G85" s="12">
        <f>IFERROR(INDEX('مانده سوفاله'!F:F,MATCH(Table225[[#This Row],[كد تفصيلي]],'مانده سوفاله'!A:A,0)),0)</f>
        <v>-1</v>
      </c>
    </row>
    <row r="86" spans="1:7" ht="24.75" customHeight="1" x14ac:dyDescent="0.35">
      <c r="A86" s="76">
        <v>30062</v>
      </c>
      <c r="B86" s="72" t="s">
        <v>107</v>
      </c>
      <c r="C86" s="10">
        <f>IFERROR(INDEX('حسابهای دریافتنی'!H:H,MATCH(Table225[[#This Row],[كد تفصيلي]],'حسابهای دریافتنی'!A:A,0)),0)</f>
        <v>0</v>
      </c>
      <c r="D86" s="11">
        <f>IFERROR(INDEX('درجریان وصول'!F:F,MATCH(Table225[[#This Row],[كد تفصيلي]],'درجریان وصول'!A:A,0)),0)</f>
        <v>0</v>
      </c>
      <c r="E86" s="11">
        <f>IFERROR(INDEX('چکهای دریافتنی'!F:F,MATCH(Table225[[#This Row],[كد تفصيلي]],'چکهای دریافتنی'!A:A,0)),0)</f>
        <v>0</v>
      </c>
      <c r="F86" s="11">
        <f>Table225[[#This Row],[حسابهای دریافتنی]]+Table225[[#This Row],[چکهای در جریان وصول]]+Table225[[#This Row],[چکهای نزد صندوق]]</f>
        <v>0</v>
      </c>
      <c r="G86" s="12">
        <f>IFERROR(INDEX('مانده سوفاله'!F:F,MATCH(Table225[[#This Row],[كد تفصيلي]],'مانده سوفاله'!A:A,0)),0)</f>
        <v>1</v>
      </c>
    </row>
    <row r="87" spans="1:7" ht="24.75" customHeight="1" x14ac:dyDescent="0.35">
      <c r="A87" s="74">
        <v>30065</v>
      </c>
      <c r="B87" s="73" t="s">
        <v>110</v>
      </c>
      <c r="C87" s="10">
        <f>IFERROR(INDEX('حسابهای دریافتنی'!H:H,MATCH(Table225[[#This Row],[كد تفصيلي]],'حسابهای دریافتنی'!A:A,0)),0)</f>
        <v>0</v>
      </c>
      <c r="D87" s="11">
        <f>IFERROR(INDEX('درجریان وصول'!F:F,MATCH(Table225[[#This Row],[كد تفصيلي]],'درجریان وصول'!A:A,0)),0)</f>
        <v>0</v>
      </c>
      <c r="E87" s="11">
        <f>IFERROR(INDEX('چکهای دریافتنی'!F:F,MATCH(Table225[[#This Row],[كد تفصيلي]],'چکهای دریافتنی'!A:A,0)),0)</f>
        <v>0</v>
      </c>
      <c r="F87" s="11">
        <f>Table225[[#This Row],[حسابهای دریافتنی]]+Table225[[#This Row],[چکهای در جریان وصول]]+Table225[[#This Row],[چکهای نزد صندوق]]</f>
        <v>0</v>
      </c>
      <c r="G87" s="12">
        <f>IFERROR(INDEX('مانده سوفاله'!F:F,MATCH(Table225[[#This Row],[كد تفصيلي]],'مانده سوفاله'!A:A,0)),0)</f>
        <v>33</v>
      </c>
    </row>
    <row r="88" spans="1:7" ht="24.75" customHeight="1" x14ac:dyDescent="0.35">
      <c r="A88" s="74">
        <v>30071</v>
      </c>
      <c r="B88" s="73" t="s">
        <v>116</v>
      </c>
      <c r="C88" s="10">
        <f>IFERROR(INDEX('حسابهای دریافتنی'!H:H,MATCH(Table225[[#This Row],[كد تفصيلي]],'حسابهای دریافتنی'!A:A,0)),0)</f>
        <v>0</v>
      </c>
      <c r="D88" s="11">
        <f>IFERROR(INDEX('درجریان وصول'!F:F,MATCH(Table225[[#This Row],[كد تفصيلي]],'درجریان وصول'!A:A,0)),0)</f>
        <v>0</v>
      </c>
      <c r="E88" s="11">
        <f>IFERROR(INDEX('چکهای دریافتنی'!F:F,MATCH(Table225[[#This Row],[كد تفصيلي]],'چکهای دریافتنی'!A:A,0)),0)</f>
        <v>0</v>
      </c>
      <c r="F88" s="11">
        <f>Table225[[#This Row],[حسابهای دریافتنی]]+Table225[[#This Row],[چکهای در جریان وصول]]+Table225[[#This Row],[چکهای نزد صندوق]]</f>
        <v>0</v>
      </c>
      <c r="G88" s="12">
        <f>IFERROR(INDEX('مانده سوفاله'!F:F,MATCH(Table225[[#This Row],[كد تفصيلي]],'مانده سوفاله'!A:A,0)),0)</f>
        <v>3</v>
      </c>
    </row>
    <row r="89" spans="1:7" ht="24.75" customHeight="1" x14ac:dyDescent="0.35">
      <c r="A89" s="74">
        <v>30079</v>
      </c>
      <c r="B89" s="73" t="s">
        <v>124</v>
      </c>
      <c r="C89" s="10">
        <f>IFERROR(INDEX('حسابهای دریافتنی'!H:H,MATCH(Table225[[#This Row],[كد تفصيلي]],'حسابهای دریافتنی'!A:A,0)),0)</f>
        <v>0</v>
      </c>
      <c r="D89" s="11">
        <f>IFERROR(INDEX('درجریان وصول'!F:F,MATCH(Table225[[#This Row],[كد تفصيلي]],'درجریان وصول'!A:A,0)),0)</f>
        <v>0</v>
      </c>
      <c r="E89" s="11">
        <f>IFERROR(INDEX('چکهای دریافتنی'!F:F,MATCH(Table225[[#This Row],[كد تفصيلي]],'چکهای دریافتنی'!A:A,0)),0)</f>
        <v>0</v>
      </c>
      <c r="F89" s="11">
        <f>Table225[[#This Row],[حسابهای دریافتنی]]+Table225[[#This Row],[چکهای در جریان وصول]]+Table225[[#This Row],[چکهای نزد صندوق]]</f>
        <v>0</v>
      </c>
      <c r="G89" s="12">
        <f>IFERROR(INDEX('مانده سوفاله'!F:F,MATCH(Table225[[#This Row],[كد تفصيلي]],'مانده سوفاله'!A:A,0)),0)</f>
        <v>-85</v>
      </c>
    </row>
    <row r="90" spans="1:7" ht="24.75" customHeight="1" x14ac:dyDescent="0.35">
      <c r="A90" s="74">
        <v>30097</v>
      </c>
      <c r="B90" s="73" t="s">
        <v>188</v>
      </c>
      <c r="C90" s="10">
        <f>IFERROR(INDEX('حسابهای دریافتنی'!H:H,MATCH(Table225[[#This Row],[كد تفصيلي]],'حسابهای دریافتنی'!A:A,0)),0)</f>
        <v>0</v>
      </c>
      <c r="D90" s="11">
        <f>IFERROR(INDEX('درجریان وصول'!F:F,MATCH(Table225[[#This Row],[كد تفصيلي]],'درجریان وصول'!A:A,0)),0)</f>
        <v>0</v>
      </c>
      <c r="E90" s="11">
        <f>IFERROR(INDEX('چکهای دریافتنی'!F:F,MATCH(Table225[[#This Row],[كد تفصيلي]],'چکهای دریافتنی'!A:A,0)),0)</f>
        <v>0</v>
      </c>
      <c r="F90" s="11">
        <f>Table225[[#This Row],[حسابهای دریافتنی]]+Table225[[#This Row],[چکهای در جریان وصول]]+Table225[[#This Row],[چکهای نزد صندوق]]</f>
        <v>0</v>
      </c>
      <c r="G90" s="12">
        <f>IFERROR(INDEX('مانده سوفاله'!F:F,MATCH(Table225[[#This Row],[كد تفصيلي]],'مانده سوفاله'!A:A,0)),0)</f>
        <v>-82</v>
      </c>
    </row>
    <row r="91" spans="1:7" ht="24.75" customHeight="1" x14ac:dyDescent="0.35">
      <c r="A91" s="75">
        <v>30118</v>
      </c>
      <c r="B91" s="72" t="s">
        <v>205</v>
      </c>
      <c r="C91" s="10">
        <f>IFERROR(INDEX('حسابهای دریافتنی'!H:H,MATCH(Table225[[#This Row],[كد تفصيلي]],'حسابهای دریافتنی'!A:A,0)),0)</f>
        <v>0</v>
      </c>
      <c r="D91" s="11">
        <f>IFERROR(INDEX('درجریان وصول'!F:F,MATCH(Table225[[#This Row],[كد تفصيلي]],'درجریان وصول'!A:A,0)),0)</f>
        <v>0</v>
      </c>
      <c r="E91" s="11">
        <f>IFERROR(INDEX('چکهای دریافتنی'!F:F,MATCH(Table225[[#This Row],[كد تفصيلي]],'چکهای دریافتنی'!A:A,0)),0)</f>
        <v>0</v>
      </c>
      <c r="F91" s="11">
        <f>Table225[[#This Row],[حسابهای دریافتنی]]+Table225[[#This Row],[چکهای در جریان وصول]]+Table225[[#This Row],[چکهای نزد صندوق]]</f>
        <v>0</v>
      </c>
      <c r="G91" s="12">
        <f>IFERROR(INDEX('مانده سوفاله'!F:F,MATCH(Table225[[#This Row],[كد تفصيلي]],'مانده سوفاله'!A:A,0)),0)</f>
        <v>-20</v>
      </c>
    </row>
    <row r="92" spans="1:7" ht="24.75" customHeight="1" x14ac:dyDescent="0.35">
      <c r="A92" s="74">
        <v>30137</v>
      </c>
      <c r="B92" s="73" t="s">
        <v>218</v>
      </c>
      <c r="C92" s="10">
        <f>IFERROR(INDEX('حسابهای دریافتنی'!H:H,MATCH(Table225[[#This Row],[كد تفصيلي]],'حسابهای دریافتنی'!A:A,0)),0)</f>
        <v>0</v>
      </c>
      <c r="D92" s="11">
        <f>IFERROR(INDEX('درجریان وصول'!F:F,MATCH(Table225[[#This Row],[كد تفصيلي]],'درجریان وصول'!A:A,0)),0)</f>
        <v>0</v>
      </c>
      <c r="E92" s="11">
        <f>IFERROR(INDEX('چکهای دریافتنی'!F:F,MATCH(Table225[[#This Row],[كد تفصيلي]],'چکهای دریافتنی'!A:A,0)),0)</f>
        <v>213182200</v>
      </c>
      <c r="F92" s="11">
        <f>Table225[[#This Row],[حسابهای دریافتنی]]+Table225[[#This Row],[چکهای در جریان وصول]]+Table225[[#This Row],[چکهای نزد صندوق]]</f>
        <v>213182200</v>
      </c>
      <c r="G92" s="12">
        <f>IFERROR(INDEX('مانده سوفاله'!F:F,MATCH(Table225[[#This Row],[كد تفصيلي]],'مانده سوفاله'!A:A,0)),0)</f>
        <v>0</v>
      </c>
    </row>
    <row r="93" spans="1:7" ht="24.75" customHeight="1" x14ac:dyDescent="0.35">
      <c r="A93" s="74">
        <v>30141</v>
      </c>
      <c r="B93" s="73" t="s">
        <v>261</v>
      </c>
      <c r="C93" s="10">
        <f>IFERROR(INDEX('حسابهای دریافتنی'!H:H,MATCH(Table225[[#This Row],[كد تفصيلي]],'حسابهای دریافتنی'!A:A,0)),0)</f>
        <v>0</v>
      </c>
      <c r="D93" s="11">
        <f>IFERROR(INDEX('درجریان وصول'!F:F,MATCH(Table225[[#This Row],[كد تفصيلي]],'درجریان وصول'!A:A,0)),0)</f>
        <v>0</v>
      </c>
      <c r="E93" s="11">
        <f>IFERROR(INDEX('چکهای دریافتنی'!F:F,MATCH(Table225[[#This Row],[كد تفصيلي]],'چکهای دریافتنی'!A:A,0)),0)</f>
        <v>0</v>
      </c>
      <c r="F93" s="11">
        <f>Table225[[#This Row],[حسابهای دریافتنی]]+Table225[[#This Row],[چکهای در جریان وصول]]+Table225[[#This Row],[چکهای نزد صندوق]]</f>
        <v>0</v>
      </c>
      <c r="G93" s="12">
        <f>IFERROR(INDEX('مانده سوفاله'!F:F,MATCH(Table225[[#This Row],[كد تفصيلي]],'مانده سوفاله'!A:A,0)),0)</f>
        <v>-42</v>
      </c>
    </row>
    <row r="94" spans="1:7" ht="24.75" customHeight="1" x14ac:dyDescent="0.35">
      <c r="A94" s="75">
        <v>30142</v>
      </c>
      <c r="B94" s="72" t="s">
        <v>263</v>
      </c>
      <c r="C94" s="10">
        <f>IFERROR(INDEX('حسابهای دریافتنی'!H:H,MATCH(Table225[[#This Row],[كد تفصيلي]],'حسابهای دریافتنی'!A:A,0)),0)</f>
        <v>0</v>
      </c>
      <c r="D94" s="11">
        <f>IFERROR(INDEX('درجریان وصول'!F:F,MATCH(Table225[[#This Row],[كد تفصيلي]],'درجریان وصول'!A:A,0)),0)</f>
        <v>0</v>
      </c>
      <c r="E94" s="11">
        <f>IFERROR(INDEX('چکهای دریافتنی'!F:F,MATCH(Table225[[#This Row],[كد تفصيلي]],'چکهای دریافتنی'!A:A,0)),0)</f>
        <v>0</v>
      </c>
      <c r="F94" s="11">
        <f>Table225[[#This Row],[حسابهای دریافتنی]]+Table225[[#This Row],[چکهای در جریان وصول]]+Table225[[#This Row],[چکهای نزد صندوق]]</f>
        <v>0</v>
      </c>
      <c r="G94" s="12">
        <f>IFERROR(INDEX('مانده سوفاله'!F:F,MATCH(Table225[[#This Row],[كد تفصيلي]],'مانده سوفاله'!A:A,0)),0)</f>
        <v>13</v>
      </c>
    </row>
    <row r="95" spans="1:7" ht="24.75" customHeight="1" x14ac:dyDescent="0.35">
      <c r="A95" s="75">
        <v>30160</v>
      </c>
      <c r="B95" s="72" t="s">
        <v>296</v>
      </c>
      <c r="C95" s="10">
        <f>IFERROR(INDEX('حسابهای دریافتنی'!H:H,MATCH(Table225[[#This Row],[كد تفصيلي]],'حسابهای دریافتنی'!A:A,0)),0)</f>
        <v>0</v>
      </c>
      <c r="D95" s="11">
        <f>IFERROR(INDEX('درجریان وصول'!F:F,MATCH(Table225[[#This Row],[كد تفصيلي]],'درجریان وصول'!A:A,0)),0)</f>
        <v>0</v>
      </c>
      <c r="E95" s="11">
        <f>IFERROR(INDEX('چکهای دریافتنی'!F:F,MATCH(Table225[[#This Row],[كد تفصيلي]],'چکهای دریافتنی'!A:A,0)),0)</f>
        <v>0</v>
      </c>
      <c r="F95" s="11">
        <f>Table225[[#This Row],[حسابهای دریافتنی]]+Table225[[#This Row],[چکهای در جریان وصول]]+Table225[[#This Row],[چکهای نزد صندوق]]</f>
        <v>0</v>
      </c>
      <c r="G95" s="12">
        <f>IFERROR(INDEX('مانده سوفاله'!F:F,MATCH(Table225[[#This Row],[كد تفصيلي]],'مانده سوفاله'!A:A,0)),0)</f>
        <v>-425</v>
      </c>
    </row>
    <row r="96" spans="1:7" ht="24.75" customHeight="1" x14ac:dyDescent="0.35">
      <c r="A96" s="74">
        <v>79010</v>
      </c>
      <c r="B96" s="73" t="s">
        <v>176</v>
      </c>
      <c r="C96" s="10">
        <f>IFERROR(INDEX('حسابهای دریافتنی'!H:H,MATCH(Table225[[#This Row],[كد تفصيلي]],'حسابهای دریافتنی'!A:A,0)),0)</f>
        <v>0</v>
      </c>
      <c r="D96" s="11">
        <f>IFERROR(INDEX('درجریان وصول'!F:F,MATCH(Table225[[#This Row],[كد تفصيلي]],'درجریان وصول'!A:A,0)),0)</f>
        <v>0</v>
      </c>
      <c r="E96" s="11">
        <f>IFERROR(INDEX('چکهای دریافتنی'!F:F,MATCH(Table225[[#This Row],[كد تفصيلي]],'چکهای دریافتنی'!A:A,0)),0)</f>
        <v>0</v>
      </c>
      <c r="F96" s="11">
        <f>Table225[[#This Row],[حسابهای دریافتنی]]+Table225[[#This Row],[چکهای در جریان وصول]]+Table225[[#This Row],[چکهای نزد صندوق]]</f>
        <v>0</v>
      </c>
      <c r="G96" s="12">
        <f>IFERROR(INDEX('مانده سوفاله'!F:F,MATCH(Table225[[#This Row],[كد تفصيلي]],'مانده سوفاله'!A:A,0)),0)</f>
        <v>-110</v>
      </c>
    </row>
    <row r="97" spans="1:7" ht="24.75" customHeight="1" x14ac:dyDescent="0.35">
      <c r="A97" s="75">
        <v>30174</v>
      </c>
      <c r="B97" s="72" t="s">
        <v>327</v>
      </c>
      <c r="C97" s="10">
        <f>IFERROR(INDEX('حسابهای دریافتنی'!H:H,MATCH(Table225[[#This Row],[كد تفصيلي]],'حسابهای دریافتنی'!A:A,0)),0)</f>
        <v>-5000</v>
      </c>
      <c r="D97" s="11">
        <f>IFERROR(INDEX('درجریان وصول'!F:F,MATCH(Table225[[#This Row],[كد تفصيلي]],'درجریان وصول'!A:A,0)),0)</f>
        <v>0</v>
      </c>
      <c r="E97" s="11">
        <f>IFERROR(INDEX('چکهای دریافتنی'!F:F,MATCH(Table225[[#This Row],[كد تفصيلي]],'چکهای دریافتنی'!A:A,0)),0)</f>
        <v>0</v>
      </c>
      <c r="F97" s="11">
        <f>Table225[[#This Row],[حسابهای دریافتنی]]+Table225[[#This Row],[چکهای در جریان وصول]]+Table225[[#This Row],[چکهای نزد صندوق]]</f>
        <v>-5000</v>
      </c>
      <c r="G97" s="12">
        <f>IFERROR(INDEX('مانده سوفاله'!F:F,MATCH(Table225[[#This Row],[كد تفصيلي]],'مانده سوفاله'!A:A,0)),0)</f>
        <v>0</v>
      </c>
    </row>
    <row r="98" spans="1:7" ht="24.75" customHeight="1" x14ac:dyDescent="0.35">
      <c r="A98" s="74">
        <v>30195</v>
      </c>
      <c r="B98" s="73" t="s">
        <v>477</v>
      </c>
      <c r="C98" s="10">
        <f>IFERROR(INDEX('حسابهای دریافتنی'!H:H,MATCH(Table225[[#This Row],[كد تفصيلي]],'حسابهای دریافتنی'!A:A,0)),0)</f>
        <v>-1861000</v>
      </c>
      <c r="D98" s="11">
        <f>IFERROR(INDEX('درجریان وصول'!F:F,MATCH(Table225[[#This Row],[كد تفصيلي]],'درجریان وصول'!A:A,0)),0)</f>
        <v>0</v>
      </c>
      <c r="E98" s="11">
        <f>IFERROR(INDEX('چکهای دریافتنی'!F:F,MATCH(Table225[[#This Row],[كد تفصيلي]],'چکهای دریافتنی'!A:A,0)),0)</f>
        <v>0</v>
      </c>
      <c r="F98" s="11">
        <f>Table225[[#This Row],[حسابهای دریافتنی]]+Table225[[#This Row],[چکهای در جریان وصول]]+Table225[[#This Row],[چکهای نزد صندوق]]</f>
        <v>-1861000</v>
      </c>
      <c r="G98" s="12">
        <f>IFERROR(INDEX('مانده سوفاله'!F:F,MATCH(Table225[[#This Row],[كد تفصيلي]],'مانده سوفاله'!A:A,0)),0)</f>
        <v>0</v>
      </c>
    </row>
    <row r="99" spans="1:7" ht="24.75" customHeight="1" x14ac:dyDescent="0.35">
      <c r="A99" s="74">
        <v>30026</v>
      </c>
      <c r="B99" s="73" t="s">
        <v>74</v>
      </c>
      <c r="C99" s="10">
        <f>IFERROR(INDEX('حسابهای دریافتنی'!H:H,MATCH(Table225[[#This Row],[كد تفصيلي]],'حسابهای دریافتنی'!A:A,0)),0)</f>
        <v>5689439</v>
      </c>
      <c r="D99" s="11">
        <f>IFERROR(INDEX('درجریان وصول'!F:F,MATCH(Table225[[#This Row],[كد تفصيلي]],'درجریان وصول'!A:A,0)),0)</f>
        <v>0</v>
      </c>
      <c r="E99" s="11">
        <f>IFERROR(INDEX('چکهای دریافتنی'!F:F,MATCH(Table225[[#This Row],[كد تفصيلي]],'چکهای دریافتنی'!A:A,0)),0)</f>
        <v>0</v>
      </c>
      <c r="F99" s="11">
        <f>Table225[[#This Row],[حسابهای دریافتنی]]+Table225[[#This Row],[چکهای در جریان وصول]]+Table225[[#This Row],[چکهای نزد صندوق]]</f>
        <v>5689439</v>
      </c>
      <c r="G99" s="12">
        <f>IFERROR(INDEX('مانده سوفاله'!F:F,MATCH(Table225[[#This Row],[كد تفصيلي]],'مانده سوفاله'!A:A,0)),0)</f>
        <v>764</v>
      </c>
    </row>
    <row r="100" spans="1:7" ht="24.75" customHeight="1" x14ac:dyDescent="0.35">
      <c r="A100" s="74">
        <v>10109</v>
      </c>
      <c r="B100" s="73" t="s">
        <v>303</v>
      </c>
      <c r="C100" s="10">
        <f>IFERROR(INDEX('حسابهای دریافتنی'!H:H,MATCH(Table225[[#This Row],[كد تفصيلي]],'حسابهای دریافتنی'!A:A,0)),0)</f>
        <v>-1124737000</v>
      </c>
      <c r="D100" s="11">
        <f>IFERROR(INDEX('درجریان وصول'!F:F,MATCH(Table225[[#This Row],[كد تفصيلي]],'درجریان وصول'!A:A,0)),0)</f>
        <v>0</v>
      </c>
      <c r="E100" s="11">
        <f>IFERROR(INDEX('چکهای دریافتنی'!F:F,MATCH(Table225[[#This Row],[كد تفصيلي]],'چکهای دریافتنی'!A:A,0)),0)</f>
        <v>0</v>
      </c>
      <c r="F100" s="11">
        <f>Table225[[#This Row],[حسابهای دریافتنی]]+Table225[[#This Row],[چکهای در جریان وصول]]+Table225[[#This Row],[چکهای نزد صندوق]]</f>
        <v>-1124737000</v>
      </c>
      <c r="G100" s="12">
        <f>IFERROR(INDEX('مانده سوفاله'!F:F,MATCH(Table225[[#This Row],[كد تفصيلي]],'مانده سوفاله'!A:A,0)),0)</f>
        <v>-241</v>
      </c>
    </row>
    <row r="101" spans="1:7" ht="24.75" customHeight="1" x14ac:dyDescent="0.35">
      <c r="A101" s="75">
        <v>30021</v>
      </c>
      <c r="B101" s="72" t="s">
        <v>69</v>
      </c>
      <c r="C101" s="10">
        <f>IFERROR(INDEX('حسابهای دریافتنی'!H:H,MATCH(Table225[[#This Row],[كد تفصيلي]],'حسابهای دریافتنی'!A:A,0)),0)</f>
        <v>-122000</v>
      </c>
      <c r="D101" s="11">
        <f>IFERROR(INDEX('درجریان وصول'!F:F,MATCH(Table225[[#This Row],[كد تفصيلي]],'درجریان وصول'!A:A,0)),0)</f>
        <v>0</v>
      </c>
      <c r="E101" s="11">
        <f>IFERROR(INDEX('چکهای دریافتنی'!F:F,MATCH(Table225[[#This Row],[كد تفصيلي]],'چکهای دریافتنی'!A:A,0)),0)</f>
        <v>0</v>
      </c>
      <c r="F101" s="11">
        <f>Table225[[#This Row],[حسابهای دریافتنی]]+Table225[[#This Row],[چکهای در جریان وصول]]+Table225[[#This Row],[چکهای نزد صندوق]]</f>
        <v>-122000</v>
      </c>
      <c r="G101" s="12">
        <f>IFERROR(INDEX('مانده سوفاله'!F:F,MATCH(Table225[[#This Row],[كد تفصيلي]],'مانده سوفاله'!A:A,0)),0)</f>
        <v>0</v>
      </c>
    </row>
    <row r="102" spans="1:7" ht="24.75" customHeight="1" x14ac:dyDescent="0.35">
      <c r="A102" s="74">
        <v>10066</v>
      </c>
      <c r="B102" s="73" t="s">
        <v>262</v>
      </c>
      <c r="C102" s="10">
        <f>IFERROR(INDEX('حسابهای دریافتنی'!H:H,MATCH(Table225[[#This Row],[كد تفصيلي]],'حسابهای دریافتنی'!A:A,0)),0)</f>
        <v>-191500</v>
      </c>
      <c r="D102" s="11">
        <f>IFERROR(INDEX('درجریان وصول'!F:F,MATCH(Table225[[#This Row],[كد تفصيلي]],'درجریان وصول'!A:A,0)),0)</f>
        <v>0</v>
      </c>
      <c r="E102" s="11">
        <f>IFERROR(INDEX('چکهای دریافتنی'!F:F,MATCH(Table225[[#This Row],[كد تفصيلي]],'چکهای دریافتنی'!A:A,0)),0)</f>
        <v>0</v>
      </c>
      <c r="F102" s="11">
        <f>Table225[[#This Row],[حسابهای دریافتنی]]+Table225[[#This Row],[چکهای در جریان وصول]]+Table225[[#This Row],[چکهای نزد صندوق]]</f>
        <v>-191500</v>
      </c>
      <c r="G102" s="12">
        <f>IFERROR(INDEX('مانده سوفاله'!F:F,MATCH(Table225[[#This Row],[كد تفصيلي]],'مانده سوفاله'!A:A,0)),0)</f>
        <v>2</v>
      </c>
    </row>
    <row r="103" spans="1:7" ht="24.75" customHeight="1" x14ac:dyDescent="0.35">
      <c r="A103" s="74">
        <v>30167</v>
      </c>
      <c r="B103" s="73" t="s">
        <v>311</v>
      </c>
      <c r="C103" s="10">
        <f>IFERROR(INDEX('حسابهای دریافتنی'!H:H,MATCH(Table225[[#This Row],[كد تفصيلي]],'حسابهای دریافتنی'!A:A,0)),0)</f>
        <v>-221000</v>
      </c>
      <c r="D103" s="11">
        <f>IFERROR(INDEX('درجریان وصول'!F:F,MATCH(Table225[[#This Row],[كد تفصيلي]],'درجریان وصول'!A:A,0)),0)</f>
        <v>0</v>
      </c>
      <c r="E103" s="11">
        <f>IFERROR(INDEX('چکهای دریافتنی'!F:F,MATCH(Table225[[#This Row],[كد تفصيلي]],'چکهای دریافتنی'!A:A,0)),0)</f>
        <v>0</v>
      </c>
      <c r="F103" s="11">
        <f>Table225[[#This Row],[حسابهای دریافتنی]]+Table225[[#This Row],[چکهای در جریان وصول]]+Table225[[#This Row],[چکهای نزد صندوق]]</f>
        <v>-221000</v>
      </c>
      <c r="G103" s="12">
        <f>IFERROR(INDEX('مانده سوفاله'!F:F,MATCH(Table225[[#This Row],[كد تفصيلي]],'مانده سوفاله'!A:A,0)),0)</f>
        <v>6</v>
      </c>
    </row>
    <row r="104" spans="1:7" ht="24.75" customHeight="1" x14ac:dyDescent="0.35">
      <c r="A104" s="75">
        <v>10077</v>
      </c>
      <c r="B104" s="72" t="s">
        <v>210</v>
      </c>
      <c r="C104" s="10">
        <f>IFERROR(INDEX('حسابهای دریافتنی'!H:H,MATCH(Table225[[#This Row],[كد تفصيلي]],'حسابهای دریافتنی'!A:A,0)),0)</f>
        <v>-238500</v>
      </c>
      <c r="D104" s="11">
        <f>IFERROR(INDEX('درجریان وصول'!F:F,MATCH(Table225[[#This Row],[كد تفصيلي]],'درجریان وصول'!A:A,0)),0)</f>
        <v>0</v>
      </c>
      <c r="E104" s="11">
        <f>IFERROR(INDEX('چکهای دریافتنی'!F:F,MATCH(Table225[[#This Row],[كد تفصيلي]],'چکهای دریافتنی'!A:A,0)),0)</f>
        <v>0</v>
      </c>
      <c r="F104" s="11">
        <f>Table225[[#This Row],[حسابهای دریافتنی]]+Table225[[#This Row],[چکهای در جریان وصول]]+Table225[[#This Row],[چکهای نزد صندوق]]</f>
        <v>-238500</v>
      </c>
      <c r="G104" s="12">
        <f>IFERROR(INDEX('مانده سوفاله'!F:F,MATCH(Table225[[#This Row],[كد تفصيلي]],'مانده سوفاله'!A:A,0)),0)</f>
        <v>0</v>
      </c>
    </row>
    <row r="105" spans="1:7" ht="24.75" customHeight="1" x14ac:dyDescent="0.35">
      <c r="A105" s="74">
        <v>10012</v>
      </c>
      <c r="B105" s="73" t="s">
        <v>19</v>
      </c>
      <c r="C105" s="10">
        <f>IFERROR(INDEX('حسابهای دریافتنی'!H:H,MATCH(Table225[[#This Row],[كد تفصيلي]],'حسابهای دریافتنی'!A:A,0)),0)</f>
        <v>-244000</v>
      </c>
      <c r="D105" s="11">
        <f>IFERROR(INDEX('درجریان وصول'!F:F,MATCH(Table225[[#This Row],[كد تفصيلي]],'درجریان وصول'!A:A,0)),0)</f>
        <v>0</v>
      </c>
      <c r="E105" s="11">
        <f>IFERROR(INDEX('چکهای دریافتنی'!F:F,MATCH(Table225[[#This Row],[كد تفصيلي]],'چکهای دریافتنی'!A:A,0)),0)</f>
        <v>0</v>
      </c>
      <c r="F105" s="11">
        <f>Table225[[#This Row],[حسابهای دریافتنی]]+Table225[[#This Row],[چکهای در جریان وصول]]+Table225[[#This Row],[چکهای نزد صندوق]]</f>
        <v>-244000</v>
      </c>
      <c r="G105" s="12">
        <f>IFERROR(INDEX('مانده سوفاله'!F:F,MATCH(Table225[[#This Row],[كد تفصيلي]],'مانده سوفاله'!A:A,0)),0)</f>
        <v>0</v>
      </c>
    </row>
    <row r="106" spans="1:7" ht="24.75" customHeight="1" x14ac:dyDescent="0.35">
      <c r="A106" s="75">
        <v>30088</v>
      </c>
      <c r="B106" s="72" t="s">
        <v>142</v>
      </c>
      <c r="C106" s="10">
        <f>IFERROR(INDEX('حسابهای دریافتنی'!H:H,MATCH(Table225[[#This Row],[كد تفصيلي]],'حسابهای دریافتنی'!A:A,0)),0)</f>
        <v>-252000</v>
      </c>
      <c r="D106" s="11">
        <f>IFERROR(INDEX('درجریان وصول'!F:F,MATCH(Table225[[#This Row],[كد تفصيلي]],'درجریان وصول'!A:A,0)),0)</f>
        <v>0</v>
      </c>
      <c r="E106" s="11">
        <f>IFERROR(INDEX('چکهای دریافتنی'!F:F,MATCH(Table225[[#This Row],[كد تفصيلي]],'چکهای دریافتنی'!A:A,0)),0)</f>
        <v>0</v>
      </c>
      <c r="F106" s="11">
        <f>Table225[[#This Row],[حسابهای دریافتنی]]+Table225[[#This Row],[چکهای در جریان وصول]]+Table225[[#This Row],[چکهای نزد صندوق]]</f>
        <v>-252000</v>
      </c>
      <c r="G106" s="12">
        <f>IFERROR(INDEX('مانده سوفاله'!F:F,MATCH(Table225[[#This Row],[كد تفصيلي]],'مانده سوفاله'!A:A,0)),0)</f>
        <v>0</v>
      </c>
    </row>
    <row r="107" spans="1:7" ht="24.75" customHeight="1" x14ac:dyDescent="0.35">
      <c r="A107" s="75">
        <v>10045</v>
      </c>
      <c r="B107" s="72" t="s">
        <v>50</v>
      </c>
      <c r="C107" s="10">
        <f>IFERROR(INDEX('حسابهای دریافتنی'!H:H,MATCH(Table225[[#This Row],[كد تفصيلي]],'حسابهای دریافتنی'!A:A,0)),0)</f>
        <v>-383000</v>
      </c>
      <c r="D107" s="11">
        <f>IFERROR(INDEX('درجریان وصول'!F:F,MATCH(Table225[[#This Row],[كد تفصيلي]],'درجریان وصول'!A:A,0)),0)</f>
        <v>0</v>
      </c>
      <c r="E107" s="11">
        <f>IFERROR(INDEX('چکهای دریافتنی'!F:F,MATCH(Table225[[#This Row],[كد تفصيلي]],'چکهای دریافتنی'!A:A,0)),0)</f>
        <v>0</v>
      </c>
      <c r="F107" s="11">
        <f>Table225[[#This Row],[حسابهای دریافتنی]]+Table225[[#This Row],[چکهای در جریان وصول]]+Table225[[#This Row],[چکهای نزد صندوق]]</f>
        <v>-383000</v>
      </c>
      <c r="G107" s="12">
        <f>IFERROR(INDEX('مانده سوفاله'!F:F,MATCH(Table225[[#This Row],[كد تفصيلي]],'مانده سوفاله'!A:A,0)),0)</f>
        <v>-30</v>
      </c>
    </row>
    <row r="108" spans="1:7" ht="24.75" customHeight="1" x14ac:dyDescent="0.35">
      <c r="A108" s="75">
        <v>30051</v>
      </c>
      <c r="B108" s="72" t="s">
        <v>98</v>
      </c>
      <c r="C108" s="10">
        <f>IFERROR(INDEX('حسابهای دریافتنی'!H:H,MATCH(Table225[[#This Row],[كد تفصيلي]],'حسابهای دریافتنی'!A:A,0)),0)</f>
        <v>-384000</v>
      </c>
      <c r="D108" s="11">
        <f>IFERROR(INDEX('درجریان وصول'!F:F,MATCH(Table225[[#This Row],[كد تفصيلي]],'درجریان وصول'!A:A,0)),0)</f>
        <v>0</v>
      </c>
      <c r="E108" s="11">
        <f>IFERROR(INDEX('چکهای دریافتنی'!F:F,MATCH(Table225[[#This Row],[كد تفصيلي]],'چکهای دریافتنی'!A:A,0)),0)</f>
        <v>0</v>
      </c>
      <c r="F108" s="11">
        <f>Table225[[#This Row],[حسابهای دریافتنی]]+Table225[[#This Row],[چکهای در جریان وصول]]+Table225[[#This Row],[چکهای نزد صندوق]]</f>
        <v>-384000</v>
      </c>
      <c r="G108" s="12">
        <f>IFERROR(INDEX('مانده سوفاله'!F:F,MATCH(Table225[[#This Row],[كد تفصيلي]],'مانده سوفاله'!A:A,0)),0)</f>
        <v>0</v>
      </c>
    </row>
    <row r="109" spans="1:7" ht="24.75" customHeight="1" x14ac:dyDescent="0.35">
      <c r="A109" s="74">
        <v>30044</v>
      </c>
      <c r="B109" s="73" t="s">
        <v>91</v>
      </c>
      <c r="C109" s="10">
        <f>IFERROR(INDEX('حسابهای دریافتنی'!H:H,MATCH(Table225[[#This Row],[كد تفصيلي]],'حسابهای دریافتنی'!A:A,0)),0)</f>
        <v>-492500</v>
      </c>
      <c r="D109" s="11">
        <f>IFERROR(INDEX('درجریان وصول'!F:F,MATCH(Table225[[#This Row],[كد تفصيلي]],'درجریان وصول'!A:A,0)),0)</f>
        <v>0</v>
      </c>
      <c r="E109" s="11">
        <f>IFERROR(INDEX('چکهای دریافتنی'!F:F,MATCH(Table225[[#This Row],[كد تفصيلي]],'چکهای دریافتنی'!A:A,0)),0)</f>
        <v>0</v>
      </c>
      <c r="F109" s="11">
        <f>Table225[[#This Row],[حسابهای دریافتنی]]+Table225[[#This Row],[چکهای در جریان وصول]]+Table225[[#This Row],[چکهای نزد صندوق]]</f>
        <v>-492500</v>
      </c>
      <c r="G109" s="12">
        <f>IFERROR(INDEX('مانده سوفاله'!F:F,MATCH(Table225[[#This Row],[كد تفصيلي]],'مانده سوفاله'!A:A,0)),0)</f>
        <v>2</v>
      </c>
    </row>
    <row r="110" spans="1:7" ht="24.75" customHeight="1" x14ac:dyDescent="0.35">
      <c r="A110" s="75">
        <v>10095</v>
      </c>
      <c r="B110" s="72" t="s">
        <v>268</v>
      </c>
      <c r="C110" s="10">
        <f>IFERROR(INDEX('حسابهای دریافتنی'!H:H,MATCH(Table225[[#This Row],[كد تفصيلي]],'حسابهای دریافتنی'!A:A,0)),0)</f>
        <v>-496500</v>
      </c>
      <c r="D110" s="11">
        <f>IFERROR(INDEX('درجریان وصول'!F:F,MATCH(Table225[[#This Row],[كد تفصيلي]],'درجریان وصول'!A:A,0)),0)</f>
        <v>0</v>
      </c>
      <c r="E110" s="11">
        <f>IFERROR(INDEX('چکهای دریافتنی'!F:F,MATCH(Table225[[#This Row],[كد تفصيلي]],'چکهای دریافتنی'!A:A,0)),0)</f>
        <v>0</v>
      </c>
      <c r="F110" s="11">
        <f>Table225[[#This Row],[حسابهای دریافتنی]]+Table225[[#This Row],[چکهای در جریان وصول]]+Table225[[#This Row],[چکهای نزد صندوق]]</f>
        <v>-496500</v>
      </c>
      <c r="G110" s="12">
        <f>IFERROR(INDEX('مانده سوفاله'!F:F,MATCH(Table225[[#This Row],[كد تفصيلي]],'مانده سوفاله'!A:A,0)),0)</f>
        <v>0</v>
      </c>
    </row>
    <row r="111" spans="1:7" ht="24.75" customHeight="1" x14ac:dyDescent="0.35">
      <c r="A111" s="74">
        <v>30052</v>
      </c>
      <c r="B111" s="73" t="s">
        <v>149</v>
      </c>
      <c r="C111" s="10">
        <f>IFERROR(INDEX('حسابهای دریافتنی'!H:H,MATCH(Table225[[#This Row],[كد تفصيلي]],'حسابهای دریافتنی'!A:A,0)),0)</f>
        <v>-539000</v>
      </c>
      <c r="D111" s="11">
        <f>IFERROR(INDEX('درجریان وصول'!F:F,MATCH(Table225[[#This Row],[كد تفصيلي]],'درجریان وصول'!A:A,0)),0)</f>
        <v>0</v>
      </c>
      <c r="E111" s="11">
        <f>IFERROR(INDEX('چکهای دریافتنی'!F:F,MATCH(Table225[[#This Row],[كد تفصيلي]],'چکهای دریافتنی'!A:A,0)),0)</f>
        <v>0</v>
      </c>
      <c r="F111" s="11">
        <f>Table225[[#This Row],[حسابهای دریافتنی]]+Table225[[#This Row],[چکهای در جریان وصول]]+Table225[[#This Row],[چکهای نزد صندوق]]</f>
        <v>-539000</v>
      </c>
      <c r="G111" s="12">
        <f>IFERROR(INDEX('مانده سوفاله'!F:F,MATCH(Table225[[#This Row],[كد تفصيلي]],'مانده سوفاله'!A:A,0)),0)</f>
        <v>0</v>
      </c>
    </row>
    <row r="112" spans="1:7" ht="24.75" customHeight="1" x14ac:dyDescent="0.35">
      <c r="A112" s="75">
        <v>10061</v>
      </c>
      <c r="B112" s="72" t="s">
        <v>194</v>
      </c>
      <c r="C112" s="10">
        <f>IFERROR(INDEX('حسابهای دریافتنی'!H:H,MATCH(Table225[[#This Row],[كد تفصيلي]],'حسابهای دریافتنی'!A:A,0)),0)</f>
        <v>-565500</v>
      </c>
      <c r="D112" s="11">
        <f>IFERROR(INDEX('درجریان وصول'!F:F,MATCH(Table225[[#This Row],[كد تفصيلي]],'درجریان وصول'!A:A,0)),0)</f>
        <v>0</v>
      </c>
      <c r="E112" s="11">
        <f>IFERROR(INDEX('چکهای دریافتنی'!F:F,MATCH(Table225[[#This Row],[كد تفصيلي]],'چکهای دریافتنی'!A:A,0)),0)</f>
        <v>0</v>
      </c>
      <c r="F112" s="11">
        <f>Table225[[#This Row],[حسابهای دریافتنی]]+Table225[[#This Row],[چکهای در جریان وصول]]+Table225[[#This Row],[چکهای نزد صندوق]]</f>
        <v>-565500</v>
      </c>
      <c r="G112" s="12">
        <f>IFERROR(INDEX('مانده سوفاله'!F:F,MATCH(Table225[[#This Row],[كد تفصيلي]],'مانده سوفاله'!A:A,0)),0)</f>
        <v>0</v>
      </c>
    </row>
    <row r="113" spans="1:7" ht="24.75" customHeight="1" x14ac:dyDescent="0.35">
      <c r="A113" s="75">
        <v>10118</v>
      </c>
      <c r="B113" s="72" t="s">
        <v>334</v>
      </c>
      <c r="C113" s="10">
        <f>IFERROR(INDEX('حسابهای دریافتنی'!H:H,MATCH(Table225[[#This Row],[كد تفصيلي]],'حسابهای دریافتنی'!A:A,0)),0)</f>
        <v>-587500</v>
      </c>
      <c r="D113" s="11">
        <f>IFERROR(INDEX('درجریان وصول'!F:F,MATCH(Table225[[#This Row],[كد تفصيلي]],'درجریان وصول'!A:A,0)),0)</f>
        <v>0</v>
      </c>
      <c r="E113" s="11">
        <f>IFERROR(INDEX('چکهای دریافتنی'!F:F,MATCH(Table225[[#This Row],[كد تفصيلي]],'چکهای دریافتنی'!A:A,0)),0)</f>
        <v>0</v>
      </c>
      <c r="F113" s="11">
        <f>Table225[[#This Row],[حسابهای دریافتنی]]+Table225[[#This Row],[چکهای در جریان وصول]]+Table225[[#This Row],[چکهای نزد صندوق]]</f>
        <v>-587500</v>
      </c>
      <c r="G113" s="12">
        <f>IFERROR(INDEX('مانده سوفاله'!F:F,MATCH(Table225[[#This Row],[كد تفصيلي]],'مانده سوفاله'!A:A,0)),0)</f>
        <v>0</v>
      </c>
    </row>
    <row r="114" spans="1:7" ht="24.75" customHeight="1" x14ac:dyDescent="0.35">
      <c r="A114" s="75">
        <v>10131</v>
      </c>
      <c r="B114" s="72" t="s">
        <v>457</v>
      </c>
      <c r="C114" s="10">
        <f>IFERROR(INDEX('حسابهای دریافتنی'!H:H,MATCH(Table225[[#This Row],[كد تفصيلي]],'حسابهای دریافتنی'!A:A,0)),0)</f>
        <v>-1194000</v>
      </c>
      <c r="D114" s="11">
        <f>IFERROR(INDEX('درجریان وصول'!F:F,MATCH(Table225[[#This Row],[كد تفصيلي]],'درجریان وصول'!A:A,0)),0)</f>
        <v>0</v>
      </c>
      <c r="E114" s="11">
        <f>IFERROR(INDEX('چکهای دریافتنی'!F:F,MATCH(Table225[[#This Row],[كد تفصيلي]],'چکهای دریافتنی'!A:A,0)),0)</f>
        <v>0</v>
      </c>
      <c r="F114" s="11">
        <f>Table225[[#This Row],[حسابهای دریافتنی]]+Table225[[#This Row],[چکهای در جریان وصول]]+Table225[[#This Row],[چکهای نزد صندوق]]</f>
        <v>-1194000</v>
      </c>
      <c r="G114" s="12">
        <f>IFERROR(INDEX('مانده سوفاله'!F:F,MATCH(Table225[[#This Row],[كد تفصيلي]],'مانده سوفاله'!A:A,0)),0)</f>
        <v>1</v>
      </c>
    </row>
    <row r="115" spans="1:7" ht="24.75" customHeight="1" x14ac:dyDescent="0.35">
      <c r="A115" s="75">
        <v>10097</v>
      </c>
      <c r="B115" s="72" t="s">
        <v>270</v>
      </c>
      <c r="C115" s="10">
        <f>IFERROR(INDEX('حسابهای دریافتنی'!H:H,MATCH(Table225[[#This Row],[كد تفصيلي]],'حسابهای دریافتنی'!A:A,0)),0)</f>
        <v>270642500</v>
      </c>
      <c r="D115" s="11">
        <f>IFERROR(INDEX('درجریان وصول'!F:F,MATCH(Table225[[#This Row],[كد تفصيلي]],'درجریان وصول'!A:A,0)),0)</f>
        <v>0</v>
      </c>
      <c r="E115" s="11">
        <f>IFERROR(INDEX('چکهای دریافتنی'!F:F,MATCH(Table225[[#This Row],[كد تفصيلي]],'چکهای دریافتنی'!A:A,0)),0)</f>
        <v>287000000</v>
      </c>
      <c r="F115" s="11">
        <f>Table225[[#This Row],[حسابهای دریافتنی]]+Table225[[#This Row],[چکهای در جریان وصول]]+Table225[[#This Row],[چکهای نزد صندوق]]</f>
        <v>557642500</v>
      </c>
      <c r="G115" s="12">
        <f>IFERROR(INDEX('مانده سوفاله'!F:F,MATCH(Table225[[#This Row],[كد تفصيلي]],'مانده سوفاله'!A:A,0)),0)</f>
        <v>0</v>
      </c>
    </row>
    <row r="116" spans="1:7" ht="24.75" customHeight="1" x14ac:dyDescent="0.35">
      <c r="A116" s="75">
        <v>30112</v>
      </c>
      <c r="B116" s="72" t="s">
        <v>201</v>
      </c>
      <c r="C116" s="10">
        <f>IFERROR(INDEX('حسابهای دریافتنی'!H:H,MATCH(Table225[[#This Row],[كد تفصيلي]],'حسابهای دریافتنی'!A:A,0)),0)</f>
        <v>-720500</v>
      </c>
      <c r="D116" s="11">
        <f>IFERROR(INDEX('درجریان وصول'!F:F,MATCH(Table225[[#This Row],[كد تفصيلي]],'درجریان وصول'!A:A,0)),0)</f>
        <v>0</v>
      </c>
      <c r="E116" s="11">
        <f>IFERROR(INDEX('چکهای دریافتنی'!F:F,MATCH(Table225[[#This Row],[كد تفصيلي]],'چکهای دریافتنی'!A:A,0)),0)</f>
        <v>0</v>
      </c>
      <c r="F116" s="11">
        <f>Table225[[#This Row],[حسابهای دریافتنی]]+Table225[[#This Row],[چکهای در جریان وصول]]+Table225[[#This Row],[چکهای نزد صندوق]]</f>
        <v>-720500</v>
      </c>
      <c r="G116" s="12">
        <f>IFERROR(INDEX('مانده سوفاله'!F:F,MATCH(Table225[[#This Row],[كد تفصيلي]],'مانده سوفاله'!A:A,0)),0)</f>
        <v>36</v>
      </c>
    </row>
    <row r="117" spans="1:7" ht="24.75" customHeight="1" x14ac:dyDescent="0.35">
      <c r="A117" s="75">
        <v>10013</v>
      </c>
      <c r="B117" s="72" t="s">
        <v>20</v>
      </c>
      <c r="C117" s="10">
        <f>IFERROR(INDEX('حسابهای دریافتنی'!H:H,MATCH(Table225[[#This Row],[كد تفصيلي]],'حسابهای دریافتنی'!A:A,0)),0)</f>
        <v>-915000</v>
      </c>
      <c r="D117" s="11">
        <f>IFERROR(INDEX('درجریان وصول'!F:F,MATCH(Table225[[#This Row],[كد تفصيلي]],'درجریان وصول'!A:A,0)),0)</f>
        <v>0</v>
      </c>
      <c r="E117" s="11">
        <f>IFERROR(INDEX('چکهای دریافتنی'!F:F,MATCH(Table225[[#This Row],[كد تفصيلي]],'چکهای دریافتنی'!A:A,0)),0)</f>
        <v>0</v>
      </c>
      <c r="F117" s="11">
        <f>Table225[[#This Row],[حسابهای دریافتنی]]+Table225[[#This Row],[چکهای در جریان وصول]]+Table225[[#This Row],[چکهای نزد صندوق]]</f>
        <v>-915000</v>
      </c>
      <c r="G117" s="12">
        <f>IFERROR(INDEX('مانده سوفاله'!F:F,MATCH(Table225[[#This Row],[كد تفصيلي]],'مانده سوفاله'!A:A,0)),0)</f>
        <v>0</v>
      </c>
    </row>
    <row r="118" spans="1:7" ht="24.75" customHeight="1" x14ac:dyDescent="0.35">
      <c r="A118" s="74">
        <v>10042</v>
      </c>
      <c r="B118" s="73" t="s">
        <v>47</v>
      </c>
      <c r="C118" s="10">
        <f>IFERROR(INDEX('حسابهای دریافتنی'!H:H,MATCH(Table225[[#This Row],[كد تفصيلي]],'حسابهای دریافتنی'!A:A,0)),0)</f>
        <v>-1120000</v>
      </c>
      <c r="D118" s="11">
        <f>IFERROR(INDEX('درجریان وصول'!F:F,MATCH(Table225[[#This Row],[كد تفصيلي]],'درجریان وصول'!A:A,0)),0)</f>
        <v>0</v>
      </c>
      <c r="E118" s="11">
        <f>IFERROR(INDEX('چکهای دریافتنی'!F:F,MATCH(Table225[[#This Row],[كد تفصيلي]],'چکهای دریافتنی'!A:A,0)),0)</f>
        <v>0</v>
      </c>
      <c r="F118" s="11">
        <f>Table225[[#This Row],[حسابهای دریافتنی]]+Table225[[#This Row],[چکهای در جریان وصول]]+Table225[[#This Row],[چکهای نزد صندوق]]</f>
        <v>-1120000</v>
      </c>
      <c r="G118" s="12">
        <f>IFERROR(INDEX('مانده سوفاله'!F:F,MATCH(Table225[[#This Row],[كد تفصيلي]],'مانده سوفاله'!A:A,0)),0)</f>
        <v>2</v>
      </c>
    </row>
    <row r="119" spans="1:7" ht="24.75" customHeight="1" x14ac:dyDescent="0.35">
      <c r="A119" s="74">
        <v>30032</v>
      </c>
      <c r="B119" s="73" t="s">
        <v>79</v>
      </c>
      <c r="C119" s="10">
        <f>IFERROR(INDEX('حسابهای دریافتنی'!H:H,MATCH(Table225[[#This Row],[كد تفصيلي]],'حسابهای دریافتنی'!A:A,0)),0)</f>
        <v>-1347000</v>
      </c>
      <c r="D119" s="11">
        <f>IFERROR(INDEX('درجریان وصول'!F:F,MATCH(Table225[[#This Row],[كد تفصيلي]],'درجریان وصول'!A:A,0)),0)</f>
        <v>0</v>
      </c>
      <c r="E119" s="11">
        <f>IFERROR(INDEX('چکهای دریافتنی'!F:F,MATCH(Table225[[#This Row],[كد تفصيلي]],'چکهای دریافتنی'!A:A,0)),0)</f>
        <v>0</v>
      </c>
      <c r="F119" s="11">
        <f>Table225[[#This Row],[حسابهای دریافتنی]]+Table225[[#This Row],[چکهای در جریان وصول]]+Table225[[#This Row],[چکهای نزد صندوق]]</f>
        <v>-1347000</v>
      </c>
      <c r="G119" s="12">
        <f>IFERROR(INDEX('مانده سوفاله'!F:F,MATCH(Table225[[#This Row],[كد تفصيلي]],'مانده سوفاله'!A:A,0)),0)</f>
        <v>0</v>
      </c>
    </row>
    <row r="120" spans="1:7" ht="24.75" customHeight="1" x14ac:dyDescent="0.35">
      <c r="A120" s="74">
        <v>30171</v>
      </c>
      <c r="B120" s="73" t="s">
        <v>322</v>
      </c>
      <c r="C120" s="10">
        <f>IFERROR(INDEX('حسابهای دریافتنی'!H:H,MATCH(Table225[[#This Row],[كد تفصيلي]],'حسابهای دریافتنی'!A:A,0)),0)</f>
        <v>-1500000</v>
      </c>
      <c r="D120" s="11">
        <f>IFERROR(INDEX('درجریان وصول'!F:F,MATCH(Table225[[#This Row],[كد تفصيلي]],'درجریان وصول'!A:A,0)),0)</f>
        <v>0</v>
      </c>
      <c r="E120" s="11">
        <f>IFERROR(INDEX('چکهای دریافتنی'!F:F,MATCH(Table225[[#This Row],[كد تفصيلي]],'چکهای دریافتنی'!A:A,0)),0)</f>
        <v>0</v>
      </c>
      <c r="F120" s="11">
        <f>Table225[[#This Row],[حسابهای دریافتنی]]+Table225[[#This Row],[چکهای در جریان وصول]]+Table225[[#This Row],[چکهای نزد صندوق]]</f>
        <v>-1500000</v>
      </c>
      <c r="G120" s="12">
        <f>IFERROR(INDEX('مانده سوفاله'!F:F,MATCH(Table225[[#This Row],[كد تفصيلي]],'مانده سوفاله'!A:A,0)),0)</f>
        <v>0</v>
      </c>
    </row>
    <row r="121" spans="1:7" ht="24.75" customHeight="1" x14ac:dyDescent="0.35">
      <c r="A121" s="75">
        <v>10103</v>
      </c>
      <c r="B121" s="72" t="s">
        <v>283</v>
      </c>
      <c r="C121" s="10">
        <f>IFERROR(INDEX('حسابهای دریافتنی'!H:H,MATCH(Table225[[#This Row],[كد تفصيلي]],'حسابهای دریافتنی'!A:A,0)),0)</f>
        <v>-1580000</v>
      </c>
      <c r="D121" s="11">
        <f>IFERROR(INDEX('درجریان وصول'!F:F,MATCH(Table225[[#This Row],[كد تفصيلي]],'درجریان وصول'!A:A,0)),0)</f>
        <v>0</v>
      </c>
      <c r="E121" s="11">
        <f>IFERROR(INDEX('چکهای دریافتنی'!F:F,MATCH(Table225[[#This Row],[كد تفصيلي]],'چکهای دریافتنی'!A:A,0)),0)</f>
        <v>0</v>
      </c>
      <c r="F121" s="11">
        <f>Table225[[#This Row],[حسابهای دریافتنی]]+Table225[[#This Row],[چکهای در جریان وصول]]+Table225[[#This Row],[چکهای نزد صندوق]]</f>
        <v>-1580000</v>
      </c>
      <c r="G121" s="12">
        <f>IFERROR(INDEX('مانده سوفاله'!F:F,MATCH(Table225[[#This Row],[كد تفصيلي]],'مانده سوفاله'!A:A,0)),0)</f>
        <v>0</v>
      </c>
    </row>
    <row r="122" spans="1:7" ht="24.75" customHeight="1" x14ac:dyDescent="0.35">
      <c r="A122" s="74">
        <v>10125</v>
      </c>
      <c r="B122" s="73" t="s">
        <v>345</v>
      </c>
      <c r="C122" s="10">
        <f>IFERROR(INDEX('حسابهای دریافتنی'!H:H,MATCH(Table225[[#This Row],[كد تفصيلي]],'حسابهای دریافتنی'!A:A,0)),0)</f>
        <v>-1650000</v>
      </c>
      <c r="D122" s="11">
        <f>IFERROR(INDEX('درجریان وصول'!F:F,MATCH(Table225[[#This Row],[كد تفصيلي]],'درجریان وصول'!A:A,0)),0)</f>
        <v>0</v>
      </c>
      <c r="E122" s="11">
        <f>IFERROR(INDEX('چکهای دریافتنی'!F:F,MATCH(Table225[[#This Row],[كد تفصيلي]],'چکهای دریافتنی'!A:A,0)),0)</f>
        <v>0</v>
      </c>
      <c r="F122" s="11">
        <f>Table225[[#This Row],[حسابهای دریافتنی]]+Table225[[#This Row],[چکهای در جریان وصول]]+Table225[[#This Row],[چکهای نزد صندوق]]</f>
        <v>-1650000</v>
      </c>
      <c r="G122" s="12">
        <f>IFERROR(INDEX('مانده سوفاله'!F:F,MATCH(Table225[[#This Row],[كد تفصيلي]],'مانده سوفاله'!A:A,0)),0)</f>
        <v>0</v>
      </c>
    </row>
    <row r="123" spans="1:7" ht="24.75" customHeight="1" x14ac:dyDescent="0.35">
      <c r="A123" s="75">
        <v>10110</v>
      </c>
      <c r="B123" s="72" t="s">
        <v>306</v>
      </c>
      <c r="C123" s="10">
        <f>IFERROR(INDEX('حسابهای دریافتنی'!H:H,MATCH(Table225[[#This Row],[كد تفصيلي]],'حسابهای دریافتنی'!A:A,0)),0)</f>
        <v>-1817500</v>
      </c>
      <c r="D123" s="11">
        <f>IFERROR(INDEX('درجریان وصول'!F:F,MATCH(Table225[[#This Row],[كد تفصيلي]],'درجریان وصول'!A:A,0)),0)</f>
        <v>0</v>
      </c>
      <c r="E123" s="11">
        <f>IFERROR(INDEX('چکهای دریافتنی'!F:F,MATCH(Table225[[#This Row],[كد تفصيلي]],'چکهای دریافتنی'!A:A,0)),0)</f>
        <v>0</v>
      </c>
      <c r="F123" s="11">
        <f>Table225[[#This Row],[حسابهای دریافتنی]]+Table225[[#This Row],[چکهای در جریان وصول]]+Table225[[#This Row],[چکهای نزد صندوق]]</f>
        <v>-1817500</v>
      </c>
      <c r="G123" s="12">
        <f>IFERROR(INDEX('مانده سوفاله'!F:F,MATCH(Table225[[#This Row],[كد تفصيلي]],'مانده سوفاله'!A:A,0)),0)</f>
        <v>7</v>
      </c>
    </row>
    <row r="124" spans="1:7" ht="24.75" customHeight="1" x14ac:dyDescent="0.35">
      <c r="A124" s="74">
        <v>30103</v>
      </c>
      <c r="B124" s="73" t="s">
        <v>240</v>
      </c>
      <c r="C124" s="10">
        <f>IFERROR(INDEX('حسابهای دریافتنی'!H:H,MATCH(Table225[[#This Row],[كد تفصيلي]],'حسابهای دریافتنی'!A:A,0)),0)</f>
        <v>-1820000</v>
      </c>
      <c r="D124" s="11">
        <f>IFERROR(INDEX('درجریان وصول'!F:F,MATCH(Table225[[#This Row],[كد تفصيلي]],'درجریان وصول'!A:A,0)),0)</f>
        <v>0</v>
      </c>
      <c r="E124" s="11">
        <f>IFERROR(INDEX('چکهای دریافتنی'!F:F,MATCH(Table225[[#This Row],[كد تفصيلي]],'چکهای دریافتنی'!A:A,0)),0)</f>
        <v>0</v>
      </c>
      <c r="F124" s="11">
        <f>Table225[[#This Row],[حسابهای دریافتنی]]+Table225[[#This Row],[چکهای در جریان وصول]]+Table225[[#This Row],[چکهای نزد صندوق]]</f>
        <v>-1820000</v>
      </c>
      <c r="G124" s="12">
        <f>IFERROR(INDEX('مانده سوفاله'!F:F,MATCH(Table225[[#This Row],[كد تفصيلي]],'مانده سوفاله'!A:A,0)),0)</f>
        <v>0</v>
      </c>
    </row>
    <row r="125" spans="1:7" ht="24.75" customHeight="1" x14ac:dyDescent="0.35">
      <c r="A125" s="75">
        <v>30128</v>
      </c>
      <c r="B125" s="72" t="s">
        <v>212</v>
      </c>
      <c r="C125" s="10">
        <f>IFERROR(INDEX('حسابهای دریافتنی'!H:H,MATCH(Table225[[#This Row],[كد تفصيلي]],'حسابهای دریافتنی'!A:A,0)),0)</f>
        <v>-2451320</v>
      </c>
      <c r="D125" s="11">
        <f>IFERROR(INDEX('درجریان وصول'!F:F,MATCH(Table225[[#This Row],[كد تفصيلي]],'درجریان وصول'!A:A,0)),0)</f>
        <v>0</v>
      </c>
      <c r="E125" s="11">
        <f>IFERROR(INDEX('چکهای دریافتنی'!F:F,MATCH(Table225[[#This Row],[كد تفصيلي]],'چکهای دریافتنی'!A:A,0)),0)</f>
        <v>0</v>
      </c>
      <c r="F125" s="11">
        <f>Table225[[#This Row],[حسابهای دریافتنی]]+Table225[[#This Row],[چکهای در جریان وصول]]+Table225[[#This Row],[چکهای نزد صندوق]]</f>
        <v>-2451320</v>
      </c>
      <c r="G125" s="12">
        <f>IFERROR(INDEX('مانده سوفاله'!F:F,MATCH(Table225[[#This Row],[كد تفصيلي]],'مانده سوفاله'!A:A,0)),0)</f>
        <v>0</v>
      </c>
    </row>
    <row r="126" spans="1:7" ht="24.75" customHeight="1" x14ac:dyDescent="0.35">
      <c r="A126" s="75">
        <v>30013</v>
      </c>
      <c r="B126" s="72" t="s">
        <v>62</v>
      </c>
      <c r="C126" s="10">
        <f>IFERROR(INDEX('حسابهای دریافتنی'!H:H,MATCH(Table225[[#This Row],[كد تفصيلي]],'حسابهای دریافتنی'!A:A,0)),0)</f>
        <v>-2744620</v>
      </c>
      <c r="D126" s="11">
        <f>IFERROR(INDEX('درجریان وصول'!F:F,MATCH(Table225[[#This Row],[كد تفصيلي]],'درجریان وصول'!A:A,0)),0)</f>
        <v>0</v>
      </c>
      <c r="E126" s="11">
        <f>IFERROR(INDEX('چکهای دریافتنی'!F:F,MATCH(Table225[[#This Row],[كد تفصيلي]],'چکهای دریافتنی'!A:A,0)),0)</f>
        <v>0</v>
      </c>
      <c r="F126" s="11">
        <f>Table225[[#This Row],[حسابهای دریافتنی]]+Table225[[#This Row],[چکهای در جریان وصول]]+Table225[[#This Row],[چکهای نزد صندوق]]</f>
        <v>-2744620</v>
      </c>
      <c r="G126" s="12">
        <f>IFERROR(INDEX('مانده سوفاله'!F:F,MATCH(Table225[[#This Row],[كد تفصيلي]],'مانده سوفاله'!A:A,0)),0)</f>
        <v>0</v>
      </c>
    </row>
    <row r="127" spans="1:7" ht="24.75" customHeight="1" x14ac:dyDescent="0.35">
      <c r="A127" s="75">
        <v>30015</v>
      </c>
      <c r="B127" s="72" t="s">
        <v>64</v>
      </c>
      <c r="C127" s="10">
        <f>IFERROR(INDEX('حسابهای دریافتنی'!H:H,MATCH(Table225[[#This Row],[كد تفصيلي]],'حسابهای دریافتنی'!A:A,0)),0)</f>
        <v>-3105895</v>
      </c>
      <c r="D127" s="11">
        <f>IFERROR(INDEX('درجریان وصول'!F:F,MATCH(Table225[[#This Row],[كد تفصيلي]],'درجریان وصول'!A:A,0)),0)</f>
        <v>0</v>
      </c>
      <c r="E127" s="11">
        <f>IFERROR(INDEX('چکهای دریافتنی'!F:F,MATCH(Table225[[#This Row],[كد تفصيلي]],'چکهای دریافتنی'!A:A,0)),0)</f>
        <v>0</v>
      </c>
      <c r="F127" s="11">
        <f>Table225[[#This Row],[حسابهای دریافتنی]]+Table225[[#This Row],[چکهای در جریان وصول]]+Table225[[#This Row],[چکهای نزد صندوق]]</f>
        <v>-3105895</v>
      </c>
      <c r="G127" s="12">
        <f>IFERROR(INDEX('مانده سوفاله'!F:F,MATCH(Table225[[#This Row],[كد تفصيلي]],'مانده سوفاله'!A:A,0)),0)</f>
        <v>0</v>
      </c>
    </row>
    <row r="128" spans="1:7" ht="24.75" customHeight="1" x14ac:dyDescent="0.35">
      <c r="A128" s="75">
        <v>30110</v>
      </c>
      <c r="B128" s="72" t="s">
        <v>200</v>
      </c>
      <c r="C128" s="10">
        <f>IFERROR(INDEX('حسابهای دریافتنی'!H:H,MATCH(Table225[[#This Row],[كد تفصيلي]],'حسابهای دریافتنی'!A:A,0)),0)</f>
        <v>-3492360</v>
      </c>
      <c r="D128" s="11">
        <f>IFERROR(INDEX('درجریان وصول'!F:F,MATCH(Table225[[#This Row],[كد تفصيلي]],'درجریان وصول'!A:A,0)),0)</f>
        <v>0</v>
      </c>
      <c r="E128" s="11">
        <f>IFERROR(INDEX('چکهای دریافتنی'!F:F,MATCH(Table225[[#This Row],[كد تفصيلي]],'چکهای دریافتنی'!A:A,0)),0)</f>
        <v>0</v>
      </c>
      <c r="F128" s="11">
        <f>Table225[[#This Row],[حسابهای دریافتنی]]+Table225[[#This Row],[چکهای در جریان وصول]]+Table225[[#This Row],[چکهای نزد صندوق]]</f>
        <v>-3492360</v>
      </c>
      <c r="G128" s="12">
        <f>IFERROR(INDEX('مانده سوفاله'!F:F,MATCH(Table225[[#This Row],[كد تفصيلي]],'مانده سوفاله'!A:A,0)),0)</f>
        <v>0</v>
      </c>
    </row>
    <row r="129" spans="1:7" ht="24.75" customHeight="1" x14ac:dyDescent="0.35">
      <c r="A129" s="75">
        <v>10049</v>
      </c>
      <c r="B129" s="72" t="s">
        <v>157</v>
      </c>
      <c r="C129" s="10">
        <f>IFERROR(INDEX('حسابهای دریافتنی'!H:H,MATCH(Table225[[#This Row],[كد تفصيلي]],'حسابهای دریافتنی'!A:A,0)),0)</f>
        <v>-32909500</v>
      </c>
      <c r="D129" s="11">
        <f>IFERROR(INDEX('درجریان وصول'!F:F,MATCH(Table225[[#This Row],[كد تفصيلي]],'درجریان وصول'!A:A,0)),0)</f>
        <v>0</v>
      </c>
      <c r="E129" s="11">
        <f>IFERROR(INDEX('چکهای دریافتنی'!F:F,MATCH(Table225[[#This Row],[كد تفصيلي]],'چکهای دریافتنی'!A:A,0)),0)</f>
        <v>0</v>
      </c>
      <c r="F129" s="11">
        <f>Table225[[#This Row],[حسابهای دریافتنی]]+Table225[[#This Row],[چکهای در جریان وصول]]+Table225[[#This Row],[چکهای نزد صندوق]]</f>
        <v>-32909500</v>
      </c>
      <c r="G129" s="12">
        <f>IFERROR(INDEX('مانده سوفاله'!F:F,MATCH(Table225[[#This Row],[كد تفصيلي]],'مانده سوفاله'!A:A,0)),0)</f>
        <v>0</v>
      </c>
    </row>
    <row r="130" spans="1:7" ht="24.75" customHeight="1" x14ac:dyDescent="0.35">
      <c r="A130" s="75">
        <v>10015</v>
      </c>
      <c r="B130" s="72" t="s">
        <v>22</v>
      </c>
      <c r="C130" s="10">
        <f>IFERROR(INDEX('حسابهای دریافتنی'!H:H,MATCH(Table225[[#This Row],[كد تفصيلي]],'حسابهای دریافتنی'!A:A,0)),0)</f>
        <v>-4735000</v>
      </c>
      <c r="D130" s="11">
        <f>IFERROR(INDEX('درجریان وصول'!F:F,MATCH(Table225[[#This Row],[كد تفصيلي]],'درجریان وصول'!A:A,0)),0)</f>
        <v>0</v>
      </c>
      <c r="E130" s="11">
        <f>IFERROR(INDEX('چکهای دریافتنی'!F:F,MATCH(Table225[[#This Row],[كد تفصيلي]],'چکهای دریافتنی'!A:A,0)),0)</f>
        <v>0</v>
      </c>
      <c r="F130" s="11">
        <f>Table225[[#This Row],[حسابهای دریافتنی]]+Table225[[#This Row],[چکهای در جریان وصول]]+Table225[[#This Row],[چکهای نزد صندوق]]</f>
        <v>-4735000</v>
      </c>
      <c r="G130" s="12">
        <f>IFERROR(INDEX('مانده سوفاله'!F:F,MATCH(Table225[[#This Row],[كد تفصيلي]],'مانده سوفاله'!A:A,0)),0)</f>
        <v>12</v>
      </c>
    </row>
    <row r="131" spans="1:7" customFormat="1" ht="24.75" customHeight="1" x14ac:dyDescent="0.35">
      <c r="A131" s="77">
        <v>30153</v>
      </c>
      <c r="B131" s="73" t="s">
        <v>279</v>
      </c>
      <c r="C131" s="10">
        <f>IFERROR(INDEX('حسابهای دریافتنی'!H:H,MATCH(Table225[[#This Row],[كد تفصيلي]],'حسابهای دریافتنی'!A:A,0)),0)</f>
        <v>-4818000</v>
      </c>
      <c r="D131" s="11">
        <f>IFERROR(INDEX('درجریان وصول'!F:F,MATCH(Table225[[#This Row],[كد تفصيلي]],'درجریان وصول'!A:A,0)),0)</f>
        <v>0</v>
      </c>
      <c r="E131" s="11">
        <f>IFERROR(INDEX('چکهای دریافتنی'!F:F,MATCH(Table225[[#This Row],[كد تفصيلي]],'چکهای دریافتنی'!A:A,0)),0)</f>
        <v>0</v>
      </c>
      <c r="F131" s="11">
        <f>Table225[[#This Row],[حسابهای دریافتنی]]+Table225[[#This Row],[چکهای در جریان وصول]]+Table225[[#This Row],[چکهای نزد صندوق]]</f>
        <v>-4818000</v>
      </c>
      <c r="G131" s="12">
        <f>IFERROR(INDEX('مانده سوفاله'!F:F,MATCH(Table225[[#This Row],[كد تفصيلي]],'مانده سوفاله'!A:A,0)),0)</f>
        <v>0</v>
      </c>
    </row>
    <row r="132" spans="1:7" customFormat="1" ht="24.75" customHeight="1" x14ac:dyDescent="0.35">
      <c r="A132" s="76">
        <v>30023</v>
      </c>
      <c r="B132" s="72" t="s">
        <v>71</v>
      </c>
      <c r="C132" s="10">
        <f>IFERROR(INDEX('حسابهای دریافتنی'!H:H,MATCH(Table225[[#This Row],[كد تفصيلي]],'حسابهای دریافتنی'!A:A,0)),0)</f>
        <v>-5793600</v>
      </c>
      <c r="D132" s="11">
        <f>IFERROR(INDEX('درجریان وصول'!F:F,MATCH(Table225[[#This Row],[كد تفصيلي]],'درجریان وصول'!A:A,0)),0)</f>
        <v>0</v>
      </c>
      <c r="E132" s="11">
        <f>IFERROR(INDEX('چکهای دریافتنی'!F:F,MATCH(Table225[[#This Row],[كد تفصيلي]],'چکهای دریافتنی'!A:A,0)),0)</f>
        <v>0</v>
      </c>
      <c r="F132" s="11">
        <f>Table225[[#This Row],[حسابهای دریافتنی]]+Table225[[#This Row],[چکهای در جریان وصول]]+Table225[[#This Row],[چکهای نزد صندوق]]</f>
        <v>-5793600</v>
      </c>
      <c r="G132" s="12">
        <f>IFERROR(INDEX('مانده سوفاله'!F:F,MATCH(Table225[[#This Row],[كد تفصيلي]],'مانده سوفاله'!A:A,0)),0)</f>
        <v>0</v>
      </c>
    </row>
    <row r="133" spans="1:7" customFormat="1" ht="24.75" customHeight="1" x14ac:dyDescent="0.35">
      <c r="A133" s="76">
        <v>30176</v>
      </c>
      <c r="B133" s="72" t="s">
        <v>332</v>
      </c>
      <c r="C133" s="10">
        <f>IFERROR(INDEX('حسابهای دریافتنی'!H:H,MATCH(Table225[[#This Row],[كد تفصيلي]],'حسابهای دریافتنی'!A:A,0)),0)</f>
        <v>-7540075</v>
      </c>
      <c r="D133" s="11">
        <f>IFERROR(INDEX('درجریان وصول'!F:F,MATCH(Table225[[#This Row],[كد تفصيلي]],'درجریان وصول'!A:A,0)),0)</f>
        <v>0</v>
      </c>
      <c r="E133" s="11">
        <f>IFERROR(INDEX('چکهای دریافتنی'!F:F,MATCH(Table225[[#This Row],[كد تفصيلي]],'چکهای دریافتنی'!A:A,0)),0)</f>
        <v>0</v>
      </c>
      <c r="F133" s="11">
        <f>Table225[[#This Row],[حسابهای دریافتنی]]+Table225[[#This Row],[چکهای در جریان وصول]]+Table225[[#This Row],[چکهای نزد صندوق]]</f>
        <v>-7540075</v>
      </c>
      <c r="G133" s="12">
        <f>IFERROR(INDEX('مانده سوفاله'!F:F,MATCH(Table225[[#This Row],[كد تفصيلي]],'مانده سوفاله'!A:A,0)),0)</f>
        <v>0</v>
      </c>
    </row>
    <row r="134" spans="1:7" customFormat="1" ht="24.75" customHeight="1" x14ac:dyDescent="0.35">
      <c r="A134" s="76">
        <v>10106</v>
      </c>
      <c r="B134" s="72" t="s">
        <v>298</v>
      </c>
      <c r="C134" s="10">
        <f>IFERROR(INDEX('حسابهای دریافتنی'!H:H,MATCH(Table225[[#This Row],[كد تفصيلي]],'حسابهای دریافتنی'!A:A,0)),0)</f>
        <v>-9134000</v>
      </c>
      <c r="D134" s="11">
        <f>IFERROR(INDEX('درجریان وصول'!F:F,MATCH(Table225[[#This Row],[كد تفصيلي]],'درجریان وصول'!A:A,0)),0)</f>
        <v>0</v>
      </c>
      <c r="E134" s="11">
        <f>IFERROR(INDEX('چکهای دریافتنی'!F:F,MATCH(Table225[[#This Row],[كد تفصيلي]],'چکهای دریافتنی'!A:A,0)),0)</f>
        <v>0</v>
      </c>
      <c r="F134" s="11">
        <f>Table225[[#This Row],[حسابهای دریافتنی]]+Table225[[#This Row],[چکهای در جریان وصول]]+Table225[[#This Row],[چکهای نزد صندوق]]</f>
        <v>-9134000</v>
      </c>
      <c r="G134" s="12">
        <f>IFERROR(INDEX('مانده سوفاله'!F:F,MATCH(Table225[[#This Row],[كد تفصيلي]],'مانده سوفاله'!A:A,0)),0)</f>
        <v>0</v>
      </c>
    </row>
    <row r="135" spans="1:7" customFormat="1" ht="24.75" customHeight="1" x14ac:dyDescent="0.35">
      <c r="A135" s="77">
        <v>30189</v>
      </c>
      <c r="B135" s="73" t="s">
        <v>458</v>
      </c>
      <c r="C135" s="10">
        <f>IFERROR(INDEX('حسابهای دریافتنی'!H:H,MATCH(Table225[[#This Row],[كد تفصيلي]],'حسابهای دریافتنی'!A:A,0)),0)</f>
        <v>20776490</v>
      </c>
      <c r="D135" s="11">
        <f>IFERROR(INDEX('درجریان وصول'!F:F,MATCH(Table225[[#This Row],[كد تفصيلي]],'درجریان وصول'!A:A,0)),0)</f>
        <v>0</v>
      </c>
      <c r="E135" s="11">
        <f>IFERROR(INDEX('چکهای دریافتنی'!F:F,MATCH(Table225[[#This Row],[كد تفصيلي]],'چکهای دریافتنی'!A:A,0)),0)</f>
        <v>0</v>
      </c>
      <c r="F135" s="11">
        <f>Table225[[#This Row],[حسابهای دریافتنی]]+Table225[[#This Row],[چکهای در جریان وصول]]+Table225[[#This Row],[چکهای نزد صندوق]]</f>
        <v>20776490</v>
      </c>
      <c r="G135" s="12">
        <f>IFERROR(INDEX('مانده سوفاله'!F:F,MATCH(Table225[[#This Row],[كد تفصيلي]],'مانده سوفاله'!A:A,0)),0)</f>
        <v>0</v>
      </c>
    </row>
    <row r="136" spans="1:7" customFormat="1" ht="24.75" customHeight="1" x14ac:dyDescent="0.35">
      <c r="A136" s="77">
        <v>10102</v>
      </c>
      <c r="B136" s="73" t="s">
        <v>282</v>
      </c>
      <c r="C136" s="10">
        <f>IFERROR(INDEX('حسابهای دریافتنی'!H:H,MATCH(Table225[[#This Row],[كد تفصيلي]],'حسابهای دریافتنی'!A:A,0)),0)</f>
        <v>-10374000</v>
      </c>
      <c r="D136" s="11">
        <f>IFERROR(INDEX('درجریان وصول'!F:F,MATCH(Table225[[#This Row],[كد تفصيلي]],'درجریان وصول'!A:A,0)),0)</f>
        <v>0</v>
      </c>
      <c r="E136" s="11">
        <f>IFERROR(INDEX('چکهای دریافتنی'!F:F,MATCH(Table225[[#This Row],[كد تفصيلي]],'چکهای دریافتنی'!A:A,0)),0)</f>
        <v>0</v>
      </c>
      <c r="F136" s="11">
        <f>Table225[[#This Row],[حسابهای دریافتنی]]+Table225[[#This Row],[چکهای در جریان وصول]]+Table225[[#This Row],[چکهای نزد صندوق]]</f>
        <v>-10374000</v>
      </c>
      <c r="G136" s="12">
        <f>IFERROR(INDEX('مانده سوفاله'!F:F,MATCH(Table225[[#This Row],[كد تفصيلي]],'مانده سوفاله'!A:A,0)),0)</f>
        <v>0</v>
      </c>
    </row>
    <row r="137" spans="1:7" customFormat="1" ht="24.75" customHeight="1" x14ac:dyDescent="0.35">
      <c r="A137" s="77">
        <v>10058</v>
      </c>
      <c r="B137" s="73" t="s">
        <v>173</v>
      </c>
      <c r="C137" s="10">
        <f>IFERROR(INDEX('حسابهای دریافتنی'!H:H,MATCH(Table225[[#This Row],[كد تفصيلي]],'حسابهای دریافتنی'!A:A,0)),0)</f>
        <v>-13650000</v>
      </c>
      <c r="D137" s="11">
        <f>IFERROR(INDEX('درجریان وصول'!F:F,MATCH(Table225[[#This Row],[كد تفصيلي]],'درجریان وصول'!A:A,0)),0)</f>
        <v>0</v>
      </c>
      <c r="E137" s="11">
        <f>IFERROR(INDEX('چکهای دریافتنی'!F:F,MATCH(Table225[[#This Row],[كد تفصيلي]],'چکهای دریافتنی'!A:A,0)),0)</f>
        <v>0</v>
      </c>
      <c r="F137" s="11">
        <f>Table225[[#This Row],[حسابهای دریافتنی]]+Table225[[#This Row],[چکهای در جریان وصول]]+Table225[[#This Row],[چکهای نزد صندوق]]</f>
        <v>-13650000</v>
      </c>
      <c r="G137" s="12">
        <f>IFERROR(INDEX('مانده سوفاله'!F:F,MATCH(Table225[[#This Row],[كد تفصيلي]],'مانده سوفاله'!A:A,0)),0)</f>
        <v>0</v>
      </c>
    </row>
    <row r="138" spans="1:7" customFormat="1" ht="24.75" customHeight="1" x14ac:dyDescent="0.35">
      <c r="A138" s="76">
        <v>10126</v>
      </c>
      <c r="B138" s="72" t="s">
        <v>370</v>
      </c>
      <c r="C138" s="10">
        <f>IFERROR(INDEX('حسابهای دریافتنی'!H:H,MATCH(Table225[[#This Row],[كد تفصيلي]],'حسابهای دریافتنی'!A:A,0)),0)</f>
        <v>12165000</v>
      </c>
      <c r="D138" s="11">
        <f>IFERROR(INDEX('درجریان وصول'!F:F,MATCH(Table225[[#This Row],[كد تفصيلي]],'درجریان وصول'!A:A,0)),0)</f>
        <v>0</v>
      </c>
      <c r="E138" s="11">
        <f>IFERROR(INDEX('چکهای دریافتنی'!F:F,MATCH(Table225[[#This Row],[كد تفصيلي]],'چکهای دریافتنی'!A:A,0)),0)</f>
        <v>0</v>
      </c>
      <c r="F138" s="11">
        <f>Table225[[#This Row],[حسابهای دریافتنی]]+Table225[[#This Row],[چکهای در جریان وصول]]+Table225[[#This Row],[چکهای نزد صندوق]]</f>
        <v>12165000</v>
      </c>
      <c r="G138" s="12">
        <f>IFERROR(INDEX('مانده سوفاله'!F:F,MATCH(Table225[[#This Row],[كد تفصيلي]],'مانده سوفاله'!A:A,0)),0)</f>
        <v>0</v>
      </c>
    </row>
    <row r="139" spans="1:7" customFormat="1" ht="24.75" customHeight="1" x14ac:dyDescent="0.35">
      <c r="A139" s="76">
        <v>30082</v>
      </c>
      <c r="B139" s="72" t="s">
        <v>127</v>
      </c>
      <c r="C139" s="10">
        <f>IFERROR(INDEX('حسابهای دریافتنی'!H:H,MATCH(Table225[[#This Row],[كد تفصيلي]],'حسابهای دریافتنی'!A:A,0)),0)</f>
        <v>-15037000</v>
      </c>
      <c r="D139" s="11">
        <f>IFERROR(INDEX('درجریان وصول'!F:F,MATCH(Table225[[#This Row],[كد تفصيلي]],'درجریان وصول'!A:A,0)),0)</f>
        <v>0</v>
      </c>
      <c r="E139" s="11">
        <f>IFERROR(INDEX('چکهای دریافتنی'!F:F,MATCH(Table225[[#This Row],[كد تفصيلي]],'چکهای دریافتنی'!A:A,0)),0)</f>
        <v>0</v>
      </c>
      <c r="F139" s="11">
        <f>Table225[[#This Row],[حسابهای دریافتنی]]+Table225[[#This Row],[چکهای در جریان وصول]]+Table225[[#This Row],[چکهای نزد صندوق]]</f>
        <v>-15037000</v>
      </c>
      <c r="G139" s="12">
        <f>IFERROR(INDEX('مانده سوفاله'!F:F,MATCH(Table225[[#This Row],[كد تفصيلي]],'مانده سوفاله'!A:A,0)),0)</f>
        <v>-16</v>
      </c>
    </row>
    <row r="140" spans="1:7" customFormat="1" ht="24.75" customHeight="1" x14ac:dyDescent="0.35">
      <c r="A140" s="76">
        <v>10128</v>
      </c>
      <c r="B140" s="72" t="s">
        <v>372</v>
      </c>
      <c r="C140" s="10">
        <f>IFERROR(INDEX('حسابهای دریافتنی'!H:H,MATCH(Table225[[#This Row],[كد تفصيلي]],'حسابهای دریافتنی'!A:A,0)),0)</f>
        <v>-45000</v>
      </c>
      <c r="D140" s="11">
        <f>IFERROR(INDEX('درجریان وصول'!F:F,MATCH(Table225[[#This Row],[كد تفصيلي]],'درجریان وصول'!A:A,0)),0)</f>
        <v>0</v>
      </c>
      <c r="E140" s="11">
        <f>IFERROR(INDEX('چکهای دریافتنی'!F:F,MATCH(Table225[[#This Row],[كد تفصيلي]],'چکهای دریافتنی'!A:A,0)),0)</f>
        <v>0</v>
      </c>
      <c r="F140" s="11">
        <f>Table225[[#This Row],[حسابهای دریافتنی]]+Table225[[#This Row],[چکهای در جریان وصول]]+Table225[[#This Row],[چکهای نزد صندوق]]</f>
        <v>-45000</v>
      </c>
      <c r="G140" s="12">
        <f>IFERROR(INDEX('مانده سوفاله'!F:F,MATCH(Table225[[#This Row],[كد تفصيلي]],'مانده سوفاله'!A:A,0)),0)</f>
        <v>6</v>
      </c>
    </row>
    <row r="141" spans="1:7" customFormat="1" ht="24.75" customHeight="1" x14ac:dyDescent="0.35">
      <c r="A141" s="77">
        <v>30034</v>
      </c>
      <c r="B141" s="73" t="s">
        <v>81</v>
      </c>
      <c r="C141" s="10">
        <f>IFERROR(INDEX('حسابهای دریافتنی'!H:H,MATCH(Table225[[#This Row],[كد تفصيلي]],'حسابهای دریافتنی'!A:A,0)),0)</f>
        <v>388329200</v>
      </c>
      <c r="D141" s="11">
        <f>IFERROR(INDEX('درجریان وصول'!F:F,MATCH(Table225[[#This Row],[كد تفصيلي]],'درجریان وصول'!A:A,0)),0)</f>
        <v>0</v>
      </c>
      <c r="E141" s="11">
        <f>IFERROR(INDEX('چکهای دریافتنی'!F:F,MATCH(Table225[[#This Row],[كد تفصيلي]],'چکهای دریافتنی'!A:A,0)),0)</f>
        <v>0</v>
      </c>
      <c r="F141" s="11">
        <f>Table225[[#This Row],[حسابهای دریافتنی]]+Table225[[#This Row],[چکهای در جریان وصول]]+Table225[[#This Row],[چکهای نزد صندوق]]</f>
        <v>388329200</v>
      </c>
      <c r="G141" s="12">
        <f>IFERROR(INDEX('مانده سوفاله'!F:F,MATCH(Table225[[#This Row],[كد تفصيلي]],'مانده سوفاله'!A:A,0)),0)</f>
        <v>2886</v>
      </c>
    </row>
    <row r="142" spans="1:7" customFormat="1" ht="24.75" customHeight="1" x14ac:dyDescent="0.35">
      <c r="A142" s="77">
        <v>30042</v>
      </c>
      <c r="B142" s="73" t="s">
        <v>89</v>
      </c>
      <c r="C142" s="10">
        <f>IFERROR(INDEX('حسابهای دریافتنی'!H:H,MATCH(Table225[[#This Row],[كد تفصيلي]],'حسابهای دریافتنی'!A:A,0)),0)</f>
        <v>-18303540</v>
      </c>
      <c r="D142" s="11">
        <f>IFERROR(INDEX('درجریان وصول'!F:F,MATCH(Table225[[#This Row],[كد تفصيلي]],'درجریان وصول'!A:A,0)),0)</f>
        <v>0</v>
      </c>
      <c r="E142" s="11">
        <f>IFERROR(INDEX('چکهای دریافتنی'!F:F,MATCH(Table225[[#This Row],[كد تفصيلي]],'چکهای دریافتنی'!A:A,0)),0)</f>
        <v>0</v>
      </c>
      <c r="F142" s="11">
        <f>Table225[[#This Row],[حسابهای دریافتنی]]+Table225[[#This Row],[چکهای در جریان وصول]]+Table225[[#This Row],[چکهای نزد صندوق]]</f>
        <v>-18303540</v>
      </c>
      <c r="G142" s="12">
        <f>IFERROR(INDEX('مانده سوفاله'!F:F,MATCH(Table225[[#This Row],[كد تفصيلي]],'مانده سوفاله'!A:A,0)),0)</f>
        <v>0</v>
      </c>
    </row>
    <row r="143" spans="1:7" customFormat="1" ht="24.75" customHeight="1" x14ac:dyDescent="0.35">
      <c r="A143" s="77">
        <v>30028</v>
      </c>
      <c r="B143" s="73" t="s">
        <v>76</v>
      </c>
      <c r="C143" s="10">
        <f>IFERROR(INDEX('حسابهای دریافتنی'!H:H,MATCH(Table225[[#This Row],[كد تفصيلي]],'حسابهای دریافتنی'!A:A,0)),0)</f>
        <v>-23665000</v>
      </c>
      <c r="D143" s="11">
        <f>IFERROR(INDEX('درجریان وصول'!F:F,MATCH(Table225[[#This Row],[كد تفصيلي]],'درجریان وصول'!A:A,0)),0)</f>
        <v>0</v>
      </c>
      <c r="E143" s="11">
        <f>IFERROR(INDEX('چکهای دریافتنی'!F:F,MATCH(Table225[[#This Row],[كد تفصيلي]],'چکهای دریافتنی'!A:A,0)),0)</f>
        <v>0</v>
      </c>
      <c r="F143" s="11">
        <f>Table225[[#This Row],[حسابهای دریافتنی]]+Table225[[#This Row],[چکهای در جریان وصول]]+Table225[[#This Row],[چکهای نزد صندوق]]</f>
        <v>-23665000</v>
      </c>
      <c r="G143" s="12">
        <f>IFERROR(INDEX('مانده سوفاله'!F:F,MATCH(Table225[[#This Row],[كد تفصيلي]],'مانده سوفاله'!A:A,0)),0)</f>
        <v>0</v>
      </c>
    </row>
    <row r="144" spans="1:7" customFormat="1" ht="24.75" customHeight="1" x14ac:dyDescent="0.35">
      <c r="A144" s="76">
        <v>30072</v>
      </c>
      <c r="B144" s="72" t="s">
        <v>117</v>
      </c>
      <c r="C144" s="10">
        <f>IFERROR(INDEX('حسابهای دریافتنی'!H:H,MATCH(Table225[[#This Row],[كد تفصيلي]],'حسابهای دریافتنی'!A:A,0)),0)</f>
        <v>-30178900</v>
      </c>
      <c r="D144" s="11">
        <f>IFERROR(INDEX('درجریان وصول'!F:F,MATCH(Table225[[#This Row],[كد تفصيلي]],'درجریان وصول'!A:A,0)),0)</f>
        <v>0</v>
      </c>
      <c r="E144" s="11">
        <f>IFERROR(INDEX('چکهای دریافتنی'!F:F,MATCH(Table225[[#This Row],[كد تفصيلي]],'چکهای دریافتنی'!A:A,0)),0)</f>
        <v>0</v>
      </c>
      <c r="F144" s="11">
        <f>Table225[[#This Row],[حسابهای دریافتنی]]+Table225[[#This Row],[چکهای در جریان وصول]]+Table225[[#This Row],[چکهای نزد صندوق]]</f>
        <v>-30178900</v>
      </c>
      <c r="G144" s="12">
        <f>IFERROR(INDEX('مانده سوفاله'!F:F,MATCH(Table225[[#This Row],[كد تفصيلي]],'مانده سوفاله'!A:A,0)),0)</f>
        <v>-79</v>
      </c>
    </row>
    <row r="145" spans="1:7" customFormat="1" ht="24.75" customHeight="1" x14ac:dyDescent="0.35">
      <c r="A145" s="76">
        <v>30098</v>
      </c>
      <c r="B145" s="72" t="s">
        <v>238</v>
      </c>
      <c r="C145" s="10">
        <f>IFERROR(INDEX('حسابهای دریافتنی'!H:H,MATCH(Table225[[#This Row],[كد تفصيلي]],'حسابهای دریافتنی'!A:A,0)),0)</f>
        <v>-45125000</v>
      </c>
      <c r="D145" s="11">
        <f>IFERROR(INDEX('درجریان وصول'!F:F,MATCH(Table225[[#This Row],[كد تفصيلي]],'درجریان وصول'!A:A,0)),0)</f>
        <v>0</v>
      </c>
      <c r="E145" s="11">
        <f>IFERROR(INDEX('چکهای دریافتنی'!F:F,MATCH(Table225[[#This Row],[كد تفصيلي]],'چکهای دریافتنی'!A:A,0)),0)</f>
        <v>0</v>
      </c>
      <c r="F145" s="11">
        <f>Table225[[#This Row],[حسابهای دریافتنی]]+Table225[[#This Row],[چکهای در جریان وصول]]+Table225[[#This Row],[چکهای نزد صندوق]]</f>
        <v>-45125000</v>
      </c>
      <c r="G145" s="12">
        <f>IFERROR(INDEX('مانده سوفاله'!F:F,MATCH(Table225[[#This Row],[كد تفصيلي]],'مانده سوفاله'!A:A,0)),0)</f>
        <v>0</v>
      </c>
    </row>
    <row r="146" spans="1:7" customFormat="1" ht="24.75" customHeight="1" x14ac:dyDescent="0.35">
      <c r="A146" s="76">
        <v>30064</v>
      </c>
      <c r="B146" s="72" t="s">
        <v>109</v>
      </c>
      <c r="C146" s="10">
        <f>IFERROR(INDEX('حسابهای دریافتنی'!H:H,MATCH(Table225[[#This Row],[كد تفصيلي]],'حسابهای دریافتنی'!A:A,0)),0)</f>
        <v>-49679500</v>
      </c>
      <c r="D146" s="11">
        <f>IFERROR(INDEX('درجریان وصول'!F:F,MATCH(Table225[[#This Row],[كد تفصيلي]],'درجریان وصول'!A:A,0)),0)</f>
        <v>0</v>
      </c>
      <c r="E146" s="11">
        <f>IFERROR(INDEX('چکهای دریافتنی'!F:F,MATCH(Table225[[#This Row],[كد تفصيلي]],'چکهای دریافتنی'!A:A,0)),0)</f>
        <v>0</v>
      </c>
      <c r="F146" s="11">
        <f>Table225[[#This Row],[حسابهای دریافتنی]]+Table225[[#This Row],[چکهای در جریان وصول]]+Table225[[#This Row],[چکهای نزد صندوق]]</f>
        <v>-49679500</v>
      </c>
      <c r="G146" s="12">
        <f>IFERROR(INDEX('مانده سوفاله'!F:F,MATCH(Table225[[#This Row],[كد تفصيلي]],'مانده سوفاله'!A:A,0)),0)</f>
        <v>0</v>
      </c>
    </row>
    <row r="147" spans="1:7" customFormat="1" ht="24.75" customHeight="1" x14ac:dyDescent="0.35">
      <c r="A147" s="77">
        <v>10123</v>
      </c>
      <c r="B147" s="73" t="s">
        <v>340</v>
      </c>
      <c r="C147" s="10">
        <f>IFERROR(INDEX('حسابهای دریافتنی'!H:H,MATCH(Table225[[#This Row],[كد تفصيلي]],'حسابهای دریافتنی'!A:A,0)),0)</f>
        <v>-50813000</v>
      </c>
      <c r="D147" s="11">
        <f>IFERROR(INDEX('درجریان وصول'!F:F,MATCH(Table225[[#This Row],[كد تفصيلي]],'درجریان وصول'!A:A,0)),0)</f>
        <v>0</v>
      </c>
      <c r="E147" s="11">
        <f>IFERROR(INDEX('چکهای دریافتنی'!F:F,MATCH(Table225[[#This Row],[كد تفصيلي]],'چکهای دریافتنی'!A:A,0)),0)</f>
        <v>0</v>
      </c>
      <c r="F147" s="11">
        <f>Table225[[#This Row],[حسابهای دریافتنی]]+Table225[[#This Row],[چکهای در جریان وصول]]+Table225[[#This Row],[چکهای نزد صندوق]]</f>
        <v>-50813000</v>
      </c>
      <c r="G147" s="12">
        <f>IFERROR(INDEX('مانده سوفاله'!F:F,MATCH(Table225[[#This Row],[كد تفصيلي]],'مانده سوفاله'!A:A,0)),0)</f>
        <v>0</v>
      </c>
    </row>
    <row r="148" spans="1:7" customFormat="1" ht="24.75" customHeight="1" x14ac:dyDescent="0.35">
      <c r="A148" s="77">
        <v>30000</v>
      </c>
      <c r="B148" s="73" t="s">
        <v>189</v>
      </c>
      <c r="C148" s="10">
        <f>IFERROR(INDEX('حسابهای دریافتنی'!H:H,MATCH(Table225[[#This Row],[كد تفصيلي]],'حسابهای دریافتنی'!A:A,0)),0)</f>
        <v>-55440000</v>
      </c>
      <c r="D148" s="11">
        <f>IFERROR(INDEX('درجریان وصول'!F:F,MATCH(Table225[[#This Row],[كد تفصيلي]],'درجریان وصول'!A:A,0)),0)</f>
        <v>0</v>
      </c>
      <c r="E148" s="11">
        <f>IFERROR(INDEX('چکهای دریافتنی'!F:F,MATCH(Table225[[#This Row],[كد تفصيلي]],'چکهای دریافتنی'!A:A,0)),0)</f>
        <v>0</v>
      </c>
      <c r="F148" s="11">
        <f>Table225[[#This Row],[حسابهای دریافتنی]]+Table225[[#This Row],[چکهای در جریان وصول]]+Table225[[#This Row],[چکهای نزد صندوق]]</f>
        <v>-55440000</v>
      </c>
      <c r="G148" s="12">
        <f>IFERROR(INDEX('مانده سوفاله'!F:F,MATCH(Table225[[#This Row],[كد تفصيلي]],'مانده سوفاله'!A:A,0)),0)</f>
        <v>0</v>
      </c>
    </row>
    <row r="149" spans="1:7" customFormat="1" ht="24.75" customHeight="1" x14ac:dyDescent="0.35">
      <c r="A149" s="77">
        <v>30133</v>
      </c>
      <c r="B149" s="73" t="s">
        <v>251</v>
      </c>
      <c r="C149" s="10">
        <f>IFERROR(INDEX('حسابهای دریافتنی'!H:H,MATCH(Table225[[#This Row],[كد تفصيلي]],'حسابهای دریافتنی'!A:A,0)),0)</f>
        <v>-66889500</v>
      </c>
      <c r="D149" s="11">
        <f>IFERROR(INDEX('درجریان وصول'!F:F,MATCH(Table225[[#This Row],[كد تفصيلي]],'درجریان وصول'!A:A,0)),0)</f>
        <v>0</v>
      </c>
      <c r="E149" s="11">
        <f>IFERROR(INDEX('چکهای دریافتنی'!F:F,MATCH(Table225[[#This Row],[كد تفصيلي]],'چکهای دریافتنی'!A:A,0)),0)</f>
        <v>0</v>
      </c>
      <c r="F149" s="11">
        <f>Table225[[#This Row],[حسابهای دریافتنی]]+Table225[[#This Row],[چکهای در جریان وصول]]+Table225[[#This Row],[چکهای نزد صندوق]]</f>
        <v>-66889500</v>
      </c>
      <c r="G149" s="12">
        <f>IFERROR(INDEX('مانده سوفاله'!F:F,MATCH(Table225[[#This Row],[كد تفصيلي]],'مانده سوفاله'!A:A,0)),0)</f>
        <v>0</v>
      </c>
    </row>
    <row r="150" spans="1:7" customFormat="1" ht="24.75" customHeight="1" x14ac:dyDescent="0.35">
      <c r="A150" s="76">
        <v>30146</v>
      </c>
      <c r="B150" s="72" t="s">
        <v>266</v>
      </c>
      <c r="C150" s="10">
        <f>IFERROR(INDEX('حسابهای دریافتنی'!H:H,MATCH(Table225[[#This Row],[كد تفصيلي]],'حسابهای دریافتنی'!A:A,0)),0)</f>
        <v>-4146512500</v>
      </c>
      <c r="D150" s="11">
        <f>IFERROR(INDEX('درجریان وصول'!F:F,MATCH(Table225[[#This Row],[كد تفصيلي]],'درجریان وصول'!A:A,0)),0)</f>
        <v>0</v>
      </c>
      <c r="E150" s="11">
        <f>IFERROR(INDEX('چکهای دریافتنی'!F:F,MATCH(Table225[[#This Row],[كد تفصيلي]],'چکهای دریافتنی'!A:A,0)),0)</f>
        <v>0</v>
      </c>
      <c r="F150" s="11">
        <f>Table225[[#This Row],[حسابهای دریافتنی]]+Table225[[#This Row],[چکهای در جریان وصول]]+Table225[[#This Row],[چکهای نزد صندوق]]</f>
        <v>-4146512500</v>
      </c>
      <c r="G150" s="12">
        <f>IFERROR(INDEX('مانده سوفاله'!F:F,MATCH(Table225[[#This Row],[كد تفصيلي]],'مانده سوفاله'!A:A,0)),0)</f>
        <v>2823</v>
      </c>
    </row>
    <row r="151" spans="1:7" customFormat="1" ht="24.75" customHeight="1" x14ac:dyDescent="0.35">
      <c r="A151" s="76">
        <v>30168</v>
      </c>
      <c r="B151" s="72" t="s">
        <v>313</v>
      </c>
      <c r="C151" s="10">
        <f>IFERROR(INDEX('حسابهای دریافتنی'!H:H,MATCH(Table225[[#This Row],[كد تفصيلي]],'حسابهای دریافتنی'!A:A,0)),0)</f>
        <v>-104220000</v>
      </c>
      <c r="D151" s="11">
        <f>IFERROR(INDEX('درجریان وصول'!F:F,MATCH(Table225[[#This Row],[كد تفصيلي]],'درجریان وصول'!A:A,0)),0)</f>
        <v>0</v>
      </c>
      <c r="E151" s="11">
        <f>IFERROR(INDEX('چکهای دریافتنی'!F:F,MATCH(Table225[[#This Row],[كد تفصيلي]],'چکهای دریافتنی'!A:A,0)),0)</f>
        <v>0</v>
      </c>
      <c r="F151" s="11">
        <f>Table225[[#This Row],[حسابهای دریافتنی]]+Table225[[#This Row],[چکهای در جریان وصول]]+Table225[[#This Row],[چکهای نزد صندوق]]</f>
        <v>-104220000</v>
      </c>
      <c r="G151" s="12">
        <f>IFERROR(INDEX('مانده سوفاله'!F:F,MATCH(Table225[[#This Row],[كد تفصيلي]],'مانده سوفاله'!A:A,0)),0)</f>
        <v>0</v>
      </c>
    </row>
    <row r="152" spans="1:7" customFormat="1" ht="24.75" customHeight="1" x14ac:dyDescent="0.35">
      <c r="A152" s="76">
        <v>10089</v>
      </c>
      <c r="B152" s="72" t="s">
        <v>255</v>
      </c>
      <c r="C152" s="10">
        <f>IFERROR(INDEX('حسابهای دریافتنی'!H:H,MATCH(Table225[[#This Row],[كد تفصيلي]],'حسابهای دریافتنی'!A:A,0)),0)</f>
        <v>-143944000</v>
      </c>
      <c r="D152" s="11">
        <f>IFERROR(INDEX('درجریان وصول'!F:F,MATCH(Table225[[#This Row],[كد تفصيلي]],'درجریان وصول'!A:A,0)),0)</f>
        <v>0</v>
      </c>
      <c r="E152" s="11">
        <f>IFERROR(INDEX('چکهای دریافتنی'!F:F,MATCH(Table225[[#This Row],[كد تفصيلي]],'چکهای دریافتنی'!A:A,0)),0)</f>
        <v>0</v>
      </c>
      <c r="F152" s="11">
        <f>Table225[[#This Row],[حسابهای دریافتنی]]+Table225[[#This Row],[چکهای در جریان وصول]]+Table225[[#This Row],[چکهای نزد صندوق]]</f>
        <v>-143944000</v>
      </c>
      <c r="G152" s="12">
        <f>IFERROR(INDEX('مانده سوفاله'!F:F,MATCH(Table225[[#This Row],[كد تفصيلي]],'مانده سوفاله'!A:A,0)),0)</f>
        <v>-948</v>
      </c>
    </row>
    <row r="153" spans="1:7" customFormat="1" ht="24.75" customHeight="1" x14ac:dyDescent="0.35">
      <c r="A153" s="76">
        <v>10093</v>
      </c>
      <c r="B153" s="72" t="s">
        <v>264</v>
      </c>
      <c r="C153" s="10">
        <f>IFERROR(INDEX('حسابهای دریافتنی'!H:H,MATCH(Table225[[#This Row],[كد تفصيلي]],'حسابهای دریافتنی'!A:A,0)),0)</f>
        <v>-2214000</v>
      </c>
      <c r="D153" s="11">
        <f>IFERROR(INDEX('درجریان وصول'!F:F,MATCH(Table225[[#This Row],[كد تفصيلي]],'درجریان وصول'!A:A,0)),0)</f>
        <v>0</v>
      </c>
      <c r="E153" s="11">
        <f>IFERROR(INDEX('چکهای دریافتنی'!F:F,MATCH(Table225[[#This Row],[كد تفصيلي]],'چکهای دریافتنی'!A:A,0)),0)</f>
        <v>0</v>
      </c>
      <c r="F153" s="11">
        <f>Table225[[#This Row],[حسابهای دریافتنی]]+Table225[[#This Row],[چکهای در جریان وصول]]+Table225[[#This Row],[چکهای نزد صندوق]]</f>
        <v>-2214000</v>
      </c>
      <c r="G153" s="12">
        <f>IFERROR(INDEX('مانده سوفاله'!F:F,MATCH(Table225[[#This Row],[كد تفصيلي]],'مانده سوفاله'!A:A,0)),0)</f>
        <v>0</v>
      </c>
    </row>
    <row r="154" spans="1:7" customFormat="1" ht="24.75" customHeight="1" x14ac:dyDescent="0.35">
      <c r="A154" s="77">
        <v>10104</v>
      </c>
      <c r="B154" s="73" t="s">
        <v>293</v>
      </c>
      <c r="C154" s="10">
        <f>IFERROR(INDEX('حسابهای دریافتنی'!H:H,MATCH(Table225[[#This Row],[كد تفصيلي]],'حسابهای دریافتنی'!A:A,0)),0)</f>
        <v>0</v>
      </c>
      <c r="D154" s="11">
        <f>IFERROR(INDEX('درجریان وصول'!F:F,MATCH(Table225[[#This Row],[كد تفصيلي]],'درجریان وصول'!A:A,0)),0)</f>
        <v>0</v>
      </c>
      <c r="E154" s="11">
        <f>IFERROR(INDEX('چکهای دریافتنی'!F:F,MATCH(Table225[[#This Row],[كد تفصيلي]],'چکهای دریافتنی'!A:A,0)),0)</f>
        <v>0</v>
      </c>
      <c r="F154" s="11">
        <f>Table225[[#This Row],[حسابهای دریافتنی]]+Table225[[#This Row],[چکهای در جریان وصول]]+Table225[[#This Row],[چکهای نزد صندوق]]</f>
        <v>0</v>
      </c>
      <c r="G154" s="12">
        <f>IFERROR(INDEX('مانده سوفاله'!F:F,MATCH(Table225[[#This Row],[كد تفصيلي]],'مانده سوفاله'!A:A,0)),0)</f>
        <v>4065</v>
      </c>
    </row>
    <row r="155" spans="1:7" customFormat="1" ht="24.75" customHeight="1" x14ac:dyDescent="0.35">
      <c r="A155" s="76">
        <v>10079</v>
      </c>
      <c r="B155" s="72" t="s">
        <v>174</v>
      </c>
      <c r="C155" s="10">
        <f>IFERROR(INDEX('حسابهای دریافتنی'!H:H,MATCH(Table225[[#This Row],[كد تفصيلي]],'حسابهای دریافتنی'!A:A,0)),0)</f>
        <v>-226593500</v>
      </c>
      <c r="D155" s="11">
        <f>IFERROR(INDEX('درجریان وصول'!F:F,MATCH(Table225[[#This Row],[كد تفصيلي]],'درجریان وصول'!A:A,0)),0)</f>
        <v>0</v>
      </c>
      <c r="E155" s="11">
        <f>IFERROR(INDEX('چکهای دریافتنی'!F:F,MATCH(Table225[[#This Row],[كد تفصيلي]],'چکهای دریافتنی'!A:A,0)),0)</f>
        <v>0</v>
      </c>
      <c r="F155" s="11">
        <f>Table225[[#This Row],[حسابهای دریافتنی]]+Table225[[#This Row],[چکهای در جریان وصول]]+Table225[[#This Row],[چکهای نزد صندوق]]</f>
        <v>-226593500</v>
      </c>
      <c r="G155" s="12">
        <f>IFERROR(INDEX('مانده سوفاله'!F:F,MATCH(Table225[[#This Row],[كد تفصيلي]],'مانده سوفاله'!A:A,0)),0)</f>
        <v>0</v>
      </c>
    </row>
    <row r="156" spans="1:7" customFormat="1" ht="24.75" customHeight="1" x14ac:dyDescent="0.35">
      <c r="A156" s="77">
        <v>30155</v>
      </c>
      <c r="B156" s="73" t="s">
        <v>289</v>
      </c>
      <c r="C156" s="10">
        <f>IFERROR(INDEX('حسابهای دریافتنی'!H:H,MATCH(Table225[[#This Row],[كد تفصيلي]],'حسابهای دریافتنی'!A:A,0)),0)</f>
        <v>-454985417</v>
      </c>
      <c r="D156" s="11">
        <f>IFERROR(INDEX('درجریان وصول'!F:F,MATCH(Table225[[#This Row],[كد تفصيلي]],'درجریان وصول'!A:A,0)),0)</f>
        <v>0</v>
      </c>
      <c r="E156" s="11">
        <f>IFERROR(INDEX('چکهای دریافتنی'!F:F,MATCH(Table225[[#This Row],[كد تفصيلي]],'چکهای دریافتنی'!A:A,0)),0)</f>
        <v>1379936267</v>
      </c>
      <c r="F156" s="11">
        <f>Table225[[#This Row],[حسابهای دریافتنی]]+Table225[[#This Row],[چکهای در جریان وصول]]+Table225[[#This Row],[چکهای نزد صندوق]]</f>
        <v>924950850</v>
      </c>
      <c r="G156" s="12">
        <f>IFERROR(INDEX('مانده سوفاله'!F:F,MATCH(Table225[[#This Row],[كد تفصيلي]],'مانده سوفاله'!A:A,0)),0)</f>
        <v>0</v>
      </c>
    </row>
    <row r="157" spans="1:7" ht="24.75" customHeight="1" x14ac:dyDescent="0.35">
      <c r="A157" s="75">
        <v>30164</v>
      </c>
      <c r="B157" s="72" t="s">
        <v>304</v>
      </c>
      <c r="C157" s="10">
        <f>IFERROR(INDEX('حسابهای دریافتنی'!H:H,MATCH(Table225[[#This Row],[كد تفصيلي]],'حسابهای دریافتنی'!A:A,0)),0)</f>
        <v>184944000</v>
      </c>
      <c r="D157" s="11">
        <f>IFERROR(INDEX('درجریان وصول'!F:F,MATCH(Table225[[#This Row],[كد تفصيلي]],'درجریان وصول'!A:A,0)),0)</f>
        <v>0</v>
      </c>
      <c r="E157" s="11">
        <f>IFERROR(INDEX('چکهای دریافتنی'!F:F,MATCH(Table225[[#This Row],[كد تفصيلي]],'چکهای دریافتنی'!A:A,0)),0)</f>
        <v>0</v>
      </c>
      <c r="F157" s="11">
        <f>Table225[[#This Row],[حسابهای دریافتنی]]+Table225[[#This Row],[چکهای در جریان وصول]]+Table225[[#This Row],[چکهای نزد صندوق]]</f>
        <v>184944000</v>
      </c>
      <c r="G157" s="12">
        <f>IFERROR(INDEX('مانده سوفاله'!F:F,MATCH(Table225[[#This Row],[كد تفصيلي]],'مانده سوفاله'!A:A,0)),0)</f>
        <v>561</v>
      </c>
    </row>
    <row r="158" spans="1:7" ht="24.75" customHeight="1" x14ac:dyDescent="0.35">
      <c r="A158" s="75">
        <v>10133</v>
      </c>
      <c r="B158" s="72" t="s">
        <v>465</v>
      </c>
      <c r="C158" s="10">
        <f>IFERROR(INDEX('حسابهای دریافتنی'!H:H,MATCH(Table225[[#This Row],[كد تفصيلي]],'حسابهای دریافتنی'!A:A,0)),0)</f>
        <v>-1249039000</v>
      </c>
      <c r="D158" s="11">
        <f>IFERROR(INDEX('درجریان وصول'!F:F,MATCH(Table225[[#This Row],[كد تفصيلي]],'درجریان وصول'!A:A,0)),0)</f>
        <v>0</v>
      </c>
      <c r="E158" s="11">
        <f>IFERROR(INDEX('چکهای دریافتنی'!F:F,MATCH(Table225[[#This Row],[كد تفصيلي]],'چکهای دریافتنی'!A:A,0)),0)</f>
        <v>0</v>
      </c>
      <c r="F158" s="11">
        <f>Table225[[#This Row],[حسابهای دریافتنی]]+Table225[[#This Row],[چکهای در جریان وصول]]+Table225[[#This Row],[چکهای نزد صندوق]]</f>
        <v>-1249039000</v>
      </c>
      <c r="G158" s="12">
        <f>IFERROR(INDEX('مانده سوفاله'!F:F,MATCH(Table225[[#This Row],[كد تفصيلي]],'مانده سوفاله'!A:A,0)),0)</f>
        <v>0</v>
      </c>
    </row>
    <row r="159" spans="1:7" ht="24.75" customHeight="1" x14ac:dyDescent="0.35">
      <c r="A159" s="74">
        <v>50008</v>
      </c>
      <c r="B159" s="73" t="s">
        <v>146</v>
      </c>
      <c r="C159" s="10">
        <f>IFERROR(INDEX('حسابهای دریافتنی'!H:H,MATCH(Table225[[#This Row],[كد تفصيلي]],'حسابهای دریافتنی'!A:A,0)),0)</f>
        <v>-406230000</v>
      </c>
      <c r="D159" s="11">
        <f>IFERROR(INDEX('درجریان وصول'!F:F,MATCH(Table225[[#This Row],[كد تفصيلي]],'درجریان وصول'!A:A,0)),0)</f>
        <v>0</v>
      </c>
      <c r="E159" s="11">
        <f>IFERROR(INDEX('چکهای دریافتنی'!F:F,MATCH(Table225[[#This Row],[كد تفصيلي]],'چکهای دریافتنی'!A:A,0)),0)</f>
        <v>0</v>
      </c>
      <c r="F159" s="11">
        <f>Table225[[#This Row],[حسابهای دریافتنی]]+Table225[[#This Row],[چکهای در جریان وصول]]+Table225[[#This Row],[چکهای نزد صندوق]]</f>
        <v>-406230000</v>
      </c>
      <c r="G159" s="12">
        <f>IFERROR(INDEX('مانده سوفاله'!F:F,MATCH(Table225[[#This Row],[كد تفصيلي]],'مانده سوفاله'!A:A,0)),0)</f>
        <v>0</v>
      </c>
    </row>
    <row r="160" spans="1:7" ht="24.75" customHeight="1" x14ac:dyDescent="0.35">
      <c r="A160" s="75">
        <v>10069</v>
      </c>
      <c r="B160" s="72" t="s">
        <v>204</v>
      </c>
      <c r="C160" s="10">
        <f>IFERROR(INDEX('حسابهای دریافتنی'!H:H,MATCH(Table225[[#This Row],[كد تفصيلي]],'حسابهای دریافتنی'!A:A,0)),0)</f>
        <v>952500</v>
      </c>
      <c r="D160" s="11">
        <f>IFERROR(INDEX('درجریان وصول'!F:F,MATCH(Table225[[#This Row],[كد تفصيلي]],'درجریان وصول'!A:A,0)),0)</f>
        <v>0</v>
      </c>
      <c r="E160" s="11">
        <f>IFERROR(INDEX('چکهای دریافتنی'!F:F,MATCH(Table225[[#This Row],[كد تفصيلي]],'چکهای دریافتنی'!A:A,0)),0)</f>
        <v>73000000</v>
      </c>
      <c r="F160" s="11">
        <f>Table225[[#This Row],[حسابهای دریافتنی]]+Table225[[#This Row],[چکهای در جریان وصول]]+Table225[[#This Row],[چکهای نزد صندوق]]</f>
        <v>73952500</v>
      </c>
      <c r="G160" s="12">
        <f>IFERROR(INDEX('مانده سوفاله'!F:F,MATCH(Table225[[#This Row],[كد تفصيلي]],'مانده سوفاله'!A:A,0)),0)</f>
        <v>339</v>
      </c>
    </row>
    <row r="161" spans="1:7" ht="24.75" customHeight="1" x14ac:dyDescent="0.35">
      <c r="A161" s="75">
        <v>30182</v>
      </c>
      <c r="B161" s="72" t="s">
        <v>342</v>
      </c>
      <c r="C161" s="10">
        <f>IFERROR(INDEX('حسابهای دریافتنی'!H:H,MATCH(Table225[[#This Row],[كد تفصيلي]],'حسابهای دریافتنی'!A:A,0)),0)</f>
        <v>-528256400</v>
      </c>
      <c r="D161" s="11">
        <f>IFERROR(INDEX('درجریان وصول'!F:F,MATCH(Table225[[#This Row],[كد تفصيلي]],'درجریان وصول'!A:A,0)),0)</f>
        <v>0</v>
      </c>
      <c r="E161" s="11">
        <f>IFERROR(INDEX('چکهای دریافتنی'!F:F,MATCH(Table225[[#This Row],[كد تفصيلي]],'چکهای دریافتنی'!A:A,0)),0)</f>
        <v>0</v>
      </c>
      <c r="F161" s="11">
        <f>Table225[[#This Row],[حسابهای دریافتنی]]+Table225[[#This Row],[چکهای در جریان وصول]]+Table225[[#This Row],[چکهای نزد صندوق]]</f>
        <v>-528256400</v>
      </c>
      <c r="G161" s="12">
        <f>IFERROR(INDEX('مانده سوفاله'!F:F,MATCH(Table225[[#This Row],[كد تفصيلي]],'مانده سوفاله'!A:A,0)),0)</f>
        <v>0</v>
      </c>
    </row>
    <row r="162" spans="1:7" ht="24.75" customHeight="1" x14ac:dyDescent="0.35">
      <c r="A162" s="74">
        <v>10056</v>
      </c>
      <c r="B162" s="73" t="s">
        <v>166</v>
      </c>
      <c r="C162" s="10">
        <f>IFERROR(INDEX('حسابهای دریافتنی'!H:H,MATCH(Table225[[#This Row],[كد تفصيلي]],'حسابهای دریافتنی'!A:A,0)),0)</f>
        <v>812653500</v>
      </c>
      <c r="D162" s="11">
        <f>IFERROR(INDEX('درجریان وصول'!F:F,MATCH(Table225[[#This Row],[كد تفصيلي]],'درجریان وصول'!A:A,0)),0)</f>
        <v>0</v>
      </c>
      <c r="E162" s="11">
        <f>IFERROR(INDEX('چکهای دریافتنی'!F:F,MATCH(Table225[[#This Row],[كد تفصيلي]],'چکهای دریافتنی'!A:A,0)),0)</f>
        <v>0</v>
      </c>
      <c r="F162" s="11">
        <f>Table225[[#This Row],[حسابهای دریافتنی]]+Table225[[#This Row],[چکهای در جریان وصول]]+Table225[[#This Row],[چکهای نزد صندوق]]</f>
        <v>812653500</v>
      </c>
      <c r="G162" s="12">
        <f>IFERROR(INDEX('مانده سوفاله'!F:F,MATCH(Table225[[#This Row],[كد تفصيلي]],'مانده سوفاله'!A:A,0)),0)</f>
        <v>0</v>
      </c>
    </row>
    <row r="163" spans="1:7" ht="24.75" customHeight="1" x14ac:dyDescent="0.35">
      <c r="A163" s="74">
        <v>30040</v>
      </c>
      <c r="B163" s="73" t="s">
        <v>87</v>
      </c>
      <c r="C163" s="10">
        <f>IFERROR(INDEX('حسابهای دریافتنی'!H:H,MATCH(Table225[[#This Row],[كد تفصيلي]],'حسابهای دریافتنی'!A:A,0)),0)</f>
        <v>0</v>
      </c>
      <c r="D163" s="11">
        <f>IFERROR(INDEX('درجریان وصول'!F:F,MATCH(Table225[[#This Row],[كد تفصيلي]],'درجریان وصول'!A:A,0)),0)</f>
        <v>0</v>
      </c>
      <c r="E163" s="11">
        <f>IFERROR(INDEX('چکهای دریافتنی'!F:F,MATCH(Table225[[#This Row],[كد تفصيلي]],'چکهای دریافتنی'!A:A,0)),0)</f>
        <v>0</v>
      </c>
      <c r="F163" s="11">
        <f>Table225[[#This Row],[حسابهای دریافتنی]]+Table225[[#This Row],[چکهای در جریان وصول]]+Table225[[#This Row],[چکهای نزد صندوق]]</f>
        <v>0</v>
      </c>
      <c r="G163" s="12">
        <f>IFERROR(INDEX('مانده سوفاله'!F:F,MATCH(Table225[[#This Row],[كد تفصيلي]],'مانده سوفاله'!A:A,0)),0)</f>
        <v>0</v>
      </c>
    </row>
    <row r="164" spans="1:7" ht="24.75" customHeight="1" x14ac:dyDescent="0.35">
      <c r="A164" s="75">
        <v>79120</v>
      </c>
      <c r="B164" s="72" t="s">
        <v>195</v>
      </c>
      <c r="C164" s="10">
        <f>IFERROR(INDEX('حسابهای دریافتنی'!H:H,MATCH(Table225[[#This Row],[كد تفصيلي]],'حسابهای دریافتنی'!A:A,0)),0)</f>
        <v>-15776160000</v>
      </c>
      <c r="D164" s="11">
        <f>IFERROR(INDEX('درجریان وصول'!F:F,MATCH(Table225[[#This Row],[كد تفصيلي]],'درجریان وصول'!A:A,0)),0)</f>
        <v>0</v>
      </c>
      <c r="E164" s="11">
        <f>IFERROR(INDEX('چکهای دریافتنی'!F:F,MATCH(Table225[[#This Row],[كد تفصيلي]],'چکهای دریافتنی'!A:A,0)),0)</f>
        <v>0</v>
      </c>
      <c r="F164" s="11">
        <f>Table225[[#This Row],[حسابهای دریافتنی]]+Table225[[#This Row],[چکهای در جریان وصول]]+Table225[[#This Row],[چکهای نزد صندوق]]</f>
        <v>-15776160000</v>
      </c>
      <c r="G164" s="12">
        <f>IFERROR(INDEX('مانده سوفاله'!F:F,MATCH(Table225[[#This Row],[كد تفصيلي]],'مانده سوفاله'!A:A,0)),0)</f>
        <v>0</v>
      </c>
    </row>
    <row r="165" spans="1:7" ht="24.75" customHeight="1" x14ac:dyDescent="0.35">
      <c r="A165" s="74">
        <v>30006</v>
      </c>
      <c r="B165" s="73" t="s">
        <v>56</v>
      </c>
      <c r="C165" s="10">
        <f>IFERROR(INDEX('حسابهای دریافتنی'!H:H,MATCH(Table225[[#This Row],[كد تفصيلي]],'حسابهای دریافتنی'!A:A,0)),0)</f>
        <v>-162677545</v>
      </c>
      <c r="D165" s="11">
        <f>IFERROR(INDEX('درجریان وصول'!F:F,MATCH(Table225[[#This Row],[كد تفصيلي]],'درجریان وصول'!A:A,0)),0)</f>
        <v>0</v>
      </c>
      <c r="E165" s="11">
        <f>IFERROR(INDEX('چکهای دریافتنی'!F:F,MATCH(Table225[[#This Row],[كد تفصيلي]],'چکهای دریافتنی'!A:A,0)),0)</f>
        <v>0</v>
      </c>
      <c r="F165" s="11">
        <f>Table225[[#This Row],[حسابهای دریافتنی]]+Table225[[#This Row],[چکهای در جریان وصول]]+Table225[[#This Row],[چکهای نزد صندوق]]</f>
        <v>-162677545</v>
      </c>
      <c r="G165" s="12">
        <f>IFERROR(INDEX('مانده سوفاله'!F:F,MATCH(Table225[[#This Row],[كد تفصيلي]],'مانده سوفاله'!A:A,0)),0)</f>
        <v>-6</v>
      </c>
    </row>
    <row r="166" spans="1:7" ht="24.75" customHeight="1" x14ac:dyDescent="0.35">
      <c r="A166" s="75">
        <v>10009</v>
      </c>
      <c r="B166" s="72" t="s">
        <v>16</v>
      </c>
      <c r="C166" s="10">
        <f>IFERROR(INDEX('حسابهای دریافتنی'!H:H,MATCH(Table225[[#This Row],[كد تفصيلي]],'حسابهای دریافتنی'!A:A,0)),0)</f>
        <v>-4260580000</v>
      </c>
      <c r="D166" s="11">
        <f>IFERROR(INDEX('درجریان وصول'!F:F,MATCH(Table225[[#This Row],[كد تفصيلي]],'درجریان وصول'!A:A,0)),0)</f>
        <v>0</v>
      </c>
      <c r="E166" s="11">
        <f>IFERROR(INDEX('چکهای دریافتنی'!F:F,MATCH(Table225[[#This Row],[كد تفصيلي]],'چکهای دریافتنی'!A:A,0)),0)</f>
        <v>1600000000</v>
      </c>
      <c r="F166" s="11">
        <f>Table225[[#This Row],[حسابهای دریافتنی]]+Table225[[#This Row],[چکهای در جریان وصول]]+Table225[[#This Row],[چکهای نزد صندوق]]</f>
        <v>-2660580000</v>
      </c>
      <c r="G166" s="12">
        <f>IFERROR(INDEX('مانده سوفاله'!F:F,MATCH(Table225[[#This Row],[كد تفصيلي]],'مانده سوفاله'!A:A,0)),0)</f>
        <v>9952</v>
      </c>
    </row>
    <row r="167" spans="1:7" ht="24.75" customHeight="1" x14ac:dyDescent="0.35">
      <c r="A167" s="75">
        <v>10019</v>
      </c>
      <c r="B167" s="72" t="s">
        <v>26</v>
      </c>
      <c r="C167" s="10">
        <f>IFERROR(INDEX('حسابهای دریافتنی'!H:H,MATCH(Table225[[#This Row],[كد تفصيلي]],'حسابهای دریافتنی'!A:A,0)),0)</f>
        <v>0</v>
      </c>
      <c r="D167" s="11">
        <f>IFERROR(INDEX('درجریان وصول'!F:F,MATCH(Table225[[#This Row],[كد تفصيلي]],'درجریان وصول'!A:A,0)),0)</f>
        <v>0</v>
      </c>
      <c r="E167" s="11">
        <f>IFERROR(INDEX('چکهای دریافتنی'!F:F,MATCH(Table225[[#This Row],[كد تفصيلي]],'چکهای دریافتنی'!A:A,0)),0)</f>
        <v>0</v>
      </c>
      <c r="F167" s="11">
        <f>Table225[[#This Row],[حسابهای دریافتنی]]+Table225[[#This Row],[چکهای در جریان وصول]]+Table225[[#This Row],[چکهای نزد صندوق]]</f>
        <v>0</v>
      </c>
      <c r="G167" s="12">
        <f>IFERROR(INDEX('مانده سوفاله'!F:F,MATCH(Table225[[#This Row],[كد تفصيلي]],'مانده سوفاله'!A:A,0)),0)</f>
        <v>285</v>
      </c>
    </row>
    <row r="168" spans="1:7" ht="24.75" customHeight="1" x14ac:dyDescent="0.35">
      <c r="A168" s="74">
        <v>30169</v>
      </c>
      <c r="B168" s="73" t="s">
        <v>318</v>
      </c>
      <c r="C168" s="10">
        <f>IFERROR(INDEX('حسابهای دریافتنی'!H:H,MATCH(Table225[[#This Row],[كد تفصيلي]],'حسابهای دریافتنی'!A:A,0)),0)</f>
        <v>-658993316</v>
      </c>
      <c r="D168" s="11">
        <f>IFERROR(INDEX('درجریان وصول'!F:F,MATCH(Table225[[#This Row],[كد تفصيلي]],'درجریان وصول'!A:A,0)),0)</f>
        <v>0</v>
      </c>
      <c r="E168" s="11">
        <f>IFERROR(INDEX('چکهای دریافتنی'!F:F,MATCH(Table225[[#This Row],[كد تفصيلي]],'چکهای دریافتنی'!A:A,0)),0)</f>
        <v>2085000000</v>
      </c>
      <c r="F168" s="11">
        <f>Table225[[#This Row],[حسابهای دریافتنی]]+Table225[[#This Row],[چکهای در جریان وصول]]+Table225[[#This Row],[چکهای نزد صندوق]]</f>
        <v>1426006684</v>
      </c>
      <c r="G168" s="12">
        <f>IFERROR(INDEX('مانده سوفاله'!F:F,MATCH(Table225[[#This Row],[كد تفصيلي]],'مانده سوفاله'!A:A,0)),0)</f>
        <v>0</v>
      </c>
    </row>
    <row r="169" spans="1:7" ht="24.75" customHeight="1" x14ac:dyDescent="0.35">
      <c r="A169" s="75">
        <v>30200</v>
      </c>
      <c r="B169" s="72" t="s">
        <v>513</v>
      </c>
      <c r="C169" s="10">
        <f>IFERROR(INDEX('حسابهای دریافتنی'!H:H,MATCH(Table225[[#This Row],[كد تفصيلي]],'حسابهای دریافتنی'!A:A,0)),0)</f>
        <v>-10000</v>
      </c>
      <c r="D169" s="11">
        <f>IFERROR(INDEX('درجریان وصول'!F:F,MATCH(Table225[[#This Row],[كد تفصيلي]],'درجریان وصول'!A:A,0)),0)</f>
        <v>0</v>
      </c>
      <c r="E169" s="11">
        <f>IFERROR(INDEX('چکهای دریافتنی'!F:F,MATCH(Table225[[#This Row],[كد تفصيلي]],'چکهای دریافتنی'!A:A,0)),0)</f>
        <v>0</v>
      </c>
      <c r="F169" s="11">
        <f>Table225[[#This Row],[حسابهای دریافتنی]]+Table225[[#This Row],[چکهای در جریان وصول]]+Table225[[#This Row],[چکهای نزد صندوق]]</f>
        <v>-10000</v>
      </c>
      <c r="G169" s="12">
        <f>IFERROR(INDEX('مانده سوفاله'!F:F,MATCH(Table225[[#This Row],[كد تفصيلي]],'مانده سوفاله'!A:A,0)),0)</f>
        <v>0</v>
      </c>
    </row>
    <row r="170" spans="1:7" ht="24.75" customHeight="1" x14ac:dyDescent="0.35">
      <c r="A170" s="74">
        <v>79043</v>
      </c>
      <c r="B170" s="73" t="s">
        <v>156</v>
      </c>
      <c r="C170" s="10">
        <f>IFERROR(INDEX('حسابهای دریافتنی'!H:H,MATCH(Table225[[#This Row],[كد تفصيلي]],'حسابهای دریافتنی'!A:A,0)),0)</f>
        <v>-16110730000</v>
      </c>
      <c r="D170" s="11">
        <f>IFERROR(INDEX('درجریان وصول'!F:F,MATCH(Table225[[#This Row],[كد تفصيلي]],'درجریان وصول'!A:A,0)),0)</f>
        <v>0</v>
      </c>
      <c r="E170" s="11">
        <f>IFERROR(INDEX('چکهای دریافتنی'!F:F,MATCH(Table225[[#This Row],[كد تفصيلي]],'چکهای دریافتنی'!A:A,0)),0)</f>
        <v>0</v>
      </c>
      <c r="F170" s="11">
        <f>Table225[[#This Row],[حسابهای دریافتنی]]+Table225[[#This Row],[چکهای در جریان وصول]]+Table225[[#This Row],[چکهای نزد صندوق]]</f>
        <v>-16110730000</v>
      </c>
      <c r="G170" s="12">
        <f>IFERROR(INDEX('مانده سوفاله'!F:F,MATCH(Table225[[#This Row],[كد تفصيلي]],'مانده سوفاله'!A:A,0)),0)</f>
        <v>0</v>
      </c>
    </row>
    <row r="171" spans="1:7" ht="24.75" customHeight="1" x14ac:dyDescent="0.35">
      <c r="A171" s="13"/>
      <c r="B171" s="14"/>
      <c r="C171" s="38">
        <f>SUBTOTAL(109,Table225[حسابهای دریافتنی])</f>
        <v>56452075599</v>
      </c>
      <c r="D171" s="38">
        <f>SUBTOTAL(109,Table225[چکهای در جریان وصول])</f>
        <v>0</v>
      </c>
      <c r="E171" s="38">
        <f>SUBTOTAL(109,Table225[چکهای نزد صندوق])</f>
        <v>62080128942</v>
      </c>
      <c r="F171" s="38"/>
      <c r="G171" s="39">
        <f>SUBTOTAL(109,Table225[مانده سوفاله])</f>
        <v>-125199.5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7"/>
  <sheetViews>
    <sheetView rightToLeft="1" zoomScaleNormal="100" workbookViewId="0">
      <selection activeCell="E12" sqref="E12"/>
    </sheetView>
  </sheetViews>
  <sheetFormatPr defaultRowHeight="14.5" x14ac:dyDescent="0.35"/>
  <cols>
    <col min="1" max="1" width="9.7265625" bestFit="1" customWidth="1"/>
    <col min="2" max="2" width="25.08984375" bestFit="1" customWidth="1"/>
    <col min="3" max="3" width="9.453125" bestFit="1" customWidth="1"/>
    <col min="4" max="4" width="16" style="1" bestFit="1" customWidth="1"/>
    <col min="5" max="5" width="15.453125" style="1" bestFit="1" customWidth="1"/>
    <col min="6" max="6" width="14" style="1" bestFit="1" customWidth="1"/>
    <col min="7" max="7" width="13.08984375" style="1" bestFit="1" customWidth="1"/>
    <col min="8" max="8" width="19.453125" style="1" customWidth="1"/>
  </cols>
  <sheetData>
    <row r="1" spans="1:8" x14ac:dyDescent="0.35">
      <c r="A1" s="32" t="s">
        <v>134</v>
      </c>
      <c r="B1" s="32" t="s">
        <v>5</v>
      </c>
      <c r="C1" s="32" t="s">
        <v>6</v>
      </c>
      <c r="D1" s="80" t="s">
        <v>135</v>
      </c>
      <c r="E1" s="80" t="s">
        <v>136</v>
      </c>
      <c r="F1" s="80" t="s">
        <v>137</v>
      </c>
      <c r="G1" s="80" t="s">
        <v>138</v>
      </c>
      <c r="H1" s="80" t="s">
        <v>478</v>
      </c>
    </row>
    <row r="2" spans="1:8" x14ac:dyDescent="0.35">
      <c r="A2" s="81">
        <v>30127</v>
      </c>
      <c r="B2" s="81" t="s">
        <v>163</v>
      </c>
      <c r="C2" s="81" t="s">
        <v>7</v>
      </c>
      <c r="D2" s="82">
        <v>520432980000</v>
      </c>
      <c r="E2" s="82">
        <v>488632870000</v>
      </c>
      <c r="F2" s="82">
        <v>31800110000</v>
      </c>
      <c r="G2" s="82">
        <v>0</v>
      </c>
      <c r="H2" s="1">
        <f>D2-E2</f>
        <v>31800110000</v>
      </c>
    </row>
    <row r="3" spans="1:8" x14ac:dyDescent="0.35">
      <c r="A3" s="83">
        <v>30068</v>
      </c>
      <c r="B3" s="83" t="s">
        <v>113</v>
      </c>
      <c r="C3" s="83" t="s">
        <v>7</v>
      </c>
      <c r="D3" s="84">
        <v>21396756135</v>
      </c>
      <c r="E3" s="84">
        <v>0</v>
      </c>
      <c r="F3" s="84">
        <v>21396756135</v>
      </c>
      <c r="G3" s="84">
        <v>0</v>
      </c>
      <c r="H3" s="1">
        <f t="shared" ref="H3:H66" si="0">D3-E3</f>
        <v>21396756135</v>
      </c>
    </row>
    <row r="4" spans="1:8" x14ac:dyDescent="0.35">
      <c r="A4" s="81">
        <v>10003</v>
      </c>
      <c r="B4" s="81" t="s">
        <v>10</v>
      </c>
      <c r="C4" s="81" t="s">
        <v>7</v>
      </c>
      <c r="D4" s="82">
        <v>218253654496</v>
      </c>
      <c r="E4" s="82">
        <v>207449386504</v>
      </c>
      <c r="F4" s="82">
        <v>10804267992</v>
      </c>
      <c r="G4" s="82">
        <v>0</v>
      </c>
      <c r="H4" s="1">
        <f t="shared" si="0"/>
        <v>10804267992</v>
      </c>
    </row>
    <row r="5" spans="1:8" x14ac:dyDescent="0.35">
      <c r="A5" s="83">
        <v>10055</v>
      </c>
      <c r="B5" s="83" t="s">
        <v>162</v>
      </c>
      <c r="C5" s="83" t="s">
        <v>7</v>
      </c>
      <c r="D5" s="84">
        <v>62830043000</v>
      </c>
      <c r="E5" s="84">
        <v>52369931675</v>
      </c>
      <c r="F5" s="84">
        <v>10460111325</v>
      </c>
      <c r="G5" s="84">
        <v>0</v>
      </c>
      <c r="H5" s="1">
        <f t="shared" si="0"/>
        <v>10460111325</v>
      </c>
    </row>
    <row r="6" spans="1:8" x14ac:dyDescent="0.35">
      <c r="A6" s="81">
        <v>30009</v>
      </c>
      <c r="B6" s="81" t="s">
        <v>164</v>
      </c>
      <c r="C6" s="81" t="s">
        <v>7</v>
      </c>
      <c r="D6" s="82">
        <v>43764579345</v>
      </c>
      <c r="E6" s="82">
        <v>35910735068</v>
      </c>
      <c r="F6" s="82">
        <v>7853844277</v>
      </c>
      <c r="G6" s="82">
        <v>0</v>
      </c>
      <c r="H6" s="1">
        <f t="shared" si="0"/>
        <v>7853844277</v>
      </c>
    </row>
    <row r="7" spans="1:8" x14ac:dyDescent="0.35">
      <c r="A7" s="83">
        <v>30004</v>
      </c>
      <c r="B7" s="83" t="s">
        <v>54</v>
      </c>
      <c r="C7" s="83" t="s">
        <v>7</v>
      </c>
      <c r="D7" s="84">
        <v>136518028000</v>
      </c>
      <c r="E7" s="84">
        <v>128919479740</v>
      </c>
      <c r="F7" s="84">
        <v>7598548260</v>
      </c>
      <c r="G7" s="84">
        <v>0</v>
      </c>
      <c r="H7" s="1">
        <f t="shared" si="0"/>
        <v>7598548260</v>
      </c>
    </row>
    <row r="8" spans="1:8" x14ac:dyDescent="0.35">
      <c r="A8" s="81">
        <v>30066</v>
      </c>
      <c r="B8" s="81" t="s">
        <v>111</v>
      </c>
      <c r="C8" s="81" t="s">
        <v>7</v>
      </c>
      <c r="D8" s="82">
        <v>187233839500</v>
      </c>
      <c r="E8" s="82">
        <v>180749692000</v>
      </c>
      <c r="F8" s="82">
        <v>6484147500</v>
      </c>
      <c r="G8" s="82">
        <v>0</v>
      </c>
      <c r="H8" s="1">
        <f t="shared" si="0"/>
        <v>6484147500</v>
      </c>
    </row>
    <row r="9" spans="1:8" x14ac:dyDescent="0.35">
      <c r="A9" s="83">
        <v>50016</v>
      </c>
      <c r="B9" s="83" t="s">
        <v>160</v>
      </c>
      <c r="C9" s="83" t="s">
        <v>7</v>
      </c>
      <c r="D9" s="84">
        <v>72723211550</v>
      </c>
      <c r="E9" s="84">
        <v>66378666000</v>
      </c>
      <c r="F9" s="84">
        <v>6344545550</v>
      </c>
      <c r="G9" s="84">
        <v>0</v>
      </c>
      <c r="H9" s="1">
        <f t="shared" si="0"/>
        <v>6344545550</v>
      </c>
    </row>
    <row r="10" spans="1:8" x14ac:dyDescent="0.35">
      <c r="A10" s="81">
        <v>10026</v>
      </c>
      <c r="B10" s="81" t="s">
        <v>32</v>
      </c>
      <c r="C10" s="81" t="s">
        <v>7</v>
      </c>
      <c r="D10" s="82">
        <v>183171994333</v>
      </c>
      <c r="E10" s="82">
        <v>179376962489</v>
      </c>
      <c r="F10" s="82">
        <v>3795031844</v>
      </c>
      <c r="G10" s="82">
        <v>0</v>
      </c>
      <c r="H10" s="1">
        <f t="shared" si="0"/>
        <v>3795031844</v>
      </c>
    </row>
    <row r="11" spans="1:8" x14ac:dyDescent="0.35">
      <c r="A11" s="83">
        <v>30196</v>
      </c>
      <c r="B11" s="83" t="s">
        <v>479</v>
      </c>
      <c r="C11" s="83" t="s">
        <v>7</v>
      </c>
      <c r="D11" s="84">
        <v>11870655000</v>
      </c>
      <c r="E11" s="84">
        <v>8277705000</v>
      </c>
      <c r="F11" s="84">
        <v>3592950000</v>
      </c>
      <c r="G11" s="84">
        <v>0</v>
      </c>
      <c r="H11" s="1">
        <f t="shared" si="0"/>
        <v>3592950000</v>
      </c>
    </row>
    <row r="12" spans="1:8" x14ac:dyDescent="0.35">
      <c r="A12" s="81">
        <v>30022</v>
      </c>
      <c r="B12" s="81" t="s">
        <v>70</v>
      </c>
      <c r="C12" s="81" t="s">
        <v>7</v>
      </c>
      <c r="D12" s="82">
        <v>67888013780</v>
      </c>
      <c r="E12" s="82">
        <v>64954243250</v>
      </c>
      <c r="F12" s="82">
        <v>2933770530</v>
      </c>
      <c r="G12" s="82">
        <v>0</v>
      </c>
      <c r="H12" s="1">
        <f t="shared" si="0"/>
        <v>2933770530</v>
      </c>
    </row>
    <row r="13" spans="1:8" x14ac:dyDescent="0.35">
      <c r="A13" s="83">
        <v>30070</v>
      </c>
      <c r="B13" s="83" t="s">
        <v>115</v>
      </c>
      <c r="C13" s="83" t="s">
        <v>7</v>
      </c>
      <c r="D13" s="84">
        <v>11571592820</v>
      </c>
      <c r="E13" s="84">
        <v>8919864000</v>
      </c>
      <c r="F13" s="84">
        <v>2651728820</v>
      </c>
      <c r="G13" s="84">
        <v>0</v>
      </c>
      <c r="H13" s="1">
        <f t="shared" si="0"/>
        <v>2651728820</v>
      </c>
    </row>
    <row r="14" spans="1:8" x14ac:dyDescent="0.35">
      <c r="A14" s="81">
        <v>30018</v>
      </c>
      <c r="B14" s="81" t="s">
        <v>66</v>
      </c>
      <c r="C14" s="81" t="s">
        <v>7</v>
      </c>
      <c r="D14" s="82">
        <v>3457893500</v>
      </c>
      <c r="E14" s="82">
        <v>1556816318</v>
      </c>
      <c r="F14" s="82">
        <v>1901077182</v>
      </c>
      <c r="G14" s="82">
        <v>0</v>
      </c>
      <c r="H14" s="1">
        <f t="shared" si="0"/>
        <v>1901077182</v>
      </c>
    </row>
    <row r="15" spans="1:8" x14ac:dyDescent="0.35">
      <c r="A15" s="83">
        <v>30014</v>
      </c>
      <c r="B15" s="83" t="s">
        <v>63</v>
      </c>
      <c r="C15" s="83" t="s">
        <v>7</v>
      </c>
      <c r="D15" s="84">
        <v>20586215000</v>
      </c>
      <c r="E15" s="84">
        <v>18823991068</v>
      </c>
      <c r="F15" s="84">
        <v>1762223932</v>
      </c>
      <c r="G15" s="84">
        <v>0</v>
      </c>
      <c r="H15" s="1">
        <f t="shared" si="0"/>
        <v>1762223932</v>
      </c>
    </row>
    <row r="16" spans="1:8" x14ac:dyDescent="0.35">
      <c r="A16" s="81">
        <v>30058</v>
      </c>
      <c r="B16" s="81" t="s">
        <v>103</v>
      </c>
      <c r="C16" s="81" t="s">
        <v>7</v>
      </c>
      <c r="D16" s="82">
        <v>28096078960</v>
      </c>
      <c r="E16" s="82">
        <v>26396033400</v>
      </c>
      <c r="F16" s="82">
        <v>1700045560</v>
      </c>
      <c r="G16" s="82">
        <v>0</v>
      </c>
      <c r="H16" s="1">
        <f t="shared" si="0"/>
        <v>1700045560</v>
      </c>
    </row>
    <row r="17" spans="1:8" x14ac:dyDescent="0.35">
      <c r="A17" s="83">
        <v>30099</v>
      </c>
      <c r="B17" s="83" t="s">
        <v>167</v>
      </c>
      <c r="C17" s="83" t="s">
        <v>7</v>
      </c>
      <c r="D17" s="84">
        <v>11395793484</v>
      </c>
      <c r="E17" s="84">
        <v>9997400000</v>
      </c>
      <c r="F17" s="84">
        <v>1398393484</v>
      </c>
      <c r="G17" s="84">
        <v>0</v>
      </c>
      <c r="H17" s="1">
        <f t="shared" si="0"/>
        <v>1398393484</v>
      </c>
    </row>
    <row r="18" spans="1:8" x14ac:dyDescent="0.35">
      <c r="A18" s="81">
        <v>10057</v>
      </c>
      <c r="B18" s="81" t="s">
        <v>225</v>
      </c>
      <c r="C18" s="81" t="s">
        <v>7</v>
      </c>
      <c r="D18" s="82">
        <v>14873125500</v>
      </c>
      <c r="E18" s="82">
        <v>13482640000</v>
      </c>
      <c r="F18" s="82">
        <v>1390485500</v>
      </c>
      <c r="G18" s="82">
        <v>0</v>
      </c>
      <c r="H18" s="1">
        <f t="shared" si="0"/>
        <v>1390485500</v>
      </c>
    </row>
    <row r="19" spans="1:8" x14ac:dyDescent="0.35">
      <c r="A19" s="83">
        <v>30081</v>
      </c>
      <c r="B19" s="83" t="s">
        <v>126</v>
      </c>
      <c r="C19" s="83" t="s">
        <v>7</v>
      </c>
      <c r="D19" s="84">
        <v>23566330373</v>
      </c>
      <c r="E19" s="84">
        <v>22417338000</v>
      </c>
      <c r="F19" s="84">
        <v>1148992373</v>
      </c>
      <c r="G19" s="84">
        <v>0</v>
      </c>
      <c r="H19" s="1">
        <f t="shared" si="0"/>
        <v>1148992373</v>
      </c>
    </row>
    <row r="20" spans="1:8" x14ac:dyDescent="0.35">
      <c r="A20" s="81">
        <v>30035</v>
      </c>
      <c r="B20" s="81" t="s">
        <v>82</v>
      </c>
      <c r="C20" s="81" t="s">
        <v>7</v>
      </c>
      <c r="D20" s="82">
        <v>1015976559</v>
      </c>
      <c r="E20" s="82">
        <v>0</v>
      </c>
      <c r="F20" s="82">
        <v>1015976559</v>
      </c>
      <c r="G20" s="82">
        <v>0</v>
      </c>
      <c r="H20" s="1">
        <f t="shared" si="0"/>
        <v>1015976559</v>
      </c>
    </row>
    <row r="21" spans="1:8" x14ac:dyDescent="0.35">
      <c r="A21" s="83">
        <v>30186</v>
      </c>
      <c r="B21" s="83" t="s">
        <v>367</v>
      </c>
      <c r="C21" s="83" t="s">
        <v>7</v>
      </c>
      <c r="D21" s="84">
        <v>21394682000</v>
      </c>
      <c r="E21" s="84">
        <v>20408257000</v>
      </c>
      <c r="F21" s="84">
        <v>986425000</v>
      </c>
      <c r="G21" s="84">
        <v>0</v>
      </c>
      <c r="H21" s="1">
        <f t="shared" si="0"/>
        <v>986425000</v>
      </c>
    </row>
    <row r="22" spans="1:8" x14ac:dyDescent="0.35">
      <c r="A22" s="81">
        <v>30017</v>
      </c>
      <c r="B22" s="81" t="s">
        <v>65</v>
      </c>
      <c r="C22" s="81" t="s">
        <v>7</v>
      </c>
      <c r="D22" s="82">
        <v>34727827500</v>
      </c>
      <c r="E22" s="82">
        <v>33822826670</v>
      </c>
      <c r="F22" s="82">
        <v>905000830</v>
      </c>
      <c r="G22" s="82">
        <v>0</v>
      </c>
      <c r="H22" s="1">
        <f t="shared" si="0"/>
        <v>905000830</v>
      </c>
    </row>
    <row r="23" spans="1:8" x14ac:dyDescent="0.35">
      <c r="A23" s="83">
        <v>30184</v>
      </c>
      <c r="B23" s="83" t="s">
        <v>368</v>
      </c>
      <c r="C23" s="83" t="s">
        <v>7</v>
      </c>
      <c r="D23" s="84">
        <v>16305805200</v>
      </c>
      <c r="E23" s="84">
        <v>15400914720</v>
      </c>
      <c r="F23" s="84">
        <v>904890480</v>
      </c>
      <c r="G23" s="84">
        <v>0</v>
      </c>
      <c r="H23" s="1">
        <f t="shared" si="0"/>
        <v>904890480</v>
      </c>
    </row>
    <row r="24" spans="1:8" x14ac:dyDescent="0.35">
      <c r="A24" s="81">
        <v>50011</v>
      </c>
      <c r="B24" s="81" t="s">
        <v>147</v>
      </c>
      <c r="C24" s="81" t="s">
        <v>7</v>
      </c>
      <c r="D24" s="82">
        <v>3030825000</v>
      </c>
      <c r="E24" s="82">
        <v>2198642587</v>
      </c>
      <c r="F24" s="82">
        <v>832182413</v>
      </c>
      <c r="G24" s="82">
        <v>0</v>
      </c>
      <c r="H24" s="1">
        <f t="shared" si="0"/>
        <v>832182413</v>
      </c>
    </row>
    <row r="25" spans="1:8" x14ac:dyDescent="0.35">
      <c r="A25" s="83">
        <v>30019</v>
      </c>
      <c r="B25" s="83" t="s">
        <v>67</v>
      </c>
      <c r="C25" s="83" t="s">
        <v>7</v>
      </c>
      <c r="D25" s="84">
        <v>7299356340</v>
      </c>
      <c r="E25" s="84">
        <v>6475871500</v>
      </c>
      <c r="F25" s="84">
        <v>823484840</v>
      </c>
      <c r="G25" s="84">
        <v>0</v>
      </c>
      <c r="H25" s="1">
        <f t="shared" si="0"/>
        <v>823484840</v>
      </c>
    </row>
    <row r="26" spans="1:8" x14ac:dyDescent="0.35">
      <c r="A26" s="81">
        <v>10056</v>
      </c>
      <c r="B26" s="81" t="s">
        <v>166</v>
      </c>
      <c r="C26" s="81" t="s">
        <v>7</v>
      </c>
      <c r="D26" s="82">
        <v>27463362500</v>
      </c>
      <c r="E26" s="82">
        <v>26650709000</v>
      </c>
      <c r="F26" s="82">
        <v>812653500</v>
      </c>
      <c r="G26" s="82">
        <v>0</v>
      </c>
      <c r="H26" s="1">
        <f t="shared" si="0"/>
        <v>812653500</v>
      </c>
    </row>
    <row r="27" spans="1:8" x14ac:dyDescent="0.35">
      <c r="A27" s="83">
        <v>10127</v>
      </c>
      <c r="B27" s="83" t="s">
        <v>468</v>
      </c>
      <c r="C27" s="83" t="s">
        <v>7</v>
      </c>
      <c r="D27" s="84">
        <v>9304112000</v>
      </c>
      <c r="E27" s="84">
        <v>8500384000</v>
      </c>
      <c r="F27" s="84">
        <v>803728000</v>
      </c>
      <c r="G27" s="84">
        <v>0</v>
      </c>
      <c r="H27" s="1">
        <f t="shared" si="0"/>
        <v>803728000</v>
      </c>
    </row>
    <row r="28" spans="1:8" x14ac:dyDescent="0.35">
      <c r="A28" s="81">
        <v>30191</v>
      </c>
      <c r="B28" s="81" t="s">
        <v>452</v>
      </c>
      <c r="C28" s="81" t="s">
        <v>7</v>
      </c>
      <c r="D28" s="82">
        <v>5295970500</v>
      </c>
      <c r="E28" s="82">
        <v>4503037500</v>
      </c>
      <c r="F28" s="82">
        <v>792933000</v>
      </c>
      <c r="G28" s="82">
        <v>0</v>
      </c>
      <c r="H28" s="1">
        <f t="shared" si="0"/>
        <v>792933000</v>
      </c>
    </row>
    <row r="29" spans="1:8" x14ac:dyDescent="0.35">
      <c r="A29" s="83">
        <v>30003</v>
      </c>
      <c r="B29" s="83" t="s">
        <v>53</v>
      </c>
      <c r="C29" s="83" t="s">
        <v>7</v>
      </c>
      <c r="D29" s="84">
        <v>31728363100</v>
      </c>
      <c r="E29" s="84">
        <v>30973597200</v>
      </c>
      <c r="F29" s="84">
        <v>754765900</v>
      </c>
      <c r="G29" s="84">
        <v>0</v>
      </c>
      <c r="H29" s="1">
        <f t="shared" si="0"/>
        <v>754765900</v>
      </c>
    </row>
    <row r="30" spans="1:8" x14ac:dyDescent="0.35">
      <c r="A30" s="81">
        <v>10008</v>
      </c>
      <c r="B30" s="81" t="s">
        <v>15</v>
      </c>
      <c r="C30" s="81" t="s">
        <v>7</v>
      </c>
      <c r="D30" s="82">
        <v>597342000</v>
      </c>
      <c r="E30" s="82">
        <v>0</v>
      </c>
      <c r="F30" s="82">
        <v>597342000</v>
      </c>
      <c r="G30" s="82">
        <v>0</v>
      </c>
      <c r="H30" s="1">
        <f t="shared" si="0"/>
        <v>597342000</v>
      </c>
    </row>
    <row r="31" spans="1:8" x14ac:dyDescent="0.35">
      <c r="A31" s="83">
        <v>30140</v>
      </c>
      <c r="B31" s="83" t="s">
        <v>259</v>
      </c>
      <c r="C31" s="83" t="s">
        <v>7</v>
      </c>
      <c r="D31" s="84">
        <v>4425760500</v>
      </c>
      <c r="E31" s="84">
        <v>3872032300</v>
      </c>
      <c r="F31" s="84">
        <v>553728200</v>
      </c>
      <c r="G31" s="84">
        <v>0</v>
      </c>
      <c r="H31" s="1">
        <f t="shared" si="0"/>
        <v>553728200</v>
      </c>
    </row>
    <row r="32" spans="1:8" x14ac:dyDescent="0.35">
      <c r="A32" s="81">
        <v>10070</v>
      </c>
      <c r="B32" s="81" t="s">
        <v>230</v>
      </c>
      <c r="C32" s="81" t="s">
        <v>7</v>
      </c>
      <c r="D32" s="82">
        <v>7341152500</v>
      </c>
      <c r="E32" s="82">
        <v>6833000000</v>
      </c>
      <c r="F32" s="82">
        <v>508152500</v>
      </c>
      <c r="G32" s="82">
        <v>0</v>
      </c>
      <c r="H32" s="1">
        <f t="shared" si="0"/>
        <v>508152500</v>
      </c>
    </row>
    <row r="33" spans="1:8" x14ac:dyDescent="0.35">
      <c r="A33" s="83">
        <v>30034</v>
      </c>
      <c r="B33" s="83" t="s">
        <v>81</v>
      </c>
      <c r="C33" s="83" t="s">
        <v>7</v>
      </c>
      <c r="D33" s="84">
        <v>406215000</v>
      </c>
      <c r="E33" s="84">
        <v>17885800</v>
      </c>
      <c r="F33" s="84">
        <v>388329200</v>
      </c>
      <c r="G33" s="84">
        <v>0</v>
      </c>
      <c r="H33" s="1">
        <f t="shared" si="0"/>
        <v>388329200</v>
      </c>
    </row>
    <row r="34" spans="1:8" x14ac:dyDescent="0.35">
      <c r="A34" s="81">
        <v>30069</v>
      </c>
      <c r="B34" s="81" t="s">
        <v>114</v>
      </c>
      <c r="C34" s="81" t="s">
        <v>7</v>
      </c>
      <c r="D34" s="82">
        <v>2002009400</v>
      </c>
      <c r="E34" s="82">
        <v>1624100000</v>
      </c>
      <c r="F34" s="82">
        <v>377909400</v>
      </c>
      <c r="G34" s="82">
        <v>0</v>
      </c>
      <c r="H34" s="1">
        <f t="shared" si="0"/>
        <v>377909400</v>
      </c>
    </row>
    <row r="35" spans="1:8" x14ac:dyDescent="0.35">
      <c r="A35" s="83">
        <v>10084</v>
      </c>
      <c r="B35" s="83" t="s">
        <v>217</v>
      </c>
      <c r="C35" s="83" t="s">
        <v>7</v>
      </c>
      <c r="D35" s="84">
        <v>7550451000</v>
      </c>
      <c r="E35" s="84">
        <v>7192358190</v>
      </c>
      <c r="F35" s="84">
        <v>358092810</v>
      </c>
      <c r="G35" s="84">
        <v>0</v>
      </c>
      <c r="H35" s="1">
        <f t="shared" si="0"/>
        <v>358092810</v>
      </c>
    </row>
    <row r="36" spans="1:8" x14ac:dyDescent="0.35">
      <c r="A36" s="81">
        <v>30187</v>
      </c>
      <c r="B36" s="81" t="s">
        <v>369</v>
      </c>
      <c r="C36" s="81" t="s">
        <v>7</v>
      </c>
      <c r="D36" s="82">
        <v>21659943000</v>
      </c>
      <c r="E36" s="82">
        <v>21322117500</v>
      </c>
      <c r="F36" s="82">
        <v>337825500</v>
      </c>
      <c r="G36" s="82">
        <v>0</v>
      </c>
      <c r="H36" s="1">
        <f t="shared" si="0"/>
        <v>337825500</v>
      </c>
    </row>
    <row r="37" spans="1:8" x14ac:dyDescent="0.35">
      <c r="A37" s="83">
        <v>30190</v>
      </c>
      <c r="B37" s="83" t="s">
        <v>451</v>
      </c>
      <c r="C37" s="83" t="s">
        <v>7</v>
      </c>
      <c r="D37" s="84">
        <v>6779084960</v>
      </c>
      <c r="E37" s="84">
        <v>6450607440</v>
      </c>
      <c r="F37" s="84">
        <v>328477520</v>
      </c>
      <c r="G37" s="84">
        <v>0</v>
      </c>
      <c r="H37" s="1">
        <f t="shared" si="0"/>
        <v>328477520</v>
      </c>
    </row>
    <row r="38" spans="1:8" x14ac:dyDescent="0.35">
      <c r="A38" s="81">
        <v>10097</v>
      </c>
      <c r="B38" s="81" t="s">
        <v>270</v>
      </c>
      <c r="C38" s="81" t="s">
        <v>7</v>
      </c>
      <c r="D38" s="82">
        <v>21315652500</v>
      </c>
      <c r="E38" s="82">
        <v>21045010000</v>
      </c>
      <c r="F38" s="82">
        <v>270642500</v>
      </c>
      <c r="G38" s="82">
        <v>0</v>
      </c>
      <c r="H38" s="1">
        <f t="shared" si="0"/>
        <v>270642500</v>
      </c>
    </row>
    <row r="39" spans="1:8" x14ac:dyDescent="0.35">
      <c r="A39" s="83">
        <v>30162</v>
      </c>
      <c r="B39" s="83" t="s">
        <v>301</v>
      </c>
      <c r="C39" s="83" t="s">
        <v>7</v>
      </c>
      <c r="D39" s="84">
        <v>30836520500</v>
      </c>
      <c r="E39" s="84">
        <v>30631630265</v>
      </c>
      <c r="F39" s="84">
        <v>204890235</v>
      </c>
      <c r="G39" s="84">
        <v>0</v>
      </c>
      <c r="H39" s="1">
        <f t="shared" si="0"/>
        <v>204890235</v>
      </c>
    </row>
    <row r="40" spans="1:8" x14ac:dyDescent="0.35">
      <c r="A40" s="81">
        <v>30101</v>
      </c>
      <c r="B40" s="81" t="s">
        <v>196</v>
      </c>
      <c r="C40" s="81" t="s">
        <v>7</v>
      </c>
      <c r="D40" s="82">
        <v>1161336095</v>
      </c>
      <c r="E40" s="82">
        <v>958000000</v>
      </c>
      <c r="F40" s="82">
        <v>203336095</v>
      </c>
      <c r="G40" s="82">
        <v>0</v>
      </c>
      <c r="H40" s="1">
        <f t="shared" si="0"/>
        <v>203336095</v>
      </c>
    </row>
    <row r="41" spans="1:8" x14ac:dyDescent="0.35">
      <c r="A41" s="83">
        <v>30086</v>
      </c>
      <c r="B41" s="83" t="s">
        <v>131</v>
      </c>
      <c r="C41" s="83" t="s">
        <v>7</v>
      </c>
      <c r="D41" s="84">
        <v>187376603</v>
      </c>
      <c r="E41" s="84">
        <v>0</v>
      </c>
      <c r="F41" s="84">
        <v>187376603</v>
      </c>
      <c r="G41" s="84">
        <v>0</v>
      </c>
      <c r="H41" s="1">
        <f t="shared" si="0"/>
        <v>187376603</v>
      </c>
    </row>
    <row r="42" spans="1:8" x14ac:dyDescent="0.35">
      <c r="A42" s="81">
        <v>30164</v>
      </c>
      <c r="B42" s="81" t="s">
        <v>304</v>
      </c>
      <c r="C42" s="81" t="s">
        <v>7</v>
      </c>
      <c r="D42" s="82">
        <v>1293175000</v>
      </c>
      <c r="E42" s="82">
        <v>1108231000</v>
      </c>
      <c r="F42" s="82">
        <v>184944000</v>
      </c>
      <c r="G42" s="82">
        <v>0</v>
      </c>
      <c r="H42" s="1">
        <f t="shared" si="0"/>
        <v>184944000</v>
      </c>
    </row>
    <row r="43" spans="1:8" x14ac:dyDescent="0.35">
      <c r="A43" s="83">
        <v>30001</v>
      </c>
      <c r="B43" s="83" t="s">
        <v>190</v>
      </c>
      <c r="C43" s="83" t="s">
        <v>7</v>
      </c>
      <c r="D43" s="84">
        <v>519647176</v>
      </c>
      <c r="E43" s="84">
        <v>400000000</v>
      </c>
      <c r="F43" s="84">
        <v>119647176</v>
      </c>
      <c r="G43" s="84">
        <v>0</v>
      </c>
      <c r="H43" s="1">
        <f t="shared" si="0"/>
        <v>119647176</v>
      </c>
    </row>
    <row r="44" spans="1:8" x14ac:dyDescent="0.35">
      <c r="A44" s="81">
        <v>10141</v>
      </c>
      <c r="B44" s="81" t="s">
        <v>534</v>
      </c>
      <c r="C44" s="81" t="s">
        <v>7</v>
      </c>
      <c r="D44" s="82">
        <v>183885000</v>
      </c>
      <c r="E44" s="82">
        <v>67375000</v>
      </c>
      <c r="F44" s="82">
        <v>116510000</v>
      </c>
      <c r="G44" s="82">
        <v>0</v>
      </c>
      <c r="H44" s="1">
        <f t="shared" si="0"/>
        <v>116510000</v>
      </c>
    </row>
    <row r="45" spans="1:8" x14ac:dyDescent="0.35">
      <c r="A45" s="83">
        <v>10018</v>
      </c>
      <c r="B45" s="83" t="s">
        <v>25</v>
      </c>
      <c r="C45" s="83" t="s">
        <v>7</v>
      </c>
      <c r="D45" s="84">
        <v>3750248000</v>
      </c>
      <c r="E45" s="84">
        <v>3654966000</v>
      </c>
      <c r="F45" s="84">
        <v>95282000</v>
      </c>
      <c r="G45" s="84">
        <v>0</v>
      </c>
      <c r="H45" s="1">
        <f t="shared" si="0"/>
        <v>95282000</v>
      </c>
    </row>
    <row r="46" spans="1:8" x14ac:dyDescent="0.35">
      <c r="A46" s="81">
        <v>10091</v>
      </c>
      <c r="B46" s="81" t="s">
        <v>258</v>
      </c>
      <c r="C46" s="81" t="s">
        <v>7</v>
      </c>
      <c r="D46" s="82">
        <v>9417047500</v>
      </c>
      <c r="E46" s="82">
        <v>9357726000</v>
      </c>
      <c r="F46" s="82">
        <v>59321500</v>
      </c>
      <c r="G46" s="82">
        <v>0</v>
      </c>
      <c r="H46" s="1">
        <f t="shared" si="0"/>
        <v>59321500</v>
      </c>
    </row>
    <row r="47" spans="1:8" x14ac:dyDescent="0.35">
      <c r="A47" s="83">
        <v>10020</v>
      </c>
      <c r="B47" s="83" t="s">
        <v>27</v>
      </c>
      <c r="C47" s="83" t="s">
        <v>7</v>
      </c>
      <c r="D47" s="84">
        <v>10070400500</v>
      </c>
      <c r="E47" s="84">
        <v>10012400537</v>
      </c>
      <c r="F47" s="84">
        <v>57999963</v>
      </c>
      <c r="G47" s="84">
        <v>0</v>
      </c>
      <c r="H47" s="1">
        <f t="shared" si="0"/>
        <v>57999963</v>
      </c>
    </row>
    <row r="48" spans="1:8" x14ac:dyDescent="0.35">
      <c r="A48" s="81">
        <v>10096</v>
      </c>
      <c r="B48" s="81" t="s">
        <v>271</v>
      </c>
      <c r="C48" s="81" t="s">
        <v>7</v>
      </c>
      <c r="D48" s="82">
        <v>36455500</v>
      </c>
      <c r="E48" s="82">
        <v>0</v>
      </c>
      <c r="F48" s="82">
        <v>36455500</v>
      </c>
      <c r="G48" s="82">
        <v>0</v>
      </c>
      <c r="H48" s="1">
        <f t="shared" si="0"/>
        <v>36455500</v>
      </c>
    </row>
    <row r="49" spans="1:8" x14ac:dyDescent="0.35">
      <c r="A49" s="83">
        <v>30025</v>
      </c>
      <c r="B49" s="83" t="s">
        <v>73</v>
      </c>
      <c r="C49" s="83" t="s">
        <v>7</v>
      </c>
      <c r="D49" s="84">
        <v>35598920</v>
      </c>
      <c r="E49" s="84">
        <v>0</v>
      </c>
      <c r="F49" s="84">
        <v>35598920</v>
      </c>
      <c r="G49" s="84">
        <v>0</v>
      </c>
      <c r="H49" s="1">
        <f t="shared" si="0"/>
        <v>35598920</v>
      </c>
    </row>
    <row r="50" spans="1:8" x14ac:dyDescent="0.35">
      <c r="A50" s="81">
        <v>30005</v>
      </c>
      <c r="B50" s="81" t="s">
        <v>55</v>
      </c>
      <c r="C50" s="81" t="s">
        <v>7</v>
      </c>
      <c r="D50" s="82">
        <v>4373838529</v>
      </c>
      <c r="E50" s="82">
        <v>4338470320</v>
      </c>
      <c r="F50" s="82">
        <v>35368209</v>
      </c>
      <c r="G50" s="82">
        <v>0</v>
      </c>
      <c r="H50" s="1">
        <f t="shared" si="0"/>
        <v>35368209</v>
      </c>
    </row>
    <row r="51" spans="1:8" x14ac:dyDescent="0.35">
      <c r="A51" s="83">
        <v>10027</v>
      </c>
      <c r="B51" s="83" t="s">
        <v>33</v>
      </c>
      <c r="C51" s="83" t="s">
        <v>7</v>
      </c>
      <c r="D51" s="84">
        <v>8710825000</v>
      </c>
      <c r="E51" s="84">
        <v>8677746660</v>
      </c>
      <c r="F51" s="84">
        <v>33078340</v>
      </c>
      <c r="G51" s="84">
        <v>0</v>
      </c>
      <c r="H51" s="1">
        <f t="shared" si="0"/>
        <v>33078340</v>
      </c>
    </row>
    <row r="52" spans="1:8" x14ac:dyDescent="0.35">
      <c r="A52" s="81">
        <v>30045</v>
      </c>
      <c r="B52" s="81" t="s">
        <v>92</v>
      </c>
      <c r="C52" s="81" t="s">
        <v>7</v>
      </c>
      <c r="D52" s="82">
        <v>24352000</v>
      </c>
      <c r="E52" s="82">
        <v>0</v>
      </c>
      <c r="F52" s="82">
        <v>24352000</v>
      </c>
      <c r="G52" s="82">
        <v>0</v>
      </c>
      <c r="H52" s="1">
        <f t="shared" si="0"/>
        <v>24352000</v>
      </c>
    </row>
    <row r="53" spans="1:8" x14ac:dyDescent="0.35">
      <c r="A53" s="83">
        <v>30189</v>
      </c>
      <c r="B53" s="83" t="s">
        <v>453</v>
      </c>
      <c r="C53" s="83" t="s">
        <v>7</v>
      </c>
      <c r="D53" s="84">
        <v>11127794740</v>
      </c>
      <c r="E53" s="84">
        <v>11107018250</v>
      </c>
      <c r="F53" s="84">
        <v>20776490</v>
      </c>
      <c r="G53" s="84">
        <v>0</v>
      </c>
      <c r="H53" s="1">
        <f t="shared" si="0"/>
        <v>20776490</v>
      </c>
    </row>
    <row r="54" spans="1:8" x14ac:dyDescent="0.35">
      <c r="A54" s="81">
        <v>30024</v>
      </c>
      <c r="B54" s="81" t="s">
        <v>72</v>
      </c>
      <c r="C54" s="81" t="s">
        <v>7</v>
      </c>
      <c r="D54" s="82">
        <v>4030375000</v>
      </c>
      <c r="E54" s="82">
        <v>4014240000</v>
      </c>
      <c r="F54" s="82">
        <v>16135000</v>
      </c>
      <c r="G54" s="82">
        <v>0</v>
      </c>
      <c r="H54" s="1">
        <f t="shared" si="0"/>
        <v>16135000</v>
      </c>
    </row>
    <row r="55" spans="1:8" x14ac:dyDescent="0.35">
      <c r="A55" s="83">
        <v>30008</v>
      </c>
      <c r="B55" s="83" t="s">
        <v>58</v>
      </c>
      <c r="C55" s="83" t="s">
        <v>7</v>
      </c>
      <c r="D55" s="84">
        <v>15520000</v>
      </c>
      <c r="E55" s="84">
        <v>0</v>
      </c>
      <c r="F55" s="84">
        <v>15520000</v>
      </c>
      <c r="G55" s="84">
        <v>0</v>
      </c>
      <c r="H55" s="1">
        <f t="shared" si="0"/>
        <v>15520000</v>
      </c>
    </row>
    <row r="56" spans="1:8" x14ac:dyDescent="0.35">
      <c r="A56" s="81">
        <v>10007</v>
      </c>
      <c r="B56" s="81" t="s">
        <v>14</v>
      </c>
      <c r="C56" s="81" t="s">
        <v>7</v>
      </c>
      <c r="D56" s="82">
        <v>12770000</v>
      </c>
      <c r="E56" s="82">
        <v>0</v>
      </c>
      <c r="F56" s="82">
        <v>12770000</v>
      </c>
      <c r="G56" s="82">
        <v>0</v>
      </c>
      <c r="H56" s="1">
        <f t="shared" si="0"/>
        <v>12770000</v>
      </c>
    </row>
    <row r="57" spans="1:8" x14ac:dyDescent="0.35">
      <c r="A57" s="83">
        <v>10126</v>
      </c>
      <c r="B57" s="83" t="s">
        <v>370</v>
      </c>
      <c r="C57" s="83" t="s">
        <v>7</v>
      </c>
      <c r="D57" s="84">
        <v>4376300500</v>
      </c>
      <c r="E57" s="84">
        <v>4364135500</v>
      </c>
      <c r="F57" s="84">
        <v>12165000</v>
      </c>
      <c r="G57" s="84">
        <v>0</v>
      </c>
      <c r="H57" s="1">
        <f t="shared" si="0"/>
        <v>12165000</v>
      </c>
    </row>
    <row r="58" spans="1:8" x14ac:dyDescent="0.35">
      <c r="A58" s="81">
        <v>10105</v>
      </c>
      <c r="B58" s="81" t="s">
        <v>294</v>
      </c>
      <c r="C58" s="81" t="s">
        <v>7</v>
      </c>
      <c r="D58" s="82">
        <v>12442404000</v>
      </c>
      <c r="E58" s="82">
        <v>12434774000</v>
      </c>
      <c r="F58" s="82">
        <v>7630000</v>
      </c>
      <c r="G58" s="82">
        <v>0</v>
      </c>
      <c r="H58" s="1">
        <f t="shared" si="0"/>
        <v>7630000</v>
      </c>
    </row>
    <row r="59" spans="1:8" x14ac:dyDescent="0.35">
      <c r="A59" s="83">
        <v>30145</v>
      </c>
      <c r="B59" s="83" t="s">
        <v>265</v>
      </c>
      <c r="C59" s="83" t="s">
        <v>7</v>
      </c>
      <c r="D59" s="84">
        <v>6442500</v>
      </c>
      <c r="E59" s="84">
        <v>0</v>
      </c>
      <c r="F59" s="84">
        <v>6442500</v>
      </c>
      <c r="G59" s="84">
        <v>0</v>
      </c>
      <c r="H59" s="1">
        <f t="shared" si="0"/>
        <v>6442500</v>
      </c>
    </row>
    <row r="60" spans="1:8" x14ac:dyDescent="0.35">
      <c r="A60" s="81">
        <v>30047</v>
      </c>
      <c r="B60" s="81" t="s">
        <v>94</v>
      </c>
      <c r="C60" s="81" t="s">
        <v>7</v>
      </c>
      <c r="D60" s="82">
        <v>5794900</v>
      </c>
      <c r="E60" s="82">
        <v>0</v>
      </c>
      <c r="F60" s="82">
        <v>5794900</v>
      </c>
      <c r="G60" s="82">
        <v>0</v>
      </c>
      <c r="H60" s="1">
        <f t="shared" si="0"/>
        <v>5794900</v>
      </c>
    </row>
    <row r="61" spans="1:8" x14ac:dyDescent="0.35">
      <c r="A61" s="83">
        <v>30026</v>
      </c>
      <c r="B61" s="83" t="s">
        <v>74</v>
      </c>
      <c r="C61" s="83" t="s">
        <v>7</v>
      </c>
      <c r="D61" s="84">
        <v>2087178939</v>
      </c>
      <c r="E61" s="84">
        <v>2081489500</v>
      </c>
      <c r="F61" s="84">
        <v>5689439</v>
      </c>
      <c r="G61" s="84">
        <v>0</v>
      </c>
      <c r="H61" s="1">
        <f t="shared" si="0"/>
        <v>5689439</v>
      </c>
    </row>
    <row r="62" spans="1:8" x14ac:dyDescent="0.35">
      <c r="A62" s="81">
        <v>30011</v>
      </c>
      <c r="B62" s="81" t="s">
        <v>60</v>
      </c>
      <c r="C62" s="81" t="s">
        <v>7</v>
      </c>
      <c r="D62" s="82">
        <v>5595200</v>
      </c>
      <c r="E62" s="82">
        <v>0</v>
      </c>
      <c r="F62" s="82">
        <v>5595200</v>
      </c>
      <c r="G62" s="82">
        <v>0</v>
      </c>
      <c r="H62" s="1">
        <f t="shared" si="0"/>
        <v>5595200</v>
      </c>
    </row>
    <row r="63" spans="1:8" x14ac:dyDescent="0.35">
      <c r="A63" s="83">
        <v>10080</v>
      </c>
      <c r="B63" s="83" t="s">
        <v>214</v>
      </c>
      <c r="C63" s="83" t="s">
        <v>7</v>
      </c>
      <c r="D63" s="84">
        <v>5395000</v>
      </c>
      <c r="E63" s="84">
        <v>0</v>
      </c>
      <c r="F63" s="84">
        <v>5395000</v>
      </c>
      <c r="G63" s="84">
        <v>0</v>
      </c>
      <c r="H63" s="1">
        <f t="shared" si="0"/>
        <v>5395000</v>
      </c>
    </row>
    <row r="64" spans="1:8" x14ac:dyDescent="0.35">
      <c r="A64" s="81">
        <v>30114</v>
      </c>
      <c r="B64" s="81" t="s">
        <v>175</v>
      </c>
      <c r="C64" s="81" t="s">
        <v>7</v>
      </c>
      <c r="D64" s="82">
        <v>5385600</v>
      </c>
      <c r="E64" s="82">
        <v>0</v>
      </c>
      <c r="F64" s="82">
        <v>5385600</v>
      </c>
      <c r="G64" s="82">
        <v>0</v>
      </c>
      <c r="H64" s="1">
        <f t="shared" si="0"/>
        <v>5385600</v>
      </c>
    </row>
    <row r="65" spans="1:8" x14ac:dyDescent="0.35">
      <c r="A65" s="83">
        <v>30123</v>
      </c>
      <c r="B65" s="83" t="s">
        <v>208</v>
      </c>
      <c r="C65" s="83" t="s">
        <v>7</v>
      </c>
      <c r="D65" s="84">
        <v>4138250</v>
      </c>
      <c r="E65" s="84">
        <v>0</v>
      </c>
      <c r="F65" s="84">
        <v>4138250</v>
      </c>
      <c r="G65" s="84">
        <v>0</v>
      </c>
      <c r="H65" s="1">
        <f t="shared" si="0"/>
        <v>4138250</v>
      </c>
    </row>
    <row r="66" spans="1:8" x14ac:dyDescent="0.35">
      <c r="A66" s="81">
        <v>10116</v>
      </c>
      <c r="B66" s="81" t="s">
        <v>321</v>
      </c>
      <c r="C66" s="81" t="s">
        <v>7</v>
      </c>
      <c r="D66" s="82">
        <v>251145000</v>
      </c>
      <c r="E66" s="82">
        <v>247252500</v>
      </c>
      <c r="F66" s="82">
        <v>3892500</v>
      </c>
      <c r="G66" s="82">
        <v>0</v>
      </c>
      <c r="H66" s="1">
        <f t="shared" si="0"/>
        <v>3892500</v>
      </c>
    </row>
    <row r="67" spans="1:8" x14ac:dyDescent="0.35">
      <c r="A67" s="83">
        <v>10142</v>
      </c>
      <c r="B67" s="83" t="s">
        <v>536</v>
      </c>
      <c r="C67" s="83" t="s">
        <v>7</v>
      </c>
      <c r="D67" s="84">
        <v>1754502000</v>
      </c>
      <c r="E67" s="84">
        <v>1751000000</v>
      </c>
      <c r="F67" s="84">
        <v>3502000</v>
      </c>
      <c r="G67" s="84">
        <v>0</v>
      </c>
      <c r="H67" s="1">
        <f t="shared" ref="H67:H130" si="1">D67-E67</f>
        <v>3502000</v>
      </c>
    </row>
    <row r="68" spans="1:8" x14ac:dyDescent="0.35">
      <c r="A68" s="81">
        <v>10122</v>
      </c>
      <c r="B68" s="81" t="s">
        <v>339</v>
      </c>
      <c r="C68" s="81" t="s">
        <v>7</v>
      </c>
      <c r="D68" s="82">
        <v>245575000</v>
      </c>
      <c r="E68" s="82">
        <v>242200000</v>
      </c>
      <c r="F68" s="82">
        <v>3375000</v>
      </c>
      <c r="G68" s="82">
        <v>0</v>
      </c>
      <c r="H68" s="1">
        <f t="shared" si="1"/>
        <v>3375000</v>
      </c>
    </row>
    <row r="69" spans="1:8" x14ac:dyDescent="0.35">
      <c r="A69" s="83">
        <v>10030</v>
      </c>
      <c r="B69" s="83" t="s">
        <v>36</v>
      </c>
      <c r="C69" s="83" t="s">
        <v>7</v>
      </c>
      <c r="D69" s="84">
        <v>3272000</v>
      </c>
      <c r="E69" s="84">
        <v>0</v>
      </c>
      <c r="F69" s="84">
        <v>3272000</v>
      </c>
      <c r="G69" s="84">
        <v>0</v>
      </c>
      <c r="H69" s="1">
        <f t="shared" si="1"/>
        <v>3272000</v>
      </c>
    </row>
    <row r="70" spans="1:8" x14ac:dyDescent="0.35">
      <c r="A70" s="81">
        <v>30178</v>
      </c>
      <c r="B70" s="81" t="s">
        <v>335</v>
      </c>
      <c r="C70" s="81" t="s">
        <v>7</v>
      </c>
      <c r="D70" s="82">
        <v>1503040000</v>
      </c>
      <c r="E70" s="82">
        <v>1500000000</v>
      </c>
      <c r="F70" s="82">
        <v>3040000</v>
      </c>
      <c r="G70" s="82">
        <v>0</v>
      </c>
      <c r="H70" s="1">
        <f t="shared" si="1"/>
        <v>3040000</v>
      </c>
    </row>
    <row r="71" spans="1:8" x14ac:dyDescent="0.35">
      <c r="A71" s="83">
        <v>30020</v>
      </c>
      <c r="B71" s="83" t="s">
        <v>68</v>
      </c>
      <c r="C71" s="83" t="s">
        <v>7</v>
      </c>
      <c r="D71" s="84">
        <v>5213139500</v>
      </c>
      <c r="E71" s="84">
        <v>5210886000</v>
      </c>
      <c r="F71" s="84">
        <v>2253500</v>
      </c>
      <c r="G71" s="84">
        <v>0</v>
      </c>
      <c r="H71" s="1">
        <f t="shared" si="1"/>
        <v>2253500</v>
      </c>
    </row>
    <row r="72" spans="1:8" x14ac:dyDescent="0.35">
      <c r="A72" s="81">
        <v>30084</v>
      </c>
      <c r="B72" s="81" t="s">
        <v>129</v>
      </c>
      <c r="C72" s="81" t="s">
        <v>7</v>
      </c>
      <c r="D72" s="82">
        <v>1220000</v>
      </c>
      <c r="E72" s="82">
        <v>0</v>
      </c>
      <c r="F72" s="82">
        <v>1220000</v>
      </c>
      <c r="G72" s="82">
        <v>0</v>
      </c>
      <c r="H72" s="1">
        <f t="shared" si="1"/>
        <v>1220000</v>
      </c>
    </row>
    <row r="73" spans="1:8" x14ac:dyDescent="0.35">
      <c r="A73" s="83">
        <v>10069</v>
      </c>
      <c r="B73" s="83" t="s">
        <v>204</v>
      </c>
      <c r="C73" s="83" t="s">
        <v>7</v>
      </c>
      <c r="D73" s="84">
        <v>11901152500</v>
      </c>
      <c r="E73" s="84">
        <v>11900200000</v>
      </c>
      <c r="F73" s="84">
        <v>952500</v>
      </c>
      <c r="G73" s="84">
        <v>0</v>
      </c>
      <c r="H73" s="1">
        <f t="shared" si="1"/>
        <v>952500</v>
      </c>
    </row>
    <row r="74" spans="1:8" x14ac:dyDescent="0.35">
      <c r="A74" s="81">
        <v>79055</v>
      </c>
      <c r="B74" s="81" t="s">
        <v>297</v>
      </c>
      <c r="C74" s="81" t="s">
        <v>7</v>
      </c>
      <c r="D74" s="82">
        <v>896500</v>
      </c>
      <c r="E74" s="82">
        <v>0</v>
      </c>
      <c r="F74" s="82">
        <v>896500</v>
      </c>
      <c r="G74" s="82">
        <v>0</v>
      </c>
      <c r="H74" s="1">
        <f t="shared" si="1"/>
        <v>896500</v>
      </c>
    </row>
    <row r="75" spans="1:8" x14ac:dyDescent="0.35">
      <c r="A75" s="83">
        <v>10004</v>
      </c>
      <c r="B75" s="83" t="s">
        <v>11</v>
      </c>
      <c r="C75" s="83" t="s">
        <v>7</v>
      </c>
      <c r="D75" s="84">
        <v>3908065000</v>
      </c>
      <c r="E75" s="84">
        <v>3907212000</v>
      </c>
      <c r="F75" s="84">
        <v>853000</v>
      </c>
      <c r="G75" s="84">
        <v>0</v>
      </c>
      <c r="H75" s="1">
        <f t="shared" si="1"/>
        <v>853000</v>
      </c>
    </row>
    <row r="76" spans="1:8" x14ac:dyDescent="0.35">
      <c r="A76" s="81">
        <v>30030</v>
      </c>
      <c r="B76" s="81" t="s">
        <v>77</v>
      </c>
      <c r="C76" s="81" t="s">
        <v>7</v>
      </c>
      <c r="D76" s="82">
        <v>586850500</v>
      </c>
      <c r="E76" s="82">
        <v>586000000</v>
      </c>
      <c r="F76" s="82">
        <v>850500</v>
      </c>
      <c r="G76" s="82">
        <v>0</v>
      </c>
      <c r="H76" s="1">
        <f t="shared" si="1"/>
        <v>850500</v>
      </c>
    </row>
    <row r="77" spans="1:8" x14ac:dyDescent="0.35">
      <c r="A77" s="83">
        <v>30129</v>
      </c>
      <c r="B77" s="83" t="s">
        <v>178</v>
      </c>
      <c r="C77" s="83" t="s">
        <v>7</v>
      </c>
      <c r="D77" s="84">
        <v>783000</v>
      </c>
      <c r="E77" s="84">
        <v>0</v>
      </c>
      <c r="F77" s="84">
        <v>783000</v>
      </c>
      <c r="G77" s="84">
        <v>0</v>
      </c>
      <c r="H77" s="1">
        <f t="shared" si="1"/>
        <v>783000</v>
      </c>
    </row>
    <row r="78" spans="1:8" x14ac:dyDescent="0.35">
      <c r="A78" s="81">
        <v>30090</v>
      </c>
      <c r="B78" s="81" t="s">
        <v>144</v>
      </c>
      <c r="C78" s="81" t="s">
        <v>7</v>
      </c>
      <c r="D78" s="82">
        <v>640100</v>
      </c>
      <c r="E78" s="82">
        <v>0</v>
      </c>
      <c r="F78" s="82">
        <v>640100</v>
      </c>
      <c r="G78" s="82">
        <v>0</v>
      </c>
      <c r="H78" s="1">
        <f t="shared" si="1"/>
        <v>640100</v>
      </c>
    </row>
    <row r="79" spans="1:8" x14ac:dyDescent="0.35">
      <c r="A79" s="83">
        <v>30109</v>
      </c>
      <c r="B79" s="83" t="s">
        <v>165</v>
      </c>
      <c r="C79" s="83" t="s">
        <v>7</v>
      </c>
      <c r="D79" s="84">
        <v>607300</v>
      </c>
      <c r="E79" s="84">
        <v>0</v>
      </c>
      <c r="F79" s="84">
        <v>607300</v>
      </c>
      <c r="G79" s="84">
        <v>0</v>
      </c>
      <c r="H79" s="1">
        <f t="shared" si="1"/>
        <v>607300</v>
      </c>
    </row>
    <row r="80" spans="1:8" x14ac:dyDescent="0.35">
      <c r="A80" s="81">
        <v>30010</v>
      </c>
      <c r="B80" s="81" t="s">
        <v>59</v>
      </c>
      <c r="C80" s="81" t="s">
        <v>7</v>
      </c>
      <c r="D80" s="82">
        <v>366215</v>
      </c>
      <c r="E80" s="82">
        <v>0</v>
      </c>
      <c r="F80" s="82">
        <v>366215</v>
      </c>
      <c r="G80" s="82">
        <v>0</v>
      </c>
      <c r="H80" s="1">
        <f t="shared" si="1"/>
        <v>366215</v>
      </c>
    </row>
    <row r="81" spans="1:8" x14ac:dyDescent="0.35">
      <c r="A81" s="83">
        <v>30077</v>
      </c>
      <c r="B81" s="83" t="s">
        <v>122</v>
      </c>
      <c r="C81" s="83" t="s">
        <v>7</v>
      </c>
      <c r="D81" s="84">
        <v>96360000</v>
      </c>
      <c r="E81" s="84">
        <v>96000000</v>
      </c>
      <c r="F81" s="84">
        <v>360000</v>
      </c>
      <c r="G81" s="84">
        <v>0</v>
      </c>
      <c r="H81" s="1">
        <f t="shared" si="1"/>
        <v>360000</v>
      </c>
    </row>
    <row r="82" spans="1:8" x14ac:dyDescent="0.35">
      <c r="A82" s="81">
        <v>30027</v>
      </c>
      <c r="B82" s="81" t="s">
        <v>75</v>
      </c>
      <c r="C82" s="81" t="s">
        <v>7</v>
      </c>
      <c r="D82" s="82">
        <v>2466163950</v>
      </c>
      <c r="E82" s="82">
        <v>2465837000</v>
      </c>
      <c r="F82" s="82">
        <v>326950</v>
      </c>
      <c r="G82" s="82">
        <v>0</v>
      </c>
      <c r="H82" s="1">
        <f t="shared" si="1"/>
        <v>326950</v>
      </c>
    </row>
    <row r="83" spans="1:8" x14ac:dyDescent="0.35">
      <c r="A83" s="83">
        <v>30135</v>
      </c>
      <c r="B83" s="83" t="s">
        <v>179</v>
      </c>
      <c r="C83" s="83" t="s">
        <v>7</v>
      </c>
      <c r="D83" s="84">
        <v>195000</v>
      </c>
      <c r="E83" s="84">
        <v>0</v>
      </c>
      <c r="F83" s="84">
        <v>195000</v>
      </c>
      <c r="G83" s="84">
        <v>0</v>
      </c>
      <c r="H83" s="1">
        <f t="shared" si="1"/>
        <v>195000</v>
      </c>
    </row>
    <row r="84" spans="1:8" x14ac:dyDescent="0.35">
      <c r="A84" s="81">
        <v>10088</v>
      </c>
      <c r="B84" s="81" t="s">
        <v>254</v>
      </c>
      <c r="C84" s="81" t="s">
        <v>7</v>
      </c>
      <c r="D84" s="82">
        <v>5561276000</v>
      </c>
      <c r="E84" s="82">
        <v>5561162500</v>
      </c>
      <c r="F84" s="82">
        <v>113500</v>
      </c>
      <c r="G84" s="82">
        <v>0</v>
      </c>
      <c r="H84" s="1">
        <f t="shared" si="1"/>
        <v>113500</v>
      </c>
    </row>
    <row r="85" spans="1:8" x14ac:dyDescent="0.35">
      <c r="A85" s="83">
        <v>10072</v>
      </c>
      <c r="B85" s="83" t="s">
        <v>177</v>
      </c>
      <c r="C85" s="83" t="s">
        <v>7</v>
      </c>
      <c r="D85" s="84">
        <v>13096794960</v>
      </c>
      <c r="E85" s="84">
        <v>13096739080</v>
      </c>
      <c r="F85" s="84">
        <v>55880</v>
      </c>
      <c r="G85" s="84">
        <v>0</v>
      </c>
      <c r="H85" s="1">
        <f t="shared" si="1"/>
        <v>55880</v>
      </c>
    </row>
    <row r="86" spans="1:8" x14ac:dyDescent="0.35">
      <c r="A86" s="81">
        <v>30000</v>
      </c>
      <c r="B86" s="81" t="s">
        <v>189</v>
      </c>
      <c r="C86" s="81" t="s">
        <v>7</v>
      </c>
      <c r="D86" s="82">
        <v>0</v>
      </c>
      <c r="E86" s="82">
        <v>55440000</v>
      </c>
      <c r="F86" s="82">
        <v>0</v>
      </c>
      <c r="G86" s="82">
        <v>55440000</v>
      </c>
      <c r="H86" s="1">
        <f t="shared" si="1"/>
        <v>-55440000</v>
      </c>
    </row>
    <row r="87" spans="1:8" x14ac:dyDescent="0.35">
      <c r="A87" s="83">
        <v>30006</v>
      </c>
      <c r="B87" s="83" t="s">
        <v>56</v>
      </c>
      <c r="C87" s="83" t="s">
        <v>7</v>
      </c>
      <c r="D87" s="84">
        <v>88303086900</v>
      </c>
      <c r="E87" s="84">
        <v>88465764445</v>
      </c>
      <c r="F87" s="84">
        <v>0</v>
      </c>
      <c r="G87" s="84">
        <v>162677545</v>
      </c>
      <c r="H87" s="1">
        <f t="shared" si="1"/>
        <v>-162677545</v>
      </c>
    </row>
    <row r="88" spans="1:8" x14ac:dyDescent="0.35">
      <c r="A88" s="81">
        <v>30012</v>
      </c>
      <c r="B88" s="81" t="s">
        <v>61</v>
      </c>
      <c r="C88" s="81" t="s">
        <v>7</v>
      </c>
      <c r="D88" s="82">
        <v>2059821000</v>
      </c>
      <c r="E88" s="82">
        <v>2105920000</v>
      </c>
      <c r="F88" s="82">
        <v>0</v>
      </c>
      <c r="G88" s="82">
        <v>46099000</v>
      </c>
      <c r="H88" s="1">
        <f t="shared" si="1"/>
        <v>-46099000</v>
      </c>
    </row>
    <row r="89" spans="1:8" x14ac:dyDescent="0.35">
      <c r="A89" s="83">
        <v>30013</v>
      </c>
      <c r="B89" s="83" t="s">
        <v>62</v>
      </c>
      <c r="C89" s="83" t="s">
        <v>7</v>
      </c>
      <c r="D89" s="84">
        <v>343332560</v>
      </c>
      <c r="E89" s="84">
        <v>346077180</v>
      </c>
      <c r="F89" s="84">
        <v>0</v>
      </c>
      <c r="G89" s="84">
        <v>2744620</v>
      </c>
      <c r="H89" s="1">
        <f t="shared" si="1"/>
        <v>-2744620</v>
      </c>
    </row>
    <row r="90" spans="1:8" x14ac:dyDescent="0.35">
      <c r="A90" s="81">
        <v>30015</v>
      </c>
      <c r="B90" s="81" t="s">
        <v>64</v>
      </c>
      <c r="C90" s="81" t="s">
        <v>7</v>
      </c>
      <c r="D90" s="82">
        <v>1142847005</v>
      </c>
      <c r="E90" s="82">
        <v>1145952900</v>
      </c>
      <c r="F90" s="82">
        <v>0</v>
      </c>
      <c r="G90" s="82">
        <v>3105895</v>
      </c>
      <c r="H90" s="1">
        <f t="shared" si="1"/>
        <v>-3105895</v>
      </c>
    </row>
    <row r="91" spans="1:8" x14ac:dyDescent="0.35">
      <c r="A91" s="83">
        <v>30021</v>
      </c>
      <c r="B91" s="83" t="s">
        <v>69</v>
      </c>
      <c r="C91" s="83" t="s">
        <v>7</v>
      </c>
      <c r="D91" s="84">
        <v>0</v>
      </c>
      <c r="E91" s="84">
        <v>122000</v>
      </c>
      <c r="F91" s="84">
        <v>0</v>
      </c>
      <c r="G91" s="84">
        <v>122000</v>
      </c>
      <c r="H91" s="1">
        <f t="shared" si="1"/>
        <v>-122000</v>
      </c>
    </row>
    <row r="92" spans="1:8" x14ac:dyDescent="0.35">
      <c r="A92" s="81">
        <v>30023</v>
      </c>
      <c r="B92" s="81" t="s">
        <v>71</v>
      </c>
      <c r="C92" s="81" t="s">
        <v>7</v>
      </c>
      <c r="D92" s="82">
        <v>0</v>
      </c>
      <c r="E92" s="82">
        <v>5793600</v>
      </c>
      <c r="F92" s="82">
        <v>0</v>
      </c>
      <c r="G92" s="82">
        <v>5793600</v>
      </c>
      <c r="H92" s="1">
        <f t="shared" si="1"/>
        <v>-5793600</v>
      </c>
    </row>
    <row r="93" spans="1:8" x14ac:dyDescent="0.35">
      <c r="A93" s="83">
        <v>10028</v>
      </c>
      <c r="B93" s="83" t="s">
        <v>34</v>
      </c>
      <c r="C93" s="83" t="s">
        <v>7</v>
      </c>
      <c r="D93" s="84">
        <v>341785000</v>
      </c>
      <c r="E93" s="84">
        <v>341785000</v>
      </c>
      <c r="F93" s="84">
        <v>0</v>
      </c>
      <c r="G93" s="84">
        <v>0</v>
      </c>
      <c r="H93" s="1">
        <f t="shared" si="1"/>
        <v>0</v>
      </c>
    </row>
    <row r="94" spans="1:8" x14ac:dyDescent="0.35">
      <c r="A94" s="81">
        <v>30028</v>
      </c>
      <c r="B94" s="81" t="s">
        <v>76</v>
      </c>
      <c r="C94" s="81" t="s">
        <v>7</v>
      </c>
      <c r="D94" s="82">
        <v>0</v>
      </c>
      <c r="E94" s="82">
        <v>23665000</v>
      </c>
      <c r="F94" s="82">
        <v>0</v>
      </c>
      <c r="G94" s="82">
        <v>23665000</v>
      </c>
      <c r="H94" s="1">
        <f t="shared" si="1"/>
        <v>-23665000</v>
      </c>
    </row>
    <row r="95" spans="1:8" x14ac:dyDescent="0.35">
      <c r="A95" s="83">
        <v>30032</v>
      </c>
      <c r="B95" s="83" t="s">
        <v>79</v>
      </c>
      <c r="C95" s="83" t="s">
        <v>7</v>
      </c>
      <c r="D95" s="84">
        <v>0</v>
      </c>
      <c r="E95" s="84">
        <v>1347000</v>
      </c>
      <c r="F95" s="84">
        <v>0</v>
      </c>
      <c r="G95" s="84">
        <v>1347000</v>
      </c>
      <c r="H95" s="1">
        <f t="shared" si="1"/>
        <v>-1347000</v>
      </c>
    </row>
    <row r="96" spans="1:8" x14ac:dyDescent="0.35">
      <c r="A96" s="81">
        <v>30040</v>
      </c>
      <c r="B96" s="81" t="s">
        <v>87</v>
      </c>
      <c r="C96" s="81" t="s">
        <v>7</v>
      </c>
      <c r="D96" s="82">
        <v>8092370000</v>
      </c>
      <c r="E96" s="82">
        <v>8092370000</v>
      </c>
      <c r="F96" s="82">
        <v>0</v>
      </c>
      <c r="G96" s="82">
        <v>0</v>
      </c>
      <c r="H96" s="1">
        <f t="shared" si="1"/>
        <v>0</v>
      </c>
    </row>
    <row r="97" spans="1:8" x14ac:dyDescent="0.35">
      <c r="A97" s="83">
        <v>30042</v>
      </c>
      <c r="B97" s="83" t="s">
        <v>89</v>
      </c>
      <c r="C97" s="83" t="s">
        <v>7</v>
      </c>
      <c r="D97" s="84">
        <v>0</v>
      </c>
      <c r="E97" s="84">
        <v>18303540</v>
      </c>
      <c r="F97" s="84">
        <v>0</v>
      </c>
      <c r="G97" s="84">
        <v>18303540</v>
      </c>
      <c r="H97" s="1">
        <f t="shared" si="1"/>
        <v>-18303540</v>
      </c>
    </row>
    <row r="98" spans="1:8" x14ac:dyDescent="0.35">
      <c r="A98" s="81">
        <v>30044</v>
      </c>
      <c r="B98" s="81" t="s">
        <v>91</v>
      </c>
      <c r="C98" s="81" t="s">
        <v>7</v>
      </c>
      <c r="D98" s="82">
        <v>0</v>
      </c>
      <c r="E98" s="82">
        <v>492500</v>
      </c>
      <c r="F98" s="82">
        <v>0</v>
      </c>
      <c r="G98" s="82">
        <v>492500</v>
      </c>
      <c r="H98" s="1">
        <f t="shared" si="1"/>
        <v>-492500</v>
      </c>
    </row>
    <row r="99" spans="1:8" x14ac:dyDescent="0.35">
      <c r="A99" s="83">
        <v>10009</v>
      </c>
      <c r="B99" s="83" t="s">
        <v>16</v>
      </c>
      <c r="C99" s="83" t="s">
        <v>7</v>
      </c>
      <c r="D99" s="84">
        <v>46555270000</v>
      </c>
      <c r="E99" s="84">
        <v>50815850000</v>
      </c>
      <c r="F99" s="84">
        <v>0</v>
      </c>
      <c r="G99" s="84">
        <v>4260580000</v>
      </c>
      <c r="H99" s="1">
        <f t="shared" si="1"/>
        <v>-4260580000</v>
      </c>
    </row>
    <row r="100" spans="1:8" x14ac:dyDescent="0.35">
      <c r="A100" s="81">
        <v>30051</v>
      </c>
      <c r="B100" s="81" t="s">
        <v>98</v>
      </c>
      <c r="C100" s="81" t="s">
        <v>7</v>
      </c>
      <c r="D100" s="82">
        <v>627800000</v>
      </c>
      <c r="E100" s="82">
        <v>628184000</v>
      </c>
      <c r="F100" s="82">
        <v>0</v>
      </c>
      <c r="G100" s="82">
        <v>384000</v>
      </c>
      <c r="H100" s="1">
        <f t="shared" si="1"/>
        <v>-384000</v>
      </c>
    </row>
    <row r="101" spans="1:8" x14ac:dyDescent="0.35">
      <c r="A101" s="83">
        <v>10012</v>
      </c>
      <c r="B101" s="83" t="s">
        <v>19</v>
      </c>
      <c r="C101" s="83" t="s">
        <v>7</v>
      </c>
      <c r="D101" s="84">
        <v>0</v>
      </c>
      <c r="E101" s="84">
        <v>244000</v>
      </c>
      <c r="F101" s="84">
        <v>0</v>
      </c>
      <c r="G101" s="84">
        <v>244000</v>
      </c>
      <c r="H101" s="1">
        <f t="shared" si="1"/>
        <v>-244000</v>
      </c>
    </row>
    <row r="102" spans="1:8" x14ac:dyDescent="0.35">
      <c r="A102" s="81">
        <v>10013</v>
      </c>
      <c r="B102" s="81" t="s">
        <v>20</v>
      </c>
      <c r="C102" s="81" t="s">
        <v>7</v>
      </c>
      <c r="D102" s="82">
        <v>0</v>
      </c>
      <c r="E102" s="82">
        <v>915000</v>
      </c>
      <c r="F102" s="82">
        <v>0</v>
      </c>
      <c r="G102" s="82">
        <v>915000</v>
      </c>
      <c r="H102" s="1">
        <f t="shared" si="1"/>
        <v>-915000</v>
      </c>
    </row>
    <row r="103" spans="1:8" x14ac:dyDescent="0.35">
      <c r="A103" s="83">
        <v>30052</v>
      </c>
      <c r="B103" s="83" t="s">
        <v>149</v>
      </c>
      <c r="C103" s="83" t="s">
        <v>7</v>
      </c>
      <c r="D103" s="84">
        <v>0</v>
      </c>
      <c r="E103" s="84">
        <v>539000</v>
      </c>
      <c r="F103" s="84">
        <v>0</v>
      </c>
      <c r="G103" s="84">
        <v>539000</v>
      </c>
      <c r="H103" s="1">
        <f t="shared" si="1"/>
        <v>-539000</v>
      </c>
    </row>
    <row r="104" spans="1:8" x14ac:dyDescent="0.35">
      <c r="A104" s="81">
        <v>30055</v>
      </c>
      <c r="B104" s="81" t="s">
        <v>100</v>
      </c>
      <c r="C104" s="81" t="s">
        <v>7</v>
      </c>
      <c r="D104" s="82">
        <v>496705500</v>
      </c>
      <c r="E104" s="82">
        <v>496705500</v>
      </c>
      <c r="F104" s="82">
        <v>0</v>
      </c>
      <c r="G104" s="82">
        <v>0</v>
      </c>
      <c r="H104" s="1">
        <f t="shared" si="1"/>
        <v>0</v>
      </c>
    </row>
    <row r="105" spans="1:8" x14ac:dyDescent="0.35">
      <c r="A105" s="83">
        <v>10014</v>
      </c>
      <c r="B105" s="83" t="s">
        <v>21</v>
      </c>
      <c r="C105" s="83" t="s">
        <v>7</v>
      </c>
      <c r="D105" s="84">
        <v>185237500</v>
      </c>
      <c r="E105" s="84">
        <v>185237500</v>
      </c>
      <c r="F105" s="84">
        <v>0</v>
      </c>
      <c r="G105" s="84">
        <v>0</v>
      </c>
      <c r="H105" s="1">
        <f t="shared" si="1"/>
        <v>0</v>
      </c>
    </row>
    <row r="106" spans="1:8" x14ac:dyDescent="0.35">
      <c r="A106" s="81">
        <v>10015</v>
      </c>
      <c r="B106" s="81" t="s">
        <v>22</v>
      </c>
      <c r="C106" s="81" t="s">
        <v>7</v>
      </c>
      <c r="D106" s="82">
        <v>3344495000</v>
      </c>
      <c r="E106" s="82">
        <v>3349230000</v>
      </c>
      <c r="F106" s="82">
        <v>0</v>
      </c>
      <c r="G106" s="82">
        <v>4735000</v>
      </c>
      <c r="H106" s="1">
        <f t="shared" si="1"/>
        <v>-4735000</v>
      </c>
    </row>
    <row r="107" spans="1:8" x14ac:dyDescent="0.35">
      <c r="A107" s="83">
        <v>10019</v>
      </c>
      <c r="B107" s="83" t="s">
        <v>488</v>
      </c>
      <c r="C107" s="83" t="s">
        <v>7</v>
      </c>
      <c r="D107" s="84">
        <v>11940424000</v>
      </c>
      <c r="E107" s="84">
        <v>11940424000</v>
      </c>
      <c r="F107" s="84">
        <v>0</v>
      </c>
      <c r="G107" s="84">
        <v>0</v>
      </c>
      <c r="H107" s="1">
        <f t="shared" si="1"/>
        <v>0</v>
      </c>
    </row>
    <row r="108" spans="1:8" x14ac:dyDescent="0.35">
      <c r="A108" s="81">
        <v>10002</v>
      </c>
      <c r="B108" s="81" t="s">
        <v>9</v>
      </c>
      <c r="C108" s="81" t="s">
        <v>7</v>
      </c>
      <c r="D108" s="82">
        <v>4297477500</v>
      </c>
      <c r="E108" s="82">
        <v>7897477500</v>
      </c>
      <c r="F108" s="82">
        <v>0</v>
      </c>
      <c r="G108" s="82">
        <v>3600000000</v>
      </c>
      <c r="H108" s="1">
        <f t="shared" si="1"/>
        <v>-3600000000</v>
      </c>
    </row>
    <row r="109" spans="1:8" x14ac:dyDescent="0.35">
      <c r="A109" s="83">
        <v>30064</v>
      </c>
      <c r="B109" s="83" t="s">
        <v>109</v>
      </c>
      <c r="C109" s="83" t="s">
        <v>7</v>
      </c>
      <c r="D109" s="84">
        <v>5645876500</v>
      </c>
      <c r="E109" s="84">
        <v>5695556000</v>
      </c>
      <c r="F109" s="84">
        <v>0</v>
      </c>
      <c r="G109" s="84">
        <v>49679500</v>
      </c>
      <c r="H109" s="1">
        <f t="shared" si="1"/>
        <v>-49679500</v>
      </c>
    </row>
    <row r="110" spans="1:8" x14ac:dyDescent="0.35">
      <c r="A110" s="81">
        <v>30067</v>
      </c>
      <c r="B110" s="81" t="s">
        <v>112</v>
      </c>
      <c r="C110" s="81" t="s">
        <v>7</v>
      </c>
      <c r="D110" s="82">
        <v>0</v>
      </c>
      <c r="E110" s="82">
        <v>4654950</v>
      </c>
      <c r="F110" s="82">
        <v>0</v>
      </c>
      <c r="G110" s="82">
        <v>4654950</v>
      </c>
      <c r="H110" s="1">
        <f t="shared" si="1"/>
        <v>-4654950</v>
      </c>
    </row>
    <row r="111" spans="1:8" x14ac:dyDescent="0.35">
      <c r="A111" s="83">
        <v>30072</v>
      </c>
      <c r="B111" s="83" t="s">
        <v>117</v>
      </c>
      <c r="C111" s="83" t="s">
        <v>7</v>
      </c>
      <c r="D111" s="84">
        <v>0</v>
      </c>
      <c r="E111" s="84">
        <v>30178900</v>
      </c>
      <c r="F111" s="84">
        <v>0</v>
      </c>
      <c r="G111" s="84">
        <v>30178900</v>
      </c>
      <c r="H111" s="1">
        <f t="shared" si="1"/>
        <v>-30178900</v>
      </c>
    </row>
    <row r="112" spans="1:8" x14ac:dyDescent="0.35">
      <c r="A112" s="81">
        <v>50005</v>
      </c>
      <c r="B112" s="81" t="s">
        <v>148</v>
      </c>
      <c r="C112" s="81" t="s">
        <v>7</v>
      </c>
      <c r="D112" s="82">
        <v>31764480000</v>
      </c>
      <c r="E112" s="82">
        <v>31764480000</v>
      </c>
      <c r="F112" s="82">
        <v>0</v>
      </c>
      <c r="G112" s="82">
        <v>0</v>
      </c>
      <c r="H112" s="1">
        <f t="shared" si="1"/>
        <v>0</v>
      </c>
    </row>
    <row r="113" spans="1:8" x14ac:dyDescent="0.35">
      <c r="A113" s="83">
        <v>50008</v>
      </c>
      <c r="B113" s="83" t="s">
        <v>146</v>
      </c>
      <c r="C113" s="83" t="s">
        <v>7</v>
      </c>
      <c r="D113" s="84">
        <v>7501810000</v>
      </c>
      <c r="E113" s="84">
        <v>7908040000</v>
      </c>
      <c r="F113" s="84">
        <v>0</v>
      </c>
      <c r="G113" s="84">
        <v>406230000</v>
      </c>
      <c r="H113" s="1">
        <f t="shared" si="1"/>
        <v>-406230000</v>
      </c>
    </row>
    <row r="114" spans="1:8" x14ac:dyDescent="0.35">
      <c r="A114" s="81">
        <v>79014</v>
      </c>
      <c r="B114" s="81" t="s">
        <v>250</v>
      </c>
      <c r="C114" s="81" t="s">
        <v>7</v>
      </c>
      <c r="D114" s="82">
        <v>5500000</v>
      </c>
      <c r="E114" s="82">
        <v>5500000</v>
      </c>
      <c r="F114" s="82">
        <v>0</v>
      </c>
      <c r="G114" s="82">
        <v>0</v>
      </c>
      <c r="H114" s="1">
        <f t="shared" si="1"/>
        <v>0</v>
      </c>
    </row>
    <row r="115" spans="1:8" x14ac:dyDescent="0.35">
      <c r="A115" s="83">
        <v>10029</v>
      </c>
      <c r="B115" s="83" t="s">
        <v>35</v>
      </c>
      <c r="C115" s="83" t="s">
        <v>7</v>
      </c>
      <c r="D115" s="84">
        <v>38034022500</v>
      </c>
      <c r="E115" s="84">
        <v>39072321120</v>
      </c>
      <c r="F115" s="84">
        <v>0</v>
      </c>
      <c r="G115" s="84">
        <v>1038298620</v>
      </c>
      <c r="H115" s="1">
        <f t="shared" si="1"/>
        <v>-1038298620</v>
      </c>
    </row>
    <row r="116" spans="1:8" x14ac:dyDescent="0.35">
      <c r="A116" s="81">
        <v>30074</v>
      </c>
      <c r="B116" s="81" t="s">
        <v>119</v>
      </c>
      <c r="C116" s="81" t="s">
        <v>7</v>
      </c>
      <c r="D116" s="82">
        <v>0</v>
      </c>
      <c r="E116" s="82">
        <v>13970300</v>
      </c>
      <c r="F116" s="82">
        <v>0</v>
      </c>
      <c r="G116" s="82">
        <v>13970300</v>
      </c>
      <c r="H116" s="1">
        <f t="shared" si="1"/>
        <v>-13970300</v>
      </c>
    </row>
    <row r="117" spans="1:8" x14ac:dyDescent="0.35">
      <c r="A117" s="83">
        <v>10032</v>
      </c>
      <c r="B117" s="83" t="s">
        <v>38</v>
      </c>
      <c r="C117" s="83" t="s">
        <v>7</v>
      </c>
      <c r="D117" s="84">
        <v>1400000</v>
      </c>
      <c r="E117" s="84">
        <v>1400000</v>
      </c>
      <c r="F117" s="84">
        <v>0</v>
      </c>
      <c r="G117" s="84">
        <v>0</v>
      </c>
      <c r="H117" s="1">
        <f t="shared" si="1"/>
        <v>0</v>
      </c>
    </row>
    <row r="118" spans="1:8" x14ac:dyDescent="0.35">
      <c r="A118" s="81">
        <v>10042</v>
      </c>
      <c r="B118" s="81" t="s">
        <v>47</v>
      </c>
      <c r="C118" s="81" t="s">
        <v>7</v>
      </c>
      <c r="D118" s="82">
        <v>0</v>
      </c>
      <c r="E118" s="82">
        <v>1120000</v>
      </c>
      <c r="F118" s="82">
        <v>0</v>
      </c>
      <c r="G118" s="82">
        <v>1120000</v>
      </c>
      <c r="H118" s="1">
        <f t="shared" si="1"/>
        <v>-1120000</v>
      </c>
    </row>
    <row r="119" spans="1:8" x14ac:dyDescent="0.35">
      <c r="A119" s="83">
        <v>10043</v>
      </c>
      <c r="B119" s="83" t="s">
        <v>48</v>
      </c>
      <c r="C119" s="83" t="s">
        <v>7</v>
      </c>
      <c r="D119" s="84">
        <v>128200</v>
      </c>
      <c r="E119" s="84">
        <v>128200</v>
      </c>
      <c r="F119" s="84">
        <v>0</v>
      </c>
      <c r="G119" s="84">
        <v>0</v>
      </c>
      <c r="H119" s="1">
        <f t="shared" si="1"/>
        <v>0</v>
      </c>
    </row>
    <row r="120" spans="1:8" x14ac:dyDescent="0.35">
      <c r="A120" s="81">
        <v>30082</v>
      </c>
      <c r="B120" s="81" t="s">
        <v>127</v>
      </c>
      <c r="C120" s="81" t="s">
        <v>7</v>
      </c>
      <c r="D120" s="82">
        <v>0</v>
      </c>
      <c r="E120" s="82">
        <v>15037000</v>
      </c>
      <c r="F120" s="82">
        <v>0</v>
      </c>
      <c r="G120" s="82">
        <v>15037000</v>
      </c>
      <c r="H120" s="1">
        <f t="shared" si="1"/>
        <v>-15037000</v>
      </c>
    </row>
    <row r="121" spans="1:8" x14ac:dyDescent="0.35">
      <c r="A121" s="83">
        <v>10044</v>
      </c>
      <c r="B121" s="83" t="s">
        <v>49</v>
      </c>
      <c r="C121" s="83" t="s">
        <v>7</v>
      </c>
      <c r="D121" s="84">
        <v>1305000000</v>
      </c>
      <c r="E121" s="84">
        <v>1305000000</v>
      </c>
      <c r="F121" s="84">
        <v>0</v>
      </c>
      <c r="G121" s="84">
        <v>0</v>
      </c>
      <c r="H121" s="1">
        <f t="shared" si="1"/>
        <v>0</v>
      </c>
    </row>
    <row r="122" spans="1:8" x14ac:dyDescent="0.35">
      <c r="A122" s="81">
        <v>79043</v>
      </c>
      <c r="B122" s="81" t="s">
        <v>308</v>
      </c>
      <c r="C122" s="81" t="s">
        <v>7</v>
      </c>
      <c r="D122" s="82">
        <v>113839550000</v>
      </c>
      <c r="E122" s="82">
        <v>129950280000</v>
      </c>
      <c r="F122" s="82">
        <v>0</v>
      </c>
      <c r="G122" s="82">
        <v>16110730000</v>
      </c>
      <c r="H122" s="1">
        <f t="shared" si="1"/>
        <v>-16110730000</v>
      </c>
    </row>
    <row r="123" spans="1:8" x14ac:dyDescent="0.35">
      <c r="A123" s="83">
        <v>10045</v>
      </c>
      <c r="B123" s="83" t="s">
        <v>50</v>
      </c>
      <c r="C123" s="83" t="s">
        <v>7</v>
      </c>
      <c r="D123" s="84">
        <v>0</v>
      </c>
      <c r="E123" s="84">
        <v>383000</v>
      </c>
      <c r="F123" s="84">
        <v>0</v>
      </c>
      <c r="G123" s="84">
        <v>383000</v>
      </c>
      <c r="H123" s="1">
        <f t="shared" si="1"/>
        <v>-383000</v>
      </c>
    </row>
    <row r="124" spans="1:8" x14ac:dyDescent="0.35">
      <c r="A124" s="81">
        <v>50014</v>
      </c>
      <c r="B124" s="81" t="s">
        <v>249</v>
      </c>
      <c r="C124" s="81" t="s">
        <v>7</v>
      </c>
      <c r="D124" s="82">
        <v>28287810000</v>
      </c>
      <c r="E124" s="82">
        <v>28287810000</v>
      </c>
      <c r="F124" s="82">
        <v>0</v>
      </c>
      <c r="G124" s="82">
        <v>0</v>
      </c>
      <c r="H124" s="1">
        <f t="shared" si="1"/>
        <v>0</v>
      </c>
    </row>
    <row r="125" spans="1:8" x14ac:dyDescent="0.35">
      <c r="A125" s="83">
        <v>30088</v>
      </c>
      <c r="B125" s="83" t="s">
        <v>142</v>
      </c>
      <c r="C125" s="83" t="s">
        <v>7</v>
      </c>
      <c r="D125" s="84">
        <v>0</v>
      </c>
      <c r="E125" s="84">
        <v>252000</v>
      </c>
      <c r="F125" s="84">
        <v>0</v>
      </c>
      <c r="G125" s="84">
        <v>252000</v>
      </c>
      <c r="H125" s="1">
        <f t="shared" si="1"/>
        <v>-252000</v>
      </c>
    </row>
    <row r="126" spans="1:8" x14ac:dyDescent="0.35">
      <c r="A126" s="81">
        <v>10048</v>
      </c>
      <c r="B126" s="81" t="s">
        <v>191</v>
      </c>
      <c r="C126" s="81" t="s">
        <v>7</v>
      </c>
      <c r="D126" s="82">
        <v>10737408000</v>
      </c>
      <c r="E126" s="82">
        <v>10737408000</v>
      </c>
      <c r="F126" s="82">
        <v>0</v>
      </c>
      <c r="G126" s="82">
        <v>0</v>
      </c>
      <c r="H126" s="1">
        <f t="shared" si="1"/>
        <v>0</v>
      </c>
    </row>
    <row r="127" spans="1:8" x14ac:dyDescent="0.35">
      <c r="A127" s="83">
        <v>10049</v>
      </c>
      <c r="B127" s="83" t="s">
        <v>157</v>
      </c>
      <c r="C127" s="83" t="s">
        <v>7</v>
      </c>
      <c r="D127" s="84">
        <v>1453264000</v>
      </c>
      <c r="E127" s="84">
        <v>1486173500</v>
      </c>
      <c r="F127" s="84">
        <v>0</v>
      </c>
      <c r="G127" s="84">
        <v>32909500</v>
      </c>
      <c r="H127" s="1">
        <f t="shared" si="1"/>
        <v>-32909500</v>
      </c>
    </row>
    <row r="128" spans="1:8" x14ac:dyDescent="0.35">
      <c r="A128" s="81">
        <v>30093</v>
      </c>
      <c r="B128" s="81" t="s">
        <v>151</v>
      </c>
      <c r="C128" s="81" t="s">
        <v>7</v>
      </c>
      <c r="D128" s="82">
        <v>25289952000</v>
      </c>
      <c r="E128" s="82">
        <v>25289952000</v>
      </c>
      <c r="F128" s="82">
        <v>0</v>
      </c>
      <c r="G128" s="82">
        <v>0</v>
      </c>
      <c r="H128" s="1">
        <f t="shared" si="1"/>
        <v>0</v>
      </c>
    </row>
    <row r="129" spans="1:8" x14ac:dyDescent="0.35">
      <c r="A129" s="83">
        <v>30094</v>
      </c>
      <c r="B129" s="83" t="s">
        <v>152</v>
      </c>
      <c r="C129" s="83" t="s">
        <v>7</v>
      </c>
      <c r="D129" s="84">
        <v>0</v>
      </c>
      <c r="E129" s="84">
        <v>420000</v>
      </c>
      <c r="F129" s="84">
        <v>0</v>
      </c>
      <c r="G129" s="84">
        <v>420000</v>
      </c>
      <c r="H129" s="1">
        <f t="shared" si="1"/>
        <v>-420000</v>
      </c>
    </row>
    <row r="130" spans="1:8" x14ac:dyDescent="0.35">
      <c r="A130" s="81">
        <v>10052</v>
      </c>
      <c r="B130" s="81" t="s">
        <v>192</v>
      </c>
      <c r="C130" s="81" t="s">
        <v>7</v>
      </c>
      <c r="D130" s="82">
        <v>311400</v>
      </c>
      <c r="E130" s="82">
        <v>311400</v>
      </c>
      <c r="F130" s="82">
        <v>0</v>
      </c>
      <c r="G130" s="82">
        <v>0</v>
      </c>
      <c r="H130" s="1">
        <f t="shared" si="1"/>
        <v>0</v>
      </c>
    </row>
    <row r="131" spans="1:8" x14ac:dyDescent="0.35">
      <c r="A131" s="83">
        <v>30098</v>
      </c>
      <c r="B131" s="83" t="s">
        <v>312</v>
      </c>
      <c r="C131" s="83" t="s">
        <v>7</v>
      </c>
      <c r="D131" s="84">
        <v>3079875000</v>
      </c>
      <c r="E131" s="84">
        <v>3125000000</v>
      </c>
      <c r="F131" s="84">
        <v>0</v>
      </c>
      <c r="G131" s="84">
        <v>45125000</v>
      </c>
      <c r="H131" s="1">
        <f t="shared" ref="H131:H194" si="2">D131-E131</f>
        <v>-45125000</v>
      </c>
    </row>
    <row r="132" spans="1:8" x14ac:dyDescent="0.35">
      <c r="A132" s="81">
        <v>10058</v>
      </c>
      <c r="B132" s="81" t="s">
        <v>173</v>
      </c>
      <c r="C132" s="81" t="s">
        <v>7</v>
      </c>
      <c r="D132" s="82">
        <v>0</v>
      </c>
      <c r="E132" s="82">
        <v>13650000</v>
      </c>
      <c r="F132" s="82">
        <v>0</v>
      </c>
      <c r="G132" s="82">
        <v>13650000</v>
      </c>
      <c r="H132" s="1">
        <f t="shared" si="2"/>
        <v>-13650000</v>
      </c>
    </row>
    <row r="133" spans="1:8" x14ac:dyDescent="0.35">
      <c r="A133" s="83">
        <v>10061</v>
      </c>
      <c r="B133" s="83" t="s">
        <v>194</v>
      </c>
      <c r="C133" s="83" t="s">
        <v>7</v>
      </c>
      <c r="D133" s="84">
        <v>0</v>
      </c>
      <c r="E133" s="84">
        <v>565500</v>
      </c>
      <c r="F133" s="84">
        <v>0</v>
      </c>
      <c r="G133" s="84">
        <v>565500</v>
      </c>
      <c r="H133" s="1">
        <f t="shared" si="2"/>
        <v>-565500</v>
      </c>
    </row>
    <row r="134" spans="1:8" x14ac:dyDescent="0.35">
      <c r="A134" s="81">
        <v>30016</v>
      </c>
      <c r="B134" s="81" t="s">
        <v>253</v>
      </c>
      <c r="C134" s="81" t="s">
        <v>7</v>
      </c>
      <c r="D134" s="82">
        <v>181259600</v>
      </c>
      <c r="E134" s="82">
        <v>181259600</v>
      </c>
      <c r="F134" s="82">
        <v>0</v>
      </c>
      <c r="G134" s="82">
        <v>0</v>
      </c>
      <c r="H134" s="1">
        <f t="shared" si="2"/>
        <v>0</v>
      </c>
    </row>
    <row r="135" spans="1:8" x14ac:dyDescent="0.35">
      <c r="A135" s="83">
        <v>10063</v>
      </c>
      <c r="B135" s="83" t="s">
        <v>180</v>
      </c>
      <c r="C135" s="83" t="s">
        <v>7</v>
      </c>
      <c r="D135" s="84">
        <v>227925</v>
      </c>
      <c r="E135" s="84">
        <v>227925</v>
      </c>
      <c r="F135" s="84">
        <v>0</v>
      </c>
      <c r="G135" s="84">
        <v>0</v>
      </c>
      <c r="H135" s="1">
        <f t="shared" si="2"/>
        <v>0</v>
      </c>
    </row>
    <row r="136" spans="1:8" x14ac:dyDescent="0.35">
      <c r="A136" s="81">
        <v>10064</v>
      </c>
      <c r="B136" s="81" t="s">
        <v>181</v>
      </c>
      <c r="C136" s="81" t="s">
        <v>7</v>
      </c>
      <c r="D136" s="82">
        <v>200000</v>
      </c>
      <c r="E136" s="82">
        <v>200000</v>
      </c>
      <c r="F136" s="82">
        <v>0</v>
      </c>
      <c r="G136" s="82">
        <v>0</v>
      </c>
      <c r="H136" s="1">
        <f t="shared" si="2"/>
        <v>0</v>
      </c>
    </row>
    <row r="137" spans="1:8" x14ac:dyDescent="0.35">
      <c r="A137" s="83">
        <v>79120</v>
      </c>
      <c r="B137" s="83" t="s">
        <v>195</v>
      </c>
      <c r="C137" s="83" t="s">
        <v>7</v>
      </c>
      <c r="D137" s="84">
        <v>32309690000</v>
      </c>
      <c r="E137" s="84">
        <v>48085850000</v>
      </c>
      <c r="F137" s="84">
        <v>0</v>
      </c>
      <c r="G137" s="84">
        <v>15776160000</v>
      </c>
      <c r="H137" s="1">
        <f t="shared" si="2"/>
        <v>-15776160000</v>
      </c>
    </row>
    <row r="138" spans="1:8" x14ac:dyDescent="0.35">
      <c r="A138" s="81">
        <v>30103</v>
      </c>
      <c r="B138" s="81" t="s">
        <v>240</v>
      </c>
      <c r="C138" s="81" t="s">
        <v>7</v>
      </c>
      <c r="D138" s="82">
        <v>0</v>
      </c>
      <c r="E138" s="82">
        <v>1820000</v>
      </c>
      <c r="F138" s="82">
        <v>0</v>
      </c>
      <c r="G138" s="82">
        <v>1820000</v>
      </c>
      <c r="H138" s="1">
        <f t="shared" si="2"/>
        <v>-1820000</v>
      </c>
    </row>
    <row r="139" spans="1:8" x14ac:dyDescent="0.35">
      <c r="A139" s="83">
        <v>30104</v>
      </c>
      <c r="B139" s="83" t="s">
        <v>198</v>
      </c>
      <c r="C139" s="83" t="s">
        <v>7</v>
      </c>
      <c r="D139" s="84">
        <v>2336908000</v>
      </c>
      <c r="E139" s="84">
        <v>2336908000</v>
      </c>
      <c r="F139" s="84">
        <v>0</v>
      </c>
      <c r="G139" s="84">
        <v>0</v>
      </c>
      <c r="H139" s="1">
        <f t="shared" si="2"/>
        <v>0</v>
      </c>
    </row>
    <row r="140" spans="1:8" x14ac:dyDescent="0.35">
      <c r="A140" s="81">
        <v>10066</v>
      </c>
      <c r="B140" s="81" t="s">
        <v>262</v>
      </c>
      <c r="C140" s="81" t="s">
        <v>7</v>
      </c>
      <c r="D140" s="82">
        <v>0</v>
      </c>
      <c r="E140" s="82">
        <v>191500</v>
      </c>
      <c r="F140" s="82">
        <v>0</v>
      </c>
      <c r="G140" s="82">
        <v>191500</v>
      </c>
      <c r="H140" s="1">
        <f t="shared" si="2"/>
        <v>-191500</v>
      </c>
    </row>
    <row r="141" spans="1:8" x14ac:dyDescent="0.35">
      <c r="A141" s="83">
        <v>30110</v>
      </c>
      <c r="B141" s="83" t="s">
        <v>200</v>
      </c>
      <c r="C141" s="83" t="s">
        <v>7</v>
      </c>
      <c r="D141" s="84">
        <v>0</v>
      </c>
      <c r="E141" s="84">
        <v>3492360</v>
      </c>
      <c r="F141" s="84">
        <v>0</v>
      </c>
      <c r="G141" s="84">
        <v>3492360</v>
      </c>
      <c r="H141" s="1">
        <f t="shared" si="2"/>
        <v>-3492360</v>
      </c>
    </row>
    <row r="142" spans="1:8" x14ac:dyDescent="0.35">
      <c r="A142" s="81">
        <v>30112</v>
      </c>
      <c r="B142" s="81" t="s">
        <v>201</v>
      </c>
      <c r="C142" s="81" t="s">
        <v>7</v>
      </c>
      <c r="D142" s="82">
        <v>0</v>
      </c>
      <c r="E142" s="82">
        <v>720500</v>
      </c>
      <c r="F142" s="82">
        <v>0</v>
      </c>
      <c r="G142" s="82">
        <v>720500</v>
      </c>
      <c r="H142" s="1">
        <f t="shared" si="2"/>
        <v>-720500</v>
      </c>
    </row>
    <row r="143" spans="1:8" x14ac:dyDescent="0.35">
      <c r="A143" s="83">
        <v>30116</v>
      </c>
      <c r="B143" s="83" t="s">
        <v>203</v>
      </c>
      <c r="C143" s="83" t="s">
        <v>7</v>
      </c>
      <c r="D143" s="84">
        <v>0</v>
      </c>
      <c r="E143" s="84">
        <v>303220621</v>
      </c>
      <c r="F143" s="84">
        <v>0</v>
      </c>
      <c r="G143" s="84">
        <v>303220621</v>
      </c>
      <c r="H143" s="1">
        <f t="shared" si="2"/>
        <v>-303220621</v>
      </c>
    </row>
    <row r="144" spans="1:8" x14ac:dyDescent="0.35">
      <c r="A144" s="81">
        <v>10075</v>
      </c>
      <c r="B144" s="81" t="s">
        <v>169</v>
      </c>
      <c r="C144" s="81" t="s">
        <v>7</v>
      </c>
      <c r="D144" s="82">
        <v>20000</v>
      </c>
      <c r="E144" s="82">
        <v>20000</v>
      </c>
      <c r="F144" s="82">
        <v>0</v>
      </c>
      <c r="G144" s="82">
        <v>0</v>
      </c>
      <c r="H144" s="1">
        <f t="shared" si="2"/>
        <v>0</v>
      </c>
    </row>
    <row r="145" spans="1:8" x14ac:dyDescent="0.35">
      <c r="A145" s="83">
        <v>10076</v>
      </c>
      <c r="B145" s="83" t="s">
        <v>182</v>
      </c>
      <c r="C145" s="83" t="s">
        <v>7</v>
      </c>
      <c r="D145" s="84">
        <v>1105000</v>
      </c>
      <c r="E145" s="84">
        <v>1105000</v>
      </c>
      <c r="F145" s="84">
        <v>0</v>
      </c>
      <c r="G145" s="84">
        <v>0</v>
      </c>
      <c r="H145" s="1">
        <f t="shared" si="2"/>
        <v>0</v>
      </c>
    </row>
    <row r="146" spans="1:8" x14ac:dyDescent="0.35">
      <c r="A146" s="81">
        <v>30124</v>
      </c>
      <c r="B146" s="81" t="s">
        <v>246</v>
      </c>
      <c r="C146" s="81" t="s">
        <v>7</v>
      </c>
      <c r="D146" s="82">
        <v>17241293000</v>
      </c>
      <c r="E146" s="82">
        <v>17241293000</v>
      </c>
      <c r="F146" s="82">
        <v>0</v>
      </c>
      <c r="G146" s="82">
        <v>0</v>
      </c>
      <c r="H146" s="1">
        <f t="shared" si="2"/>
        <v>0</v>
      </c>
    </row>
    <row r="147" spans="1:8" x14ac:dyDescent="0.35">
      <c r="A147" s="83">
        <v>10077</v>
      </c>
      <c r="B147" s="83" t="s">
        <v>210</v>
      </c>
      <c r="C147" s="83" t="s">
        <v>7</v>
      </c>
      <c r="D147" s="84">
        <v>0</v>
      </c>
      <c r="E147" s="84">
        <v>238500</v>
      </c>
      <c r="F147" s="84">
        <v>0</v>
      </c>
      <c r="G147" s="84">
        <v>238500</v>
      </c>
      <c r="H147" s="1">
        <f t="shared" si="2"/>
        <v>-238500</v>
      </c>
    </row>
    <row r="148" spans="1:8" x14ac:dyDescent="0.35">
      <c r="A148" s="81">
        <v>50032</v>
      </c>
      <c r="B148" s="81" t="s">
        <v>305</v>
      </c>
      <c r="C148" s="81" t="s">
        <v>7</v>
      </c>
      <c r="D148" s="82">
        <v>264000000</v>
      </c>
      <c r="E148" s="82">
        <v>267300000</v>
      </c>
      <c r="F148" s="82">
        <v>0</v>
      </c>
      <c r="G148" s="82">
        <v>3300000</v>
      </c>
      <c r="H148" s="1">
        <f t="shared" si="2"/>
        <v>-3300000</v>
      </c>
    </row>
    <row r="149" spans="1:8" x14ac:dyDescent="0.35">
      <c r="A149" s="83">
        <v>30128</v>
      </c>
      <c r="B149" s="83" t="s">
        <v>212</v>
      </c>
      <c r="C149" s="83" t="s">
        <v>7</v>
      </c>
      <c r="D149" s="84">
        <v>0</v>
      </c>
      <c r="E149" s="84">
        <v>2451320</v>
      </c>
      <c r="F149" s="84">
        <v>0</v>
      </c>
      <c r="G149" s="84">
        <v>2451320</v>
      </c>
      <c r="H149" s="1">
        <f t="shared" si="2"/>
        <v>-2451320</v>
      </c>
    </row>
    <row r="150" spans="1:8" x14ac:dyDescent="0.35">
      <c r="A150" s="81">
        <v>10079</v>
      </c>
      <c r="B150" s="81" t="s">
        <v>174</v>
      </c>
      <c r="C150" s="81" t="s">
        <v>7</v>
      </c>
      <c r="D150" s="82">
        <v>1981390000</v>
      </c>
      <c r="E150" s="82">
        <v>2207983500</v>
      </c>
      <c r="F150" s="82">
        <v>0</v>
      </c>
      <c r="G150" s="82">
        <v>226593500</v>
      </c>
      <c r="H150" s="1">
        <f t="shared" si="2"/>
        <v>-226593500</v>
      </c>
    </row>
    <row r="151" spans="1:8" x14ac:dyDescent="0.35">
      <c r="A151" s="83">
        <v>30131</v>
      </c>
      <c r="B151" s="83" t="s">
        <v>213</v>
      </c>
      <c r="C151" s="83" t="s">
        <v>7</v>
      </c>
      <c r="D151" s="84">
        <v>16558499000</v>
      </c>
      <c r="E151" s="84">
        <v>22786985500</v>
      </c>
      <c r="F151" s="84">
        <v>0</v>
      </c>
      <c r="G151" s="84">
        <v>6228486500</v>
      </c>
      <c r="H151" s="1">
        <f t="shared" si="2"/>
        <v>-6228486500</v>
      </c>
    </row>
    <row r="152" spans="1:8" x14ac:dyDescent="0.35">
      <c r="A152" s="81">
        <v>30133</v>
      </c>
      <c r="B152" s="81" t="s">
        <v>251</v>
      </c>
      <c r="C152" s="81" t="s">
        <v>7</v>
      </c>
      <c r="D152" s="82">
        <v>8335450500</v>
      </c>
      <c r="E152" s="82">
        <v>8402340000</v>
      </c>
      <c r="F152" s="82">
        <v>0</v>
      </c>
      <c r="G152" s="82">
        <v>66889500</v>
      </c>
      <c r="H152" s="1">
        <f t="shared" si="2"/>
        <v>-66889500</v>
      </c>
    </row>
    <row r="153" spans="1:8" x14ac:dyDescent="0.35">
      <c r="A153" s="83">
        <v>30137</v>
      </c>
      <c r="B153" s="83" t="s">
        <v>218</v>
      </c>
      <c r="C153" s="83" t="s">
        <v>7</v>
      </c>
      <c r="D153" s="84">
        <v>565784700</v>
      </c>
      <c r="E153" s="84">
        <v>565784700</v>
      </c>
      <c r="F153" s="84">
        <v>0</v>
      </c>
      <c r="G153" s="84">
        <v>0</v>
      </c>
      <c r="H153" s="1">
        <f t="shared" si="2"/>
        <v>0</v>
      </c>
    </row>
    <row r="154" spans="1:8" x14ac:dyDescent="0.35">
      <c r="A154" s="81">
        <v>30138</v>
      </c>
      <c r="B154" s="81" t="s">
        <v>252</v>
      </c>
      <c r="C154" s="81" t="s">
        <v>7</v>
      </c>
      <c r="D154" s="82">
        <v>1785000</v>
      </c>
      <c r="E154" s="82">
        <v>1785000</v>
      </c>
      <c r="F154" s="82">
        <v>0</v>
      </c>
      <c r="G154" s="82">
        <v>0</v>
      </c>
      <c r="H154" s="1">
        <f t="shared" si="2"/>
        <v>0</v>
      </c>
    </row>
    <row r="155" spans="1:8" x14ac:dyDescent="0.35">
      <c r="A155" s="83">
        <v>10089</v>
      </c>
      <c r="B155" s="83" t="s">
        <v>255</v>
      </c>
      <c r="C155" s="83" t="s">
        <v>7</v>
      </c>
      <c r="D155" s="84">
        <v>1484806000</v>
      </c>
      <c r="E155" s="84">
        <v>1628750000</v>
      </c>
      <c r="F155" s="84">
        <v>0</v>
      </c>
      <c r="G155" s="84">
        <v>143944000</v>
      </c>
      <c r="H155" s="1">
        <f t="shared" si="2"/>
        <v>-143944000</v>
      </c>
    </row>
    <row r="156" spans="1:8" x14ac:dyDescent="0.35">
      <c r="A156" s="81">
        <v>10092</v>
      </c>
      <c r="B156" s="81" t="s">
        <v>260</v>
      </c>
      <c r="C156" s="81" t="s">
        <v>7</v>
      </c>
      <c r="D156" s="82">
        <v>11737461500</v>
      </c>
      <c r="E156" s="82">
        <v>13487408000</v>
      </c>
      <c r="F156" s="82">
        <v>0</v>
      </c>
      <c r="G156" s="82">
        <v>1749946500</v>
      </c>
      <c r="H156" s="1">
        <f t="shared" si="2"/>
        <v>-1749946500</v>
      </c>
    </row>
    <row r="157" spans="1:8" x14ac:dyDescent="0.35">
      <c r="A157" s="83">
        <v>50034</v>
      </c>
      <c r="B157" s="83" t="s">
        <v>535</v>
      </c>
      <c r="C157" s="83" t="s">
        <v>7</v>
      </c>
      <c r="D157" s="84">
        <v>28570995000</v>
      </c>
      <c r="E157" s="84">
        <v>28570995000</v>
      </c>
      <c r="F157" s="84">
        <v>0</v>
      </c>
      <c r="G157" s="84">
        <v>0</v>
      </c>
      <c r="H157" s="1">
        <f t="shared" si="2"/>
        <v>0</v>
      </c>
    </row>
    <row r="158" spans="1:8" x14ac:dyDescent="0.35">
      <c r="A158" s="81">
        <v>30143</v>
      </c>
      <c r="B158" s="81" t="s">
        <v>278</v>
      </c>
      <c r="C158" s="81" t="s">
        <v>7</v>
      </c>
      <c r="D158" s="82">
        <v>3609193830</v>
      </c>
      <c r="E158" s="82">
        <v>3609193830</v>
      </c>
      <c r="F158" s="82">
        <v>0</v>
      </c>
      <c r="G158" s="82">
        <v>0</v>
      </c>
      <c r="H158" s="1">
        <f t="shared" si="2"/>
        <v>0</v>
      </c>
    </row>
    <row r="159" spans="1:8" x14ac:dyDescent="0.35">
      <c r="A159" s="83">
        <v>10093</v>
      </c>
      <c r="B159" s="83" t="s">
        <v>264</v>
      </c>
      <c r="C159" s="83" t="s">
        <v>7</v>
      </c>
      <c r="D159" s="84">
        <v>548586000</v>
      </c>
      <c r="E159" s="84">
        <v>550800000</v>
      </c>
      <c r="F159" s="84">
        <v>0</v>
      </c>
      <c r="G159" s="84">
        <v>2214000</v>
      </c>
      <c r="H159" s="1">
        <f t="shared" si="2"/>
        <v>-2214000</v>
      </c>
    </row>
    <row r="160" spans="1:8" x14ac:dyDescent="0.35">
      <c r="A160" s="81">
        <v>30146</v>
      </c>
      <c r="B160" s="81" t="s">
        <v>309</v>
      </c>
      <c r="C160" s="81" t="s">
        <v>7</v>
      </c>
      <c r="D160" s="82">
        <v>48506146000</v>
      </c>
      <c r="E160" s="82">
        <v>52652658500</v>
      </c>
      <c r="F160" s="82">
        <v>0</v>
      </c>
      <c r="G160" s="82">
        <v>4146512500</v>
      </c>
      <c r="H160" s="1">
        <f t="shared" si="2"/>
        <v>-4146512500</v>
      </c>
    </row>
    <row r="161" spans="1:8" x14ac:dyDescent="0.35">
      <c r="A161" s="83">
        <v>10095</v>
      </c>
      <c r="B161" s="83" t="s">
        <v>268</v>
      </c>
      <c r="C161" s="83" t="s">
        <v>7</v>
      </c>
      <c r="D161" s="84">
        <v>0</v>
      </c>
      <c r="E161" s="84">
        <v>496500</v>
      </c>
      <c r="F161" s="84">
        <v>0</v>
      </c>
      <c r="G161" s="84">
        <v>496500</v>
      </c>
      <c r="H161" s="1">
        <f t="shared" si="2"/>
        <v>-496500</v>
      </c>
    </row>
    <row r="162" spans="1:8" x14ac:dyDescent="0.35">
      <c r="A162" s="81">
        <v>30153</v>
      </c>
      <c r="B162" s="81" t="s">
        <v>279</v>
      </c>
      <c r="C162" s="81" t="s">
        <v>7</v>
      </c>
      <c r="D162" s="82">
        <v>476982000</v>
      </c>
      <c r="E162" s="82">
        <v>481800000</v>
      </c>
      <c r="F162" s="82">
        <v>0</v>
      </c>
      <c r="G162" s="82">
        <v>4818000</v>
      </c>
      <c r="H162" s="1">
        <f t="shared" si="2"/>
        <v>-4818000</v>
      </c>
    </row>
    <row r="163" spans="1:8" x14ac:dyDescent="0.35">
      <c r="A163" s="83">
        <v>10101</v>
      </c>
      <c r="B163" s="83" t="s">
        <v>281</v>
      </c>
      <c r="C163" s="83" t="s">
        <v>7</v>
      </c>
      <c r="D163" s="84">
        <v>3736477000</v>
      </c>
      <c r="E163" s="84">
        <v>3736477000</v>
      </c>
      <c r="F163" s="84">
        <v>0</v>
      </c>
      <c r="G163" s="84">
        <v>0</v>
      </c>
      <c r="H163" s="1">
        <f t="shared" si="2"/>
        <v>0</v>
      </c>
    </row>
    <row r="164" spans="1:8" x14ac:dyDescent="0.35">
      <c r="A164" s="81">
        <v>10102</v>
      </c>
      <c r="B164" s="81" t="s">
        <v>282</v>
      </c>
      <c r="C164" s="81" t="s">
        <v>7</v>
      </c>
      <c r="D164" s="82">
        <v>0</v>
      </c>
      <c r="E164" s="82">
        <v>10374000</v>
      </c>
      <c r="F164" s="82">
        <v>0</v>
      </c>
      <c r="G164" s="82">
        <v>10374000</v>
      </c>
      <c r="H164" s="1">
        <f t="shared" si="2"/>
        <v>-10374000</v>
      </c>
    </row>
    <row r="165" spans="1:8" x14ac:dyDescent="0.35">
      <c r="A165" s="83">
        <v>30155</v>
      </c>
      <c r="B165" s="83" t="s">
        <v>289</v>
      </c>
      <c r="C165" s="83" t="s">
        <v>7</v>
      </c>
      <c r="D165" s="84">
        <v>9781723000</v>
      </c>
      <c r="E165" s="84">
        <v>10236708417</v>
      </c>
      <c r="F165" s="84">
        <v>0</v>
      </c>
      <c r="G165" s="84">
        <v>454985417</v>
      </c>
      <c r="H165" s="1">
        <f t="shared" si="2"/>
        <v>-454985417</v>
      </c>
    </row>
    <row r="166" spans="1:8" x14ac:dyDescent="0.35">
      <c r="A166" s="81">
        <v>10103</v>
      </c>
      <c r="B166" s="81" t="s">
        <v>283</v>
      </c>
      <c r="C166" s="81" t="s">
        <v>7</v>
      </c>
      <c r="D166" s="82">
        <v>0</v>
      </c>
      <c r="E166" s="82">
        <v>1580000</v>
      </c>
      <c r="F166" s="82">
        <v>0</v>
      </c>
      <c r="G166" s="82">
        <v>1580000</v>
      </c>
      <c r="H166" s="1">
        <f t="shared" si="2"/>
        <v>-1580000</v>
      </c>
    </row>
    <row r="167" spans="1:8" x14ac:dyDescent="0.35">
      <c r="A167" s="83">
        <v>30156</v>
      </c>
      <c r="B167" s="83" t="s">
        <v>290</v>
      </c>
      <c r="C167" s="83" t="s">
        <v>7</v>
      </c>
      <c r="D167" s="84">
        <v>5840512500</v>
      </c>
      <c r="E167" s="84">
        <v>6021430000</v>
      </c>
      <c r="F167" s="84">
        <v>0</v>
      </c>
      <c r="G167" s="84">
        <v>180917500</v>
      </c>
      <c r="H167" s="1">
        <f t="shared" si="2"/>
        <v>-180917500</v>
      </c>
    </row>
    <row r="168" spans="1:8" x14ac:dyDescent="0.35">
      <c r="A168" s="81">
        <v>10104</v>
      </c>
      <c r="B168" s="81" t="s">
        <v>293</v>
      </c>
      <c r="C168" s="81" t="s">
        <v>7</v>
      </c>
      <c r="D168" s="82">
        <v>7514092455</v>
      </c>
      <c r="E168" s="82">
        <v>7514092455</v>
      </c>
      <c r="F168" s="82">
        <v>0</v>
      </c>
      <c r="G168" s="82">
        <v>0</v>
      </c>
      <c r="H168" s="1">
        <f t="shared" si="2"/>
        <v>0</v>
      </c>
    </row>
    <row r="169" spans="1:8" x14ac:dyDescent="0.35">
      <c r="A169" s="83">
        <v>30160</v>
      </c>
      <c r="B169" s="83" t="s">
        <v>296</v>
      </c>
      <c r="C169" s="83" t="s">
        <v>7</v>
      </c>
      <c r="D169" s="84">
        <v>1135808500</v>
      </c>
      <c r="E169" s="84">
        <v>1135808500</v>
      </c>
      <c r="F169" s="84">
        <v>0</v>
      </c>
      <c r="G169" s="84">
        <v>0</v>
      </c>
      <c r="H169" s="1">
        <f t="shared" si="2"/>
        <v>0</v>
      </c>
    </row>
    <row r="170" spans="1:8" x14ac:dyDescent="0.35">
      <c r="A170" s="81">
        <v>30161</v>
      </c>
      <c r="B170" s="81" t="s">
        <v>299</v>
      </c>
      <c r="C170" s="81" t="s">
        <v>7</v>
      </c>
      <c r="D170" s="82">
        <v>26147978000</v>
      </c>
      <c r="E170" s="82">
        <v>26147978000</v>
      </c>
      <c r="F170" s="82">
        <v>0</v>
      </c>
      <c r="G170" s="82">
        <v>0</v>
      </c>
      <c r="H170" s="1">
        <f t="shared" si="2"/>
        <v>0</v>
      </c>
    </row>
    <row r="171" spans="1:8" x14ac:dyDescent="0.35">
      <c r="A171" s="83">
        <v>10106</v>
      </c>
      <c r="B171" s="83" t="s">
        <v>298</v>
      </c>
      <c r="C171" s="83" t="s">
        <v>7</v>
      </c>
      <c r="D171" s="84">
        <v>0</v>
      </c>
      <c r="E171" s="84">
        <v>9134000</v>
      </c>
      <c r="F171" s="84">
        <v>0</v>
      </c>
      <c r="G171" s="84">
        <v>9134000</v>
      </c>
      <c r="H171" s="1">
        <f t="shared" si="2"/>
        <v>-9134000</v>
      </c>
    </row>
    <row r="172" spans="1:8" x14ac:dyDescent="0.35">
      <c r="A172" s="81">
        <v>30163</v>
      </c>
      <c r="B172" s="81" t="s">
        <v>302</v>
      </c>
      <c r="C172" s="81" t="s">
        <v>7</v>
      </c>
      <c r="D172" s="82">
        <v>115000</v>
      </c>
      <c r="E172" s="82">
        <v>115000</v>
      </c>
      <c r="F172" s="82">
        <v>0</v>
      </c>
      <c r="G172" s="82">
        <v>0</v>
      </c>
      <c r="H172" s="1">
        <f t="shared" si="2"/>
        <v>0</v>
      </c>
    </row>
    <row r="173" spans="1:8" x14ac:dyDescent="0.35">
      <c r="A173" s="83">
        <v>10109</v>
      </c>
      <c r="B173" s="83" t="s">
        <v>303</v>
      </c>
      <c r="C173" s="83" t="s">
        <v>7</v>
      </c>
      <c r="D173" s="84">
        <v>2025341000</v>
      </c>
      <c r="E173" s="84">
        <v>3150078000</v>
      </c>
      <c r="F173" s="84">
        <v>0</v>
      </c>
      <c r="G173" s="84">
        <v>1124737000</v>
      </c>
      <c r="H173" s="1">
        <f t="shared" si="2"/>
        <v>-1124737000</v>
      </c>
    </row>
    <row r="174" spans="1:8" x14ac:dyDescent="0.35">
      <c r="A174" s="81">
        <v>10110</v>
      </c>
      <c r="B174" s="81" t="s">
        <v>462</v>
      </c>
      <c r="C174" s="81" t="s">
        <v>7</v>
      </c>
      <c r="D174" s="82">
        <v>3345675000</v>
      </c>
      <c r="E174" s="82">
        <v>3347492500</v>
      </c>
      <c r="F174" s="82">
        <v>0</v>
      </c>
      <c r="G174" s="82">
        <v>1817500</v>
      </c>
      <c r="H174" s="1">
        <f t="shared" si="2"/>
        <v>-1817500</v>
      </c>
    </row>
    <row r="175" spans="1:8" x14ac:dyDescent="0.35">
      <c r="A175" s="83">
        <v>30165</v>
      </c>
      <c r="B175" s="83" t="s">
        <v>310</v>
      </c>
      <c r="C175" s="83" t="s">
        <v>7</v>
      </c>
      <c r="D175" s="84">
        <v>383729288</v>
      </c>
      <c r="E175" s="84">
        <v>1522997288</v>
      </c>
      <c r="F175" s="84">
        <v>0</v>
      </c>
      <c r="G175" s="84">
        <v>1139268000</v>
      </c>
      <c r="H175" s="1">
        <f t="shared" si="2"/>
        <v>-1139268000</v>
      </c>
    </row>
    <row r="176" spans="1:8" x14ac:dyDescent="0.35">
      <c r="A176" s="81">
        <v>30167</v>
      </c>
      <c r="B176" s="81" t="s">
        <v>311</v>
      </c>
      <c r="C176" s="81" t="s">
        <v>7</v>
      </c>
      <c r="D176" s="82">
        <v>0</v>
      </c>
      <c r="E176" s="82">
        <v>221000</v>
      </c>
      <c r="F176" s="82">
        <v>0</v>
      </c>
      <c r="G176" s="82">
        <v>221000</v>
      </c>
      <c r="H176" s="1">
        <f t="shared" si="2"/>
        <v>-221000</v>
      </c>
    </row>
    <row r="177" spans="1:8" x14ac:dyDescent="0.35">
      <c r="A177" s="83">
        <v>30168</v>
      </c>
      <c r="B177" s="83" t="s">
        <v>313</v>
      </c>
      <c r="C177" s="83" t="s">
        <v>7</v>
      </c>
      <c r="D177" s="84">
        <v>2888370000</v>
      </c>
      <c r="E177" s="84">
        <v>2992590000</v>
      </c>
      <c r="F177" s="84">
        <v>0</v>
      </c>
      <c r="G177" s="84">
        <v>104220000</v>
      </c>
      <c r="H177" s="1">
        <f t="shared" si="2"/>
        <v>-104220000</v>
      </c>
    </row>
    <row r="178" spans="1:8" x14ac:dyDescent="0.35">
      <c r="A178" s="81">
        <v>30169</v>
      </c>
      <c r="B178" s="81" t="s">
        <v>318</v>
      </c>
      <c r="C178" s="81" t="s">
        <v>7</v>
      </c>
      <c r="D178" s="82">
        <v>22054220000</v>
      </c>
      <c r="E178" s="82">
        <v>22713213316</v>
      </c>
      <c r="F178" s="82">
        <v>0</v>
      </c>
      <c r="G178" s="82">
        <v>658993316</v>
      </c>
      <c r="H178" s="1">
        <f t="shared" si="2"/>
        <v>-658993316</v>
      </c>
    </row>
    <row r="179" spans="1:8" x14ac:dyDescent="0.35">
      <c r="A179" s="83">
        <v>30171</v>
      </c>
      <c r="B179" s="83" t="s">
        <v>322</v>
      </c>
      <c r="C179" s="83" t="s">
        <v>7</v>
      </c>
      <c r="D179" s="84">
        <v>1498500000</v>
      </c>
      <c r="E179" s="84">
        <v>1500000000</v>
      </c>
      <c r="F179" s="84">
        <v>0</v>
      </c>
      <c r="G179" s="84">
        <v>1500000</v>
      </c>
      <c r="H179" s="1">
        <f t="shared" si="2"/>
        <v>-1500000</v>
      </c>
    </row>
    <row r="180" spans="1:8" x14ac:dyDescent="0.35">
      <c r="A180" s="81">
        <v>30172</v>
      </c>
      <c r="B180" s="81" t="s">
        <v>323</v>
      </c>
      <c r="C180" s="81" t="s">
        <v>7</v>
      </c>
      <c r="D180" s="82">
        <v>2455525840</v>
      </c>
      <c r="E180" s="82">
        <v>2455525840</v>
      </c>
      <c r="F180" s="82">
        <v>0</v>
      </c>
      <c r="G180" s="82">
        <v>0</v>
      </c>
      <c r="H180" s="1">
        <f t="shared" si="2"/>
        <v>0</v>
      </c>
    </row>
    <row r="181" spans="1:8" x14ac:dyDescent="0.35">
      <c r="A181" s="83">
        <v>30174</v>
      </c>
      <c r="B181" s="83" t="s">
        <v>327</v>
      </c>
      <c r="C181" s="83" t="s">
        <v>7</v>
      </c>
      <c r="D181" s="84">
        <v>314100000</v>
      </c>
      <c r="E181" s="84">
        <v>314105000</v>
      </c>
      <c r="F181" s="84">
        <v>0</v>
      </c>
      <c r="G181" s="84">
        <v>5000</v>
      </c>
      <c r="H181" s="1">
        <f t="shared" si="2"/>
        <v>-5000</v>
      </c>
    </row>
    <row r="182" spans="1:8" x14ac:dyDescent="0.35">
      <c r="A182" s="81">
        <v>30176</v>
      </c>
      <c r="B182" s="81" t="s">
        <v>332</v>
      </c>
      <c r="C182" s="81" t="s">
        <v>7</v>
      </c>
      <c r="D182" s="82">
        <v>0</v>
      </c>
      <c r="E182" s="82">
        <v>7540075</v>
      </c>
      <c r="F182" s="82">
        <v>0</v>
      </c>
      <c r="G182" s="82">
        <v>7540075</v>
      </c>
      <c r="H182" s="1">
        <f t="shared" si="2"/>
        <v>-7540075</v>
      </c>
    </row>
    <row r="183" spans="1:8" x14ac:dyDescent="0.35">
      <c r="A183" s="83">
        <v>30177</v>
      </c>
      <c r="B183" s="83" t="s">
        <v>331</v>
      </c>
      <c r="C183" s="83" t="s">
        <v>7</v>
      </c>
      <c r="D183" s="84">
        <v>158687500</v>
      </c>
      <c r="E183" s="84">
        <v>158687500</v>
      </c>
      <c r="F183" s="84">
        <v>0</v>
      </c>
      <c r="G183" s="84">
        <v>0</v>
      </c>
      <c r="H183" s="1">
        <f t="shared" si="2"/>
        <v>0</v>
      </c>
    </row>
    <row r="184" spans="1:8" x14ac:dyDescent="0.35">
      <c r="A184" s="81">
        <v>10118</v>
      </c>
      <c r="B184" s="81" t="s">
        <v>334</v>
      </c>
      <c r="C184" s="81" t="s">
        <v>7</v>
      </c>
      <c r="D184" s="82">
        <v>0</v>
      </c>
      <c r="E184" s="82">
        <v>587500</v>
      </c>
      <c r="F184" s="82">
        <v>0</v>
      </c>
      <c r="G184" s="82">
        <v>587500</v>
      </c>
      <c r="H184" s="1">
        <f t="shared" si="2"/>
        <v>-587500</v>
      </c>
    </row>
    <row r="185" spans="1:8" x14ac:dyDescent="0.35">
      <c r="A185" s="83">
        <v>10119</v>
      </c>
      <c r="B185" s="83" t="s">
        <v>333</v>
      </c>
      <c r="C185" s="83" t="s">
        <v>7</v>
      </c>
      <c r="D185" s="84">
        <v>4339113500</v>
      </c>
      <c r="E185" s="84">
        <v>4341705500</v>
      </c>
      <c r="F185" s="84">
        <v>0</v>
      </c>
      <c r="G185" s="84">
        <v>2592000</v>
      </c>
      <c r="H185" s="1">
        <f t="shared" si="2"/>
        <v>-2592000</v>
      </c>
    </row>
    <row r="186" spans="1:8" x14ac:dyDescent="0.35">
      <c r="A186" s="81">
        <v>30179</v>
      </c>
      <c r="B186" s="81" t="s">
        <v>336</v>
      </c>
      <c r="C186" s="81" t="s">
        <v>7</v>
      </c>
      <c r="D186" s="82">
        <v>6342674175</v>
      </c>
      <c r="E186" s="82">
        <v>6343311375</v>
      </c>
      <c r="F186" s="82">
        <v>0</v>
      </c>
      <c r="G186" s="82">
        <v>637200</v>
      </c>
      <c r="H186" s="1">
        <f t="shared" si="2"/>
        <v>-637200</v>
      </c>
    </row>
    <row r="187" spans="1:8" x14ac:dyDescent="0.35">
      <c r="A187" s="83">
        <v>30180</v>
      </c>
      <c r="B187" s="83" t="s">
        <v>406</v>
      </c>
      <c r="C187" s="83" t="s">
        <v>7</v>
      </c>
      <c r="D187" s="84">
        <v>3536779680</v>
      </c>
      <c r="E187" s="84">
        <v>3536779680</v>
      </c>
      <c r="F187" s="84">
        <v>0</v>
      </c>
      <c r="G187" s="84">
        <v>0</v>
      </c>
      <c r="H187" s="1">
        <f t="shared" si="2"/>
        <v>0</v>
      </c>
    </row>
    <row r="188" spans="1:8" x14ac:dyDescent="0.35">
      <c r="A188" s="81">
        <v>10123</v>
      </c>
      <c r="B188" s="81" t="s">
        <v>340</v>
      </c>
      <c r="C188" s="81" t="s">
        <v>7</v>
      </c>
      <c r="D188" s="82">
        <v>1795187000</v>
      </c>
      <c r="E188" s="82">
        <v>1846000000</v>
      </c>
      <c r="F188" s="82">
        <v>0</v>
      </c>
      <c r="G188" s="82">
        <v>50813000</v>
      </c>
      <c r="H188" s="1">
        <f t="shared" si="2"/>
        <v>-50813000</v>
      </c>
    </row>
    <row r="189" spans="1:8" x14ac:dyDescent="0.35">
      <c r="A189" s="83">
        <v>30182</v>
      </c>
      <c r="B189" s="83" t="s">
        <v>342</v>
      </c>
      <c r="C189" s="83" t="s">
        <v>7</v>
      </c>
      <c r="D189" s="84">
        <v>6702573500</v>
      </c>
      <c r="E189" s="84">
        <v>7230829900</v>
      </c>
      <c r="F189" s="84">
        <v>0</v>
      </c>
      <c r="G189" s="84">
        <v>528256400</v>
      </c>
      <c r="H189" s="1">
        <f t="shared" si="2"/>
        <v>-528256400</v>
      </c>
    </row>
    <row r="190" spans="1:8" x14ac:dyDescent="0.35">
      <c r="A190" s="81">
        <v>30183</v>
      </c>
      <c r="B190" s="81" t="s">
        <v>343</v>
      </c>
      <c r="C190" s="81" t="s">
        <v>7</v>
      </c>
      <c r="D190" s="82">
        <v>1189790000</v>
      </c>
      <c r="E190" s="82">
        <v>1189795000</v>
      </c>
      <c r="F190" s="82">
        <v>0</v>
      </c>
      <c r="G190" s="82">
        <v>5000</v>
      </c>
      <c r="H190" s="1">
        <f t="shared" si="2"/>
        <v>-5000</v>
      </c>
    </row>
    <row r="191" spans="1:8" x14ac:dyDescent="0.35">
      <c r="A191" s="83">
        <v>10124</v>
      </c>
      <c r="B191" s="83" t="s">
        <v>344</v>
      </c>
      <c r="C191" s="83" t="s">
        <v>7</v>
      </c>
      <c r="D191" s="84">
        <v>70147500</v>
      </c>
      <c r="E191" s="84">
        <v>70147500</v>
      </c>
      <c r="F191" s="84">
        <v>0</v>
      </c>
      <c r="G191" s="84">
        <v>0</v>
      </c>
      <c r="H191" s="1">
        <f t="shared" si="2"/>
        <v>0</v>
      </c>
    </row>
    <row r="192" spans="1:8" x14ac:dyDescent="0.35">
      <c r="A192" s="81">
        <v>10125</v>
      </c>
      <c r="B192" s="81" t="s">
        <v>345</v>
      </c>
      <c r="C192" s="81" t="s">
        <v>7</v>
      </c>
      <c r="D192" s="82">
        <v>1416150000</v>
      </c>
      <c r="E192" s="82">
        <v>1417800000</v>
      </c>
      <c r="F192" s="82">
        <v>0</v>
      </c>
      <c r="G192" s="82">
        <v>1650000</v>
      </c>
      <c r="H192" s="1">
        <f t="shared" si="2"/>
        <v>-1650000</v>
      </c>
    </row>
    <row r="193" spans="1:8" x14ac:dyDescent="0.35">
      <c r="A193" s="83">
        <v>10128</v>
      </c>
      <c r="B193" s="83" t="s">
        <v>372</v>
      </c>
      <c r="C193" s="83" t="s">
        <v>7</v>
      </c>
      <c r="D193" s="84">
        <v>1768175000</v>
      </c>
      <c r="E193" s="84">
        <v>1768220000</v>
      </c>
      <c r="F193" s="84">
        <v>0</v>
      </c>
      <c r="G193" s="84">
        <v>45000</v>
      </c>
      <c r="H193" s="1">
        <f t="shared" si="2"/>
        <v>-45000</v>
      </c>
    </row>
    <row r="194" spans="1:8" x14ac:dyDescent="0.35">
      <c r="A194" s="81">
        <v>10129</v>
      </c>
      <c r="B194" s="81" t="s">
        <v>373</v>
      </c>
      <c r="C194" s="81" t="s">
        <v>7</v>
      </c>
      <c r="D194" s="82">
        <v>8000000</v>
      </c>
      <c r="E194" s="82">
        <v>8000000</v>
      </c>
      <c r="F194" s="82">
        <v>0</v>
      </c>
      <c r="G194" s="82">
        <v>0</v>
      </c>
      <c r="H194" s="1">
        <f t="shared" si="2"/>
        <v>0</v>
      </c>
    </row>
    <row r="195" spans="1:8" x14ac:dyDescent="0.35">
      <c r="A195" s="83">
        <v>30188</v>
      </c>
      <c r="B195" s="83" t="s">
        <v>374</v>
      </c>
      <c r="C195" s="83" t="s">
        <v>7</v>
      </c>
      <c r="D195" s="84">
        <v>330500000</v>
      </c>
      <c r="E195" s="84">
        <v>330500000</v>
      </c>
      <c r="F195" s="84">
        <v>0</v>
      </c>
      <c r="G195" s="84">
        <v>0</v>
      </c>
      <c r="H195" s="1">
        <f t="shared" ref="H195:H217" si="3">D195-E195</f>
        <v>0</v>
      </c>
    </row>
    <row r="196" spans="1:8" x14ac:dyDescent="0.35">
      <c r="A196" s="81">
        <v>10130</v>
      </c>
      <c r="B196" s="81" t="s">
        <v>454</v>
      </c>
      <c r="C196" s="81" t="s">
        <v>7</v>
      </c>
      <c r="D196" s="82">
        <v>156500000</v>
      </c>
      <c r="E196" s="82">
        <v>156500000</v>
      </c>
      <c r="F196" s="82">
        <v>0</v>
      </c>
      <c r="G196" s="82">
        <v>0</v>
      </c>
      <c r="H196" s="1">
        <f t="shared" si="3"/>
        <v>0</v>
      </c>
    </row>
    <row r="197" spans="1:8" x14ac:dyDescent="0.35">
      <c r="A197" s="83">
        <v>10131</v>
      </c>
      <c r="B197" s="83" t="s">
        <v>455</v>
      </c>
      <c r="C197" s="83" t="s">
        <v>7</v>
      </c>
      <c r="D197" s="84">
        <v>291002000</v>
      </c>
      <c r="E197" s="84">
        <v>292196000</v>
      </c>
      <c r="F197" s="84">
        <v>0</v>
      </c>
      <c r="G197" s="84">
        <v>1194000</v>
      </c>
      <c r="H197" s="1">
        <f t="shared" si="3"/>
        <v>-1194000</v>
      </c>
    </row>
    <row r="198" spans="1:8" x14ac:dyDescent="0.35">
      <c r="A198" s="81">
        <v>10133</v>
      </c>
      <c r="B198" s="81" t="s">
        <v>461</v>
      </c>
      <c r="C198" s="81" t="s">
        <v>7</v>
      </c>
      <c r="D198" s="82">
        <v>11645164000</v>
      </c>
      <c r="E198" s="82">
        <v>12894203000</v>
      </c>
      <c r="F198" s="82">
        <v>0</v>
      </c>
      <c r="G198" s="82">
        <v>1249039000</v>
      </c>
      <c r="H198" s="1">
        <f t="shared" si="3"/>
        <v>-1249039000</v>
      </c>
    </row>
    <row r="199" spans="1:8" x14ac:dyDescent="0.35">
      <c r="A199" s="83">
        <v>30192</v>
      </c>
      <c r="B199" s="83" t="s">
        <v>463</v>
      </c>
      <c r="C199" s="83" t="s">
        <v>7</v>
      </c>
      <c r="D199" s="84">
        <v>114450000</v>
      </c>
      <c r="E199" s="84">
        <v>114450000</v>
      </c>
      <c r="F199" s="84">
        <v>0</v>
      </c>
      <c r="G199" s="84">
        <v>0</v>
      </c>
      <c r="H199" s="1">
        <f t="shared" si="3"/>
        <v>0</v>
      </c>
    </row>
    <row r="200" spans="1:8" x14ac:dyDescent="0.35">
      <c r="A200" s="81">
        <v>30194</v>
      </c>
      <c r="B200" s="81" t="s">
        <v>470</v>
      </c>
      <c r="C200" s="81" t="s">
        <v>7</v>
      </c>
      <c r="D200" s="82">
        <v>695833750</v>
      </c>
      <c r="E200" s="82">
        <v>695833750</v>
      </c>
      <c r="F200" s="82">
        <v>0</v>
      </c>
      <c r="G200" s="82">
        <v>0</v>
      </c>
      <c r="H200" s="1">
        <f t="shared" si="3"/>
        <v>0</v>
      </c>
    </row>
    <row r="201" spans="1:8" x14ac:dyDescent="0.35">
      <c r="A201" s="83">
        <v>10134</v>
      </c>
      <c r="B201" s="83" t="s">
        <v>471</v>
      </c>
      <c r="C201" s="83" t="s">
        <v>7</v>
      </c>
      <c r="D201" s="84">
        <v>96540000</v>
      </c>
      <c r="E201" s="84">
        <v>96540000</v>
      </c>
      <c r="F201" s="84">
        <v>0</v>
      </c>
      <c r="G201" s="84">
        <v>0</v>
      </c>
      <c r="H201" s="1">
        <f t="shared" si="3"/>
        <v>0</v>
      </c>
    </row>
    <row r="202" spans="1:8" x14ac:dyDescent="0.35">
      <c r="A202" s="81">
        <v>30195</v>
      </c>
      <c r="B202" s="81" t="s">
        <v>475</v>
      </c>
      <c r="C202" s="81" t="s">
        <v>7</v>
      </c>
      <c r="D202" s="82">
        <v>3093703000</v>
      </c>
      <c r="E202" s="82">
        <v>3095564000</v>
      </c>
      <c r="F202" s="82">
        <v>0</v>
      </c>
      <c r="G202" s="82">
        <v>1861000</v>
      </c>
      <c r="H202" s="1">
        <f t="shared" si="3"/>
        <v>-1861000</v>
      </c>
    </row>
    <row r="203" spans="1:8" x14ac:dyDescent="0.35">
      <c r="A203" s="83">
        <v>10135</v>
      </c>
      <c r="B203" s="83" t="s">
        <v>482</v>
      </c>
      <c r="C203" s="83" t="s">
        <v>7</v>
      </c>
      <c r="D203" s="84">
        <v>317000000</v>
      </c>
      <c r="E203" s="84">
        <v>317000000</v>
      </c>
      <c r="F203" s="84">
        <v>0</v>
      </c>
      <c r="G203" s="84">
        <v>0</v>
      </c>
      <c r="H203" s="1">
        <f t="shared" si="3"/>
        <v>0</v>
      </c>
    </row>
    <row r="204" spans="1:8" x14ac:dyDescent="0.35">
      <c r="A204" s="81">
        <v>10136</v>
      </c>
      <c r="B204" s="81" t="s">
        <v>545</v>
      </c>
      <c r="C204" s="81" t="s">
        <v>7</v>
      </c>
      <c r="D204" s="82">
        <v>2677328000</v>
      </c>
      <c r="E204" s="82">
        <v>2677328000</v>
      </c>
      <c r="F204" s="82">
        <v>0</v>
      </c>
      <c r="G204" s="82">
        <v>0</v>
      </c>
      <c r="H204" s="1">
        <f t="shared" si="3"/>
        <v>0</v>
      </c>
    </row>
    <row r="205" spans="1:8" x14ac:dyDescent="0.35">
      <c r="A205" s="83">
        <v>30197</v>
      </c>
      <c r="B205" s="83" t="s">
        <v>484</v>
      </c>
      <c r="C205" s="83" t="s">
        <v>7</v>
      </c>
      <c r="D205" s="84">
        <v>262717250</v>
      </c>
      <c r="E205" s="84">
        <v>262717250</v>
      </c>
      <c r="F205" s="84">
        <v>0</v>
      </c>
      <c r="G205" s="84">
        <v>0</v>
      </c>
      <c r="H205" s="1">
        <f t="shared" si="3"/>
        <v>0</v>
      </c>
    </row>
    <row r="206" spans="1:8" x14ac:dyDescent="0.35">
      <c r="A206" s="81">
        <v>30198</v>
      </c>
      <c r="B206" s="81" t="s">
        <v>494</v>
      </c>
      <c r="C206" s="81" t="s">
        <v>7</v>
      </c>
      <c r="D206" s="82">
        <v>2939479850</v>
      </c>
      <c r="E206" s="82">
        <v>2939479850</v>
      </c>
      <c r="F206" s="82">
        <v>0</v>
      </c>
      <c r="G206" s="82">
        <v>0</v>
      </c>
      <c r="H206" s="1">
        <f t="shared" si="3"/>
        <v>0</v>
      </c>
    </row>
    <row r="207" spans="1:8" x14ac:dyDescent="0.35">
      <c r="A207" s="83">
        <v>10138</v>
      </c>
      <c r="B207" s="83" t="s">
        <v>510</v>
      </c>
      <c r="C207" s="83" t="s">
        <v>7</v>
      </c>
      <c r="D207" s="84">
        <v>128000000</v>
      </c>
      <c r="E207" s="84">
        <v>128000000</v>
      </c>
      <c r="F207" s="84">
        <v>0</v>
      </c>
      <c r="G207" s="84">
        <v>0</v>
      </c>
      <c r="H207" s="1">
        <f t="shared" si="3"/>
        <v>0</v>
      </c>
    </row>
    <row r="208" spans="1:8" x14ac:dyDescent="0.35">
      <c r="A208" s="81">
        <v>30200</v>
      </c>
      <c r="B208" s="81" t="s">
        <v>511</v>
      </c>
      <c r="C208" s="81" t="s">
        <v>7</v>
      </c>
      <c r="D208" s="82">
        <v>4461037500</v>
      </c>
      <c r="E208" s="82">
        <v>4461047500</v>
      </c>
      <c r="F208" s="82">
        <v>0</v>
      </c>
      <c r="G208" s="82">
        <v>10000</v>
      </c>
      <c r="H208" s="1">
        <f t="shared" si="3"/>
        <v>-10000</v>
      </c>
    </row>
    <row r="209" spans="1:8" x14ac:dyDescent="0.35">
      <c r="A209" s="83">
        <v>30201</v>
      </c>
      <c r="B209" s="83" t="s">
        <v>516</v>
      </c>
      <c r="C209" s="83" t="s">
        <v>7</v>
      </c>
      <c r="D209" s="84">
        <v>289460000</v>
      </c>
      <c r="E209" s="84">
        <v>289460000</v>
      </c>
      <c r="F209" s="84">
        <v>0</v>
      </c>
      <c r="G209" s="84">
        <v>0</v>
      </c>
      <c r="H209" s="1">
        <f t="shared" si="3"/>
        <v>0</v>
      </c>
    </row>
    <row r="210" spans="1:8" x14ac:dyDescent="0.35">
      <c r="A210" s="81">
        <v>10139</v>
      </c>
      <c r="B210" s="81" t="s">
        <v>517</v>
      </c>
      <c r="C210" s="81" t="s">
        <v>7</v>
      </c>
      <c r="D210" s="82">
        <v>847134000</v>
      </c>
      <c r="E210" s="82">
        <v>1114327000</v>
      </c>
      <c r="F210" s="82">
        <v>0</v>
      </c>
      <c r="G210" s="82">
        <v>267193000</v>
      </c>
      <c r="H210" s="1">
        <f t="shared" si="3"/>
        <v>-267193000</v>
      </c>
    </row>
    <row r="211" spans="1:8" x14ac:dyDescent="0.35">
      <c r="A211" s="83">
        <v>10140</v>
      </c>
      <c r="B211" s="83" t="s">
        <v>522</v>
      </c>
      <c r="C211" s="83" t="s">
        <v>7</v>
      </c>
      <c r="D211" s="84">
        <v>1031300000</v>
      </c>
      <c r="E211" s="84">
        <v>1031300000</v>
      </c>
      <c r="F211" s="84">
        <v>0</v>
      </c>
      <c r="G211" s="84">
        <v>0</v>
      </c>
      <c r="H211" s="1">
        <f t="shared" si="3"/>
        <v>0</v>
      </c>
    </row>
    <row r="212" spans="1:8" x14ac:dyDescent="0.35">
      <c r="A212" s="81">
        <v>30202</v>
      </c>
      <c r="B212" s="81" t="s">
        <v>521</v>
      </c>
      <c r="C212" s="81" t="s">
        <v>7</v>
      </c>
      <c r="D212" s="82">
        <v>83460000</v>
      </c>
      <c r="E212" s="82">
        <v>83460000</v>
      </c>
      <c r="F212" s="82">
        <v>0</v>
      </c>
      <c r="G212" s="82">
        <v>0</v>
      </c>
      <c r="H212" s="1">
        <f t="shared" si="3"/>
        <v>0</v>
      </c>
    </row>
    <row r="213" spans="1:8" x14ac:dyDescent="0.35">
      <c r="A213" s="83">
        <v>30203</v>
      </c>
      <c r="B213" s="83" t="s">
        <v>528</v>
      </c>
      <c r="C213" s="83" t="s">
        <v>7</v>
      </c>
      <c r="D213" s="84">
        <v>101268000</v>
      </c>
      <c r="E213" s="84">
        <v>101268000</v>
      </c>
      <c r="F213" s="84">
        <v>0</v>
      </c>
      <c r="G213" s="84">
        <v>0</v>
      </c>
      <c r="H213" s="1">
        <f t="shared" si="3"/>
        <v>0</v>
      </c>
    </row>
    <row r="214" spans="1:8" x14ac:dyDescent="0.35">
      <c r="A214" s="81">
        <v>30204</v>
      </c>
      <c r="B214" s="81" t="s">
        <v>527</v>
      </c>
      <c r="C214" s="81" t="s">
        <v>7</v>
      </c>
      <c r="D214" s="82">
        <v>115170000</v>
      </c>
      <c r="E214" s="82">
        <v>1470000000</v>
      </c>
      <c r="F214" s="82">
        <v>0</v>
      </c>
      <c r="G214" s="82">
        <v>1354830000</v>
      </c>
      <c r="H214" s="1">
        <f t="shared" si="3"/>
        <v>-1354830000</v>
      </c>
    </row>
    <row r="215" spans="1:8" x14ac:dyDescent="0.35">
      <c r="A215" s="83">
        <v>30205</v>
      </c>
      <c r="B215" s="83" t="s">
        <v>526</v>
      </c>
      <c r="C215" s="83" t="s">
        <v>7</v>
      </c>
      <c r="D215" s="84">
        <v>1330685080</v>
      </c>
      <c r="E215" s="84">
        <v>1396699400</v>
      </c>
      <c r="F215" s="84">
        <v>0</v>
      </c>
      <c r="G215" s="84">
        <v>66014320</v>
      </c>
      <c r="H215" s="1">
        <f t="shared" si="3"/>
        <v>-66014320</v>
      </c>
    </row>
    <row r="216" spans="1:8" x14ac:dyDescent="0.35">
      <c r="A216" s="81">
        <v>79313</v>
      </c>
      <c r="B216" s="81" t="s">
        <v>537</v>
      </c>
      <c r="C216" s="81" t="s">
        <v>7</v>
      </c>
      <c r="D216" s="82">
        <v>1974960000</v>
      </c>
      <c r="E216" s="82">
        <v>1974960000</v>
      </c>
      <c r="F216" s="82">
        <v>0</v>
      </c>
      <c r="G216" s="82">
        <v>0</v>
      </c>
      <c r="H216" s="1">
        <f t="shared" si="3"/>
        <v>0</v>
      </c>
    </row>
    <row r="217" spans="1:8" x14ac:dyDescent="0.35">
      <c r="A217" s="81" t="s">
        <v>3</v>
      </c>
      <c r="B217" s="81" t="s">
        <v>3</v>
      </c>
      <c r="C217" s="81" t="s">
        <v>3</v>
      </c>
      <c r="D217" s="82">
        <v>2779413482300</v>
      </c>
      <c r="E217" s="82">
        <v>2702330666518</v>
      </c>
      <c r="F217" s="82">
        <v>138914723781</v>
      </c>
      <c r="G217" s="82">
        <v>61831907999</v>
      </c>
      <c r="H217" s="1">
        <f t="shared" si="3"/>
        <v>77082815782</v>
      </c>
    </row>
  </sheetData>
  <sortState xmlns:xlrd2="http://schemas.microsoft.com/office/spreadsheetml/2017/richdata2" ref="A2:H212">
    <sortCondition ref="A1"/>
  </sortState>
  <pageMargins left="0.25" right="0.25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72"/>
  <sheetViews>
    <sheetView rightToLeft="1" topLeftCell="A19" workbookViewId="0">
      <selection activeCell="F28" sqref="F28"/>
    </sheetView>
  </sheetViews>
  <sheetFormatPr defaultColWidth="9.08984375" defaultRowHeight="24.75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4" width="20.6328125" style="3" customWidth="1"/>
    <col min="5" max="5" width="22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8.25" customHeight="1" thickBot="1" x14ac:dyDescent="0.4">
      <c r="A1" s="97" t="s">
        <v>519</v>
      </c>
      <c r="B1" s="98"/>
      <c r="C1" s="98"/>
      <c r="D1" s="98"/>
      <c r="E1" s="98"/>
      <c r="F1" s="98"/>
      <c r="G1" s="99"/>
    </row>
    <row r="2" spans="1:7" s="2" customFormat="1" ht="4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.75" customHeight="1" x14ac:dyDescent="0.35">
      <c r="A3" s="27">
        <v>30127</v>
      </c>
      <c r="B3" s="55" t="s">
        <v>163</v>
      </c>
      <c r="C3" s="10">
        <f>IFERROR(INDEX('حسابهای دریافتنی'!H:H,MATCH(Table226[[#This Row],[كد تفصيلي]],'حسابهای دریافتنی'!A:A,0)),0)</f>
        <v>31800110000</v>
      </c>
      <c r="D3" s="11">
        <f>IFERROR(INDEX('درجریان وصول'!F:F,MATCH(Table226[[#This Row],[كد تفصيلي]],'درجریان وصول'!A:A,0)),0)</f>
        <v>0</v>
      </c>
      <c r="E3" s="11">
        <f>IFERROR(INDEX('چکهای دریافتنی'!F:F,MATCH(Table226[[#This Row],[كد تفصيلي]],'چکهای دریافتنی'!A:A,0)),0)</f>
        <v>0</v>
      </c>
      <c r="F3" s="11">
        <f>Table226[[#This Row],[حسابهای دریافتنی]]+Table226[[#This Row],[چکهای در جریان وصول]]+Table226[[#This Row],[چکهای نزد صندوق]]</f>
        <v>31800110000</v>
      </c>
      <c r="G3" s="12">
        <f>IFERROR(INDEX('مانده سوفاله'!F:F,MATCH(Table226[[#This Row],[كد تفصيلي]],'مانده سوفاله'!A:A,0)),0)</f>
        <v>-18472</v>
      </c>
    </row>
    <row r="4" spans="1:7" ht="24.75" customHeight="1" x14ac:dyDescent="0.35">
      <c r="A4" s="26">
        <v>10003</v>
      </c>
      <c r="B4" s="56" t="s">
        <v>10</v>
      </c>
      <c r="C4" s="10">
        <f>IFERROR(INDEX('حسابهای دریافتنی'!H:H,MATCH(Table226[[#This Row],[كد تفصيلي]],'حسابهای دریافتنی'!A:A,0)),0)</f>
        <v>10804267992</v>
      </c>
      <c r="D4" s="11">
        <f>IFERROR(INDEX('درجریان وصول'!F:F,MATCH(Table226[[#This Row],[كد تفصيلي]],'درجریان وصول'!A:A,0)),0)</f>
        <v>0</v>
      </c>
      <c r="E4" s="11">
        <f>IFERROR(INDEX('چکهای دریافتنی'!F:F,MATCH(Table226[[#This Row],[كد تفصيلي]],'چکهای دریافتنی'!A:A,0)),0)</f>
        <v>13698001280</v>
      </c>
      <c r="F4" s="11">
        <f>Table226[[#This Row],[حسابهای دریافتنی]]+Table226[[#This Row],[چکهای در جریان وصول]]+Table226[[#This Row],[چکهای نزد صندوق]]</f>
        <v>24502269272</v>
      </c>
      <c r="G4" s="12">
        <f>IFERROR(INDEX('مانده سوفاله'!F:F,MATCH(Table226[[#This Row],[كد تفصيلي]],'مانده سوفاله'!A:A,0)),0)</f>
        <v>-39886</v>
      </c>
    </row>
    <row r="5" spans="1:7" ht="24.75" customHeight="1" x14ac:dyDescent="0.35">
      <c r="A5" s="27">
        <v>30004</v>
      </c>
      <c r="B5" s="55" t="s">
        <v>54</v>
      </c>
      <c r="C5" s="10">
        <f>IFERROR(INDEX('حسابهای دریافتنی'!H:H,MATCH(Table226[[#This Row],[كد تفصيلي]],'حسابهای دریافتنی'!A:A,0)),0)</f>
        <v>7598548260</v>
      </c>
      <c r="D5" s="11">
        <f>IFERROR(INDEX('درجریان وصول'!F:F,MATCH(Table226[[#This Row],[كد تفصيلي]],'درجریان وصول'!A:A,0)),0)</f>
        <v>0</v>
      </c>
      <c r="E5" s="11">
        <f>IFERROR(INDEX('چکهای دریافتنی'!F:F,MATCH(Table226[[#This Row],[كد تفصيلي]],'چکهای دریافتنی'!A:A,0)),0)</f>
        <v>11698760000</v>
      </c>
      <c r="F5" s="11">
        <f>Table226[[#This Row],[حسابهای دریافتنی]]+Table226[[#This Row],[چکهای در جریان وصول]]+Table226[[#This Row],[چکهای نزد صندوق]]</f>
        <v>19297308260</v>
      </c>
      <c r="G5" s="12">
        <f>IFERROR(INDEX('مانده سوفاله'!F:F,MATCH(Table226[[#This Row],[كد تفصيلي]],'مانده سوفاله'!A:A,0)),0)</f>
        <v>-4237</v>
      </c>
    </row>
    <row r="6" spans="1:7" ht="24.75" customHeight="1" x14ac:dyDescent="0.35">
      <c r="A6" s="27">
        <v>10026</v>
      </c>
      <c r="B6" s="55" t="s">
        <v>32</v>
      </c>
      <c r="C6" s="10">
        <f>IFERROR(INDEX('حسابهای دریافتنی'!H:H,MATCH(Table226[[#This Row],[كد تفصيلي]],'حسابهای دریافتنی'!A:A,0)),0)</f>
        <v>3795031844</v>
      </c>
      <c r="D6" s="11">
        <f>IFERROR(INDEX('درجریان وصول'!F:F,MATCH(Table226[[#This Row],[كد تفصيلي]],'درجریان وصول'!A:A,0)),0)</f>
        <v>0</v>
      </c>
      <c r="E6" s="11">
        <f>IFERROR(INDEX('چکهای دریافتنی'!F:F,MATCH(Table226[[#This Row],[كد تفصيلي]],'چکهای دریافتنی'!A:A,0)),0)</f>
        <v>2690000000</v>
      </c>
      <c r="F6" s="11">
        <f>Table226[[#This Row],[حسابهای دریافتنی]]+Table226[[#This Row],[چکهای در جریان وصول]]+Table226[[#This Row],[چکهای نزد صندوق]]</f>
        <v>6485031844</v>
      </c>
      <c r="G6" s="12">
        <f>IFERROR(INDEX('مانده سوفاله'!F:F,MATCH(Table226[[#This Row],[كد تفصيلي]],'مانده سوفاله'!A:A,0)),0)</f>
        <v>-12543</v>
      </c>
    </row>
    <row r="7" spans="1:7" ht="24.75" customHeight="1" x14ac:dyDescent="0.35">
      <c r="A7" s="26">
        <v>30066</v>
      </c>
      <c r="B7" s="56" t="s">
        <v>111</v>
      </c>
      <c r="C7" s="10">
        <f>IFERROR(INDEX('حسابهای دریافتنی'!H:H,MATCH(Table226[[#This Row],[كد تفصيلي]],'حسابهای دریافتنی'!A:A,0)),0)</f>
        <v>6484147500</v>
      </c>
      <c r="D7" s="11">
        <f>IFERROR(INDEX('درجریان وصول'!F:F,MATCH(Table226[[#This Row],[كد تفصيلي]],'درجریان وصول'!A:A,0)),0)</f>
        <v>0</v>
      </c>
      <c r="E7" s="11">
        <f>IFERROR(INDEX('چکهای دریافتنی'!F:F,MATCH(Table226[[#This Row],[كد تفصيلي]],'چکهای دریافتنی'!A:A,0)),0)</f>
        <v>0</v>
      </c>
      <c r="F7" s="11">
        <f>Table226[[#This Row],[حسابهای دریافتنی]]+Table226[[#This Row],[چکهای در جریان وصول]]+Table226[[#This Row],[چکهای نزد صندوق]]</f>
        <v>6484147500</v>
      </c>
      <c r="G7" s="12">
        <f>IFERROR(INDEX('مانده سوفاله'!F:F,MATCH(Table226[[#This Row],[كد تفصيلي]],'مانده سوفاله'!A:A,0)),0)</f>
        <v>-1320</v>
      </c>
    </row>
    <row r="8" spans="1:7" ht="24.75" customHeight="1" x14ac:dyDescent="0.35">
      <c r="A8" s="27">
        <v>50016</v>
      </c>
      <c r="B8" s="55" t="s">
        <v>160</v>
      </c>
      <c r="C8" s="10">
        <f>IFERROR(INDEX('حسابهای دریافتنی'!H:H,MATCH(Table226[[#This Row],[كد تفصيلي]],'حسابهای دریافتنی'!A:A,0)),0)</f>
        <v>6344545550</v>
      </c>
      <c r="D8" s="11">
        <f>IFERROR(INDEX('درجریان وصول'!F:F,MATCH(Table226[[#This Row],[كد تفصيلي]],'درجریان وصول'!A:A,0)),0)</f>
        <v>0</v>
      </c>
      <c r="E8" s="11">
        <f>IFERROR(INDEX('چکهای دریافتنی'!F:F,MATCH(Table226[[#This Row],[كد تفصيلي]],'چکهای دریافتنی'!A:A,0)),0)</f>
        <v>0</v>
      </c>
      <c r="F8" s="11">
        <f>Table226[[#This Row],[حسابهای دریافتنی]]+Table226[[#This Row],[چکهای در جریان وصول]]+Table226[[#This Row],[چکهای نزد صندوق]]</f>
        <v>6344545550</v>
      </c>
      <c r="G8" s="12">
        <f>IFERROR(INDEX('مانده سوفاله'!F:F,MATCH(Table226[[#This Row],[كد تفصيلي]],'مانده سوفاله'!A:A,0)),0)</f>
        <v>5508</v>
      </c>
    </row>
    <row r="9" spans="1:7" ht="24.75" customHeight="1" x14ac:dyDescent="0.35">
      <c r="A9" s="26">
        <v>10055</v>
      </c>
      <c r="B9" s="56" t="s">
        <v>162</v>
      </c>
      <c r="C9" s="10">
        <f>IFERROR(INDEX('حسابهای دریافتنی'!H:H,MATCH(Table226[[#This Row],[كد تفصيلي]],'حسابهای دریافتنی'!A:A,0)),0)</f>
        <v>10460111325</v>
      </c>
      <c r="D9" s="11">
        <f>IFERROR(INDEX('درجریان وصول'!F:F,MATCH(Table226[[#This Row],[كد تفصيلي]],'درجریان وصول'!A:A,0)),0)</f>
        <v>0</v>
      </c>
      <c r="E9" s="11">
        <f>IFERROR(INDEX('چکهای دریافتنی'!F:F,MATCH(Table226[[#This Row],[كد تفصيلي]],'چکهای دریافتنی'!A:A,0)),0)</f>
        <v>2783298655</v>
      </c>
      <c r="F9" s="11">
        <f>Table226[[#This Row],[حسابهای دریافتنی]]+Table226[[#This Row],[چکهای در جریان وصول]]+Table226[[#This Row],[چکهای نزد صندوق]]</f>
        <v>13243409980</v>
      </c>
      <c r="G9" s="12">
        <f>IFERROR(INDEX('مانده سوفاله'!F:F,MATCH(Table226[[#This Row],[كد تفصيلي]],'مانده سوفاله'!A:A,0)),0)</f>
        <v>-12714</v>
      </c>
    </row>
    <row r="10" spans="1:7" ht="24.75" customHeight="1" x14ac:dyDescent="0.35">
      <c r="A10" s="27">
        <v>10056</v>
      </c>
      <c r="B10" s="55" t="s">
        <v>166</v>
      </c>
      <c r="C10" s="10">
        <f>IFERROR(INDEX('حسابهای دریافتنی'!H:H,MATCH(Table226[[#This Row],[كد تفصيلي]],'حسابهای دریافتنی'!A:A,0)),0)</f>
        <v>812653500</v>
      </c>
      <c r="D10" s="11">
        <f>IFERROR(INDEX('درجریان وصول'!F:F,MATCH(Table226[[#This Row],[كد تفصيلي]],'درجریان وصول'!A:A,0)),0)</f>
        <v>0</v>
      </c>
      <c r="E10" s="11">
        <f>IFERROR(INDEX('چکهای دریافتنی'!F:F,MATCH(Table226[[#This Row],[كد تفصيلي]],'چکهای دریافتنی'!A:A,0)),0)</f>
        <v>0</v>
      </c>
      <c r="F10" s="11">
        <f>Table226[[#This Row],[حسابهای دریافتنی]]+Table226[[#This Row],[چکهای در جریان وصول]]+Table226[[#This Row],[چکهای نزد صندوق]]</f>
        <v>812653500</v>
      </c>
      <c r="G10" s="12">
        <f>IFERROR(INDEX('مانده سوفاله'!F:F,MATCH(Table226[[#This Row],[كد تفصيلي]],'مانده سوفاله'!A:A,0)),0)</f>
        <v>0</v>
      </c>
    </row>
    <row r="11" spans="1:7" ht="24.75" customHeight="1" x14ac:dyDescent="0.35">
      <c r="A11" s="26">
        <v>30009</v>
      </c>
      <c r="B11" s="56" t="s">
        <v>164</v>
      </c>
      <c r="C11" s="10">
        <f>IFERROR(INDEX('حسابهای دریافتنی'!H:H,MATCH(Table226[[#This Row],[كد تفصيلي]],'حسابهای دریافتنی'!A:A,0)),0)</f>
        <v>7853844277</v>
      </c>
      <c r="D11" s="11">
        <f>IFERROR(INDEX('درجریان وصول'!F:F,MATCH(Table226[[#This Row],[كد تفصيلي]],'درجریان وصول'!A:A,0)),0)</f>
        <v>0</v>
      </c>
      <c r="E11" s="11">
        <f>IFERROR(INDEX('چکهای دریافتنی'!F:F,MATCH(Table226[[#This Row],[كد تفصيلي]],'چکهای دریافتنی'!A:A,0)),0)</f>
        <v>6474835380</v>
      </c>
      <c r="F11" s="11">
        <f>Table226[[#This Row],[حسابهای دریافتنی]]+Table226[[#This Row],[چکهای در جریان وصول]]+Table226[[#This Row],[چکهای نزد صندوق]]</f>
        <v>14328679657</v>
      </c>
      <c r="G11" s="12">
        <f>IFERROR(INDEX('مانده سوفاله'!F:F,MATCH(Table226[[#This Row],[كد تفصيلي]],'مانده سوفاله'!A:A,0)),0)</f>
        <v>-11452</v>
      </c>
    </row>
    <row r="12" spans="1:7" ht="24.75" customHeight="1" x14ac:dyDescent="0.35">
      <c r="A12" s="27">
        <v>30099</v>
      </c>
      <c r="B12" s="55" t="s">
        <v>167</v>
      </c>
      <c r="C12" s="10">
        <f>IFERROR(INDEX('حسابهای دریافتنی'!H:H,MATCH(Table226[[#This Row],[كد تفصيلي]],'حسابهای دریافتنی'!A:A,0)),0)</f>
        <v>1398393484</v>
      </c>
      <c r="D12" s="11">
        <f>IFERROR(INDEX('درجریان وصول'!F:F,MATCH(Table226[[#This Row],[كد تفصيلي]],'درجریان وصول'!A:A,0)),0)</f>
        <v>0</v>
      </c>
      <c r="E12" s="11">
        <f>IFERROR(INDEX('چکهای دریافتنی'!F:F,MATCH(Table226[[#This Row],[كد تفصيلي]],'چکهای دریافتنی'!A:A,0)),0)</f>
        <v>583000000</v>
      </c>
      <c r="F12" s="11">
        <f>Table226[[#This Row],[حسابهای دریافتنی]]+Table226[[#This Row],[چکهای در جریان وصول]]+Table226[[#This Row],[چکهای نزد صندوق]]</f>
        <v>1981393484</v>
      </c>
      <c r="G12" s="12">
        <f>IFERROR(INDEX('مانده سوفاله'!F:F,MATCH(Table226[[#This Row],[كد تفصيلي]],'مانده سوفاله'!A:A,0)),0)</f>
        <v>-332</v>
      </c>
    </row>
    <row r="13" spans="1:7" ht="24.75" customHeight="1" x14ac:dyDescent="0.35">
      <c r="A13" s="26">
        <v>30140</v>
      </c>
      <c r="B13" s="56" t="s">
        <v>259</v>
      </c>
      <c r="C13" s="10">
        <f>IFERROR(INDEX('حسابهای دریافتنی'!H:H,MATCH(Table226[[#This Row],[كد تفصيلي]],'حسابهای دریافتنی'!A:A,0)),0)</f>
        <v>553728200</v>
      </c>
      <c r="D13" s="11">
        <f>IFERROR(INDEX('درجریان وصول'!F:F,MATCH(Table226[[#This Row],[كد تفصيلي]],'درجریان وصول'!A:A,0)),0)</f>
        <v>0</v>
      </c>
      <c r="E13" s="11">
        <f>IFERROR(INDEX('چکهای دریافتنی'!F:F,MATCH(Table226[[#This Row],[كد تفصيلي]],'چکهای دریافتنی'!A:A,0)),0)</f>
        <v>1030000000</v>
      </c>
      <c r="F13" s="11">
        <f>Table226[[#This Row],[حسابهای دریافتنی]]+Table226[[#This Row],[چکهای در جریان وصول]]+Table226[[#This Row],[چکهای نزد صندوق]]</f>
        <v>1583728200</v>
      </c>
      <c r="G13" s="12">
        <f>IFERROR(INDEX('مانده سوفاله'!F:F,MATCH(Table226[[#This Row],[كد تفصيلي]],'مانده سوفاله'!A:A,0)),0)</f>
        <v>-12630</v>
      </c>
    </row>
    <row r="14" spans="1:7" ht="24.75" customHeight="1" x14ac:dyDescent="0.35">
      <c r="A14" s="27">
        <v>30022</v>
      </c>
      <c r="B14" s="55" t="s">
        <v>70</v>
      </c>
      <c r="C14" s="10">
        <f>IFERROR(INDEX('حسابهای دریافتنی'!H:H,MATCH(Table226[[#This Row],[كد تفصيلي]],'حسابهای دریافتنی'!A:A,0)),0)</f>
        <v>2933770530</v>
      </c>
      <c r="D14" s="11">
        <f>IFERROR(INDEX('درجریان وصول'!F:F,MATCH(Table226[[#This Row],[كد تفصيلي]],'درجریان وصول'!A:A,0)),0)</f>
        <v>0</v>
      </c>
      <c r="E14" s="11">
        <f>IFERROR(INDEX('چکهای دریافتنی'!F:F,MATCH(Table226[[#This Row],[كد تفصيلي]],'چکهای دریافتنی'!A:A,0)),0)</f>
        <v>0</v>
      </c>
      <c r="F14" s="11">
        <f>Table226[[#This Row],[حسابهای دریافتنی]]+Table226[[#This Row],[چکهای در جریان وصول]]+Table226[[#This Row],[چکهای نزد صندوق]]</f>
        <v>2933770530</v>
      </c>
      <c r="G14" s="12">
        <f>IFERROR(INDEX('مانده سوفاله'!F:F,MATCH(Table226[[#This Row],[كد تفصيلي]],'مانده سوفاله'!A:A,0)),0)</f>
        <v>-14747</v>
      </c>
    </row>
    <row r="15" spans="1:7" ht="24.75" customHeight="1" x14ac:dyDescent="0.35">
      <c r="A15" s="27">
        <v>30014</v>
      </c>
      <c r="B15" s="55" t="s">
        <v>63</v>
      </c>
      <c r="C15" s="10">
        <f>IFERROR(INDEX('حسابهای دریافتنی'!H:H,MATCH(Table226[[#This Row],[كد تفصيلي]],'حسابهای دریافتنی'!A:A,0)),0)</f>
        <v>1762223932</v>
      </c>
      <c r="D15" s="11">
        <f>IFERROR(INDEX('درجریان وصول'!F:F,MATCH(Table226[[#This Row],[كد تفصيلي]],'درجریان وصول'!A:A,0)),0)</f>
        <v>0</v>
      </c>
      <c r="E15" s="11">
        <f>IFERROR(INDEX('چکهای دریافتنی'!F:F,MATCH(Table226[[#This Row],[كد تفصيلي]],'چکهای دریافتنی'!A:A,0)),0)</f>
        <v>0</v>
      </c>
      <c r="F15" s="11">
        <f>Table226[[#This Row],[حسابهای دریافتنی]]+Table226[[#This Row],[چکهای در جریان وصول]]+Table226[[#This Row],[چکهای نزد صندوق]]</f>
        <v>1762223932</v>
      </c>
      <c r="G15" s="12">
        <f>IFERROR(INDEX('مانده سوفاله'!F:F,MATCH(Table226[[#This Row],[كد تفصيلي]],'مانده سوفاله'!A:A,0)),0)</f>
        <v>-1368</v>
      </c>
    </row>
    <row r="16" spans="1:7" ht="24.75" customHeight="1" x14ac:dyDescent="0.35">
      <c r="A16" s="27">
        <v>30081</v>
      </c>
      <c r="B16" s="55" t="s">
        <v>126</v>
      </c>
      <c r="C16" s="10">
        <f>IFERROR(INDEX('حسابهای دریافتنی'!H:H,MATCH(Table226[[#This Row],[كد تفصيلي]],'حسابهای دریافتنی'!A:A,0)),0)</f>
        <v>1148992373</v>
      </c>
      <c r="D16" s="11">
        <f>IFERROR(INDEX('درجریان وصول'!F:F,MATCH(Table226[[#This Row],[كد تفصيلي]],'درجریان وصول'!A:A,0)),0)</f>
        <v>0</v>
      </c>
      <c r="E16" s="11">
        <f>IFERROR(INDEX('چکهای دریافتنی'!F:F,MATCH(Table226[[#This Row],[كد تفصيلي]],'چکهای دریافتنی'!A:A,0)),0)</f>
        <v>0</v>
      </c>
      <c r="F16" s="11">
        <f>Table226[[#This Row],[حسابهای دریافتنی]]+Table226[[#This Row],[چکهای در جریان وصول]]+Table226[[#This Row],[چکهای نزد صندوق]]</f>
        <v>1148992373</v>
      </c>
      <c r="G16" s="12">
        <f>IFERROR(INDEX('مانده سوفاله'!F:F,MATCH(Table226[[#This Row],[كد تفصيلي]],'مانده سوفاله'!A:A,0)),0)</f>
        <v>-6924</v>
      </c>
    </row>
    <row r="17" spans="1:7" ht="24.75" customHeight="1" x14ac:dyDescent="0.35">
      <c r="A17" s="26">
        <v>30017</v>
      </c>
      <c r="B17" s="56" t="s">
        <v>65</v>
      </c>
      <c r="C17" s="10">
        <f>IFERROR(INDEX('حسابهای دریافتنی'!H:H,MATCH(Table226[[#This Row],[كد تفصيلي]],'حسابهای دریافتنی'!A:A,0)),0)</f>
        <v>905000830</v>
      </c>
      <c r="D17" s="11">
        <f>IFERROR(INDEX('درجریان وصول'!F:F,MATCH(Table226[[#This Row],[كد تفصيلي]],'درجریان وصول'!A:A,0)),0)</f>
        <v>0</v>
      </c>
      <c r="E17" s="11">
        <f>IFERROR(INDEX('چکهای دریافتنی'!F:F,MATCH(Table226[[#This Row],[كد تفصيلي]],'چکهای دریافتنی'!A:A,0)),0)</f>
        <v>0</v>
      </c>
      <c r="F17" s="11">
        <f>Table226[[#This Row],[حسابهای دریافتنی]]+Table226[[#This Row],[چکهای در جریان وصول]]+Table226[[#This Row],[چکهای نزد صندوق]]</f>
        <v>905000830</v>
      </c>
      <c r="G17" s="12">
        <f>IFERROR(INDEX('مانده سوفاله'!F:F,MATCH(Table226[[#This Row],[كد تفصيلي]],'مانده سوفاله'!A:A,0)),0)</f>
        <v>-2186</v>
      </c>
    </row>
    <row r="18" spans="1:7" ht="24.75" customHeight="1" x14ac:dyDescent="0.35">
      <c r="A18" s="26">
        <v>50011</v>
      </c>
      <c r="B18" s="56" t="s">
        <v>147</v>
      </c>
      <c r="C18" s="10">
        <f>IFERROR(INDEX('حسابهای دریافتنی'!H:H,MATCH(Table226[[#This Row],[كد تفصيلي]],'حسابهای دریافتنی'!A:A,0)),0)</f>
        <v>832182413</v>
      </c>
      <c r="D18" s="11">
        <f>IFERROR(INDEX('درجریان وصول'!F:F,MATCH(Table226[[#This Row],[كد تفصيلي]],'درجریان وصول'!A:A,0)),0)</f>
        <v>0</v>
      </c>
      <c r="E18" s="11">
        <f>IFERROR(INDEX('چکهای دریافتنی'!F:F,MATCH(Table226[[#This Row],[كد تفصيلي]],'چکهای دریافتنی'!A:A,0)),0)</f>
        <v>0</v>
      </c>
      <c r="F18" s="11">
        <f>Table226[[#This Row],[حسابهای دریافتنی]]+Table226[[#This Row],[چکهای در جریان وصول]]+Table226[[#This Row],[چکهای نزد صندوق]]</f>
        <v>832182413</v>
      </c>
      <c r="G18" s="12">
        <f>IFERROR(INDEX('مانده سوفاله'!F:F,MATCH(Table226[[#This Row],[كد تفصيلي]],'مانده سوفاله'!A:A,0)),0)</f>
        <v>30</v>
      </c>
    </row>
    <row r="19" spans="1:7" ht="24.75" customHeight="1" x14ac:dyDescent="0.35">
      <c r="A19" s="26">
        <v>30003</v>
      </c>
      <c r="B19" s="56" t="s">
        <v>53</v>
      </c>
      <c r="C19" s="10">
        <f>IFERROR(INDEX('حسابهای دریافتنی'!H:H,MATCH(Table226[[#This Row],[كد تفصيلي]],'حسابهای دریافتنی'!A:A,0)),0)</f>
        <v>754765900</v>
      </c>
      <c r="D19" s="11">
        <f>IFERROR(INDEX('درجریان وصول'!F:F,MATCH(Table226[[#This Row],[كد تفصيلي]],'درجریان وصول'!A:A,0)),0)</f>
        <v>0</v>
      </c>
      <c r="E19" s="11">
        <f>IFERROR(INDEX('چکهای دریافتنی'!F:F,MATCH(Table226[[#This Row],[كد تفصيلي]],'چکهای دریافتنی'!A:A,0)),0)</f>
        <v>571000000</v>
      </c>
      <c r="F19" s="11">
        <f>Table226[[#This Row],[حسابهای دریافتنی]]+Table226[[#This Row],[چکهای در جریان وصول]]+Table226[[#This Row],[چکهای نزد صندوق]]</f>
        <v>1325765900</v>
      </c>
      <c r="G19" s="12">
        <f>IFERROR(INDEX('مانده سوفاله'!F:F,MATCH(Table226[[#This Row],[كد تفصيلي]],'مانده سوفاله'!A:A,0)),0)</f>
        <v>-3538</v>
      </c>
    </row>
    <row r="20" spans="1:7" ht="24.75" customHeight="1" x14ac:dyDescent="0.35">
      <c r="A20" s="27">
        <v>10070</v>
      </c>
      <c r="B20" s="55" t="s">
        <v>230</v>
      </c>
      <c r="C20" s="10">
        <f>IFERROR(INDEX('حسابهای دریافتنی'!H:H,MATCH(Table226[[#This Row],[كد تفصيلي]],'حسابهای دریافتنی'!A:A,0)),0)</f>
        <v>508152500</v>
      </c>
      <c r="D20" s="11">
        <f>IFERROR(INDEX('درجریان وصول'!F:F,MATCH(Table226[[#This Row],[كد تفصيلي]],'درجریان وصول'!A:A,0)),0)</f>
        <v>0</v>
      </c>
      <c r="E20" s="11">
        <f>IFERROR(INDEX('چکهای دریافتنی'!F:F,MATCH(Table226[[#This Row],[كد تفصيلي]],'چکهای دریافتنی'!A:A,0)),0)</f>
        <v>570000000</v>
      </c>
      <c r="F20" s="11">
        <f>Table226[[#This Row],[حسابهای دریافتنی]]+Table226[[#This Row],[چکهای در جریان وصول]]+Table226[[#This Row],[چکهای نزد صندوق]]</f>
        <v>1078152500</v>
      </c>
      <c r="G20" s="12">
        <f>IFERROR(INDEX('مانده سوفاله'!F:F,MATCH(Table226[[#This Row],[كد تفصيلي]],'مانده سوفاله'!A:A,0)),0)</f>
        <v>-3170</v>
      </c>
    </row>
    <row r="21" spans="1:7" ht="24.75" customHeight="1" x14ac:dyDescent="0.35">
      <c r="A21" s="27">
        <v>10020</v>
      </c>
      <c r="B21" s="55" t="s">
        <v>27</v>
      </c>
      <c r="C21" s="10">
        <f>IFERROR(INDEX('حسابهای دریافتنی'!H:H,MATCH(Table226[[#This Row],[كد تفصيلي]],'حسابهای دریافتنی'!A:A,0)),0)</f>
        <v>57999963</v>
      </c>
      <c r="D21" s="11">
        <f>IFERROR(INDEX('درجریان وصول'!F:F,MATCH(Table226[[#This Row],[كد تفصيلي]],'درجریان وصول'!A:A,0)),0)</f>
        <v>0</v>
      </c>
      <c r="E21" s="11">
        <f>IFERROR(INDEX('چکهای دریافتنی'!F:F,MATCH(Table226[[#This Row],[كد تفصيلي]],'چکهای دریافتنی'!A:A,0)),0)</f>
        <v>728000000</v>
      </c>
      <c r="F21" s="11">
        <f>Table226[[#This Row],[حسابهای دریافتنی]]+Table226[[#This Row],[چکهای در جریان وصول]]+Table226[[#This Row],[چکهای نزد صندوق]]</f>
        <v>785999963</v>
      </c>
      <c r="G21" s="12">
        <f>IFERROR(INDEX('مانده سوفاله'!F:F,MATCH(Table226[[#This Row],[كد تفصيلي]],'مانده سوفاله'!A:A,0)),0)</f>
        <v>-1031</v>
      </c>
    </row>
    <row r="22" spans="1:7" ht="24.75" customHeight="1" x14ac:dyDescent="0.35">
      <c r="A22" s="27">
        <v>10127</v>
      </c>
      <c r="B22" s="55" t="s">
        <v>371</v>
      </c>
      <c r="C22" s="10">
        <f>IFERROR(INDEX('حسابهای دریافتنی'!H:H,MATCH(Table226[[#This Row],[كد تفصيلي]],'حسابهای دریافتنی'!A:A,0)),0)</f>
        <v>803728000</v>
      </c>
      <c r="D22" s="11">
        <f>IFERROR(INDEX('درجریان وصول'!F:F,MATCH(Table226[[#This Row],[كد تفصيلي]],'درجریان وصول'!A:A,0)),0)</f>
        <v>0</v>
      </c>
      <c r="E22" s="11">
        <f>IFERROR(INDEX('چکهای دریافتنی'!F:F,MATCH(Table226[[#This Row],[كد تفصيلي]],'چکهای دریافتنی'!A:A,0)),0)</f>
        <v>0</v>
      </c>
      <c r="F22" s="11">
        <f>Table226[[#This Row],[حسابهای دریافتنی]]+Table226[[#This Row],[چکهای در جریان وصول]]+Table226[[#This Row],[چکهای نزد صندوق]]</f>
        <v>803728000</v>
      </c>
      <c r="G22" s="12">
        <f>IFERROR(INDEX('مانده سوفاله'!F:F,MATCH(Table226[[#This Row],[كد تفصيلي]],'مانده سوفاله'!A:A,0)),0)</f>
        <v>-1469</v>
      </c>
    </row>
    <row r="23" spans="1:7" ht="24.75" customHeight="1" x14ac:dyDescent="0.35">
      <c r="A23" s="26">
        <v>30186</v>
      </c>
      <c r="B23" s="56" t="s">
        <v>367</v>
      </c>
      <c r="C23" s="10">
        <f>IFERROR(INDEX('حسابهای دریافتنی'!H:H,MATCH(Table226[[#This Row],[كد تفصيلي]],'حسابهای دریافتنی'!A:A,0)),0)</f>
        <v>986425000</v>
      </c>
      <c r="D23" s="11">
        <f>IFERROR(INDEX('درجریان وصول'!F:F,MATCH(Table226[[#This Row],[كد تفصيلي]],'درجریان وصول'!A:A,0)),0)</f>
        <v>0</v>
      </c>
      <c r="E23" s="11">
        <f>IFERROR(INDEX('چکهای دریافتنی'!F:F,MATCH(Table226[[#This Row],[كد تفصيلي]],'چکهای دریافتنی'!A:A,0)),0)</f>
        <v>5982430000</v>
      </c>
      <c r="F23" s="11">
        <f>Table226[[#This Row],[حسابهای دریافتنی]]+Table226[[#This Row],[چکهای در جریان وصول]]+Table226[[#This Row],[چکهای نزد صندوق]]</f>
        <v>6968855000</v>
      </c>
      <c r="G23" s="12">
        <f>IFERROR(INDEX('مانده سوفاله'!F:F,MATCH(Table226[[#This Row],[كد تفصيلي]],'مانده سوفاله'!A:A,0)),0)</f>
        <v>-7388</v>
      </c>
    </row>
    <row r="24" spans="1:7" ht="24.75" customHeight="1" x14ac:dyDescent="0.35">
      <c r="A24" s="26">
        <v>30058</v>
      </c>
      <c r="B24" s="56" t="s">
        <v>103</v>
      </c>
      <c r="C24" s="10">
        <f>IFERROR(INDEX('حسابهای دریافتنی'!H:H,MATCH(Table226[[#This Row],[كد تفصيلي]],'حسابهای دریافتنی'!A:A,0)),0)</f>
        <v>1700045560</v>
      </c>
      <c r="D24" s="11">
        <f>IFERROR(INDEX('درجریان وصول'!F:F,MATCH(Table226[[#This Row],[كد تفصيلي]],'درجریان وصول'!A:A,0)),0)</f>
        <v>0</v>
      </c>
      <c r="E24" s="11">
        <f>IFERROR(INDEX('چکهای دریافتنی'!F:F,MATCH(Table226[[#This Row],[كد تفصيلي]],'چکهای دریافتنی'!A:A,0)),0)</f>
        <v>0</v>
      </c>
      <c r="F24" s="11">
        <f>Table226[[#This Row],[حسابهای دریافتنی]]+Table226[[#This Row],[چکهای در جریان وصول]]+Table226[[#This Row],[چکهای نزد صندوق]]</f>
        <v>1700045560</v>
      </c>
      <c r="G24" s="12">
        <f>IFERROR(INDEX('مانده سوفاله'!F:F,MATCH(Table226[[#This Row],[كد تفصيلي]],'مانده سوفاله'!A:A,0)),0)</f>
        <v>-225</v>
      </c>
    </row>
    <row r="25" spans="1:7" ht="24.75" customHeight="1" x14ac:dyDescent="0.35">
      <c r="A25" s="26">
        <v>10057</v>
      </c>
      <c r="B25" s="56" t="s">
        <v>225</v>
      </c>
      <c r="C25" s="10">
        <f>IFERROR(INDEX('حسابهای دریافتنی'!H:H,MATCH(Table226[[#This Row],[كد تفصيلي]],'حسابهای دریافتنی'!A:A,0)),0)</f>
        <v>1390485500</v>
      </c>
      <c r="D25" s="11">
        <f>IFERROR(INDEX('درجریان وصول'!F:F,MATCH(Table226[[#This Row],[كد تفصيلي]],'درجریان وصول'!A:A,0)),0)</f>
        <v>0</v>
      </c>
      <c r="E25" s="11">
        <f>IFERROR(INDEX('چکهای دریافتنی'!F:F,MATCH(Table226[[#This Row],[كد تفصيلي]],'چکهای دریافتنی'!A:A,0)),0)</f>
        <v>0</v>
      </c>
      <c r="F25" s="11">
        <f>Table226[[#This Row],[حسابهای دریافتنی]]+Table226[[#This Row],[چکهای در جریان وصول]]+Table226[[#This Row],[چکهای نزد صندوق]]</f>
        <v>1390485500</v>
      </c>
      <c r="G25" s="12">
        <f>IFERROR(INDEX('مانده سوفاله'!F:F,MATCH(Table226[[#This Row],[كد تفصيلي]],'مانده سوفاله'!A:A,0)),0)</f>
        <v>-2044</v>
      </c>
    </row>
    <row r="26" spans="1:7" ht="24.75" customHeight="1" x14ac:dyDescent="0.35">
      <c r="A26" s="26">
        <v>30124</v>
      </c>
      <c r="B26" s="56" t="s">
        <v>246</v>
      </c>
      <c r="C26" s="10">
        <f>IFERROR(INDEX('حسابهای دریافتنی'!H:H,MATCH(Table226[[#This Row],[كد تفصيلي]],'حسابهای دریافتنی'!A:A,0)),0)</f>
        <v>0</v>
      </c>
      <c r="D26" s="11">
        <f>IFERROR(INDEX('درجریان وصول'!F:F,MATCH(Table226[[#This Row],[كد تفصيلي]],'درجریان وصول'!A:A,0)),0)</f>
        <v>0</v>
      </c>
      <c r="E26" s="11">
        <f>IFERROR(INDEX('چکهای دریافتنی'!F:F,MATCH(Table226[[#This Row],[كد تفصيلي]],'چکهای دریافتنی'!A:A,0)),0)</f>
        <v>505676000</v>
      </c>
      <c r="F26" s="11">
        <f>Table226[[#This Row],[حسابهای دریافتنی]]+Table226[[#This Row],[چکهای در جریان وصول]]+Table226[[#This Row],[چکهای نزد صندوق]]</f>
        <v>505676000</v>
      </c>
      <c r="G26" s="12">
        <f>IFERROR(INDEX('مانده سوفاله'!F:F,MATCH(Table226[[#This Row],[كد تفصيلي]],'مانده سوفاله'!A:A,0)),0)</f>
        <v>1498</v>
      </c>
    </row>
    <row r="27" spans="1:7" ht="24.75" customHeight="1" x14ac:dyDescent="0.35">
      <c r="A27" s="27">
        <v>30093</v>
      </c>
      <c r="B27" s="55" t="s">
        <v>151</v>
      </c>
      <c r="C27" s="10">
        <f>IFERROR(INDEX('حسابهای دریافتنی'!H:H,MATCH(Table226[[#This Row],[كد تفصيلي]],'حسابهای دریافتنی'!A:A,0)),0)</f>
        <v>0</v>
      </c>
      <c r="D27" s="11">
        <f>IFERROR(INDEX('درجریان وصول'!F:F,MATCH(Table226[[#This Row],[كد تفصيلي]],'درجریان وصول'!A:A,0)),0)</f>
        <v>0</v>
      </c>
      <c r="E27" s="11">
        <f>IFERROR(INDEX('چکهای دریافتنی'!F:F,MATCH(Table226[[#This Row],[كد تفصيلي]],'چکهای دریافتنی'!A:A,0)),0)</f>
        <v>0</v>
      </c>
      <c r="F27" s="11">
        <f>Table226[[#This Row],[حسابهای دریافتنی]]+Table226[[#This Row],[چکهای در جریان وصول]]+Table226[[#This Row],[چکهای نزد صندوق]]</f>
        <v>0</v>
      </c>
      <c r="G27" s="12">
        <v>0</v>
      </c>
    </row>
    <row r="28" spans="1:7" ht="24.75" customHeight="1" x14ac:dyDescent="0.35">
      <c r="A28" s="27">
        <v>10008</v>
      </c>
      <c r="B28" s="55" t="s">
        <v>15</v>
      </c>
      <c r="C28" s="10">
        <f>IFERROR(INDEX('حسابهای دریافتنی'!H:H,MATCH(Table226[[#This Row],[كد تفصيلي]],'حسابهای دریافتنی'!A:A,0)),0)</f>
        <v>597342000</v>
      </c>
      <c r="D28" s="11">
        <f>IFERROR(INDEX('درجریان وصول'!F:F,MATCH(Table226[[#This Row],[كد تفصيلي]],'درجریان وصول'!A:A,0)),0)</f>
        <v>0</v>
      </c>
      <c r="E28" s="11">
        <f>IFERROR(INDEX('چکهای دریافتنی'!F:F,MATCH(Table226[[#This Row],[كد تفصيلي]],'چکهای دریافتنی'!A:A,0)),0)</f>
        <v>0</v>
      </c>
      <c r="F28" s="11">
        <f>Table226[[#This Row],[حسابهای دریافتنی]]+Table226[[#This Row],[چکهای در جریان وصول]]+Table226[[#This Row],[چکهای نزد صندوق]]</f>
        <v>597342000</v>
      </c>
      <c r="G28" s="12">
        <f>IFERROR(INDEX('مانده سوفاله'!F:F,MATCH(Table226[[#This Row],[كد تفصيلي]],'مانده سوفاله'!A:A,0)),0)</f>
        <v>-578</v>
      </c>
    </row>
    <row r="29" spans="1:7" ht="24.75" customHeight="1" x14ac:dyDescent="0.35">
      <c r="A29" s="27">
        <v>30187</v>
      </c>
      <c r="B29" s="55" t="s">
        <v>369</v>
      </c>
      <c r="C29" s="10">
        <f>IFERROR(INDEX('حسابهای دریافتنی'!H:H,MATCH(Table226[[#This Row],[كد تفصيلي]],'حسابهای دریافتنی'!A:A,0)),0)</f>
        <v>337825500</v>
      </c>
      <c r="D29" s="11">
        <f>IFERROR(INDEX('درجریان وصول'!F:F,MATCH(Table226[[#This Row],[كد تفصيلي]],'درجریان وصول'!A:A,0)),0)</f>
        <v>0</v>
      </c>
      <c r="E29" s="11">
        <f>IFERROR(INDEX('چکهای دریافتنی'!F:F,MATCH(Table226[[#This Row],[كد تفصيلي]],'چکهای دریافتنی'!A:A,0)),0)</f>
        <v>0</v>
      </c>
      <c r="F29" s="11">
        <f>Table226[[#This Row],[حسابهای دریافتنی]]+Table226[[#This Row],[چکهای در جریان وصول]]+Table226[[#This Row],[چکهای نزد صندوق]]</f>
        <v>337825500</v>
      </c>
      <c r="G29" s="12">
        <f>IFERROR(INDEX('مانده سوفاله'!F:F,MATCH(Table226[[#This Row],[كد تفصيلي]],'مانده سوفاله'!A:A,0)),0)</f>
        <v>-108</v>
      </c>
    </row>
    <row r="30" spans="1:7" ht="24.75" customHeight="1" x14ac:dyDescent="0.35">
      <c r="A30" s="26">
        <v>10027</v>
      </c>
      <c r="B30" s="56" t="s">
        <v>33</v>
      </c>
      <c r="C30" s="10">
        <f>IFERROR(INDEX('حسابهای دریافتنی'!H:H,MATCH(Table226[[#This Row],[كد تفصيلي]],'حسابهای دریافتنی'!A:A,0)),0)</f>
        <v>33078340</v>
      </c>
      <c r="D30" s="11">
        <f>IFERROR(INDEX('درجریان وصول'!F:F,MATCH(Table226[[#This Row],[كد تفصيلي]],'درجریان وصول'!A:A,0)),0)</f>
        <v>0</v>
      </c>
      <c r="E30" s="11">
        <f>IFERROR(INDEX('چکهای دریافتنی'!F:F,MATCH(Table226[[#This Row],[كد تفصيلي]],'چکهای دریافتنی'!A:A,0)),0)</f>
        <v>1588359160</v>
      </c>
      <c r="F30" s="11">
        <f>Table226[[#This Row],[حسابهای دریافتنی]]+Table226[[#This Row],[چکهای در جریان وصول]]+Table226[[#This Row],[چکهای نزد صندوق]]</f>
        <v>1621437500</v>
      </c>
      <c r="G30" s="12">
        <f>IFERROR(INDEX('مانده سوفاله'!F:F,MATCH(Table226[[#This Row],[كد تفصيلي]],'مانده سوفاله'!A:A,0)),0)</f>
        <v>-647</v>
      </c>
    </row>
    <row r="31" spans="1:7" ht="24.75" customHeight="1" x14ac:dyDescent="0.35">
      <c r="A31" s="26">
        <v>30191</v>
      </c>
      <c r="B31" s="56" t="s">
        <v>460</v>
      </c>
      <c r="C31" s="10">
        <f>IFERROR(INDEX('حسابهای دریافتنی'!H:H,MATCH(Table226[[#This Row],[كد تفصيلي]],'حسابهای دریافتنی'!A:A,0)),0)</f>
        <v>792933000</v>
      </c>
      <c r="D31" s="11">
        <f>IFERROR(INDEX('درجریان وصول'!F:F,MATCH(Table226[[#This Row],[كد تفصيلي]],'درجریان وصول'!A:A,0)),0)</f>
        <v>0</v>
      </c>
      <c r="E31" s="11">
        <f>IFERROR(INDEX('چکهای دریافتنی'!F:F,MATCH(Table226[[#This Row],[كد تفصيلي]],'چکهای دریافتنی'!A:A,0)),0)</f>
        <v>0</v>
      </c>
      <c r="F31" s="11">
        <f>Table226[[#This Row],[حسابهای دریافتنی]]+Table226[[#This Row],[چکهای در جریان وصول]]+Table226[[#This Row],[چکهای نزد صندوق]]</f>
        <v>792933000</v>
      </c>
      <c r="G31" s="12">
        <f>IFERROR(INDEX('مانده سوفاله'!F:F,MATCH(Table226[[#This Row],[كد تفصيلي]],'مانده سوفاله'!A:A,0)),0)</f>
        <v>134</v>
      </c>
    </row>
    <row r="32" spans="1:7" ht="24.75" customHeight="1" x14ac:dyDescent="0.35">
      <c r="A32" s="27">
        <v>30069</v>
      </c>
      <c r="B32" s="55" t="s">
        <v>114</v>
      </c>
      <c r="C32" s="10">
        <f>IFERROR(INDEX('حسابهای دریافتنی'!H:H,MATCH(Table226[[#This Row],[كد تفصيلي]],'حسابهای دریافتنی'!A:A,0)),0)</f>
        <v>377909400</v>
      </c>
      <c r="D32" s="11">
        <f>IFERROR(INDEX('درجریان وصول'!F:F,MATCH(Table226[[#This Row],[كد تفصيلي]],'درجریان وصول'!A:A,0)),0)</f>
        <v>0</v>
      </c>
      <c r="E32" s="11">
        <f>IFERROR(INDEX('چکهای دریافتنی'!F:F,MATCH(Table226[[#This Row],[كد تفصيلي]],'چکهای دریافتنی'!A:A,0)),0)</f>
        <v>0</v>
      </c>
      <c r="F32" s="11">
        <f>Table226[[#This Row],[حسابهای دریافتنی]]+Table226[[#This Row],[چکهای در جریان وصول]]+Table226[[#This Row],[چکهای نزد صندوق]]</f>
        <v>377909400</v>
      </c>
      <c r="G32" s="12">
        <f>IFERROR(INDEX('مانده سوفاله'!F:F,MATCH(Table226[[#This Row],[كد تفصيلي]],'مانده سوفاله'!A:A,0)),0)</f>
        <v>66</v>
      </c>
    </row>
    <row r="33" spans="1:7" ht="24.75" customHeight="1" x14ac:dyDescent="0.35">
      <c r="A33" s="27">
        <v>10084</v>
      </c>
      <c r="B33" s="55" t="s">
        <v>217</v>
      </c>
      <c r="C33" s="10">
        <f>IFERROR(INDEX('حسابهای دریافتنی'!H:H,MATCH(Table226[[#This Row],[كد تفصيلي]],'حسابهای دریافتنی'!A:A,0)),0)</f>
        <v>358092810</v>
      </c>
      <c r="D33" s="11">
        <f>IFERROR(INDEX('درجریان وصول'!F:F,MATCH(Table226[[#This Row],[كد تفصيلي]],'درجریان وصول'!A:A,0)),0)</f>
        <v>0</v>
      </c>
      <c r="E33" s="11">
        <f>IFERROR(INDEX('چکهای دریافتنی'!F:F,MATCH(Table226[[#This Row],[كد تفصيلي]],'چکهای دریافتنی'!A:A,0)),0)</f>
        <v>870000000</v>
      </c>
      <c r="F33" s="11">
        <f>Table226[[#This Row],[حسابهای دریافتنی]]+Table226[[#This Row],[چکهای در جریان وصول]]+Table226[[#This Row],[چکهای نزد صندوق]]</f>
        <v>1228092810</v>
      </c>
      <c r="G33" s="12">
        <f>IFERROR(INDEX('مانده سوفاله'!F:F,MATCH(Table226[[#This Row],[كد تفصيلي]],'مانده سوفاله'!A:A,0)),0)</f>
        <v>-1656</v>
      </c>
    </row>
    <row r="34" spans="1:7" ht="24.75" customHeight="1" x14ac:dyDescent="0.35">
      <c r="A34" s="27">
        <v>10133</v>
      </c>
      <c r="B34" s="55" t="s">
        <v>465</v>
      </c>
      <c r="C34" s="10">
        <f>IFERROR(INDEX('حسابهای دریافتنی'!H:H,MATCH(Table226[[#This Row],[كد تفصيلي]],'حسابهای دریافتنی'!A:A,0)),0)</f>
        <v>-1249039000</v>
      </c>
      <c r="D34" s="11">
        <f>IFERROR(INDEX('درجریان وصول'!F:F,MATCH(Table226[[#This Row],[كد تفصيلي]],'درجریان وصول'!A:A,0)),0)</f>
        <v>0</v>
      </c>
      <c r="E34" s="11">
        <f>IFERROR(INDEX('چکهای دریافتنی'!F:F,MATCH(Table226[[#This Row],[كد تفصيلي]],'چکهای دریافتنی'!A:A,0)),0)</f>
        <v>0</v>
      </c>
      <c r="F34" s="11">
        <f>Table226[[#This Row],[حسابهای دریافتنی]]+Table226[[#This Row],[چکهای در جریان وصول]]+Table226[[#This Row],[چکهای نزد صندوق]]</f>
        <v>-1249039000</v>
      </c>
      <c r="G34" s="12">
        <f>IFERROR(INDEX('مانده سوفاله'!F:F,MATCH(Table226[[#This Row],[كد تفصيلي]],'مانده سوفاله'!A:A,0)),0)</f>
        <v>0</v>
      </c>
    </row>
    <row r="35" spans="1:7" ht="24.75" customHeight="1" x14ac:dyDescent="0.35">
      <c r="A35" s="27">
        <v>10004</v>
      </c>
      <c r="B35" s="55" t="s">
        <v>11</v>
      </c>
      <c r="C35" s="10">
        <f>IFERROR(INDEX('حسابهای دریافتنی'!H:H,MATCH(Table226[[#This Row],[كد تفصيلي]],'حسابهای دریافتنی'!A:A,0)),0)</f>
        <v>853000</v>
      </c>
      <c r="D35" s="11">
        <f>IFERROR(INDEX('درجریان وصول'!F:F,MATCH(Table226[[#This Row],[كد تفصيلي]],'درجریان وصول'!A:A,0)),0)</f>
        <v>0</v>
      </c>
      <c r="E35" s="11">
        <f>IFERROR(INDEX('چکهای دریافتنی'!F:F,MATCH(Table226[[#This Row],[كد تفصيلي]],'چکهای دریافتنی'!A:A,0)),0)</f>
        <v>341000000</v>
      </c>
      <c r="F35" s="11">
        <f>Table226[[#This Row],[حسابهای دریافتنی]]+Table226[[#This Row],[چکهای در جریان وصول]]+Table226[[#This Row],[چکهای نزد صندوق]]</f>
        <v>341853000</v>
      </c>
      <c r="G35" s="12">
        <f>IFERROR(INDEX('مانده سوفاله'!F:F,MATCH(Table226[[#This Row],[كد تفصيلي]],'مانده سوفاله'!A:A,0)),0)</f>
        <v>-12</v>
      </c>
    </row>
    <row r="36" spans="1:7" ht="24.75" customHeight="1" x14ac:dyDescent="0.35">
      <c r="A36" s="26">
        <v>30070</v>
      </c>
      <c r="B36" s="56" t="s">
        <v>115</v>
      </c>
      <c r="C36" s="10">
        <f>IFERROR(INDEX('حسابهای دریافتنی'!H:H,MATCH(Table226[[#This Row],[كد تفصيلي]],'حسابهای دریافتنی'!A:A,0)),0)</f>
        <v>2651728820</v>
      </c>
      <c r="D36" s="11">
        <f>IFERROR(INDEX('درجریان وصول'!F:F,MATCH(Table226[[#This Row],[كد تفصيلي]],'درجریان وصول'!A:A,0)),0)</f>
        <v>0</v>
      </c>
      <c r="E36" s="11">
        <f>IFERROR(INDEX('چکهای دریافتنی'!F:F,MATCH(Table226[[#This Row],[كد تفصيلي]],'چکهای دریافتنی'!A:A,0)),0)</f>
        <v>3660000000</v>
      </c>
      <c r="F36" s="11">
        <f>Table226[[#This Row],[حسابهای دریافتنی]]+Table226[[#This Row],[چکهای در جریان وصول]]+Table226[[#This Row],[چکهای نزد صندوق]]</f>
        <v>6311728820</v>
      </c>
      <c r="G36" s="12">
        <f>IFERROR(INDEX('مانده سوفاله'!F:F,MATCH(Table226[[#This Row],[كد تفصيلي]],'مانده سوفاله'!A:A,0)),0)</f>
        <v>4378</v>
      </c>
    </row>
    <row r="37" spans="1:7" ht="24.75" customHeight="1" x14ac:dyDescent="0.35">
      <c r="A37" s="26">
        <v>30162</v>
      </c>
      <c r="B37" s="56" t="s">
        <v>301</v>
      </c>
      <c r="C37" s="10">
        <f>IFERROR(INDEX('حسابهای دریافتنی'!H:H,MATCH(Table226[[#This Row],[كد تفصيلي]],'حسابهای دریافتنی'!A:A,0)),0)</f>
        <v>204890235</v>
      </c>
      <c r="D37" s="11">
        <f>IFERROR(INDEX('درجریان وصول'!F:F,MATCH(Table226[[#This Row],[كد تفصيلي]],'درجریان وصول'!A:A,0)),0)</f>
        <v>0</v>
      </c>
      <c r="E37" s="11">
        <f>IFERROR(INDEX('چکهای دریافتنی'!F:F,MATCH(Table226[[#This Row],[كد تفصيلي]],'چکهای دریافتنی'!A:A,0)),0)</f>
        <v>0</v>
      </c>
      <c r="F37" s="11">
        <f>Table226[[#This Row],[حسابهای دریافتنی]]+Table226[[#This Row],[چکهای در جریان وصول]]+Table226[[#This Row],[چکهای نزد صندوق]]</f>
        <v>204890235</v>
      </c>
      <c r="G37" s="12">
        <f>IFERROR(INDEX('مانده سوفاله'!F:F,MATCH(Table226[[#This Row],[كد تفصيلي]],'مانده سوفاله'!A:A,0)),0)</f>
        <v>-251</v>
      </c>
    </row>
    <row r="38" spans="1:7" ht="24.75" customHeight="1" x14ac:dyDescent="0.35">
      <c r="A38" s="27">
        <v>30137</v>
      </c>
      <c r="B38" s="55" t="s">
        <v>218</v>
      </c>
      <c r="C38" s="10">
        <f>IFERROR(INDEX('حسابهای دریافتنی'!H:H,MATCH(Table226[[#This Row],[كد تفصيلي]],'حسابهای دریافتنی'!A:A,0)),0)</f>
        <v>0</v>
      </c>
      <c r="D38" s="11">
        <f>IFERROR(INDEX('درجریان وصول'!F:F,MATCH(Table226[[#This Row],[كد تفصيلي]],'درجریان وصول'!A:A,0)),0)</f>
        <v>0</v>
      </c>
      <c r="E38" s="11">
        <f>IFERROR(INDEX('چکهای دریافتنی'!F:F,MATCH(Table226[[#This Row],[كد تفصيلي]],'چکهای دریافتنی'!A:A,0)),0)</f>
        <v>213182200</v>
      </c>
      <c r="F38" s="11">
        <f>Table226[[#This Row],[حسابهای دریافتنی]]+Table226[[#This Row],[چکهای در جریان وصول]]+Table226[[#This Row],[چکهای نزد صندوق]]</f>
        <v>213182200</v>
      </c>
      <c r="G38" s="12">
        <f>IFERROR(INDEX('مانده سوفاله'!F:F,MATCH(Table226[[#This Row],[كد تفصيلي]],'مانده سوفاله'!A:A,0)),0)</f>
        <v>0</v>
      </c>
    </row>
    <row r="39" spans="1:7" ht="24.75" customHeight="1" x14ac:dyDescent="0.35">
      <c r="A39" s="26">
        <v>30086</v>
      </c>
      <c r="B39" s="56" t="s">
        <v>131</v>
      </c>
      <c r="C39" s="10">
        <f>IFERROR(INDEX('حسابهای دریافتنی'!H:H,MATCH(Table226[[#This Row],[كد تفصيلي]],'حسابهای دریافتنی'!A:A,0)),0)</f>
        <v>187376603</v>
      </c>
      <c r="D39" s="11">
        <f>IFERROR(INDEX('درجریان وصول'!F:F,MATCH(Table226[[#This Row],[كد تفصيلي]],'درجریان وصول'!A:A,0)),0)</f>
        <v>0</v>
      </c>
      <c r="E39" s="11">
        <f>IFERROR(INDEX('چکهای دریافتنی'!F:F,MATCH(Table226[[#This Row],[كد تفصيلي]],'چکهای دریافتنی'!A:A,0)),0)</f>
        <v>0</v>
      </c>
      <c r="F39" s="11">
        <f>Table226[[#This Row],[حسابهای دریافتنی]]+Table226[[#This Row],[چکهای در جریان وصول]]+Table226[[#This Row],[چکهای نزد صندوق]]</f>
        <v>187376603</v>
      </c>
      <c r="G39" s="12">
        <f>IFERROR(INDEX('مانده سوفاله'!F:F,MATCH(Table226[[#This Row],[كد تفصيلي]],'مانده سوفاله'!A:A,0)),0)</f>
        <v>1549</v>
      </c>
    </row>
    <row r="40" spans="1:7" ht="24.75" customHeight="1" x14ac:dyDescent="0.35">
      <c r="A40" s="26">
        <v>30001</v>
      </c>
      <c r="B40" s="56" t="s">
        <v>190</v>
      </c>
      <c r="C40" s="10">
        <f>IFERROR(INDEX('حسابهای دریافتنی'!H:H,MATCH(Table226[[#This Row],[كد تفصيلي]],'حسابهای دریافتنی'!A:A,0)),0)</f>
        <v>119647176</v>
      </c>
      <c r="D40" s="11">
        <f>IFERROR(INDEX('درجریان وصول'!F:F,MATCH(Table226[[#This Row],[كد تفصيلي]],'درجریان وصول'!A:A,0)),0)</f>
        <v>0</v>
      </c>
      <c r="E40" s="11">
        <f>IFERROR(INDEX('چکهای دریافتنی'!F:F,MATCH(Table226[[#This Row],[كد تفصيلي]],'چکهای دریافتنی'!A:A,0)),0)</f>
        <v>0</v>
      </c>
      <c r="F40" s="11">
        <f>Table226[[#This Row],[حسابهای دریافتنی]]+Table226[[#This Row],[چکهای در جریان وصول]]+Table226[[#This Row],[چکهای نزد صندوق]]</f>
        <v>119647176</v>
      </c>
      <c r="G40" s="12">
        <f>IFERROR(INDEX('مانده سوفاله'!F:F,MATCH(Table226[[#This Row],[كد تفصيلي]],'مانده سوفاله'!A:A,0)),0)</f>
        <v>123</v>
      </c>
    </row>
    <row r="41" spans="1:7" ht="24.75" customHeight="1" x14ac:dyDescent="0.35">
      <c r="A41" s="26">
        <v>10029</v>
      </c>
      <c r="B41" s="56" t="s">
        <v>35</v>
      </c>
      <c r="C41" s="10">
        <f>IFERROR(INDEX('حسابهای دریافتنی'!H:H,MATCH(Table226[[#This Row],[كد تفصيلي]],'حسابهای دریافتنی'!A:A,0)),0)</f>
        <v>-1038298620</v>
      </c>
      <c r="D41" s="11">
        <f>IFERROR(INDEX('درجریان وصول'!F:F,MATCH(Table226[[#This Row],[كد تفصيلي]],'درجریان وصول'!A:A,0)),0)</f>
        <v>0</v>
      </c>
      <c r="E41" s="11">
        <f>IFERROR(INDEX('چکهای دریافتنی'!F:F,MATCH(Table226[[#This Row],[كد تفصيلي]],'چکهای دریافتنی'!A:A,0)),0)</f>
        <v>2019000000</v>
      </c>
      <c r="F41" s="11">
        <f>Table226[[#This Row],[حسابهای دریافتنی]]+Table226[[#This Row],[چکهای در جریان وصول]]+Table226[[#This Row],[چکهای نزد صندوق]]</f>
        <v>980701380</v>
      </c>
      <c r="G41" s="12">
        <f>IFERROR(INDEX('مانده سوفاله'!F:F,MATCH(Table226[[#This Row],[كد تفصيلي]],'مانده سوفاله'!A:A,0)),0)</f>
        <v>6603</v>
      </c>
    </row>
    <row r="42" spans="1:7" ht="24.75" customHeight="1" x14ac:dyDescent="0.35">
      <c r="A42" s="26">
        <v>30160</v>
      </c>
      <c r="B42" s="56" t="s">
        <v>296</v>
      </c>
      <c r="C42" s="10">
        <f>IFERROR(INDEX('حسابهای دریافتنی'!H:H,MATCH(Table226[[#This Row],[كد تفصيلي]],'حسابهای دریافتنی'!A:A,0)),0)</f>
        <v>0</v>
      </c>
      <c r="D42" s="11">
        <f>IFERROR(INDEX('درجریان وصول'!F:F,MATCH(Table226[[#This Row],[كد تفصيلي]],'درجریان وصول'!A:A,0)),0)</f>
        <v>0</v>
      </c>
      <c r="E42" s="11">
        <f>IFERROR(INDEX('چکهای دریافتنی'!F:F,MATCH(Table226[[#This Row],[كد تفصيلي]],'چکهای دریافتنی'!A:A,0)),0)</f>
        <v>0</v>
      </c>
      <c r="F42" s="11">
        <f>Table226[[#This Row],[حسابهای دریافتنی]]+Table226[[#This Row],[چکهای در جریان وصول]]+Table226[[#This Row],[چکهای نزد صندوق]]</f>
        <v>0</v>
      </c>
      <c r="G42" s="12">
        <f>IFERROR(INDEX('مانده سوفاله'!F:F,MATCH(Table226[[#This Row],[كد تفصيلي]],'مانده سوفاله'!A:A,0)),0)</f>
        <v>-425</v>
      </c>
    </row>
    <row r="43" spans="1:7" ht="24.75" customHeight="1" x14ac:dyDescent="0.35">
      <c r="A43" s="27">
        <v>10096</v>
      </c>
      <c r="B43" s="55" t="s">
        <v>271</v>
      </c>
      <c r="C43" s="10">
        <f>IFERROR(INDEX('حسابهای دریافتنی'!H:H,MATCH(Table226[[#This Row],[كد تفصيلي]],'حسابهای دریافتنی'!A:A,0)),0)</f>
        <v>36455500</v>
      </c>
      <c r="D43" s="11">
        <f>IFERROR(INDEX('درجریان وصول'!F:F,MATCH(Table226[[#This Row],[كد تفصيلي]],'درجریان وصول'!A:A,0)),0)</f>
        <v>0</v>
      </c>
      <c r="E43" s="11">
        <f>IFERROR(INDEX('چکهای دریافتنی'!F:F,MATCH(Table226[[#This Row],[كد تفصيلي]],'چکهای دریافتنی'!A:A,0)),0)</f>
        <v>0</v>
      </c>
      <c r="F43" s="11">
        <f>Table226[[#This Row],[حسابهای دریافتنی]]+Table226[[#This Row],[چکهای در جریان وصول]]+Table226[[#This Row],[چکهای نزد صندوق]]</f>
        <v>36455500</v>
      </c>
      <c r="G43" s="12">
        <f>IFERROR(INDEX('مانده سوفاله'!F:F,MATCH(Table226[[#This Row],[كد تفصيلي]],'مانده سوفاله'!A:A,0)),0)</f>
        <v>0</v>
      </c>
    </row>
    <row r="44" spans="1:7" ht="24.75" customHeight="1" x14ac:dyDescent="0.35">
      <c r="A44" s="26">
        <v>30025</v>
      </c>
      <c r="B44" s="56" t="s">
        <v>73</v>
      </c>
      <c r="C44" s="10">
        <f>IFERROR(INDEX('حسابهای دریافتنی'!H:H,MATCH(Table226[[#This Row],[كد تفصيلي]],'حسابهای دریافتنی'!A:A,0)),0)</f>
        <v>35598920</v>
      </c>
      <c r="D44" s="11">
        <f>IFERROR(INDEX('درجریان وصول'!F:F,MATCH(Table226[[#This Row],[كد تفصيلي]],'درجریان وصول'!A:A,0)),0)</f>
        <v>0</v>
      </c>
      <c r="E44" s="11">
        <f>IFERROR(INDEX('چکهای دریافتنی'!F:F,MATCH(Table226[[#This Row],[كد تفصيلي]],'چکهای دریافتنی'!A:A,0)),0)</f>
        <v>0</v>
      </c>
      <c r="F44" s="11">
        <f>Table226[[#This Row],[حسابهای دریافتنی]]+Table226[[#This Row],[چکهای در جریان وصول]]+Table226[[#This Row],[چکهای نزد صندوق]]</f>
        <v>35598920</v>
      </c>
      <c r="G44" s="12">
        <f>IFERROR(INDEX('مانده سوفاله'!F:F,MATCH(Table226[[#This Row],[كد تفصيلي]],'مانده سوفاله'!A:A,0)),0)</f>
        <v>-165</v>
      </c>
    </row>
    <row r="45" spans="1:7" ht="24.75" customHeight="1" x14ac:dyDescent="0.35">
      <c r="A45" s="27">
        <v>30155</v>
      </c>
      <c r="B45" s="55" t="s">
        <v>289</v>
      </c>
      <c r="C45" s="10">
        <f>IFERROR(INDEX('حسابهای دریافتنی'!H:H,MATCH(Table226[[#This Row],[كد تفصيلي]],'حسابهای دریافتنی'!A:A,0)),0)</f>
        <v>-454985417</v>
      </c>
      <c r="D45" s="11">
        <f>IFERROR(INDEX('درجریان وصول'!F:F,MATCH(Table226[[#This Row],[كد تفصيلي]],'درجریان وصول'!A:A,0)),0)</f>
        <v>0</v>
      </c>
      <c r="E45" s="11">
        <f>IFERROR(INDEX('چکهای دریافتنی'!F:F,MATCH(Table226[[#This Row],[كد تفصيلي]],'چکهای دریافتنی'!A:A,0)),0)</f>
        <v>1379936267</v>
      </c>
      <c r="F45" s="11">
        <f>Table226[[#This Row],[حسابهای دریافتنی]]+Table226[[#This Row],[چکهای در جریان وصول]]+Table226[[#This Row],[چکهای نزد صندوق]]</f>
        <v>924950850</v>
      </c>
      <c r="G45" s="12">
        <f>IFERROR(INDEX('مانده سوفاله'!F:F,MATCH(Table226[[#This Row],[كد تفصيلي]],'مانده سوفاله'!A:A,0)),0)</f>
        <v>0</v>
      </c>
    </row>
    <row r="46" spans="1:7" ht="24.75" customHeight="1" x14ac:dyDescent="0.35">
      <c r="A46" s="26">
        <v>30005</v>
      </c>
      <c r="B46" s="56" t="s">
        <v>55</v>
      </c>
      <c r="C46" s="10">
        <f>IFERROR(INDEX('حسابهای دریافتنی'!H:H,MATCH(Table226[[#This Row],[كد تفصيلي]],'حسابهای دریافتنی'!A:A,0)),0)</f>
        <v>35368209</v>
      </c>
      <c r="D46" s="11">
        <f>IFERROR(INDEX('درجریان وصول'!F:F,MATCH(Table226[[#This Row],[كد تفصيلي]],'درجریان وصول'!A:A,0)),0)</f>
        <v>0</v>
      </c>
      <c r="E46" s="11">
        <f>IFERROR(INDEX('چکهای دریافتنی'!F:F,MATCH(Table226[[#This Row],[كد تفصيلي]],'چکهای دریافتنی'!A:A,0)),0)</f>
        <v>0</v>
      </c>
      <c r="F46" s="11">
        <f>Table226[[#This Row],[حسابهای دریافتنی]]+Table226[[#This Row],[چکهای در جریان وصول]]+Table226[[#This Row],[چکهای نزد صندوق]]</f>
        <v>35368209</v>
      </c>
      <c r="G46" s="12">
        <f>IFERROR(INDEX('مانده سوفاله'!F:F,MATCH(Table226[[#This Row],[كد تفصيلي]],'مانده سوفاله'!A:A,0)),0)</f>
        <v>61</v>
      </c>
    </row>
    <row r="47" spans="1:7" ht="24.75" customHeight="1" x14ac:dyDescent="0.35">
      <c r="A47" s="27">
        <v>30018</v>
      </c>
      <c r="B47" s="55" t="s">
        <v>66</v>
      </c>
      <c r="C47" s="10">
        <f>IFERROR(INDEX('حسابهای دریافتنی'!H:H,MATCH(Table226[[#This Row],[كد تفصيلي]],'حسابهای دریافتنی'!A:A,0)),0)</f>
        <v>1901077182</v>
      </c>
      <c r="D47" s="11">
        <f>IFERROR(INDEX('درجریان وصول'!F:F,MATCH(Table226[[#This Row],[كد تفصيلي]],'درجریان وصول'!A:A,0)),0)</f>
        <v>0</v>
      </c>
      <c r="E47" s="11">
        <f>IFERROR(INDEX('چکهای دریافتنی'!F:F,MATCH(Table226[[#This Row],[كد تفصيلي]],'چکهای دریافتنی'!A:A,0)),0)</f>
        <v>0</v>
      </c>
      <c r="F47" s="11">
        <f>Table226[[#This Row],[حسابهای دریافتنی]]+Table226[[#This Row],[چکهای در جریان وصول]]+Table226[[#This Row],[چکهای نزد صندوق]]</f>
        <v>1901077182</v>
      </c>
      <c r="G47" s="12">
        <f>IFERROR(INDEX('مانده سوفاله'!F:F,MATCH(Table226[[#This Row],[كد تفصيلي]],'مانده سوفاله'!A:A,0)),0)</f>
        <v>-3024</v>
      </c>
    </row>
    <row r="48" spans="1:7" ht="24.75" customHeight="1" x14ac:dyDescent="0.35">
      <c r="A48" s="27">
        <v>30101</v>
      </c>
      <c r="B48" s="55" t="s">
        <v>196</v>
      </c>
      <c r="C48" s="10">
        <f>IFERROR(INDEX('حسابهای دریافتنی'!H:H,MATCH(Table226[[#This Row],[كد تفصيلي]],'حسابهای دریافتنی'!A:A,0)),0)</f>
        <v>203336095</v>
      </c>
      <c r="D48" s="11">
        <f>IFERROR(INDEX('درجریان وصول'!F:F,MATCH(Table226[[#This Row],[كد تفصيلي]],'درجریان وصول'!A:A,0)),0)</f>
        <v>0</v>
      </c>
      <c r="E48" s="11">
        <f>IFERROR(INDEX('چکهای دریافتنی'!F:F,MATCH(Table226[[#This Row],[كد تفصيلي]],'چکهای دریافتنی'!A:A,0)),0)</f>
        <v>0</v>
      </c>
      <c r="F48" s="11">
        <f>Table226[[#This Row],[حسابهای دریافتنی]]+Table226[[#This Row],[چکهای در جریان وصول]]+Table226[[#This Row],[چکهای نزد صندوق]]</f>
        <v>203336095</v>
      </c>
      <c r="G48" s="12">
        <f>IFERROR(INDEX('مانده سوفاله'!F:F,MATCH(Table226[[#This Row],[كد تفصيلي]],'مانده سوفاله'!A:A,0)),0)</f>
        <v>15</v>
      </c>
    </row>
    <row r="49" spans="1:7" ht="24.75" customHeight="1" x14ac:dyDescent="0.35">
      <c r="A49" s="27">
        <v>30024</v>
      </c>
      <c r="B49" s="55" t="s">
        <v>72</v>
      </c>
      <c r="C49" s="10">
        <f>IFERROR(INDEX('حسابهای دریافتنی'!H:H,MATCH(Table226[[#This Row],[كد تفصيلي]],'حسابهای دریافتنی'!A:A,0)),0)</f>
        <v>16135000</v>
      </c>
      <c r="D49" s="11">
        <f>IFERROR(INDEX('درجریان وصول'!F:F,MATCH(Table226[[#This Row],[كد تفصيلي]],'درجریان وصول'!A:A,0)),0)</f>
        <v>0</v>
      </c>
      <c r="E49" s="11">
        <f>IFERROR(INDEX('چکهای دریافتنی'!F:F,MATCH(Table226[[#This Row],[كد تفصيلي]],'چکهای دریافتنی'!A:A,0)),0)</f>
        <v>0</v>
      </c>
      <c r="F49" s="11">
        <f>Table226[[#This Row],[حسابهای دریافتنی]]+Table226[[#This Row],[چکهای در جریان وصول]]+Table226[[#This Row],[چکهای نزد صندوق]]</f>
        <v>16135000</v>
      </c>
      <c r="G49" s="12">
        <f>IFERROR(INDEX('مانده سوفاله'!F:F,MATCH(Table226[[#This Row],[كد تفصيلي]],'مانده سوفاله'!A:A,0)),0)</f>
        <v>0</v>
      </c>
    </row>
    <row r="50" spans="1:7" ht="24.75" customHeight="1" x14ac:dyDescent="0.35">
      <c r="A50" s="27">
        <v>30008</v>
      </c>
      <c r="B50" s="55" t="s">
        <v>58</v>
      </c>
      <c r="C50" s="10">
        <f>IFERROR(INDEX('حسابهای دریافتنی'!H:H,MATCH(Table226[[#This Row],[كد تفصيلي]],'حسابهای دریافتنی'!A:A,0)),0)</f>
        <v>15520000</v>
      </c>
      <c r="D50" s="11">
        <f>IFERROR(INDEX('درجریان وصول'!F:F,MATCH(Table226[[#This Row],[كد تفصيلي]],'درجریان وصول'!A:A,0)),0)</f>
        <v>0</v>
      </c>
      <c r="E50" s="11">
        <f>IFERROR(INDEX('چکهای دریافتنی'!F:F,MATCH(Table226[[#This Row],[كد تفصيلي]],'چکهای دریافتنی'!A:A,0)),0)</f>
        <v>0</v>
      </c>
      <c r="F50" s="11">
        <f>Table226[[#This Row],[حسابهای دریافتنی]]+Table226[[#This Row],[چکهای در جریان وصول]]+Table226[[#This Row],[چکهای نزد صندوق]]</f>
        <v>15520000</v>
      </c>
      <c r="G50" s="12">
        <f>IFERROR(INDEX('مانده سوفاله'!F:F,MATCH(Table226[[#This Row],[كد تفصيلي]],'مانده سوفاله'!A:A,0)),0)</f>
        <v>0</v>
      </c>
    </row>
    <row r="51" spans="1:7" ht="24.75" customHeight="1" x14ac:dyDescent="0.35">
      <c r="A51" s="27">
        <v>10092</v>
      </c>
      <c r="B51" s="55" t="s">
        <v>260</v>
      </c>
      <c r="C51" s="10">
        <f>IFERROR(INDEX('حسابهای دریافتنی'!H:H,MATCH(Table226[[#This Row],[كد تفصيلي]],'حسابهای دریافتنی'!A:A,0)),0)</f>
        <v>-1749946500</v>
      </c>
      <c r="D51" s="11">
        <f>IFERROR(INDEX('درجریان وصول'!F:F,MATCH(Table226[[#This Row],[كد تفصيلي]],'درجریان وصول'!A:A,0)),0)</f>
        <v>0</v>
      </c>
      <c r="E51" s="11">
        <f>IFERROR(INDEX('چکهای دریافتنی'!F:F,MATCH(Table226[[#This Row],[كد تفصيلي]],'چکهای دریافتنی'!A:A,0)),0)</f>
        <v>300000000</v>
      </c>
      <c r="F51" s="11">
        <f>Table226[[#This Row],[حسابهای دریافتنی]]+Table226[[#This Row],[چکهای در جریان وصول]]+Table226[[#This Row],[چکهای نزد صندوق]]</f>
        <v>-1449946500</v>
      </c>
      <c r="G51" s="12">
        <f>IFERROR(INDEX('مانده سوفاله'!F:F,MATCH(Table226[[#This Row],[كد تفصيلي]],'مانده سوفاله'!A:A,0)),0)</f>
        <v>0</v>
      </c>
    </row>
    <row r="52" spans="1:7" ht="24.75" customHeight="1" x14ac:dyDescent="0.35">
      <c r="A52" s="26">
        <v>10007</v>
      </c>
      <c r="B52" s="56" t="s">
        <v>14</v>
      </c>
      <c r="C52" s="10">
        <f>IFERROR(INDEX('حسابهای دریافتنی'!H:H,MATCH(Table226[[#This Row],[كد تفصيلي]],'حسابهای دریافتنی'!A:A,0)),0)</f>
        <v>12770000</v>
      </c>
      <c r="D52" s="11">
        <f>IFERROR(INDEX('درجریان وصول'!F:F,MATCH(Table226[[#This Row],[كد تفصيلي]],'درجریان وصول'!A:A,0)),0)</f>
        <v>0</v>
      </c>
      <c r="E52" s="11">
        <f>IFERROR(INDEX('چکهای دریافتنی'!F:F,MATCH(Table226[[#This Row],[كد تفصيلي]],'چکهای دریافتنی'!A:A,0)),0)</f>
        <v>0</v>
      </c>
      <c r="F52" s="11">
        <f>Table226[[#This Row],[حسابهای دریافتنی]]+Table226[[#This Row],[چکهای در جریان وصول]]+Table226[[#This Row],[چکهای نزد صندوق]]</f>
        <v>12770000</v>
      </c>
      <c r="G52" s="12">
        <f>IFERROR(INDEX('مانده سوفاله'!F:F,MATCH(Table226[[#This Row],[كد تفصيلي]],'مانده سوفاله'!A:A,0)),0)</f>
        <v>-52.5</v>
      </c>
    </row>
    <row r="53" spans="1:7" ht="24.75" customHeight="1" x14ac:dyDescent="0.35">
      <c r="A53" s="27">
        <v>10018</v>
      </c>
      <c r="B53" s="55" t="s">
        <v>25</v>
      </c>
      <c r="C53" s="10">
        <f>IFERROR(INDEX('حسابهای دریافتنی'!H:H,MATCH(Table226[[#This Row],[كد تفصيلي]],'حسابهای دریافتنی'!A:A,0)),0)</f>
        <v>95282000</v>
      </c>
      <c r="D53" s="11">
        <f>IFERROR(INDEX('درجریان وصول'!F:F,MATCH(Table226[[#This Row],[كد تفصيلي]],'درجریان وصول'!A:A,0)),0)</f>
        <v>0</v>
      </c>
      <c r="E53" s="11">
        <f>IFERROR(INDEX('چکهای دریافتنی'!F:F,MATCH(Table226[[#This Row],[كد تفصيلي]],'چکهای دریافتنی'!A:A,0)),0)</f>
        <v>0</v>
      </c>
      <c r="F53" s="11">
        <f>Table226[[#This Row],[حسابهای دریافتنی]]+Table226[[#This Row],[چکهای در جریان وصول]]+Table226[[#This Row],[چکهای نزد صندوق]]</f>
        <v>95282000</v>
      </c>
      <c r="G53" s="12">
        <f>IFERROR(INDEX('مانده سوفاله'!F:F,MATCH(Table226[[#This Row],[كد تفصيلي]],'مانده سوفاله'!A:A,0)),0)</f>
        <v>-32</v>
      </c>
    </row>
    <row r="54" spans="1:7" ht="24.75" customHeight="1" x14ac:dyDescent="0.35">
      <c r="A54" s="26">
        <v>30156</v>
      </c>
      <c r="B54" s="56" t="s">
        <v>290</v>
      </c>
      <c r="C54" s="10">
        <f>IFERROR(INDEX('حسابهای دریافتنی'!H:H,MATCH(Table226[[#This Row],[كد تفصيلي]],'حسابهای دریافتنی'!A:A,0)),0)</f>
        <v>-180917500</v>
      </c>
      <c r="D54" s="11">
        <f>IFERROR(INDEX('درجریان وصول'!F:F,MATCH(Table226[[#This Row],[كد تفصيلي]],'درجریان وصول'!A:A,0)),0)</f>
        <v>0</v>
      </c>
      <c r="E54" s="11">
        <f>IFERROR(INDEX('چکهای دریافتنی'!F:F,MATCH(Table226[[#This Row],[كد تفصيلي]],'چکهای دریافتنی'!A:A,0)),0)</f>
        <v>0</v>
      </c>
      <c r="F54" s="11">
        <f>Table226[[#This Row],[حسابهای دریافتنی]]+Table226[[#This Row],[چکهای در جریان وصول]]+Table226[[#This Row],[چکهای نزد صندوق]]</f>
        <v>-180917500</v>
      </c>
      <c r="G54" s="12">
        <f>IFERROR(INDEX('مانده سوفاله'!F:F,MATCH(Table226[[#This Row],[كد تفصيلي]],'مانده سوفاله'!A:A,0)),0)</f>
        <v>0</v>
      </c>
    </row>
    <row r="55" spans="1:7" ht="24.75" customHeight="1" x14ac:dyDescent="0.35">
      <c r="A55" s="27">
        <v>30145</v>
      </c>
      <c r="B55" s="55" t="s">
        <v>265</v>
      </c>
      <c r="C55" s="10">
        <f>IFERROR(INDEX('حسابهای دریافتنی'!H:H,MATCH(Table226[[#This Row],[كد تفصيلي]],'حسابهای دریافتنی'!A:A,0)),0)</f>
        <v>6442500</v>
      </c>
      <c r="D55" s="11">
        <f>IFERROR(INDEX('درجریان وصول'!F:F,MATCH(Table226[[#This Row],[كد تفصيلي]],'درجریان وصول'!A:A,0)),0)</f>
        <v>0</v>
      </c>
      <c r="E55" s="11">
        <f>IFERROR(INDEX('چکهای دریافتنی'!F:F,MATCH(Table226[[#This Row],[كد تفصيلي]],'چکهای دریافتنی'!A:A,0)),0)</f>
        <v>0</v>
      </c>
      <c r="F55" s="11">
        <f>Table226[[#This Row],[حسابهای دریافتنی]]+Table226[[#This Row],[چکهای در جریان وصول]]+Table226[[#This Row],[چکهای نزد صندوق]]</f>
        <v>6442500</v>
      </c>
      <c r="G55" s="12">
        <f>IFERROR(INDEX('مانده سوفاله'!F:F,MATCH(Table226[[#This Row],[كد تفصيلي]],'مانده سوفاله'!A:A,0)),0)</f>
        <v>0</v>
      </c>
    </row>
    <row r="56" spans="1:7" ht="24.75" customHeight="1" x14ac:dyDescent="0.35">
      <c r="A56" s="26">
        <v>30047</v>
      </c>
      <c r="B56" s="56" t="s">
        <v>94</v>
      </c>
      <c r="C56" s="10">
        <f>IFERROR(INDEX('حسابهای دریافتنی'!H:H,MATCH(Table226[[#This Row],[كد تفصيلي]],'حسابهای دریافتنی'!A:A,0)),0)</f>
        <v>5794900</v>
      </c>
      <c r="D56" s="11">
        <f>IFERROR(INDEX('درجریان وصول'!F:F,MATCH(Table226[[#This Row],[كد تفصيلي]],'درجریان وصول'!A:A,0)),0)</f>
        <v>0</v>
      </c>
      <c r="E56" s="11">
        <f>IFERROR(INDEX('چکهای دریافتنی'!F:F,MATCH(Table226[[#This Row],[كد تفصيلي]],'چکهای دریافتنی'!A:A,0)),0)</f>
        <v>0</v>
      </c>
      <c r="F56" s="11">
        <f>Table226[[#This Row],[حسابهای دریافتنی]]+Table226[[#This Row],[چکهای در جریان وصول]]+Table226[[#This Row],[چکهای نزد صندوق]]</f>
        <v>5794900</v>
      </c>
      <c r="G56" s="12">
        <f>IFERROR(INDEX('مانده سوفاله'!F:F,MATCH(Table226[[#This Row],[كد تفصيلي]],'مانده سوفاله'!A:A,0)),0)</f>
        <v>-630</v>
      </c>
    </row>
    <row r="57" spans="1:7" ht="24.75" customHeight="1" x14ac:dyDescent="0.35">
      <c r="A57" s="26">
        <v>30011</v>
      </c>
      <c r="B57" s="56" t="s">
        <v>60</v>
      </c>
      <c r="C57" s="10">
        <f>IFERROR(INDEX('حسابهای دریافتنی'!H:H,MATCH(Table226[[#This Row],[كد تفصيلي]],'حسابهای دریافتنی'!A:A,0)),0)</f>
        <v>5595200</v>
      </c>
      <c r="D57" s="11">
        <f>IFERROR(INDEX('درجریان وصول'!F:F,MATCH(Table226[[#This Row],[كد تفصيلي]],'درجریان وصول'!A:A,0)),0)</f>
        <v>0</v>
      </c>
      <c r="E57" s="11">
        <f>IFERROR(INDEX('چکهای دریافتنی'!F:F,MATCH(Table226[[#This Row],[كد تفصيلي]],'چکهای دریافتنی'!A:A,0)),0)</f>
        <v>0</v>
      </c>
      <c r="F57" s="11">
        <f>Table226[[#This Row],[حسابهای دریافتنی]]+Table226[[#This Row],[چکهای در جریان وصول]]+Table226[[#This Row],[چکهای نزد صندوق]]</f>
        <v>5595200</v>
      </c>
      <c r="G57" s="12">
        <f>IFERROR(INDEX('مانده سوفاله'!F:F,MATCH(Table226[[#This Row],[كد تفصيلي]],'مانده سوفاله'!A:A,0)),0)</f>
        <v>-5</v>
      </c>
    </row>
    <row r="58" spans="1:7" ht="24.75" customHeight="1" x14ac:dyDescent="0.35">
      <c r="A58" s="27">
        <v>10080</v>
      </c>
      <c r="B58" s="55" t="s">
        <v>214</v>
      </c>
      <c r="C58" s="10">
        <f>IFERROR(INDEX('حسابهای دریافتنی'!H:H,MATCH(Table226[[#This Row],[كد تفصيلي]],'حسابهای دریافتنی'!A:A,0)),0)</f>
        <v>5395000</v>
      </c>
      <c r="D58" s="11">
        <f>IFERROR(INDEX('درجریان وصول'!F:F,MATCH(Table226[[#This Row],[كد تفصيلي]],'درجریان وصول'!A:A,0)),0)</f>
        <v>0</v>
      </c>
      <c r="E58" s="11">
        <f>IFERROR(INDEX('چکهای دریافتنی'!F:F,MATCH(Table226[[#This Row],[كد تفصيلي]],'چکهای دریافتنی'!A:A,0)),0)</f>
        <v>0</v>
      </c>
      <c r="F58" s="11">
        <f>Table226[[#This Row],[حسابهای دریافتنی]]+Table226[[#This Row],[چکهای در جریان وصول]]+Table226[[#This Row],[چکهای نزد صندوق]]</f>
        <v>5395000</v>
      </c>
      <c r="G58" s="12">
        <f>IFERROR(INDEX('مانده سوفاله'!F:F,MATCH(Table226[[#This Row],[كد تفصيلي]],'مانده سوفاله'!A:A,0)),0)</f>
        <v>0</v>
      </c>
    </row>
    <row r="59" spans="1:7" ht="24.75" customHeight="1" x14ac:dyDescent="0.35">
      <c r="A59" s="26">
        <v>30114</v>
      </c>
      <c r="B59" s="56" t="s">
        <v>175</v>
      </c>
      <c r="C59" s="10">
        <f>IFERROR(INDEX('حسابهای دریافتنی'!H:H,MATCH(Table226[[#This Row],[كد تفصيلي]],'حسابهای دریافتنی'!A:A,0)),0)</f>
        <v>5385600</v>
      </c>
      <c r="D59" s="11">
        <f>IFERROR(INDEX('درجریان وصول'!F:F,MATCH(Table226[[#This Row],[كد تفصيلي]],'درجریان وصول'!A:A,0)),0)</f>
        <v>0</v>
      </c>
      <c r="E59" s="11">
        <f>IFERROR(INDEX('چکهای دریافتنی'!F:F,MATCH(Table226[[#This Row],[كد تفصيلي]],'چکهای دریافتنی'!A:A,0)),0)</f>
        <v>0</v>
      </c>
      <c r="F59" s="11">
        <f>Table226[[#This Row],[حسابهای دریافتنی]]+Table226[[#This Row],[چکهای در جریان وصول]]+Table226[[#This Row],[چکهای نزد صندوق]]</f>
        <v>5385600</v>
      </c>
      <c r="G59" s="12">
        <f>IFERROR(INDEX('مانده سوفاله'!F:F,MATCH(Table226[[#This Row],[كد تفصيلي]],'مانده سوفاله'!A:A,0)),0)</f>
        <v>0</v>
      </c>
    </row>
    <row r="60" spans="1:7" ht="24.75" customHeight="1" x14ac:dyDescent="0.35">
      <c r="A60" s="27">
        <v>30123</v>
      </c>
      <c r="B60" s="55" t="s">
        <v>208</v>
      </c>
      <c r="C60" s="10">
        <f>IFERROR(INDEX('حسابهای دریافتنی'!H:H,MATCH(Table226[[#This Row],[كد تفصيلي]],'حسابهای دریافتنی'!A:A,0)),0)</f>
        <v>4138250</v>
      </c>
      <c r="D60" s="11">
        <f>IFERROR(INDEX('درجریان وصول'!F:F,MATCH(Table226[[#This Row],[كد تفصيلي]],'درجریان وصول'!A:A,0)),0)</f>
        <v>0</v>
      </c>
      <c r="E60" s="11">
        <f>IFERROR(INDEX('چکهای دریافتنی'!F:F,MATCH(Table226[[#This Row],[كد تفصيلي]],'چکهای دریافتنی'!A:A,0)),0)</f>
        <v>0</v>
      </c>
      <c r="F60" s="11">
        <f>Table226[[#This Row],[حسابهای دریافتنی]]+Table226[[#This Row],[چکهای در جریان وصول]]+Table226[[#This Row],[چکهای نزد صندوق]]</f>
        <v>4138250</v>
      </c>
      <c r="G60" s="12">
        <f>IFERROR(INDEX('مانده سوفاله'!F:F,MATCH(Table226[[#This Row],[كد تفصيلي]],'مانده سوفاله'!A:A,0)),0)</f>
        <v>-20</v>
      </c>
    </row>
    <row r="61" spans="1:7" ht="24.75" customHeight="1" x14ac:dyDescent="0.35">
      <c r="A61" s="26">
        <v>10116</v>
      </c>
      <c r="B61" s="56" t="s">
        <v>321</v>
      </c>
      <c r="C61" s="10">
        <f>IFERROR(INDEX('حسابهای دریافتنی'!H:H,MATCH(Table226[[#This Row],[كد تفصيلي]],'حسابهای دریافتنی'!A:A,0)),0)</f>
        <v>3892500</v>
      </c>
      <c r="D61" s="11">
        <f>IFERROR(INDEX('درجریان وصول'!F:F,MATCH(Table226[[#This Row],[كد تفصيلي]],'درجریان وصول'!A:A,0)),0)</f>
        <v>0</v>
      </c>
      <c r="E61" s="11">
        <f>IFERROR(INDEX('چکهای دریافتنی'!F:F,MATCH(Table226[[#This Row],[كد تفصيلي]],'چکهای دریافتنی'!A:A,0)),0)</f>
        <v>0</v>
      </c>
      <c r="F61" s="11">
        <f>Table226[[#This Row],[حسابهای دریافتنی]]+Table226[[#This Row],[چکهای در جریان وصول]]+Table226[[#This Row],[چکهای نزد صندوق]]</f>
        <v>3892500</v>
      </c>
      <c r="G61" s="12">
        <f>IFERROR(INDEX('مانده سوفاله'!F:F,MATCH(Table226[[#This Row],[كد تفصيلي]],'مانده سوفاله'!A:A,0)),0)</f>
        <v>0</v>
      </c>
    </row>
    <row r="62" spans="1:7" ht="24.75" customHeight="1" x14ac:dyDescent="0.35">
      <c r="A62" s="26">
        <v>10122</v>
      </c>
      <c r="B62" s="56" t="s">
        <v>339</v>
      </c>
      <c r="C62" s="10">
        <f>IFERROR(INDEX('حسابهای دریافتنی'!H:H,MATCH(Table226[[#This Row],[كد تفصيلي]],'حسابهای دریافتنی'!A:A,0)),0)</f>
        <v>3375000</v>
      </c>
      <c r="D62" s="11">
        <f>IFERROR(INDEX('درجریان وصول'!F:F,MATCH(Table226[[#This Row],[كد تفصيلي]],'درجریان وصول'!A:A,0)),0)</f>
        <v>0</v>
      </c>
      <c r="E62" s="11">
        <f>IFERROR(INDEX('چکهای دریافتنی'!F:F,MATCH(Table226[[#This Row],[كد تفصيلي]],'چکهای دریافتنی'!A:A,0)),0)</f>
        <v>0</v>
      </c>
      <c r="F62" s="11">
        <f>Table226[[#This Row],[حسابهای دریافتنی]]+Table226[[#This Row],[چکهای در جریان وصول]]+Table226[[#This Row],[چکهای نزد صندوق]]</f>
        <v>3375000</v>
      </c>
      <c r="G62" s="12">
        <f>IFERROR(INDEX('مانده سوفاله'!F:F,MATCH(Table226[[#This Row],[كد تفصيلي]],'مانده سوفاله'!A:A,0)),0)</f>
        <v>0</v>
      </c>
    </row>
    <row r="63" spans="1:7" ht="24.75" customHeight="1" x14ac:dyDescent="0.35">
      <c r="A63" s="27">
        <v>10030</v>
      </c>
      <c r="B63" s="55" t="s">
        <v>36</v>
      </c>
      <c r="C63" s="10">
        <f>IFERROR(INDEX('حسابهای دریافتنی'!H:H,MATCH(Table226[[#This Row],[كد تفصيلي]],'حسابهای دریافتنی'!A:A,0)),0)</f>
        <v>3272000</v>
      </c>
      <c r="D63" s="11">
        <f>IFERROR(INDEX('درجریان وصول'!F:F,MATCH(Table226[[#This Row],[كد تفصيلي]],'درجریان وصول'!A:A,0)),0)</f>
        <v>0</v>
      </c>
      <c r="E63" s="11">
        <f>IFERROR(INDEX('چکهای دریافتنی'!F:F,MATCH(Table226[[#This Row],[كد تفصيلي]],'چکهای دریافتنی'!A:A,0)),0)</f>
        <v>0</v>
      </c>
      <c r="F63" s="11">
        <f>Table226[[#This Row],[حسابهای دریافتنی]]+Table226[[#This Row],[چکهای در جریان وصول]]+Table226[[#This Row],[چکهای نزد صندوق]]</f>
        <v>3272000</v>
      </c>
      <c r="G63" s="12">
        <f>IFERROR(INDEX('مانده سوفاله'!F:F,MATCH(Table226[[#This Row],[كد تفصيلي]],'مانده سوفاله'!A:A,0)),0)</f>
        <v>-222</v>
      </c>
    </row>
    <row r="64" spans="1:7" ht="24.75" customHeight="1" x14ac:dyDescent="0.35">
      <c r="A64" s="26">
        <v>30178</v>
      </c>
      <c r="B64" s="56" t="s">
        <v>335</v>
      </c>
      <c r="C64" s="10">
        <f>IFERROR(INDEX('حسابهای دریافتنی'!H:H,MATCH(Table226[[#This Row],[كد تفصيلي]],'حسابهای دریافتنی'!A:A,0)),0)</f>
        <v>3040000</v>
      </c>
      <c r="D64" s="11">
        <f>IFERROR(INDEX('درجریان وصول'!F:F,MATCH(Table226[[#This Row],[كد تفصيلي]],'درجریان وصول'!A:A,0)),0)</f>
        <v>0</v>
      </c>
      <c r="E64" s="11">
        <f>IFERROR(INDEX('چکهای دریافتنی'!F:F,MATCH(Table226[[#This Row],[كد تفصيلي]],'چکهای دریافتنی'!A:A,0)),0)</f>
        <v>0</v>
      </c>
      <c r="F64" s="11">
        <f>Table226[[#This Row],[حسابهای دریافتنی]]+Table226[[#This Row],[چکهای در جریان وصول]]+Table226[[#This Row],[چکهای نزد صندوق]]</f>
        <v>3040000</v>
      </c>
      <c r="G64" s="12">
        <f>IFERROR(INDEX('مانده سوفاله'!F:F,MATCH(Table226[[#This Row],[كد تفصيلي]],'مانده سوفاله'!A:A,0)),0)</f>
        <v>0</v>
      </c>
    </row>
    <row r="65" spans="1:7" ht="24.75" customHeight="1" x14ac:dyDescent="0.35">
      <c r="A65" s="27">
        <v>30020</v>
      </c>
      <c r="B65" s="55" t="s">
        <v>68</v>
      </c>
      <c r="C65" s="10">
        <f>IFERROR(INDEX('حسابهای دریافتنی'!H:H,MATCH(Table226[[#This Row],[كد تفصيلي]],'حسابهای دریافتنی'!A:A,0)),0)</f>
        <v>2253500</v>
      </c>
      <c r="D65" s="11">
        <f>IFERROR(INDEX('درجریان وصول'!F:F,MATCH(Table226[[#This Row],[كد تفصيلي]],'درجریان وصول'!A:A,0)),0)</f>
        <v>0</v>
      </c>
      <c r="E65" s="11">
        <f>IFERROR(INDEX('چکهای دریافتنی'!F:F,MATCH(Table226[[#This Row],[كد تفصيلي]],'چکهای دریافتنی'!A:A,0)),0)</f>
        <v>0</v>
      </c>
      <c r="F65" s="11">
        <f>Table226[[#This Row],[حسابهای دریافتنی]]+Table226[[#This Row],[چکهای در جریان وصول]]+Table226[[#This Row],[چکهای نزد صندوق]]</f>
        <v>2253500</v>
      </c>
      <c r="G65" s="12">
        <f>IFERROR(INDEX('مانده سوفاله'!F:F,MATCH(Table226[[#This Row],[كد تفصيلي]],'مانده سوفاله'!A:A,0)),0)</f>
        <v>4</v>
      </c>
    </row>
    <row r="66" spans="1:7" ht="24.75" customHeight="1" x14ac:dyDescent="0.35">
      <c r="A66" s="26">
        <v>30084</v>
      </c>
      <c r="B66" s="56" t="s">
        <v>129</v>
      </c>
      <c r="C66" s="10">
        <f>IFERROR(INDEX('حسابهای دریافتنی'!H:H,MATCH(Table226[[#This Row],[كد تفصيلي]],'حسابهای دریافتنی'!A:A,0)),0)</f>
        <v>1220000</v>
      </c>
      <c r="D66" s="11">
        <f>IFERROR(INDEX('درجریان وصول'!F:F,MATCH(Table226[[#This Row],[كد تفصيلي]],'درجریان وصول'!A:A,0)),0)</f>
        <v>0</v>
      </c>
      <c r="E66" s="11">
        <f>IFERROR(INDEX('چکهای دریافتنی'!F:F,MATCH(Table226[[#This Row],[كد تفصيلي]],'چکهای دریافتنی'!A:A,0)),0)</f>
        <v>0</v>
      </c>
      <c r="F66" s="11">
        <f>Table226[[#This Row],[حسابهای دریافتنی]]+Table226[[#This Row],[چکهای در جریان وصول]]+Table226[[#This Row],[چکهای نزد صندوق]]</f>
        <v>1220000</v>
      </c>
      <c r="G66" s="12">
        <f>IFERROR(INDEX('مانده سوفاله'!F:F,MATCH(Table226[[#This Row],[كد تفصيلي]],'مانده سوفاله'!A:A,0)),0)</f>
        <v>0</v>
      </c>
    </row>
    <row r="67" spans="1:7" ht="24.75" customHeight="1" x14ac:dyDescent="0.35">
      <c r="A67" s="27">
        <v>79055</v>
      </c>
      <c r="B67" s="55" t="s">
        <v>297</v>
      </c>
      <c r="C67" s="10">
        <f>IFERROR(INDEX('حسابهای دریافتنی'!H:H,MATCH(Table226[[#This Row],[كد تفصيلي]],'حسابهای دریافتنی'!A:A,0)),0)</f>
        <v>896500</v>
      </c>
      <c r="D67" s="11">
        <f>IFERROR(INDEX('درجریان وصول'!F:F,MATCH(Table226[[#This Row],[كد تفصيلي]],'درجریان وصول'!A:A,0)),0)</f>
        <v>0</v>
      </c>
      <c r="E67" s="11">
        <f>IFERROR(INDEX('چکهای دریافتنی'!F:F,MATCH(Table226[[#This Row],[كد تفصيلي]],'چکهای دریافتنی'!A:A,0)),0)</f>
        <v>0</v>
      </c>
      <c r="F67" s="11">
        <f>Table226[[#This Row],[حسابهای دریافتنی]]+Table226[[#This Row],[چکهای در جریان وصول]]+Table226[[#This Row],[چکهای نزد صندوق]]</f>
        <v>896500</v>
      </c>
      <c r="G67" s="12">
        <f>IFERROR(INDEX('مانده سوفاله'!F:F,MATCH(Table226[[#This Row],[كد تفصيلي]],'مانده سوفاله'!A:A,0)),0)</f>
        <v>0</v>
      </c>
    </row>
    <row r="68" spans="1:7" ht="24.75" customHeight="1" x14ac:dyDescent="0.35">
      <c r="A68" s="27">
        <v>30030</v>
      </c>
      <c r="B68" s="55" t="s">
        <v>77</v>
      </c>
      <c r="C68" s="10">
        <f>IFERROR(INDEX('حسابهای دریافتنی'!H:H,MATCH(Table226[[#This Row],[كد تفصيلي]],'حسابهای دریافتنی'!A:A,0)),0)</f>
        <v>850500</v>
      </c>
      <c r="D68" s="11">
        <f>IFERROR(INDEX('درجریان وصول'!F:F,MATCH(Table226[[#This Row],[كد تفصيلي]],'درجریان وصول'!A:A,0)),0)</f>
        <v>0</v>
      </c>
      <c r="E68" s="11">
        <f>IFERROR(INDEX('چکهای دریافتنی'!F:F,MATCH(Table226[[#This Row],[كد تفصيلي]],'چکهای دریافتنی'!A:A,0)),0)</f>
        <v>0</v>
      </c>
      <c r="F68" s="11">
        <f>Table226[[#This Row],[حسابهای دریافتنی]]+Table226[[#This Row],[چکهای در جریان وصول]]+Table226[[#This Row],[چکهای نزد صندوق]]</f>
        <v>850500</v>
      </c>
      <c r="G68" s="12">
        <f>IFERROR(INDEX('مانده سوفاله'!F:F,MATCH(Table226[[#This Row],[كد تفصيلي]],'مانده سوفاله'!A:A,0)),0)</f>
        <v>-49</v>
      </c>
    </row>
    <row r="69" spans="1:7" ht="24.75" customHeight="1" x14ac:dyDescent="0.35">
      <c r="A69" s="27">
        <v>10048</v>
      </c>
      <c r="B69" s="55" t="s">
        <v>191</v>
      </c>
      <c r="C69" s="10">
        <f>IFERROR(INDEX('حسابهای دریافتنی'!H:H,MATCH(Table226[[#This Row],[كد تفصيلي]],'حسابهای دریافتنی'!A:A,0)),0)</f>
        <v>0</v>
      </c>
      <c r="D69" s="11">
        <f>IFERROR(INDEX('درجریان وصول'!F:F,MATCH(Table226[[#This Row],[كد تفصيلي]],'درجریان وصول'!A:A,0)),0)</f>
        <v>0</v>
      </c>
      <c r="E69" s="11">
        <f>IFERROR(INDEX('چکهای دریافتنی'!F:F,MATCH(Table226[[#This Row],[كد تفصيلي]],'چکهای دریافتنی'!A:A,0)),0)</f>
        <v>0</v>
      </c>
      <c r="F69" s="11">
        <f>Table226[[#This Row],[حسابهای دریافتنی]]+Table226[[#This Row],[چکهای در جریان وصول]]+Table226[[#This Row],[چکهای نزد صندوق]]</f>
        <v>0</v>
      </c>
      <c r="G69" s="12">
        <f>IFERROR(INDEX('مانده سوفاله'!F:F,MATCH(Table226[[#This Row],[كد تفصيلي]],'مانده سوفاله'!A:A,0)),0)</f>
        <v>-1097</v>
      </c>
    </row>
    <row r="70" spans="1:7" ht="24.75" customHeight="1" x14ac:dyDescent="0.35">
      <c r="A70" s="27">
        <v>30129</v>
      </c>
      <c r="B70" s="55" t="s">
        <v>178</v>
      </c>
      <c r="C70" s="10">
        <f>IFERROR(INDEX('حسابهای دریافتنی'!H:H,MATCH(Table226[[#This Row],[كد تفصيلي]],'حسابهای دریافتنی'!A:A,0)),0)</f>
        <v>783000</v>
      </c>
      <c r="D70" s="11">
        <f>IFERROR(INDEX('درجریان وصول'!F:F,MATCH(Table226[[#This Row],[كد تفصيلي]],'درجریان وصول'!A:A,0)),0)</f>
        <v>0</v>
      </c>
      <c r="E70" s="11">
        <f>IFERROR(INDEX('چکهای دریافتنی'!F:F,MATCH(Table226[[#This Row],[كد تفصيلي]],'چکهای دریافتنی'!A:A,0)),0)</f>
        <v>0</v>
      </c>
      <c r="F70" s="11">
        <f>Table226[[#This Row],[حسابهای دریافتنی]]+Table226[[#This Row],[چکهای در جریان وصول]]+Table226[[#This Row],[چکهای نزد صندوق]]</f>
        <v>783000</v>
      </c>
      <c r="G70" s="12">
        <f>IFERROR(INDEX('مانده سوفاله'!F:F,MATCH(Table226[[#This Row],[كد تفصيلي]],'مانده سوفاله'!A:A,0)),0)</f>
        <v>0</v>
      </c>
    </row>
    <row r="71" spans="1:7" ht="24.75" customHeight="1" x14ac:dyDescent="0.35">
      <c r="A71" s="26">
        <v>30090</v>
      </c>
      <c r="B71" s="56" t="s">
        <v>144</v>
      </c>
      <c r="C71" s="10">
        <f>IFERROR(INDEX('حسابهای دریافتنی'!H:H,MATCH(Table226[[#This Row],[كد تفصيلي]],'حسابهای دریافتنی'!A:A,0)),0)</f>
        <v>640100</v>
      </c>
      <c r="D71" s="11">
        <f>IFERROR(INDEX('درجریان وصول'!F:F,MATCH(Table226[[#This Row],[كد تفصيلي]],'درجریان وصول'!A:A,0)),0)</f>
        <v>0</v>
      </c>
      <c r="E71" s="11">
        <f>IFERROR(INDEX('چکهای دریافتنی'!F:F,MATCH(Table226[[#This Row],[كد تفصيلي]],'چکهای دریافتنی'!A:A,0)),0)</f>
        <v>0</v>
      </c>
      <c r="F71" s="11">
        <f>Table226[[#This Row],[حسابهای دریافتنی]]+Table226[[#This Row],[چکهای در جریان وصول]]+Table226[[#This Row],[چکهای نزد صندوق]]</f>
        <v>640100</v>
      </c>
      <c r="G71" s="12">
        <f>IFERROR(INDEX('مانده سوفاله'!F:F,MATCH(Table226[[#This Row],[كد تفصيلي]],'مانده سوفاله'!A:A,0)),0)</f>
        <v>0</v>
      </c>
    </row>
    <row r="72" spans="1:7" ht="24.75" customHeight="1" x14ac:dyDescent="0.35">
      <c r="A72" s="27">
        <v>30109</v>
      </c>
      <c r="B72" s="55" t="s">
        <v>165</v>
      </c>
      <c r="C72" s="10">
        <f>IFERROR(INDEX('حسابهای دریافتنی'!H:H,MATCH(Table226[[#This Row],[كد تفصيلي]],'حسابهای دریافتنی'!A:A,0)),0)</f>
        <v>607300</v>
      </c>
      <c r="D72" s="11">
        <f>IFERROR(INDEX('درجریان وصول'!F:F,MATCH(Table226[[#This Row],[كد تفصيلي]],'درجریان وصول'!A:A,0)),0)</f>
        <v>0</v>
      </c>
      <c r="E72" s="11">
        <f>IFERROR(INDEX('چکهای دریافتنی'!F:F,MATCH(Table226[[#This Row],[كد تفصيلي]],'چکهای دریافتنی'!A:A,0)),0)</f>
        <v>0</v>
      </c>
      <c r="F72" s="11">
        <f>Table226[[#This Row],[حسابهای دریافتنی]]+Table226[[#This Row],[چکهای در جریان وصول]]+Table226[[#This Row],[چکهای نزد صندوق]]</f>
        <v>607300</v>
      </c>
      <c r="G72" s="12">
        <f>IFERROR(INDEX('مانده سوفاله'!F:F,MATCH(Table226[[#This Row],[كد تفصيلي]],'مانده سوفاله'!A:A,0)),0)</f>
        <v>0</v>
      </c>
    </row>
    <row r="73" spans="1:7" ht="24.75" customHeight="1" x14ac:dyDescent="0.35">
      <c r="A73" s="27">
        <v>30010</v>
      </c>
      <c r="B73" s="55" t="s">
        <v>59</v>
      </c>
      <c r="C73" s="10">
        <f>IFERROR(INDEX('حسابهای دریافتنی'!H:H,MATCH(Table226[[#This Row],[كد تفصيلي]],'حسابهای دریافتنی'!A:A,0)),0)</f>
        <v>366215</v>
      </c>
      <c r="D73" s="11">
        <f>IFERROR(INDEX('درجریان وصول'!F:F,MATCH(Table226[[#This Row],[كد تفصيلي]],'درجریان وصول'!A:A,0)),0)</f>
        <v>0</v>
      </c>
      <c r="E73" s="11">
        <f>IFERROR(INDEX('چکهای دریافتنی'!F:F,MATCH(Table226[[#This Row],[كد تفصيلي]],'چکهای دریافتنی'!A:A,0)),0)</f>
        <v>0</v>
      </c>
      <c r="F73" s="11">
        <f>Table226[[#This Row],[حسابهای دریافتنی]]+Table226[[#This Row],[چکهای در جریان وصول]]+Table226[[#This Row],[چکهای نزد صندوق]]</f>
        <v>366215</v>
      </c>
      <c r="G73" s="12">
        <f>IFERROR(INDEX('مانده سوفاله'!F:F,MATCH(Table226[[#This Row],[كد تفصيلي]],'مانده سوفاله'!A:A,0)),0)</f>
        <v>8</v>
      </c>
    </row>
    <row r="74" spans="1:7" ht="24.75" customHeight="1" x14ac:dyDescent="0.35">
      <c r="A74" s="27">
        <v>30077</v>
      </c>
      <c r="B74" s="55" t="s">
        <v>122</v>
      </c>
      <c r="C74" s="10">
        <f>IFERROR(INDEX('حسابهای دریافتنی'!H:H,MATCH(Table226[[#This Row],[كد تفصيلي]],'حسابهای دریافتنی'!A:A,0)),0)</f>
        <v>360000</v>
      </c>
      <c r="D74" s="11">
        <f>IFERROR(INDEX('درجریان وصول'!F:F,MATCH(Table226[[#This Row],[كد تفصيلي]],'درجریان وصول'!A:A,0)),0)</f>
        <v>0</v>
      </c>
      <c r="E74" s="11">
        <f>IFERROR(INDEX('چکهای دریافتنی'!F:F,MATCH(Table226[[#This Row],[كد تفصيلي]],'چکهای دریافتنی'!A:A,0)),0)</f>
        <v>0</v>
      </c>
      <c r="F74" s="11">
        <f>Table226[[#This Row],[حسابهای دریافتنی]]+Table226[[#This Row],[چکهای در جریان وصول]]+Table226[[#This Row],[چکهای نزد صندوق]]</f>
        <v>360000</v>
      </c>
      <c r="G74" s="12">
        <f>IFERROR(INDEX('مانده سوفاله'!F:F,MATCH(Table226[[#This Row],[كد تفصيلي]],'مانده سوفاله'!A:A,0)),0)</f>
        <v>-32</v>
      </c>
    </row>
    <row r="75" spans="1:7" ht="24.75" customHeight="1" x14ac:dyDescent="0.35">
      <c r="A75" s="26">
        <v>30027</v>
      </c>
      <c r="B75" s="56" t="s">
        <v>75</v>
      </c>
      <c r="C75" s="10">
        <f>IFERROR(INDEX('حسابهای دریافتنی'!H:H,MATCH(Table226[[#This Row],[كد تفصيلي]],'حسابهای دریافتنی'!A:A,0)),0)</f>
        <v>326950</v>
      </c>
      <c r="D75" s="11">
        <f>IFERROR(INDEX('درجریان وصول'!F:F,MATCH(Table226[[#This Row],[كد تفصيلي]],'درجریان وصول'!A:A,0)),0)</f>
        <v>0</v>
      </c>
      <c r="E75" s="11">
        <f>IFERROR(INDEX('چکهای دریافتنی'!F:F,MATCH(Table226[[#This Row],[كد تفصيلي]],'چکهای دریافتنی'!A:A,0)),0)</f>
        <v>0</v>
      </c>
      <c r="F75" s="11">
        <f>Table226[[#This Row],[حسابهای دریافتنی]]+Table226[[#This Row],[چکهای در جریان وصول]]+Table226[[#This Row],[چکهای نزد صندوق]]</f>
        <v>326950</v>
      </c>
      <c r="G75" s="12">
        <f>IFERROR(INDEX('مانده سوفاله'!F:F,MATCH(Table226[[#This Row],[كد تفصيلي]],'مانده سوفاله'!A:A,0)),0)</f>
        <v>0</v>
      </c>
    </row>
    <row r="76" spans="1:7" ht="24.75" customHeight="1" x14ac:dyDescent="0.35">
      <c r="A76" s="27">
        <v>30135</v>
      </c>
      <c r="B76" s="55" t="s">
        <v>179</v>
      </c>
      <c r="C76" s="10">
        <f>IFERROR(INDEX('حسابهای دریافتنی'!H:H,MATCH(Table226[[#This Row],[كد تفصيلي]],'حسابهای دریافتنی'!A:A,0)),0)</f>
        <v>195000</v>
      </c>
      <c r="D76" s="11">
        <f>IFERROR(INDEX('درجریان وصول'!F:F,MATCH(Table226[[#This Row],[كد تفصيلي]],'درجریان وصول'!A:A,0)),0)</f>
        <v>0</v>
      </c>
      <c r="E76" s="11">
        <f>IFERROR(INDEX('چکهای دریافتنی'!F:F,MATCH(Table226[[#This Row],[كد تفصيلي]],'چکهای دریافتنی'!A:A,0)),0)</f>
        <v>0</v>
      </c>
      <c r="F76" s="11">
        <f>Table226[[#This Row],[حسابهای دریافتنی]]+Table226[[#This Row],[چکهای در جریان وصول]]+Table226[[#This Row],[چکهای نزد صندوق]]</f>
        <v>195000</v>
      </c>
      <c r="G76" s="12">
        <f>IFERROR(INDEX('مانده سوفاله'!F:F,MATCH(Table226[[#This Row],[كد تفصيلي]],'مانده سوفاله'!A:A,0)),0)</f>
        <v>-5</v>
      </c>
    </row>
    <row r="77" spans="1:7" ht="24.75" customHeight="1" x14ac:dyDescent="0.35">
      <c r="A77" s="27">
        <v>10088</v>
      </c>
      <c r="B77" s="55" t="s">
        <v>254</v>
      </c>
      <c r="C77" s="10">
        <f>IFERROR(INDEX('حسابهای دریافتنی'!H:H,MATCH(Table226[[#This Row],[كد تفصيلي]],'حسابهای دریافتنی'!A:A,0)),0)</f>
        <v>113500</v>
      </c>
      <c r="D77" s="11">
        <f>IFERROR(INDEX('درجریان وصول'!F:F,MATCH(Table226[[#This Row],[كد تفصيلي]],'درجریان وصول'!A:A,0)),0)</f>
        <v>0</v>
      </c>
      <c r="E77" s="11">
        <f>IFERROR(INDEX('چکهای دریافتنی'!F:F,MATCH(Table226[[#This Row],[كد تفصيلي]],'چکهای دریافتنی'!A:A,0)),0)</f>
        <v>0</v>
      </c>
      <c r="F77" s="11">
        <f>Table226[[#This Row],[حسابهای دریافتنی]]+Table226[[#This Row],[چکهای در جریان وصول]]+Table226[[#This Row],[چکهای نزد صندوق]]</f>
        <v>113500</v>
      </c>
      <c r="G77" s="12">
        <f>IFERROR(INDEX('مانده سوفاله'!F:F,MATCH(Table226[[#This Row],[كد تفصيلي]],'مانده سوفاله'!A:A,0)),0)</f>
        <v>0</v>
      </c>
    </row>
    <row r="78" spans="1:7" ht="24.75" customHeight="1" x14ac:dyDescent="0.35">
      <c r="A78" s="26">
        <v>30019</v>
      </c>
      <c r="B78" s="56" t="s">
        <v>67</v>
      </c>
      <c r="C78" s="10">
        <f>IFERROR(INDEX('حسابهای دریافتنی'!H:H,MATCH(Table226[[#This Row],[كد تفصيلي]],'حسابهای دریافتنی'!A:A,0)),0)</f>
        <v>823484840</v>
      </c>
      <c r="D78" s="11">
        <f>IFERROR(INDEX('درجریان وصول'!F:F,MATCH(Table226[[#This Row],[كد تفصيلي]],'درجریان وصول'!A:A,0)),0)</f>
        <v>0</v>
      </c>
      <c r="E78" s="11">
        <f>IFERROR(INDEX('چکهای دریافتنی'!F:F,MATCH(Table226[[#This Row],[كد تفصيلي]],'چکهای دریافتنی'!A:A,0)),0)</f>
        <v>0</v>
      </c>
      <c r="F78" s="11">
        <f>Table226[[#This Row],[حسابهای دریافتنی]]+Table226[[#This Row],[چکهای در جریان وصول]]+Table226[[#This Row],[چکهای نزد صندوق]]</f>
        <v>823484840</v>
      </c>
      <c r="G78" s="12">
        <f>IFERROR(INDEX('مانده سوفاله'!F:F,MATCH(Table226[[#This Row],[كد تفصيلي]],'مانده سوفاله'!A:A,0)),0)</f>
        <v>612</v>
      </c>
    </row>
    <row r="79" spans="1:7" ht="24.75" customHeight="1" x14ac:dyDescent="0.35">
      <c r="A79" s="26">
        <v>10091</v>
      </c>
      <c r="B79" s="56" t="s">
        <v>258</v>
      </c>
      <c r="C79" s="10">
        <f>IFERROR(INDEX('حسابهای دریافتنی'!H:H,MATCH(Table226[[#This Row],[كد تفصيلي]],'حسابهای دریافتنی'!A:A,0)),0)</f>
        <v>59321500</v>
      </c>
      <c r="D79" s="11">
        <f>IFERROR(INDEX('درجریان وصول'!F:F,MATCH(Table226[[#This Row],[كد تفصيلي]],'درجریان وصول'!A:A,0)),0)</f>
        <v>0</v>
      </c>
      <c r="E79" s="11">
        <f>IFERROR(INDEX('چکهای دریافتنی'!F:F,MATCH(Table226[[#This Row],[كد تفصيلي]],'چکهای دریافتنی'!A:A,0)),0)</f>
        <v>0</v>
      </c>
      <c r="F79" s="11">
        <f>Table226[[#This Row],[حسابهای دریافتنی]]+Table226[[#This Row],[چکهای در جریان وصول]]+Table226[[#This Row],[چکهای نزد صندوق]]</f>
        <v>59321500</v>
      </c>
      <c r="G79" s="12">
        <f>IFERROR(INDEX('مانده سوفاله'!F:F,MATCH(Table226[[#This Row],[كد تفصيلي]],'مانده سوفاله'!A:A,0)),0)</f>
        <v>0</v>
      </c>
    </row>
    <row r="80" spans="1:7" ht="24.75" customHeight="1" x14ac:dyDescent="0.35">
      <c r="A80" s="27">
        <v>10010</v>
      </c>
      <c r="B80" s="55" t="s">
        <v>17</v>
      </c>
      <c r="C80" s="10">
        <f>IFERROR(INDEX('حسابهای دریافتنی'!H:H,MATCH(Table226[[#This Row],[كد تفصيلي]],'حسابهای دریافتنی'!A:A,0)),0)</f>
        <v>0</v>
      </c>
      <c r="D80" s="11">
        <f>IFERROR(INDEX('درجریان وصول'!F:F,MATCH(Table226[[#This Row],[كد تفصيلي]],'درجریان وصول'!A:A,0)),0)</f>
        <v>0</v>
      </c>
      <c r="E80" s="11">
        <f>IFERROR(INDEX('چکهای دریافتنی'!F:F,MATCH(Table226[[#This Row],[كد تفصيلي]],'چکهای دریافتنی'!A:A,0)),0)</f>
        <v>0</v>
      </c>
      <c r="F80" s="11">
        <f>Table226[[#This Row],[حسابهای دریافتنی]]+Table226[[#This Row],[چکهای در جریان وصول]]+Table226[[#This Row],[چکهای نزد صندوق]]</f>
        <v>0</v>
      </c>
      <c r="G80" s="12">
        <f>IFERROR(INDEX('مانده سوفاله'!F:F,MATCH(Table226[[#This Row],[كد تفصيلي]],'مانده سوفاله'!A:A,0)),0)</f>
        <v>8</v>
      </c>
    </row>
    <row r="81" spans="1:7" ht="24.75" customHeight="1" x14ac:dyDescent="0.35">
      <c r="A81" s="27">
        <v>10014</v>
      </c>
      <c r="B81" s="55" t="s">
        <v>21</v>
      </c>
      <c r="C81" s="10">
        <f>IFERROR(INDEX('حسابهای دریافتنی'!H:H,MATCH(Table226[[#This Row],[كد تفصيلي]],'حسابهای دریافتنی'!A:A,0)),0)</f>
        <v>0</v>
      </c>
      <c r="D81" s="11">
        <f>IFERROR(INDEX('درجریان وصول'!F:F,MATCH(Table226[[#This Row],[كد تفصيلي]],'درجریان وصول'!A:A,0)),0)</f>
        <v>0</v>
      </c>
      <c r="E81" s="11">
        <f>IFERROR(INDEX('چکهای دریافتنی'!F:F,MATCH(Table226[[#This Row],[كد تفصيلي]],'چکهای دریافتنی'!A:A,0)),0)</f>
        <v>0</v>
      </c>
      <c r="F81" s="11">
        <f>Table226[[#This Row],[حسابهای دریافتنی]]+Table226[[#This Row],[چکهای در جریان وصول]]+Table226[[#This Row],[چکهای نزد صندوق]]</f>
        <v>0</v>
      </c>
      <c r="G81" s="12">
        <f>IFERROR(INDEX('مانده سوفاله'!F:F,MATCH(Table226[[#This Row],[كد تفصيلي]],'مانده سوفاله'!A:A,0)),0)</f>
        <v>21</v>
      </c>
    </row>
    <row r="82" spans="1:7" ht="24.75" customHeight="1" x14ac:dyDescent="0.35">
      <c r="A82" s="26">
        <v>10023</v>
      </c>
      <c r="B82" s="56" t="s">
        <v>155</v>
      </c>
      <c r="C82" s="10">
        <f>IFERROR(INDEX('حسابهای دریافتنی'!H:H,MATCH(Table226[[#This Row],[كد تفصيلي]],'حسابهای دریافتنی'!A:A,0)),0)</f>
        <v>0</v>
      </c>
      <c r="D82" s="11">
        <f>IFERROR(INDEX('درجریان وصول'!F:F,MATCH(Table226[[#This Row],[كد تفصيلي]],'درجریان وصول'!A:A,0)),0)</f>
        <v>0</v>
      </c>
      <c r="E82" s="11">
        <f>IFERROR(INDEX('چکهای دریافتنی'!F:F,MATCH(Table226[[#This Row],[كد تفصيلي]],'چکهای دریافتنی'!A:A,0)),0)</f>
        <v>0</v>
      </c>
      <c r="F82" s="11">
        <f>Table226[[#This Row],[حسابهای دریافتنی]]+Table226[[#This Row],[چکهای در جریان وصول]]+Table226[[#This Row],[چکهای نزد صندوق]]</f>
        <v>0</v>
      </c>
      <c r="G82" s="12">
        <f>IFERROR(INDEX('مانده سوفاله'!F:F,MATCH(Table226[[#This Row],[كد تفصيلي]],'مانده سوفاله'!A:A,0)),0)</f>
        <v>6</v>
      </c>
    </row>
    <row r="83" spans="1:7" customFormat="1" ht="24.75" customHeight="1" x14ac:dyDescent="0.35">
      <c r="A83" s="53">
        <v>10039</v>
      </c>
      <c r="B83" s="56" t="s">
        <v>45</v>
      </c>
      <c r="C83" s="10">
        <f>IFERROR(INDEX('حسابهای دریافتنی'!H:H,MATCH(Table226[[#This Row],[كد تفصيلي]],'حسابهای دریافتنی'!A:A,0)),0)</f>
        <v>0</v>
      </c>
      <c r="D83" s="11">
        <f>IFERROR(INDEX('درجریان وصول'!F:F,MATCH(Table226[[#This Row],[كد تفصيلي]],'درجریان وصول'!A:A,0)),0)</f>
        <v>0</v>
      </c>
      <c r="E83" s="11">
        <f>IFERROR(INDEX('چکهای دریافتنی'!F:F,MATCH(Table226[[#This Row],[كد تفصيلي]],'چکهای دریافتنی'!A:A,0)),0)</f>
        <v>0</v>
      </c>
      <c r="F83" s="11">
        <f>Table226[[#This Row],[حسابهای دریافتنی]]+Table226[[#This Row],[چکهای در جریان وصول]]+Table226[[#This Row],[چکهای نزد صندوق]]</f>
        <v>0</v>
      </c>
      <c r="G83" s="12">
        <f>IFERROR(INDEX('مانده سوفاله'!F:F,MATCH(Table226[[#This Row],[كد تفصيلي]],'مانده سوفاله'!A:A,0)),0)</f>
        <v>4</v>
      </c>
    </row>
    <row r="84" spans="1:7" customFormat="1" ht="24.75" customHeight="1" x14ac:dyDescent="0.35">
      <c r="A84" s="54">
        <v>10046</v>
      </c>
      <c r="B84" s="55" t="s">
        <v>51</v>
      </c>
      <c r="C84" s="10">
        <f>IFERROR(INDEX('حسابهای دریافتنی'!H:H,MATCH(Table226[[#This Row],[كد تفصيلي]],'حسابهای دریافتنی'!A:A,0)),0)</f>
        <v>0</v>
      </c>
      <c r="D84" s="11">
        <f>IFERROR(INDEX('درجریان وصول'!F:F,MATCH(Table226[[#This Row],[كد تفصيلي]],'درجریان وصول'!A:A,0)),0)</f>
        <v>0</v>
      </c>
      <c r="E84" s="11">
        <f>IFERROR(INDEX('چکهای دریافتنی'!F:F,MATCH(Table226[[#This Row],[كد تفصيلي]],'چکهای دریافتنی'!A:A,0)),0)</f>
        <v>0</v>
      </c>
      <c r="F84" s="11">
        <f>Table226[[#This Row],[حسابهای دریافتنی]]+Table226[[#This Row],[چکهای در جریان وصول]]+Table226[[#This Row],[چکهای نزد صندوق]]</f>
        <v>0</v>
      </c>
      <c r="G84" s="12">
        <f>IFERROR(INDEX('مانده سوفاله'!F:F,MATCH(Table226[[#This Row],[كد تفصيلي]],'مانده سوفاله'!A:A,0)),0)</f>
        <v>118</v>
      </c>
    </row>
    <row r="85" spans="1:7" customFormat="1" ht="24.75" customHeight="1" x14ac:dyDescent="0.35">
      <c r="A85" s="53">
        <v>10065</v>
      </c>
      <c r="B85" s="56" t="s">
        <v>228</v>
      </c>
      <c r="C85" s="10">
        <f>IFERROR(INDEX('حسابهای دریافتنی'!H:H,MATCH(Table226[[#This Row],[كد تفصيلي]],'حسابهای دریافتنی'!A:A,0)),0)</f>
        <v>0</v>
      </c>
      <c r="D85" s="11">
        <f>IFERROR(INDEX('درجریان وصول'!F:F,MATCH(Table226[[#This Row],[كد تفصيلي]],'درجریان وصول'!A:A,0)),0)</f>
        <v>0</v>
      </c>
      <c r="E85" s="11">
        <f>IFERROR(INDEX('چکهای دریافتنی'!F:F,MATCH(Table226[[#This Row],[كد تفصيلي]],'چکهای دریافتنی'!A:A,0)),0)</f>
        <v>0</v>
      </c>
      <c r="F85" s="11">
        <f>Table226[[#This Row],[حسابهای دریافتنی]]+Table226[[#This Row],[چکهای در جریان وصول]]+Table226[[#This Row],[چکهای نزد صندوق]]</f>
        <v>0</v>
      </c>
      <c r="G85" s="12">
        <f>IFERROR(INDEX('مانده سوفاله'!F:F,MATCH(Table226[[#This Row],[كد تفصيلي]],'مانده سوفاله'!A:A,0)),0)</f>
        <v>127</v>
      </c>
    </row>
    <row r="86" spans="1:7" ht="24.75" customHeight="1" x14ac:dyDescent="0.35">
      <c r="A86" s="27">
        <v>10076</v>
      </c>
      <c r="B86" s="55" t="s">
        <v>182</v>
      </c>
      <c r="C86" s="10">
        <f>IFERROR(INDEX('حسابهای دریافتنی'!H:H,MATCH(Table226[[#This Row],[كد تفصيلي]],'حسابهای دریافتنی'!A:A,0)),0)</f>
        <v>0</v>
      </c>
      <c r="D86" s="11">
        <f>IFERROR(INDEX('درجریان وصول'!F:F,MATCH(Table226[[#This Row],[كد تفصيلي]],'درجریان وصول'!A:A,0)),0)</f>
        <v>0</v>
      </c>
      <c r="E86" s="11">
        <f>IFERROR(INDEX('چکهای دریافتنی'!F:F,MATCH(Table226[[#This Row],[كد تفصيلي]],'چکهای دریافتنی'!A:A,0)),0)</f>
        <v>0</v>
      </c>
      <c r="F86" s="11">
        <f>Table226[[#This Row],[حسابهای دریافتنی]]+Table226[[#This Row],[چکهای در جریان وصول]]+Table226[[#This Row],[چکهای نزد صندوق]]</f>
        <v>0</v>
      </c>
      <c r="G86" s="12">
        <f>IFERROR(INDEX('مانده سوفاله'!F:F,MATCH(Table226[[#This Row],[كد تفصيلي]],'مانده سوفاله'!A:A,0)),0)</f>
        <v>-13</v>
      </c>
    </row>
    <row r="87" spans="1:7" ht="24.75" customHeight="1" x14ac:dyDescent="0.35">
      <c r="A87" s="27">
        <v>10104</v>
      </c>
      <c r="B87" s="55" t="s">
        <v>293</v>
      </c>
      <c r="C87" s="10">
        <f>IFERROR(INDEX('حسابهای دریافتنی'!H:H,MATCH(Table226[[#This Row],[كد تفصيلي]],'حسابهای دریافتنی'!A:A,0)),0)</f>
        <v>0</v>
      </c>
      <c r="D87" s="11">
        <f>IFERROR(INDEX('درجریان وصول'!F:F,MATCH(Table226[[#This Row],[كد تفصيلي]],'درجریان وصول'!A:A,0)),0)</f>
        <v>0</v>
      </c>
      <c r="E87" s="11">
        <f>IFERROR(INDEX('چکهای دریافتنی'!F:F,MATCH(Table226[[#This Row],[كد تفصيلي]],'چکهای دریافتنی'!A:A,0)),0)</f>
        <v>0</v>
      </c>
      <c r="F87" s="11">
        <f>Table226[[#This Row],[حسابهای دریافتنی]]+Table226[[#This Row],[چکهای در جریان وصول]]+Table226[[#This Row],[چکهای نزد صندوق]]</f>
        <v>0</v>
      </c>
      <c r="G87" s="12">
        <f>IFERROR(INDEX('مانده سوفاله'!F:F,MATCH(Table226[[#This Row],[كد تفصيلي]],'مانده سوفاله'!A:A,0)),0)</f>
        <v>4065</v>
      </c>
    </row>
    <row r="88" spans="1:7" ht="24.75" customHeight="1" x14ac:dyDescent="0.35">
      <c r="A88" s="27">
        <v>10119</v>
      </c>
      <c r="B88" s="55" t="s">
        <v>333</v>
      </c>
      <c r="C88" s="10">
        <f>IFERROR(INDEX('حسابهای دریافتنی'!H:H,MATCH(Table226[[#This Row],[كد تفصيلي]],'حسابهای دریافتنی'!A:A,0)),0)</f>
        <v>-2592000</v>
      </c>
      <c r="D88" s="11">
        <f>IFERROR(INDEX('درجریان وصول'!F:F,MATCH(Table226[[#This Row],[كد تفصيلي]],'درجریان وصول'!A:A,0)),0)</f>
        <v>0</v>
      </c>
      <c r="E88" s="11">
        <f>IFERROR(INDEX('چکهای دریافتنی'!F:F,MATCH(Table226[[#This Row],[كد تفصيلي]],'چکهای دریافتنی'!A:A,0)),0)</f>
        <v>0</v>
      </c>
      <c r="F88" s="11">
        <f>Table226[[#This Row],[حسابهای دریافتنی]]+Table226[[#This Row],[چکهای در جریان وصول]]+Table226[[#This Row],[چکهای نزد صندوق]]</f>
        <v>-2592000</v>
      </c>
      <c r="G88" s="12">
        <f>IFERROR(INDEX('مانده سوفاله'!F:F,MATCH(Table226[[#This Row],[كد تفصيلي]],'مانده سوفاله'!A:A,0)),0)</f>
        <v>353</v>
      </c>
    </row>
    <row r="89" spans="1:7" ht="24.75" customHeight="1" x14ac:dyDescent="0.35">
      <c r="A89" s="26">
        <v>30031</v>
      </c>
      <c r="B89" s="56" t="s">
        <v>78</v>
      </c>
      <c r="C89" s="10">
        <f>IFERROR(INDEX('حسابهای دریافتنی'!H:H,MATCH(Table226[[#This Row],[كد تفصيلي]],'حسابهای دریافتنی'!A:A,0)),0)</f>
        <v>0</v>
      </c>
      <c r="D89" s="11">
        <f>IFERROR(INDEX('درجریان وصول'!F:F,MATCH(Table226[[#This Row],[كد تفصيلي]],'درجریان وصول'!A:A,0)),0)</f>
        <v>0</v>
      </c>
      <c r="E89" s="11">
        <f>IFERROR(INDEX('چکهای دریافتنی'!F:F,MATCH(Table226[[#This Row],[كد تفصيلي]],'چکهای دریافتنی'!A:A,0)),0)</f>
        <v>0</v>
      </c>
      <c r="F89" s="11">
        <f>Table226[[#This Row],[حسابهای دریافتنی]]+Table226[[#This Row],[چکهای در جریان وصول]]+Table226[[#This Row],[چکهای نزد صندوق]]</f>
        <v>0</v>
      </c>
      <c r="G89" s="12">
        <f>IFERROR(INDEX('مانده سوفاله'!F:F,MATCH(Table226[[#This Row],[كد تفصيلي]],'مانده سوفاله'!A:A,0)),0)</f>
        <v>-1</v>
      </c>
    </row>
    <row r="90" spans="1:7" ht="24.75" customHeight="1" x14ac:dyDescent="0.35">
      <c r="A90" s="27">
        <v>30055</v>
      </c>
      <c r="B90" s="55" t="s">
        <v>100</v>
      </c>
      <c r="C90" s="10">
        <f>IFERROR(INDEX('حسابهای دریافتنی'!H:H,MATCH(Table226[[#This Row],[كد تفصيلي]],'حسابهای دریافتنی'!A:A,0)),0)</f>
        <v>0</v>
      </c>
      <c r="D90" s="11">
        <f>IFERROR(INDEX('درجریان وصول'!F:F,MATCH(Table226[[#This Row],[كد تفصيلي]],'درجریان وصول'!A:A,0)),0)</f>
        <v>0</v>
      </c>
      <c r="E90" s="11">
        <f>IFERROR(INDEX('چکهای دریافتنی'!F:F,MATCH(Table226[[#This Row],[كد تفصيلي]],'چکهای دریافتنی'!A:A,0)),0)</f>
        <v>0</v>
      </c>
      <c r="F90" s="11">
        <f>Table226[[#This Row],[حسابهای دریافتنی]]+Table226[[#This Row],[چکهای در جریان وصول]]+Table226[[#This Row],[چکهای نزد صندوق]]</f>
        <v>0</v>
      </c>
      <c r="G90" s="12">
        <f>IFERROR(INDEX('مانده سوفاله'!F:F,MATCH(Table226[[#This Row],[كد تفصيلي]],'مانده سوفاله'!A:A,0)),0)</f>
        <v>48</v>
      </c>
    </row>
    <row r="91" spans="1:7" ht="24.75" customHeight="1" x14ac:dyDescent="0.35">
      <c r="A91" s="27">
        <v>30065</v>
      </c>
      <c r="B91" s="55" t="s">
        <v>110</v>
      </c>
      <c r="C91" s="10">
        <f>IFERROR(INDEX('حسابهای دریافتنی'!H:H,MATCH(Table226[[#This Row],[كد تفصيلي]],'حسابهای دریافتنی'!A:A,0)),0)</f>
        <v>0</v>
      </c>
      <c r="D91" s="11">
        <f>IFERROR(INDEX('درجریان وصول'!F:F,MATCH(Table226[[#This Row],[كد تفصيلي]],'درجریان وصول'!A:A,0)),0)</f>
        <v>0</v>
      </c>
      <c r="E91" s="11">
        <f>IFERROR(INDEX('چکهای دریافتنی'!F:F,MATCH(Table226[[#This Row],[كد تفصيلي]],'چکهای دریافتنی'!A:A,0)),0)</f>
        <v>0</v>
      </c>
      <c r="F91" s="11">
        <f>Table226[[#This Row],[حسابهای دریافتنی]]+Table226[[#This Row],[چکهای در جریان وصول]]+Table226[[#This Row],[چکهای نزد صندوق]]</f>
        <v>0</v>
      </c>
      <c r="G91" s="12">
        <f>IFERROR(INDEX('مانده سوفاله'!F:F,MATCH(Table226[[#This Row],[كد تفصيلي]],'مانده سوفاله'!A:A,0)),0)</f>
        <v>33</v>
      </c>
    </row>
    <row r="92" spans="1:7" ht="24.75" customHeight="1" x14ac:dyDescent="0.35">
      <c r="A92" s="27">
        <v>30071</v>
      </c>
      <c r="B92" s="55" t="s">
        <v>116</v>
      </c>
      <c r="C92" s="10">
        <f>IFERROR(INDEX('حسابهای دریافتنی'!H:H,MATCH(Table226[[#This Row],[كد تفصيلي]],'حسابهای دریافتنی'!A:A,0)),0)</f>
        <v>0</v>
      </c>
      <c r="D92" s="11">
        <f>IFERROR(INDEX('درجریان وصول'!F:F,MATCH(Table226[[#This Row],[كد تفصيلي]],'درجریان وصول'!A:A,0)),0)</f>
        <v>0</v>
      </c>
      <c r="E92" s="11">
        <f>IFERROR(INDEX('چکهای دریافتنی'!F:F,MATCH(Table226[[#This Row],[كد تفصيلي]],'چکهای دریافتنی'!A:A,0)),0)</f>
        <v>0</v>
      </c>
      <c r="F92" s="11">
        <f>Table226[[#This Row],[حسابهای دریافتنی]]+Table226[[#This Row],[چکهای در جریان وصول]]+Table226[[#This Row],[چکهای نزد صندوق]]</f>
        <v>0</v>
      </c>
      <c r="G92" s="12">
        <f>IFERROR(INDEX('مانده سوفاله'!F:F,MATCH(Table226[[#This Row],[كد تفصيلي]],'مانده سوفاله'!A:A,0)),0)</f>
        <v>3</v>
      </c>
    </row>
    <row r="93" spans="1:7" ht="24.75" customHeight="1" x14ac:dyDescent="0.35">
      <c r="A93" s="27">
        <v>30079</v>
      </c>
      <c r="B93" s="55" t="s">
        <v>124</v>
      </c>
      <c r="C93" s="10">
        <f>IFERROR(INDEX('حسابهای دریافتنی'!H:H,MATCH(Table226[[#This Row],[كد تفصيلي]],'حسابهای دریافتنی'!A:A,0)),0)</f>
        <v>0</v>
      </c>
      <c r="D93" s="11">
        <f>IFERROR(INDEX('درجریان وصول'!F:F,MATCH(Table226[[#This Row],[كد تفصيلي]],'درجریان وصول'!A:A,0)),0)</f>
        <v>0</v>
      </c>
      <c r="E93" s="11">
        <f>IFERROR(INDEX('چکهای دریافتنی'!F:F,MATCH(Table226[[#This Row],[كد تفصيلي]],'چکهای دریافتنی'!A:A,0)),0)</f>
        <v>0</v>
      </c>
      <c r="F93" s="11">
        <f>Table226[[#This Row],[حسابهای دریافتنی]]+Table226[[#This Row],[چکهای در جریان وصول]]+Table226[[#This Row],[چکهای نزد صندوق]]</f>
        <v>0</v>
      </c>
      <c r="G93" s="12">
        <f>IFERROR(INDEX('مانده سوفاله'!F:F,MATCH(Table226[[#This Row],[كد تفصيلي]],'مانده سوفاله'!A:A,0)),0)</f>
        <v>-85</v>
      </c>
    </row>
    <row r="94" spans="1:7" ht="24.75" customHeight="1" x14ac:dyDescent="0.35">
      <c r="A94" s="27">
        <v>30097</v>
      </c>
      <c r="B94" s="55" t="s">
        <v>188</v>
      </c>
      <c r="C94" s="10">
        <f>IFERROR(INDEX('حسابهای دریافتنی'!H:H,MATCH(Table226[[#This Row],[كد تفصيلي]],'حسابهای دریافتنی'!A:A,0)),0)</f>
        <v>0</v>
      </c>
      <c r="D94" s="11">
        <f>IFERROR(INDEX('درجریان وصول'!F:F,MATCH(Table226[[#This Row],[كد تفصيلي]],'درجریان وصول'!A:A,0)),0)</f>
        <v>0</v>
      </c>
      <c r="E94" s="11">
        <f>IFERROR(INDEX('چکهای دریافتنی'!F:F,MATCH(Table226[[#This Row],[كد تفصيلي]],'چکهای دریافتنی'!A:A,0)),0)</f>
        <v>0</v>
      </c>
      <c r="F94" s="11">
        <f>Table226[[#This Row],[حسابهای دریافتنی]]+Table226[[#This Row],[چکهای در جریان وصول]]+Table226[[#This Row],[چکهای نزد صندوق]]</f>
        <v>0</v>
      </c>
      <c r="G94" s="12">
        <f>IFERROR(INDEX('مانده سوفاله'!F:F,MATCH(Table226[[#This Row],[كد تفصيلي]],'مانده سوفاله'!A:A,0)),0)</f>
        <v>-82</v>
      </c>
    </row>
    <row r="95" spans="1:7" ht="24.75" customHeight="1" x14ac:dyDescent="0.35">
      <c r="A95" s="26">
        <v>30118</v>
      </c>
      <c r="B95" s="56" t="s">
        <v>205</v>
      </c>
      <c r="C95" s="10">
        <f>IFERROR(INDEX('حسابهای دریافتنی'!H:H,MATCH(Table226[[#This Row],[كد تفصيلي]],'حسابهای دریافتنی'!A:A,0)),0)</f>
        <v>0</v>
      </c>
      <c r="D95" s="11">
        <f>IFERROR(INDEX('درجریان وصول'!F:F,MATCH(Table226[[#This Row],[كد تفصيلي]],'درجریان وصول'!A:A,0)),0)</f>
        <v>0</v>
      </c>
      <c r="E95" s="11">
        <f>IFERROR(INDEX('چکهای دریافتنی'!F:F,MATCH(Table226[[#This Row],[كد تفصيلي]],'چکهای دریافتنی'!A:A,0)),0)</f>
        <v>0</v>
      </c>
      <c r="F95" s="11">
        <f>Table226[[#This Row],[حسابهای دریافتنی]]+Table226[[#This Row],[چکهای در جریان وصول]]+Table226[[#This Row],[چکهای نزد صندوق]]</f>
        <v>0</v>
      </c>
      <c r="G95" s="12">
        <f>IFERROR(INDEX('مانده سوفاله'!F:F,MATCH(Table226[[#This Row],[كد تفصيلي]],'مانده سوفاله'!A:A,0)),0)</f>
        <v>-20</v>
      </c>
    </row>
    <row r="96" spans="1:7" ht="24.75" customHeight="1" x14ac:dyDescent="0.35">
      <c r="A96" s="27">
        <v>30141</v>
      </c>
      <c r="B96" s="55" t="s">
        <v>261</v>
      </c>
      <c r="C96" s="10">
        <f>IFERROR(INDEX('حسابهای دریافتنی'!H:H,MATCH(Table226[[#This Row],[كد تفصيلي]],'حسابهای دریافتنی'!A:A,0)),0)</f>
        <v>0</v>
      </c>
      <c r="D96" s="11">
        <f>IFERROR(INDEX('درجریان وصول'!F:F,MATCH(Table226[[#This Row],[كد تفصيلي]],'درجریان وصول'!A:A,0)),0)</f>
        <v>0</v>
      </c>
      <c r="E96" s="11">
        <f>IFERROR(INDEX('چکهای دریافتنی'!F:F,MATCH(Table226[[#This Row],[كد تفصيلي]],'چکهای دریافتنی'!A:A,0)),0)</f>
        <v>0</v>
      </c>
      <c r="F96" s="11">
        <f>Table226[[#This Row],[حسابهای دریافتنی]]+Table226[[#This Row],[چکهای در جریان وصول]]+Table226[[#This Row],[چکهای نزد صندوق]]</f>
        <v>0</v>
      </c>
      <c r="G96" s="12">
        <f>IFERROR(INDEX('مانده سوفاله'!F:F,MATCH(Table226[[#This Row],[كد تفصيلي]],'مانده سوفاله'!A:A,0)),0)</f>
        <v>-42</v>
      </c>
    </row>
    <row r="97" spans="1:7" ht="24.75" customHeight="1" x14ac:dyDescent="0.35">
      <c r="A97" s="26">
        <v>30142</v>
      </c>
      <c r="B97" s="56" t="s">
        <v>263</v>
      </c>
      <c r="C97" s="10">
        <f>IFERROR(INDEX('حسابهای دریافتنی'!H:H,MATCH(Table226[[#This Row],[كد تفصيلي]],'حسابهای دریافتنی'!A:A,0)),0)</f>
        <v>0</v>
      </c>
      <c r="D97" s="11">
        <f>IFERROR(INDEX('درجریان وصول'!F:F,MATCH(Table226[[#This Row],[كد تفصيلي]],'درجریان وصول'!A:A,0)),0)</f>
        <v>0</v>
      </c>
      <c r="E97" s="11">
        <f>IFERROR(INDEX('چکهای دریافتنی'!F:F,MATCH(Table226[[#This Row],[كد تفصيلي]],'چکهای دریافتنی'!A:A,0)),0)</f>
        <v>0</v>
      </c>
      <c r="F97" s="11">
        <f>Table226[[#This Row],[حسابهای دریافتنی]]+Table226[[#This Row],[چکهای در جریان وصول]]+Table226[[#This Row],[چکهای نزد صندوق]]</f>
        <v>0</v>
      </c>
      <c r="G97" s="12">
        <f>IFERROR(INDEX('مانده سوفاله'!F:F,MATCH(Table226[[#This Row],[كد تفصيلي]],'مانده سوفاله'!A:A,0)),0)</f>
        <v>13</v>
      </c>
    </row>
    <row r="98" spans="1:7" ht="24.75" customHeight="1" x14ac:dyDescent="0.35">
      <c r="A98" s="27">
        <v>79010</v>
      </c>
      <c r="B98" s="55" t="s">
        <v>176</v>
      </c>
      <c r="C98" s="10">
        <f>IFERROR(INDEX('حسابهای دریافتنی'!H:H,MATCH(Table226[[#This Row],[كد تفصيلي]],'حسابهای دریافتنی'!A:A,0)),0)</f>
        <v>0</v>
      </c>
      <c r="D98" s="11">
        <f>IFERROR(INDEX('درجریان وصول'!F:F,MATCH(Table226[[#This Row],[كد تفصيلي]],'درجریان وصول'!A:A,0)),0)</f>
        <v>0</v>
      </c>
      <c r="E98" s="11">
        <f>IFERROR(INDEX('چکهای دریافتنی'!F:F,MATCH(Table226[[#This Row],[كد تفصيلي]],'چکهای دریافتنی'!A:A,0)),0)</f>
        <v>0</v>
      </c>
      <c r="F98" s="11">
        <f>Table226[[#This Row],[حسابهای دریافتنی]]+Table226[[#This Row],[چکهای در جریان وصول]]+Table226[[#This Row],[چکهای نزد صندوق]]</f>
        <v>0</v>
      </c>
      <c r="G98" s="12">
        <f>IFERROR(INDEX('مانده سوفاله'!F:F,MATCH(Table226[[#This Row],[كد تفصيلي]],'مانده سوفاله'!A:A,0)),0)</f>
        <v>-110</v>
      </c>
    </row>
    <row r="99" spans="1:7" ht="24.75" customHeight="1" x14ac:dyDescent="0.35">
      <c r="A99" s="26">
        <v>30174</v>
      </c>
      <c r="B99" s="56" t="s">
        <v>327</v>
      </c>
      <c r="C99" s="10">
        <f>IFERROR(INDEX('حسابهای دریافتنی'!H:H,MATCH(Table226[[#This Row],[كد تفصيلي]],'حسابهای دریافتنی'!A:A,0)),0)</f>
        <v>-5000</v>
      </c>
      <c r="D99" s="11">
        <f>IFERROR(INDEX('درجریان وصول'!F:F,MATCH(Table226[[#This Row],[كد تفصيلي]],'درجریان وصول'!A:A,0)),0)</f>
        <v>0</v>
      </c>
      <c r="E99" s="11">
        <f>IFERROR(INDEX('چکهای دریافتنی'!F:F,MATCH(Table226[[#This Row],[كد تفصيلي]],'چکهای دریافتنی'!A:A,0)),0)</f>
        <v>0</v>
      </c>
      <c r="F99" s="11">
        <f>Table226[[#This Row],[حسابهای دریافتنی]]+Table226[[#This Row],[چکهای در جریان وصول]]+Table226[[#This Row],[چکهای نزد صندوق]]</f>
        <v>-5000</v>
      </c>
      <c r="G99" s="12">
        <f>IFERROR(INDEX('مانده سوفاله'!F:F,MATCH(Table226[[#This Row],[كد تفصيلي]],'مانده سوفاله'!A:A,0)),0)</f>
        <v>0</v>
      </c>
    </row>
    <row r="100" spans="1:7" ht="24.75" customHeight="1" x14ac:dyDescent="0.35">
      <c r="A100" s="27">
        <v>30195</v>
      </c>
      <c r="B100" s="55" t="s">
        <v>477</v>
      </c>
      <c r="C100" s="10">
        <f>IFERROR(INDEX('حسابهای دریافتنی'!H:H,MATCH(Table226[[#This Row],[كد تفصيلي]],'حسابهای دریافتنی'!A:A,0)),0)</f>
        <v>-1861000</v>
      </c>
      <c r="D100" s="11">
        <f>IFERROR(INDEX('درجریان وصول'!F:F,MATCH(Table226[[#This Row],[كد تفصيلي]],'درجریان وصول'!A:A,0)),0)</f>
        <v>0</v>
      </c>
      <c r="E100" s="11">
        <f>IFERROR(INDEX('چکهای دریافتنی'!F:F,MATCH(Table226[[#This Row],[كد تفصيلي]],'چکهای دریافتنی'!A:A,0)),0)</f>
        <v>0</v>
      </c>
      <c r="F100" s="11">
        <f>Table226[[#This Row],[حسابهای دریافتنی]]+Table226[[#This Row],[چکهای در جریان وصول]]+Table226[[#This Row],[چکهای نزد صندوق]]</f>
        <v>-1861000</v>
      </c>
      <c r="G100" s="12">
        <f>IFERROR(INDEX('مانده سوفاله'!F:F,MATCH(Table226[[#This Row],[كد تفصيلي]],'مانده سوفاله'!A:A,0)),0)</f>
        <v>0</v>
      </c>
    </row>
    <row r="101" spans="1:7" ht="24.75" customHeight="1" x14ac:dyDescent="0.35">
      <c r="A101" s="27">
        <v>30026</v>
      </c>
      <c r="B101" s="55" t="s">
        <v>74</v>
      </c>
      <c r="C101" s="10">
        <f>IFERROR(INDEX('حسابهای دریافتنی'!H:H,MATCH(Table226[[#This Row],[كد تفصيلي]],'حسابهای دریافتنی'!A:A,0)),0)</f>
        <v>5689439</v>
      </c>
      <c r="D101" s="11">
        <f>IFERROR(INDEX('درجریان وصول'!F:F,MATCH(Table226[[#This Row],[كد تفصيلي]],'درجریان وصول'!A:A,0)),0)</f>
        <v>0</v>
      </c>
      <c r="E101" s="11">
        <f>IFERROR(INDEX('چکهای دریافتنی'!F:F,MATCH(Table226[[#This Row],[كد تفصيلي]],'چکهای دریافتنی'!A:A,0)),0)</f>
        <v>0</v>
      </c>
      <c r="F101" s="11">
        <f>Table226[[#This Row],[حسابهای دریافتنی]]+Table226[[#This Row],[چکهای در جریان وصول]]+Table226[[#This Row],[چکهای نزد صندوق]]</f>
        <v>5689439</v>
      </c>
      <c r="G101" s="12">
        <f>IFERROR(INDEX('مانده سوفاله'!F:F,MATCH(Table226[[#This Row],[كد تفصيلي]],'مانده سوفاله'!A:A,0)),0)</f>
        <v>764</v>
      </c>
    </row>
    <row r="102" spans="1:7" ht="24.75" customHeight="1" x14ac:dyDescent="0.35">
      <c r="A102" s="26">
        <v>10128</v>
      </c>
      <c r="B102" s="56" t="s">
        <v>372</v>
      </c>
      <c r="C102" s="10">
        <f>IFERROR(INDEX('حسابهای دریافتنی'!H:H,MATCH(Table226[[#This Row],[كد تفصيلي]],'حسابهای دریافتنی'!A:A,0)),0)</f>
        <v>-45000</v>
      </c>
      <c r="D102" s="11">
        <f>IFERROR(INDEX('درجریان وصول'!F:F,MATCH(Table226[[#This Row],[كد تفصيلي]],'درجریان وصول'!A:A,0)),0)</f>
        <v>0</v>
      </c>
      <c r="E102" s="11">
        <f>IFERROR(INDEX('چکهای دریافتنی'!F:F,MATCH(Table226[[#This Row],[كد تفصيلي]],'چکهای دریافتنی'!A:A,0)),0)</f>
        <v>0</v>
      </c>
      <c r="F102" s="11">
        <f>Table226[[#This Row],[حسابهای دریافتنی]]+Table226[[#This Row],[چکهای در جریان وصول]]+Table226[[#This Row],[چکهای نزد صندوق]]</f>
        <v>-45000</v>
      </c>
      <c r="G102" s="12">
        <f>IFERROR(INDEX('مانده سوفاله'!F:F,MATCH(Table226[[#This Row],[كد تفصيلي]],'مانده سوفاله'!A:A,0)),0)</f>
        <v>6</v>
      </c>
    </row>
    <row r="103" spans="1:7" ht="24.75" customHeight="1" x14ac:dyDescent="0.35">
      <c r="A103" s="27">
        <v>10109</v>
      </c>
      <c r="B103" s="55" t="s">
        <v>303</v>
      </c>
      <c r="C103" s="10">
        <f>IFERROR(INDEX('حسابهای دریافتنی'!H:H,MATCH(Table226[[#This Row],[كد تفصيلي]],'حسابهای دریافتنی'!A:A,0)),0)</f>
        <v>-1124737000</v>
      </c>
      <c r="D103" s="11">
        <f>IFERROR(INDEX('درجریان وصول'!F:F,MATCH(Table226[[#This Row],[كد تفصيلي]],'درجریان وصول'!A:A,0)),0)</f>
        <v>0</v>
      </c>
      <c r="E103" s="11">
        <f>IFERROR(INDEX('چکهای دریافتنی'!F:F,MATCH(Table226[[#This Row],[كد تفصيلي]],'چکهای دریافتنی'!A:A,0)),0)</f>
        <v>0</v>
      </c>
      <c r="F103" s="11">
        <f>Table226[[#This Row],[حسابهای دریافتنی]]+Table226[[#This Row],[چکهای در جریان وصول]]+Table226[[#This Row],[چکهای نزد صندوق]]</f>
        <v>-1124737000</v>
      </c>
      <c r="G103" s="12">
        <f>IFERROR(INDEX('مانده سوفاله'!F:F,MATCH(Table226[[#This Row],[كد تفصيلي]],'مانده سوفاله'!A:A,0)),0)</f>
        <v>-241</v>
      </c>
    </row>
    <row r="104" spans="1:7" ht="24.75" customHeight="1" x14ac:dyDescent="0.35">
      <c r="A104" s="26">
        <v>30021</v>
      </c>
      <c r="B104" s="56" t="s">
        <v>69</v>
      </c>
      <c r="C104" s="10">
        <f>IFERROR(INDEX('حسابهای دریافتنی'!H:H,MATCH(Table226[[#This Row],[كد تفصيلي]],'حسابهای دریافتنی'!A:A,0)),0)</f>
        <v>-122000</v>
      </c>
      <c r="D104" s="11">
        <f>IFERROR(INDEX('درجریان وصول'!F:F,MATCH(Table226[[#This Row],[كد تفصيلي]],'درجریان وصول'!A:A,0)),0)</f>
        <v>0</v>
      </c>
      <c r="E104" s="11">
        <f>IFERROR(INDEX('چکهای دریافتنی'!F:F,MATCH(Table226[[#This Row],[كد تفصيلي]],'چکهای دریافتنی'!A:A,0)),0)</f>
        <v>0</v>
      </c>
      <c r="F104" s="11">
        <f>Table226[[#This Row],[حسابهای دریافتنی]]+Table226[[#This Row],[چکهای در جریان وصول]]+Table226[[#This Row],[چکهای نزد صندوق]]</f>
        <v>-122000</v>
      </c>
      <c r="G104" s="12">
        <f>IFERROR(INDEX('مانده سوفاله'!F:F,MATCH(Table226[[#This Row],[كد تفصيلي]],'مانده سوفاله'!A:A,0)),0)</f>
        <v>0</v>
      </c>
    </row>
    <row r="105" spans="1:7" ht="24.75" customHeight="1" x14ac:dyDescent="0.35">
      <c r="A105" s="27">
        <v>10066</v>
      </c>
      <c r="B105" s="55" t="s">
        <v>262</v>
      </c>
      <c r="C105" s="10">
        <f>IFERROR(INDEX('حسابهای دریافتنی'!H:H,MATCH(Table226[[#This Row],[كد تفصيلي]],'حسابهای دریافتنی'!A:A,0)),0)</f>
        <v>-191500</v>
      </c>
      <c r="D105" s="11">
        <f>IFERROR(INDEX('درجریان وصول'!F:F,MATCH(Table226[[#This Row],[كد تفصيلي]],'درجریان وصول'!A:A,0)),0)</f>
        <v>0</v>
      </c>
      <c r="E105" s="11">
        <f>IFERROR(INDEX('چکهای دریافتنی'!F:F,MATCH(Table226[[#This Row],[كد تفصيلي]],'چکهای دریافتنی'!A:A,0)),0)</f>
        <v>0</v>
      </c>
      <c r="F105" s="11">
        <f>Table226[[#This Row],[حسابهای دریافتنی]]+Table226[[#This Row],[چکهای در جریان وصول]]+Table226[[#This Row],[چکهای نزد صندوق]]</f>
        <v>-191500</v>
      </c>
      <c r="G105" s="12">
        <f>IFERROR(INDEX('مانده سوفاله'!F:F,MATCH(Table226[[#This Row],[كد تفصيلي]],'مانده سوفاله'!A:A,0)),0)</f>
        <v>2</v>
      </c>
    </row>
    <row r="106" spans="1:7" ht="24.75" customHeight="1" x14ac:dyDescent="0.35">
      <c r="A106" s="27">
        <v>30167</v>
      </c>
      <c r="B106" s="55" t="s">
        <v>311</v>
      </c>
      <c r="C106" s="10">
        <f>IFERROR(INDEX('حسابهای دریافتنی'!H:H,MATCH(Table226[[#This Row],[كد تفصيلي]],'حسابهای دریافتنی'!A:A,0)),0)</f>
        <v>-221000</v>
      </c>
      <c r="D106" s="11">
        <f>IFERROR(INDEX('درجریان وصول'!F:F,MATCH(Table226[[#This Row],[كد تفصيلي]],'درجریان وصول'!A:A,0)),0)</f>
        <v>0</v>
      </c>
      <c r="E106" s="11">
        <f>IFERROR(INDEX('چکهای دریافتنی'!F:F,MATCH(Table226[[#This Row],[كد تفصيلي]],'چکهای دریافتنی'!A:A,0)),0)</f>
        <v>0</v>
      </c>
      <c r="F106" s="11">
        <f>Table226[[#This Row],[حسابهای دریافتنی]]+Table226[[#This Row],[چکهای در جریان وصول]]+Table226[[#This Row],[چکهای نزد صندوق]]</f>
        <v>-221000</v>
      </c>
      <c r="G106" s="12">
        <f>IFERROR(INDEX('مانده سوفاله'!F:F,MATCH(Table226[[#This Row],[كد تفصيلي]],'مانده سوفاله'!A:A,0)),0)</f>
        <v>6</v>
      </c>
    </row>
    <row r="107" spans="1:7" ht="24.75" customHeight="1" x14ac:dyDescent="0.35">
      <c r="A107" s="26">
        <v>10077</v>
      </c>
      <c r="B107" s="56" t="s">
        <v>210</v>
      </c>
      <c r="C107" s="10">
        <f>IFERROR(INDEX('حسابهای دریافتنی'!H:H,MATCH(Table226[[#This Row],[كد تفصيلي]],'حسابهای دریافتنی'!A:A,0)),0)</f>
        <v>-238500</v>
      </c>
      <c r="D107" s="11">
        <f>IFERROR(INDEX('درجریان وصول'!F:F,MATCH(Table226[[#This Row],[كد تفصيلي]],'درجریان وصول'!A:A,0)),0)</f>
        <v>0</v>
      </c>
      <c r="E107" s="11">
        <f>IFERROR(INDEX('چکهای دریافتنی'!F:F,MATCH(Table226[[#This Row],[كد تفصيلي]],'چکهای دریافتنی'!A:A,0)),0)</f>
        <v>0</v>
      </c>
      <c r="F107" s="11">
        <f>Table226[[#This Row],[حسابهای دریافتنی]]+Table226[[#This Row],[چکهای در جریان وصول]]+Table226[[#This Row],[چکهای نزد صندوق]]</f>
        <v>-238500</v>
      </c>
      <c r="G107" s="12">
        <f>IFERROR(INDEX('مانده سوفاله'!F:F,MATCH(Table226[[#This Row],[كد تفصيلي]],'مانده سوفاله'!A:A,0)),0)</f>
        <v>0</v>
      </c>
    </row>
    <row r="108" spans="1:7" ht="24.75" customHeight="1" x14ac:dyDescent="0.35">
      <c r="A108" s="27">
        <v>10012</v>
      </c>
      <c r="B108" s="55" t="s">
        <v>19</v>
      </c>
      <c r="C108" s="10">
        <f>IFERROR(INDEX('حسابهای دریافتنی'!H:H,MATCH(Table226[[#This Row],[كد تفصيلي]],'حسابهای دریافتنی'!A:A,0)),0)</f>
        <v>-244000</v>
      </c>
      <c r="D108" s="11">
        <f>IFERROR(INDEX('درجریان وصول'!F:F,MATCH(Table226[[#This Row],[كد تفصيلي]],'درجریان وصول'!A:A,0)),0)</f>
        <v>0</v>
      </c>
      <c r="E108" s="11">
        <f>IFERROR(INDEX('چکهای دریافتنی'!F:F,MATCH(Table226[[#This Row],[كد تفصيلي]],'چکهای دریافتنی'!A:A,0)),0)</f>
        <v>0</v>
      </c>
      <c r="F108" s="11">
        <f>Table226[[#This Row],[حسابهای دریافتنی]]+Table226[[#This Row],[چکهای در جریان وصول]]+Table226[[#This Row],[چکهای نزد صندوق]]</f>
        <v>-244000</v>
      </c>
      <c r="G108" s="12">
        <f>IFERROR(INDEX('مانده سوفاله'!F:F,MATCH(Table226[[#This Row],[كد تفصيلي]],'مانده سوفاله'!A:A,0)),0)</f>
        <v>0</v>
      </c>
    </row>
    <row r="109" spans="1:7" ht="24.75" customHeight="1" x14ac:dyDescent="0.35">
      <c r="A109" s="26">
        <v>30088</v>
      </c>
      <c r="B109" s="56" t="s">
        <v>142</v>
      </c>
      <c r="C109" s="10">
        <f>IFERROR(INDEX('حسابهای دریافتنی'!H:H,MATCH(Table226[[#This Row],[كد تفصيلي]],'حسابهای دریافتنی'!A:A,0)),0)</f>
        <v>-252000</v>
      </c>
      <c r="D109" s="11">
        <f>IFERROR(INDEX('درجریان وصول'!F:F,MATCH(Table226[[#This Row],[كد تفصيلي]],'درجریان وصول'!A:A,0)),0)</f>
        <v>0</v>
      </c>
      <c r="E109" s="11">
        <f>IFERROR(INDEX('چکهای دریافتنی'!F:F,MATCH(Table226[[#This Row],[كد تفصيلي]],'چکهای دریافتنی'!A:A,0)),0)</f>
        <v>0</v>
      </c>
      <c r="F109" s="11">
        <f>Table226[[#This Row],[حسابهای دریافتنی]]+Table226[[#This Row],[چکهای در جریان وصول]]+Table226[[#This Row],[چکهای نزد صندوق]]</f>
        <v>-252000</v>
      </c>
      <c r="G109" s="12">
        <f>IFERROR(INDEX('مانده سوفاله'!F:F,MATCH(Table226[[#This Row],[كد تفصيلي]],'مانده سوفاله'!A:A,0)),0)</f>
        <v>0</v>
      </c>
    </row>
    <row r="110" spans="1:7" ht="24.75" customHeight="1" x14ac:dyDescent="0.35">
      <c r="A110" s="26">
        <v>10045</v>
      </c>
      <c r="B110" s="56" t="s">
        <v>50</v>
      </c>
      <c r="C110" s="10">
        <f>IFERROR(INDEX('حسابهای دریافتنی'!H:H,MATCH(Table226[[#This Row],[كد تفصيلي]],'حسابهای دریافتنی'!A:A,0)),0)</f>
        <v>-383000</v>
      </c>
      <c r="D110" s="11">
        <f>IFERROR(INDEX('درجریان وصول'!F:F,MATCH(Table226[[#This Row],[كد تفصيلي]],'درجریان وصول'!A:A,0)),0)</f>
        <v>0</v>
      </c>
      <c r="E110" s="11">
        <f>IFERROR(INDEX('چکهای دریافتنی'!F:F,MATCH(Table226[[#This Row],[كد تفصيلي]],'چکهای دریافتنی'!A:A,0)),0)</f>
        <v>0</v>
      </c>
      <c r="F110" s="11">
        <f>Table226[[#This Row],[حسابهای دریافتنی]]+Table226[[#This Row],[چکهای در جریان وصول]]+Table226[[#This Row],[چکهای نزد صندوق]]</f>
        <v>-383000</v>
      </c>
      <c r="G110" s="12">
        <f>IFERROR(INDEX('مانده سوفاله'!F:F,MATCH(Table226[[#This Row],[كد تفصيلي]],'مانده سوفاله'!A:A,0)),0)</f>
        <v>-30</v>
      </c>
    </row>
    <row r="111" spans="1:7" ht="24.75" customHeight="1" x14ac:dyDescent="0.35">
      <c r="A111" s="26">
        <v>30051</v>
      </c>
      <c r="B111" s="56" t="s">
        <v>98</v>
      </c>
      <c r="C111" s="10">
        <f>IFERROR(INDEX('حسابهای دریافتنی'!H:H,MATCH(Table226[[#This Row],[كد تفصيلي]],'حسابهای دریافتنی'!A:A,0)),0)</f>
        <v>-384000</v>
      </c>
      <c r="D111" s="11">
        <f>IFERROR(INDEX('درجریان وصول'!F:F,MATCH(Table226[[#This Row],[كد تفصيلي]],'درجریان وصول'!A:A,0)),0)</f>
        <v>0</v>
      </c>
      <c r="E111" s="11">
        <f>IFERROR(INDEX('چکهای دریافتنی'!F:F,MATCH(Table226[[#This Row],[كد تفصيلي]],'چکهای دریافتنی'!A:A,0)),0)</f>
        <v>0</v>
      </c>
      <c r="F111" s="11">
        <f>Table226[[#This Row],[حسابهای دریافتنی]]+Table226[[#This Row],[چکهای در جریان وصول]]+Table226[[#This Row],[چکهای نزد صندوق]]</f>
        <v>-384000</v>
      </c>
      <c r="G111" s="12">
        <f>IFERROR(INDEX('مانده سوفاله'!F:F,MATCH(Table226[[#This Row],[كد تفصيلي]],'مانده سوفاله'!A:A,0)),0)</f>
        <v>0</v>
      </c>
    </row>
    <row r="112" spans="1:7" ht="24.75" customHeight="1" x14ac:dyDescent="0.35">
      <c r="A112" s="27">
        <v>30044</v>
      </c>
      <c r="B112" s="55" t="s">
        <v>91</v>
      </c>
      <c r="C112" s="10">
        <f>IFERROR(INDEX('حسابهای دریافتنی'!H:H,MATCH(Table226[[#This Row],[كد تفصيلي]],'حسابهای دریافتنی'!A:A,0)),0)</f>
        <v>-492500</v>
      </c>
      <c r="D112" s="11">
        <f>IFERROR(INDEX('درجریان وصول'!F:F,MATCH(Table226[[#This Row],[كد تفصيلي]],'درجریان وصول'!A:A,0)),0)</f>
        <v>0</v>
      </c>
      <c r="E112" s="11">
        <f>IFERROR(INDEX('چکهای دریافتنی'!F:F,MATCH(Table226[[#This Row],[كد تفصيلي]],'چکهای دریافتنی'!A:A,0)),0)</f>
        <v>0</v>
      </c>
      <c r="F112" s="11">
        <f>Table226[[#This Row],[حسابهای دریافتنی]]+Table226[[#This Row],[چکهای در جریان وصول]]+Table226[[#This Row],[چکهای نزد صندوق]]</f>
        <v>-492500</v>
      </c>
      <c r="G112" s="12">
        <f>IFERROR(INDEX('مانده سوفاله'!F:F,MATCH(Table226[[#This Row],[كد تفصيلي]],'مانده سوفاله'!A:A,0)),0)</f>
        <v>2</v>
      </c>
    </row>
    <row r="113" spans="1:7" ht="24.75" customHeight="1" x14ac:dyDescent="0.35">
      <c r="A113" s="26">
        <v>10095</v>
      </c>
      <c r="B113" s="56" t="s">
        <v>268</v>
      </c>
      <c r="C113" s="10">
        <f>IFERROR(INDEX('حسابهای دریافتنی'!H:H,MATCH(Table226[[#This Row],[كد تفصيلي]],'حسابهای دریافتنی'!A:A,0)),0)</f>
        <v>-496500</v>
      </c>
      <c r="D113" s="11">
        <f>IFERROR(INDEX('درجریان وصول'!F:F,MATCH(Table226[[#This Row],[كد تفصيلي]],'درجریان وصول'!A:A,0)),0)</f>
        <v>0</v>
      </c>
      <c r="E113" s="11">
        <f>IFERROR(INDEX('چکهای دریافتنی'!F:F,MATCH(Table226[[#This Row],[كد تفصيلي]],'چکهای دریافتنی'!A:A,0)),0)</f>
        <v>0</v>
      </c>
      <c r="F113" s="11">
        <f>Table226[[#This Row],[حسابهای دریافتنی]]+Table226[[#This Row],[چکهای در جریان وصول]]+Table226[[#This Row],[چکهای نزد صندوق]]</f>
        <v>-496500</v>
      </c>
      <c r="G113" s="12">
        <f>IFERROR(INDEX('مانده سوفاله'!F:F,MATCH(Table226[[#This Row],[كد تفصيلي]],'مانده سوفاله'!A:A,0)),0)</f>
        <v>0</v>
      </c>
    </row>
    <row r="114" spans="1:7" ht="24.75" customHeight="1" x14ac:dyDescent="0.35">
      <c r="A114" s="27">
        <v>30052</v>
      </c>
      <c r="B114" s="55" t="s">
        <v>149</v>
      </c>
      <c r="C114" s="10">
        <f>IFERROR(INDEX('حسابهای دریافتنی'!H:H,MATCH(Table226[[#This Row],[كد تفصيلي]],'حسابهای دریافتنی'!A:A,0)),0)</f>
        <v>-539000</v>
      </c>
      <c r="D114" s="11">
        <f>IFERROR(INDEX('درجریان وصول'!F:F,MATCH(Table226[[#This Row],[كد تفصيلي]],'درجریان وصول'!A:A,0)),0)</f>
        <v>0</v>
      </c>
      <c r="E114" s="11">
        <f>IFERROR(INDEX('چکهای دریافتنی'!F:F,MATCH(Table226[[#This Row],[كد تفصيلي]],'چکهای دریافتنی'!A:A,0)),0)</f>
        <v>0</v>
      </c>
      <c r="F114" s="11">
        <f>Table226[[#This Row],[حسابهای دریافتنی]]+Table226[[#This Row],[چکهای در جریان وصول]]+Table226[[#This Row],[چکهای نزد صندوق]]</f>
        <v>-539000</v>
      </c>
      <c r="G114" s="12">
        <f>IFERROR(INDEX('مانده سوفاله'!F:F,MATCH(Table226[[#This Row],[كد تفصيلي]],'مانده سوفاله'!A:A,0)),0)</f>
        <v>0</v>
      </c>
    </row>
    <row r="115" spans="1:7" ht="24.75" customHeight="1" x14ac:dyDescent="0.35">
      <c r="A115" s="26">
        <v>10061</v>
      </c>
      <c r="B115" s="56" t="s">
        <v>194</v>
      </c>
      <c r="C115" s="10">
        <f>IFERROR(INDEX('حسابهای دریافتنی'!H:H,MATCH(Table226[[#This Row],[كد تفصيلي]],'حسابهای دریافتنی'!A:A,0)),0)</f>
        <v>-565500</v>
      </c>
      <c r="D115" s="11">
        <f>IFERROR(INDEX('درجریان وصول'!F:F,MATCH(Table226[[#This Row],[كد تفصيلي]],'درجریان وصول'!A:A,0)),0)</f>
        <v>0</v>
      </c>
      <c r="E115" s="11">
        <f>IFERROR(INDEX('چکهای دریافتنی'!F:F,MATCH(Table226[[#This Row],[كد تفصيلي]],'چکهای دریافتنی'!A:A,0)),0)</f>
        <v>0</v>
      </c>
      <c r="F115" s="11">
        <f>Table226[[#This Row],[حسابهای دریافتنی]]+Table226[[#This Row],[چکهای در جریان وصول]]+Table226[[#This Row],[چکهای نزد صندوق]]</f>
        <v>-565500</v>
      </c>
      <c r="G115" s="12">
        <f>IFERROR(INDEX('مانده سوفاله'!F:F,MATCH(Table226[[#This Row],[كد تفصيلي]],'مانده سوفاله'!A:A,0)),0)</f>
        <v>0</v>
      </c>
    </row>
    <row r="116" spans="1:7" ht="24.75" customHeight="1" x14ac:dyDescent="0.35">
      <c r="A116" s="26">
        <v>10118</v>
      </c>
      <c r="B116" s="56" t="s">
        <v>334</v>
      </c>
      <c r="C116" s="10">
        <f>IFERROR(INDEX('حسابهای دریافتنی'!H:H,MATCH(Table226[[#This Row],[كد تفصيلي]],'حسابهای دریافتنی'!A:A,0)),0)</f>
        <v>-587500</v>
      </c>
      <c r="D116" s="11">
        <f>IFERROR(INDEX('درجریان وصول'!F:F,MATCH(Table226[[#This Row],[كد تفصيلي]],'درجریان وصول'!A:A,0)),0)</f>
        <v>0</v>
      </c>
      <c r="E116" s="11">
        <f>IFERROR(INDEX('چکهای دریافتنی'!F:F,MATCH(Table226[[#This Row],[كد تفصيلي]],'چکهای دریافتنی'!A:A,0)),0)</f>
        <v>0</v>
      </c>
      <c r="F116" s="11">
        <f>Table226[[#This Row],[حسابهای دریافتنی]]+Table226[[#This Row],[چکهای در جریان وصول]]+Table226[[#This Row],[چکهای نزد صندوق]]</f>
        <v>-587500</v>
      </c>
      <c r="G116" s="12">
        <f>IFERROR(INDEX('مانده سوفاله'!F:F,MATCH(Table226[[#This Row],[كد تفصيلي]],'مانده سوفاله'!A:A,0)),0)</f>
        <v>0</v>
      </c>
    </row>
    <row r="117" spans="1:7" ht="24.75" customHeight="1" x14ac:dyDescent="0.35">
      <c r="A117" s="26">
        <v>10131</v>
      </c>
      <c r="B117" s="56" t="s">
        <v>457</v>
      </c>
      <c r="C117" s="10">
        <f>IFERROR(INDEX('حسابهای دریافتنی'!H:H,MATCH(Table226[[#This Row],[كد تفصيلي]],'حسابهای دریافتنی'!A:A,0)),0)</f>
        <v>-1194000</v>
      </c>
      <c r="D117" s="11">
        <f>IFERROR(INDEX('درجریان وصول'!F:F,MATCH(Table226[[#This Row],[كد تفصيلي]],'درجریان وصول'!A:A,0)),0)</f>
        <v>0</v>
      </c>
      <c r="E117" s="11">
        <f>IFERROR(INDEX('چکهای دریافتنی'!F:F,MATCH(Table226[[#This Row],[كد تفصيلي]],'چکهای دریافتنی'!A:A,0)),0)</f>
        <v>0</v>
      </c>
      <c r="F117" s="11">
        <f>Table226[[#This Row],[حسابهای دریافتنی]]+Table226[[#This Row],[چکهای در جریان وصول]]+Table226[[#This Row],[چکهای نزد صندوق]]</f>
        <v>-1194000</v>
      </c>
      <c r="G117" s="12">
        <f>IFERROR(INDEX('مانده سوفاله'!F:F,MATCH(Table226[[#This Row],[كد تفصيلي]],'مانده سوفاله'!A:A,0)),0)</f>
        <v>1</v>
      </c>
    </row>
    <row r="118" spans="1:7" ht="24.75" customHeight="1" x14ac:dyDescent="0.35">
      <c r="A118" s="26">
        <v>30112</v>
      </c>
      <c r="B118" s="56" t="s">
        <v>201</v>
      </c>
      <c r="C118" s="10">
        <f>IFERROR(INDEX('حسابهای دریافتنی'!H:H,MATCH(Table226[[#This Row],[كد تفصيلي]],'حسابهای دریافتنی'!A:A,0)),0)</f>
        <v>-720500</v>
      </c>
      <c r="D118" s="11">
        <f>IFERROR(INDEX('درجریان وصول'!F:F,MATCH(Table226[[#This Row],[كد تفصيلي]],'درجریان وصول'!A:A,0)),0)</f>
        <v>0</v>
      </c>
      <c r="E118" s="11">
        <f>IFERROR(INDEX('چکهای دریافتنی'!F:F,MATCH(Table226[[#This Row],[كد تفصيلي]],'چکهای دریافتنی'!A:A,0)),0)</f>
        <v>0</v>
      </c>
      <c r="F118" s="11">
        <f>Table226[[#This Row],[حسابهای دریافتنی]]+Table226[[#This Row],[چکهای در جریان وصول]]+Table226[[#This Row],[چکهای نزد صندوق]]</f>
        <v>-720500</v>
      </c>
      <c r="G118" s="12">
        <f>IFERROR(INDEX('مانده سوفاله'!F:F,MATCH(Table226[[#This Row],[كد تفصيلي]],'مانده سوفاله'!A:A,0)),0)</f>
        <v>36</v>
      </c>
    </row>
    <row r="119" spans="1:7" ht="24.75" customHeight="1" x14ac:dyDescent="0.35">
      <c r="A119" s="26">
        <v>10013</v>
      </c>
      <c r="B119" s="56" t="s">
        <v>20</v>
      </c>
      <c r="C119" s="10">
        <f>IFERROR(INDEX('حسابهای دریافتنی'!H:H,MATCH(Table226[[#This Row],[كد تفصيلي]],'حسابهای دریافتنی'!A:A,0)),0)</f>
        <v>-915000</v>
      </c>
      <c r="D119" s="11">
        <f>IFERROR(INDEX('درجریان وصول'!F:F,MATCH(Table226[[#This Row],[كد تفصيلي]],'درجریان وصول'!A:A,0)),0)</f>
        <v>0</v>
      </c>
      <c r="E119" s="11">
        <f>IFERROR(INDEX('چکهای دریافتنی'!F:F,MATCH(Table226[[#This Row],[كد تفصيلي]],'چکهای دریافتنی'!A:A,0)),0)</f>
        <v>0</v>
      </c>
      <c r="F119" s="11">
        <f>Table226[[#This Row],[حسابهای دریافتنی]]+Table226[[#This Row],[چکهای در جریان وصول]]+Table226[[#This Row],[چکهای نزد صندوق]]</f>
        <v>-915000</v>
      </c>
      <c r="G119" s="12">
        <f>IFERROR(INDEX('مانده سوفاله'!F:F,MATCH(Table226[[#This Row],[كد تفصيلي]],'مانده سوفاله'!A:A,0)),0)</f>
        <v>0</v>
      </c>
    </row>
    <row r="120" spans="1:7" ht="24.75" customHeight="1" x14ac:dyDescent="0.35">
      <c r="A120" s="27">
        <v>10042</v>
      </c>
      <c r="B120" s="55" t="s">
        <v>47</v>
      </c>
      <c r="C120" s="10">
        <f>IFERROR(INDEX('حسابهای دریافتنی'!H:H,MATCH(Table226[[#This Row],[كد تفصيلي]],'حسابهای دریافتنی'!A:A,0)),0)</f>
        <v>-1120000</v>
      </c>
      <c r="D120" s="11">
        <f>IFERROR(INDEX('درجریان وصول'!F:F,MATCH(Table226[[#This Row],[كد تفصيلي]],'درجریان وصول'!A:A,0)),0)</f>
        <v>0</v>
      </c>
      <c r="E120" s="11">
        <f>IFERROR(INDEX('چکهای دریافتنی'!F:F,MATCH(Table226[[#This Row],[كد تفصيلي]],'چکهای دریافتنی'!A:A,0)),0)</f>
        <v>0</v>
      </c>
      <c r="F120" s="11">
        <f>Table226[[#This Row],[حسابهای دریافتنی]]+Table226[[#This Row],[چکهای در جریان وصول]]+Table226[[#This Row],[چکهای نزد صندوق]]</f>
        <v>-1120000</v>
      </c>
      <c r="G120" s="12">
        <f>IFERROR(INDEX('مانده سوفاله'!F:F,MATCH(Table226[[#This Row],[كد تفصيلي]],'مانده سوفاله'!A:A,0)),0)</f>
        <v>2</v>
      </c>
    </row>
    <row r="121" spans="1:7" ht="24.75" customHeight="1" x14ac:dyDescent="0.35">
      <c r="A121" s="27">
        <v>30032</v>
      </c>
      <c r="B121" s="55" t="s">
        <v>79</v>
      </c>
      <c r="C121" s="10">
        <f>IFERROR(INDEX('حسابهای دریافتنی'!H:H,MATCH(Table226[[#This Row],[كد تفصيلي]],'حسابهای دریافتنی'!A:A,0)),0)</f>
        <v>-1347000</v>
      </c>
      <c r="D121" s="11">
        <f>IFERROR(INDEX('درجریان وصول'!F:F,MATCH(Table226[[#This Row],[كد تفصيلي]],'درجریان وصول'!A:A,0)),0)</f>
        <v>0</v>
      </c>
      <c r="E121" s="11">
        <f>IFERROR(INDEX('چکهای دریافتنی'!F:F,MATCH(Table226[[#This Row],[كد تفصيلي]],'چکهای دریافتنی'!A:A,0)),0)</f>
        <v>0</v>
      </c>
      <c r="F121" s="11">
        <f>Table226[[#This Row],[حسابهای دریافتنی]]+Table226[[#This Row],[چکهای در جریان وصول]]+Table226[[#This Row],[چکهای نزد صندوق]]</f>
        <v>-1347000</v>
      </c>
      <c r="G121" s="12">
        <f>IFERROR(INDEX('مانده سوفاله'!F:F,MATCH(Table226[[#This Row],[كد تفصيلي]],'مانده سوفاله'!A:A,0)),0)</f>
        <v>0</v>
      </c>
    </row>
    <row r="122" spans="1:7" ht="24.75" customHeight="1" x14ac:dyDescent="0.35">
      <c r="A122" s="27">
        <v>30171</v>
      </c>
      <c r="B122" s="55" t="s">
        <v>322</v>
      </c>
      <c r="C122" s="10">
        <f>IFERROR(INDEX('حسابهای دریافتنی'!H:H,MATCH(Table226[[#This Row],[كد تفصيلي]],'حسابهای دریافتنی'!A:A,0)),0)</f>
        <v>-1500000</v>
      </c>
      <c r="D122" s="11">
        <f>IFERROR(INDEX('درجریان وصول'!F:F,MATCH(Table226[[#This Row],[كد تفصيلي]],'درجریان وصول'!A:A,0)),0)</f>
        <v>0</v>
      </c>
      <c r="E122" s="11">
        <f>IFERROR(INDEX('چکهای دریافتنی'!F:F,MATCH(Table226[[#This Row],[كد تفصيلي]],'چکهای دریافتنی'!A:A,0)),0)</f>
        <v>0</v>
      </c>
      <c r="F122" s="11">
        <f>Table226[[#This Row],[حسابهای دریافتنی]]+Table226[[#This Row],[چکهای در جریان وصول]]+Table226[[#This Row],[چکهای نزد صندوق]]</f>
        <v>-1500000</v>
      </c>
      <c r="G122" s="12">
        <f>IFERROR(INDEX('مانده سوفاله'!F:F,MATCH(Table226[[#This Row],[كد تفصيلي]],'مانده سوفاله'!A:A,0)),0)</f>
        <v>0</v>
      </c>
    </row>
    <row r="123" spans="1:7" ht="24.75" customHeight="1" x14ac:dyDescent="0.35">
      <c r="A123" s="26">
        <v>10103</v>
      </c>
      <c r="B123" s="56" t="s">
        <v>283</v>
      </c>
      <c r="C123" s="10">
        <f>IFERROR(INDEX('حسابهای دریافتنی'!H:H,MATCH(Table226[[#This Row],[كد تفصيلي]],'حسابهای دریافتنی'!A:A,0)),0)</f>
        <v>-1580000</v>
      </c>
      <c r="D123" s="11">
        <f>IFERROR(INDEX('درجریان وصول'!F:F,MATCH(Table226[[#This Row],[كد تفصيلي]],'درجریان وصول'!A:A,0)),0)</f>
        <v>0</v>
      </c>
      <c r="E123" s="11">
        <f>IFERROR(INDEX('چکهای دریافتنی'!F:F,MATCH(Table226[[#This Row],[كد تفصيلي]],'چکهای دریافتنی'!A:A,0)),0)</f>
        <v>0</v>
      </c>
      <c r="F123" s="11">
        <f>Table226[[#This Row],[حسابهای دریافتنی]]+Table226[[#This Row],[چکهای در جریان وصول]]+Table226[[#This Row],[چکهای نزد صندوق]]</f>
        <v>-1580000</v>
      </c>
      <c r="G123" s="12">
        <f>IFERROR(INDEX('مانده سوفاله'!F:F,MATCH(Table226[[#This Row],[كد تفصيلي]],'مانده سوفاله'!A:A,0)),0)</f>
        <v>0</v>
      </c>
    </row>
    <row r="124" spans="1:7" ht="24.75" customHeight="1" x14ac:dyDescent="0.35">
      <c r="A124" s="27">
        <v>10125</v>
      </c>
      <c r="B124" s="55" t="s">
        <v>345</v>
      </c>
      <c r="C124" s="10">
        <f>IFERROR(INDEX('حسابهای دریافتنی'!H:H,MATCH(Table226[[#This Row],[كد تفصيلي]],'حسابهای دریافتنی'!A:A,0)),0)</f>
        <v>-1650000</v>
      </c>
      <c r="D124" s="11">
        <f>IFERROR(INDEX('درجریان وصول'!F:F,MATCH(Table226[[#This Row],[كد تفصيلي]],'درجریان وصول'!A:A,0)),0)</f>
        <v>0</v>
      </c>
      <c r="E124" s="11">
        <f>IFERROR(INDEX('چکهای دریافتنی'!F:F,MATCH(Table226[[#This Row],[كد تفصيلي]],'چکهای دریافتنی'!A:A,0)),0)</f>
        <v>0</v>
      </c>
      <c r="F124" s="11">
        <f>Table226[[#This Row],[حسابهای دریافتنی]]+Table226[[#This Row],[چکهای در جریان وصول]]+Table226[[#This Row],[چکهای نزد صندوق]]</f>
        <v>-1650000</v>
      </c>
      <c r="G124" s="12">
        <f>IFERROR(INDEX('مانده سوفاله'!F:F,MATCH(Table226[[#This Row],[كد تفصيلي]],'مانده سوفاله'!A:A,0)),0)</f>
        <v>0</v>
      </c>
    </row>
    <row r="125" spans="1:7" ht="24.75" customHeight="1" x14ac:dyDescent="0.35">
      <c r="A125" s="26">
        <v>10110</v>
      </c>
      <c r="B125" s="56" t="s">
        <v>306</v>
      </c>
      <c r="C125" s="10">
        <f>IFERROR(INDEX('حسابهای دریافتنی'!H:H,MATCH(Table226[[#This Row],[كد تفصيلي]],'حسابهای دریافتنی'!A:A,0)),0)</f>
        <v>-1817500</v>
      </c>
      <c r="D125" s="11">
        <f>IFERROR(INDEX('درجریان وصول'!F:F,MATCH(Table226[[#This Row],[كد تفصيلي]],'درجریان وصول'!A:A,0)),0)</f>
        <v>0</v>
      </c>
      <c r="E125" s="11">
        <f>IFERROR(INDEX('چکهای دریافتنی'!F:F,MATCH(Table226[[#This Row],[كد تفصيلي]],'چکهای دریافتنی'!A:A,0)),0)</f>
        <v>0</v>
      </c>
      <c r="F125" s="11">
        <f>Table226[[#This Row],[حسابهای دریافتنی]]+Table226[[#This Row],[چکهای در جریان وصول]]+Table226[[#This Row],[چکهای نزد صندوق]]</f>
        <v>-1817500</v>
      </c>
      <c r="G125" s="12">
        <f>IFERROR(INDEX('مانده سوفاله'!F:F,MATCH(Table226[[#This Row],[كد تفصيلي]],'مانده سوفاله'!A:A,0)),0)</f>
        <v>7</v>
      </c>
    </row>
    <row r="126" spans="1:7" ht="24.75" customHeight="1" x14ac:dyDescent="0.35">
      <c r="A126" s="27">
        <v>30103</v>
      </c>
      <c r="B126" s="55" t="s">
        <v>240</v>
      </c>
      <c r="C126" s="10">
        <f>IFERROR(INDEX('حسابهای دریافتنی'!H:H,MATCH(Table226[[#This Row],[كد تفصيلي]],'حسابهای دریافتنی'!A:A,0)),0)</f>
        <v>-1820000</v>
      </c>
      <c r="D126" s="11">
        <f>IFERROR(INDEX('درجریان وصول'!F:F,MATCH(Table226[[#This Row],[كد تفصيلي]],'درجریان وصول'!A:A,0)),0)</f>
        <v>0</v>
      </c>
      <c r="E126" s="11">
        <f>IFERROR(INDEX('چکهای دریافتنی'!F:F,MATCH(Table226[[#This Row],[كد تفصيلي]],'چکهای دریافتنی'!A:A,0)),0)</f>
        <v>0</v>
      </c>
      <c r="F126" s="11">
        <f>Table226[[#This Row],[حسابهای دریافتنی]]+Table226[[#This Row],[چکهای در جریان وصول]]+Table226[[#This Row],[چکهای نزد صندوق]]</f>
        <v>-1820000</v>
      </c>
      <c r="G126" s="12">
        <f>IFERROR(INDEX('مانده سوفاله'!F:F,MATCH(Table226[[#This Row],[كد تفصيلي]],'مانده سوفاله'!A:A,0)),0)</f>
        <v>0</v>
      </c>
    </row>
    <row r="127" spans="1:7" ht="24.75" customHeight="1" x14ac:dyDescent="0.35">
      <c r="A127" s="26">
        <v>30128</v>
      </c>
      <c r="B127" s="56" t="s">
        <v>212</v>
      </c>
      <c r="C127" s="10">
        <f>IFERROR(INDEX('حسابهای دریافتنی'!H:H,MATCH(Table226[[#This Row],[كد تفصيلي]],'حسابهای دریافتنی'!A:A,0)),0)</f>
        <v>-2451320</v>
      </c>
      <c r="D127" s="11">
        <f>IFERROR(INDEX('درجریان وصول'!F:F,MATCH(Table226[[#This Row],[كد تفصيلي]],'درجریان وصول'!A:A,0)),0)</f>
        <v>0</v>
      </c>
      <c r="E127" s="11">
        <f>IFERROR(INDEX('چکهای دریافتنی'!F:F,MATCH(Table226[[#This Row],[كد تفصيلي]],'چکهای دریافتنی'!A:A,0)),0)</f>
        <v>0</v>
      </c>
      <c r="F127" s="11">
        <f>Table226[[#This Row],[حسابهای دریافتنی]]+Table226[[#This Row],[چکهای در جریان وصول]]+Table226[[#This Row],[چکهای نزد صندوق]]</f>
        <v>-2451320</v>
      </c>
      <c r="G127" s="12">
        <f>IFERROR(INDEX('مانده سوفاله'!F:F,MATCH(Table226[[#This Row],[كد تفصيلي]],'مانده سوفاله'!A:A,0)),0)</f>
        <v>0</v>
      </c>
    </row>
    <row r="128" spans="1:7" ht="24.75" customHeight="1" x14ac:dyDescent="0.35">
      <c r="A128" s="26">
        <v>30013</v>
      </c>
      <c r="B128" s="56" t="s">
        <v>62</v>
      </c>
      <c r="C128" s="10">
        <f>IFERROR(INDEX('حسابهای دریافتنی'!H:H,MATCH(Table226[[#This Row],[كد تفصيلي]],'حسابهای دریافتنی'!A:A,0)),0)</f>
        <v>-2744620</v>
      </c>
      <c r="D128" s="11">
        <f>IFERROR(INDEX('درجریان وصول'!F:F,MATCH(Table226[[#This Row],[كد تفصيلي]],'درجریان وصول'!A:A,0)),0)</f>
        <v>0</v>
      </c>
      <c r="E128" s="11">
        <f>IFERROR(INDEX('چکهای دریافتنی'!F:F,MATCH(Table226[[#This Row],[كد تفصيلي]],'چکهای دریافتنی'!A:A,0)),0)</f>
        <v>0</v>
      </c>
      <c r="F128" s="11">
        <f>Table226[[#This Row],[حسابهای دریافتنی]]+Table226[[#This Row],[چکهای در جریان وصول]]+Table226[[#This Row],[چکهای نزد صندوق]]</f>
        <v>-2744620</v>
      </c>
      <c r="G128" s="12">
        <f>IFERROR(INDEX('مانده سوفاله'!F:F,MATCH(Table226[[#This Row],[كد تفصيلي]],'مانده سوفاله'!A:A,0)),0)</f>
        <v>0</v>
      </c>
    </row>
    <row r="129" spans="1:7" ht="24.75" customHeight="1" x14ac:dyDescent="0.35">
      <c r="A129" s="26">
        <v>30015</v>
      </c>
      <c r="B129" s="56" t="s">
        <v>64</v>
      </c>
      <c r="C129" s="10">
        <f>IFERROR(INDEX('حسابهای دریافتنی'!H:H,MATCH(Table226[[#This Row],[كد تفصيلي]],'حسابهای دریافتنی'!A:A,0)),0)</f>
        <v>-3105895</v>
      </c>
      <c r="D129" s="11">
        <f>IFERROR(INDEX('درجریان وصول'!F:F,MATCH(Table226[[#This Row],[كد تفصيلي]],'درجریان وصول'!A:A,0)),0)</f>
        <v>0</v>
      </c>
      <c r="E129" s="11">
        <f>IFERROR(INDEX('چکهای دریافتنی'!F:F,MATCH(Table226[[#This Row],[كد تفصيلي]],'چکهای دریافتنی'!A:A,0)),0)</f>
        <v>0</v>
      </c>
      <c r="F129" s="11">
        <f>Table226[[#This Row],[حسابهای دریافتنی]]+Table226[[#This Row],[چکهای در جریان وصول]]+Table226[[#This Row],[چکهای نزد صندوق]]</f>
        <v>-3105895</v>
      </c>
      <c r="G129" s="12">
        <f>IFERROR(INDEX('مانده سوفاله'!F:F,MATCH(Table226[[#This Row],[كد تفصيلي]],'مانده سوفاله'!A:A,0)),0)</f>
        <v>0</v>
      </c>
    </row>
    <row r="130" spans="1:7" ht="24.75" customHeight="1" x14ac:dyDescent="0.35">
      <c r="A130" s="26">
        <v>30110</v>
      </c>
      <c r="B130" s="56" t="s">
        <v>200</v>
      </c>
      <c r="C130" s="10">
        <f>IFERROR(INDEX('حسابهای دریافتنی'!H:H,MATCH(Table226[[#This Row],[كد تفصيلي]],'حسابهای دریافتنی'!A:A,0)),0)</f>
        <v>-3492360</v>
      </c>
      <c r="D130" s="11">
        <f>IFERROR(INDEX('درجریان وصول'!F:F,MATCH(Table226[[#This Row],[كد تفصيلي]],'درجریان وصول'!A:A,0)),0)</f>
        <v>0</v>
      </c>
      <c r="E130" s="11">
        <f>IFERROR(INDEX('چکهای دریافتنی'!F:F,MATCH(Table226[[#This Row],[كد تفصيلي]],'چکهای دریافتنی'!A:A,0)),0)</f>
        <v>0</v>
      </c>
      <c r="F130" s="11">
        <f>Table226[[#This Row],[حسابهای دریافتنی]]+Table226[[#This Row],[چکهای در جریان وصول]]+Table226[[#This Row],[چکهای نزد صندوق]]</f>
        <v>-3492360</v>
      </c>
      <c r="G130" s="12">
        <f>IFERROR(INDEX('مانده سوفاله'!F:F,MATCH(Table226[[#This Row],[كد تفصيلي]],'مانده سوفاله'!A:A,0)),0)</f>
        <v>0</v>
      </c>
    </row>
    <row r="131" spans="1:7" ht="24.75" customHeight="1" x14ac:dyDescent="0.35">
      <c r="A131" s="26">
        <v>10049</v>
      </c>
      <c r="B131" s="56" t="s">
        <v>157</v>
      </c>
      <c r="C131" s="10">
        <f>IFERROR(INDEX('حسابهای دریافتنی'!H:H,MATCH(Table226[[#This Row],[كد تفصيلي]],'حسابهای دریافتنی'!A:A,0)),0)</f>
        <v>-32909500</v>
      </c>
      <c r="D131" s="11">
        <f>IFERROR(INDEX('درجریان وصول'!F:F,MATCH(Table226[[#This Row],[كد تفصيلي]],'درجریان وصول'!A:A,0)),0)</f>
        <v>0</v>
      </c>
      <c r="E131" s="11">
        <f>IFERROR(INDEX('چکهای دریافتنی'!F:F,MATCH(Table226[[#This Row],[كد تفصيلي]],'چکهای دریافتنی'!A:A,0)),0)</f>
        <v>0</v>
      </c>
      <c r="F131" s="11">
        <f>Table226[[#This Row],[حسابهای دریافتنی]]+Table226[[#This Row],[چکهای در جریان وصول]]+Table226[[#This Row],[چکهای نزد صندوق]]</f>
        <v>-32909500</v>
      </c>
      <c r="G131" s="12">
        <f>IFERROR(INDEX('مانده سوفاله'!F:F,MATCH(Table226[[#This Row],[كد تفصيلي]],'مانده سوفاله'!A:A,0)),0)</f>
        <v>0</v>
      </c>
    </row>
    <row r="132" spans="1:7" customFormat="1" ht="24.75" customHeight="1" x14ac:dyDescent="0.35">
      <c r="A132" s="53">
        <v>10015</v>
      </c>
      <c r="B132" s="56" t="s">
        <v>22</v>
      </c>
      <c r="C132" s="10">
        <f>IFERROR(INDEX('حسابهای دریافتنی'!H:H,MATCH(Table226[[#This Row],[كد تفصيلي]],'حسابهای دریافتنی'!A:A,0)),0)</f>
        <v>-4735000</v>
      </c>
      <c r="D132" s="11">
        <f>IFERROR(INDEX('درجریان وصول'!F:F,MATCH(Table226[[#This Row],[كد تفصيلي]],'درجریان وصول'!A:A,0)),0)</f>
        <v>0</v>
      </c>
      <c r="E132" s="11">
        <f>IFERROR(INDEX('چکهای دریافتنی'!F:F,MATCH(Table226[[#This Row],[كد تفصيلي]],'چکهای دریافتنی'!A:A,0)),0)</f>
        <v>0</v>
      </c>
      <c r="F132" s="11">
        <f>Table226[[#This Row],[حسابهای دریافتنی]]+Table226[[#This Row],[چکهای در جریان وصول]]+Table226[[#This Row],[چکهای نزد صندوق]]</f>
        <v>-4735000</v>
      </c>
      <c r="G132" s="12">
        <f>IFERROR(INDEX('مانده سوفاله'!F:F,MATCH(Table226[[#This Row],[كد تفصيلي]],'مانده سوفاله'!A:A,0)),0)</f>
        <v>12</v>
      </c>
    </row>
    <row r="133" spans="1:7" customFormat="1" ht="24.75" customHeight="1" x14ac:dyDescent="0.35">
      <c r="A133" s="54">
        <v>30153</v>
      </c>
      <c r="B133" s="55" t="s">
        <v>279</v>
      </c>
      <c r="C133" s="10">
        <f>IFERROR(INDEX('حسابهای دریافتنی'!H:H,MATCH(Table226[[#This Row],[كد تفصيلي]],'حسابهای دریافتنی'!A:A,0)),0)</f>
        <v>-4818000</v>
      </c>
      <c r="D133" s="11">
        <f>IFERROR(INDEX('درجریان وصول'!F:F,MATCH(Table226[[#This Row],[كد تفصيلي]],'درجریان وصول'!A:A,0)),0)</f>
        <v>0</v>
      </c>
      <c r="E133" s="11">
        <f>IFERROR(INDEX('چکهای دریافتنی'!F:F,MATCH(Table226[[#This Row],[كد تفصيلي]],'چکهای دریافتنی'!A:A,0)),0)</f>
        <v>0</v>
      </c>
      <c r="F133" s="11">
        <f>Table226[[#This Row],[حسابهای دریافتنی]]+Table226[[#This Row],[چکهای در جریان وصول]]+Table226[[#This Row],[چکهای نزد صندوق]]</f>
        <v>-4818000</v>
      </c>
      <c r="G133" s="12">
        <f>IFERROR(INDEX('مانده سوفاله'!F:F,MATCH(Table226[[#This Row],[كد تفصيلي]],'مانده سوفاله'!A:A,0)),0)</f>
        <v>0</v>
      </c>
    </row>
    <row r="134" spans="1:7" customFormat="1" ht="24.75" customHeight="1" x14ac:dyDescent="0.35">
      <c r="A134" s="53">
        <v>30023</v>
      </c>
      <c r="B134" s="56" t="s">
        <v>71</v>
      </c>
      <c r="C134" s="10">
        <f>IFERROR(INDEX('حسابهای دریافتنی'!H:H,MATCH(Table226[[#This Row],[كد تفصيلي]],'حسابهای دریافتنی'!A:A,0)),0)</f>
        <v>-5793600</v>
      </c>
      <c r="D134" s="11">
        <f>IFERROR(INDEX('درجریان وصول'!F:F,MATCH(Table226[[#This Row],[كد تفصيلي]],'درجریان وصول'!A:A,0)),0)</f>
        <v>0</v>
      </c>
      <c r="E134" s="11">
        <f>IFERROR(INDEX('چکهای دریافتنی'!F:F,MATCH(Table226[[#This Row],[كد تفصيلي]],'چکهای دریافتنی'!A:A,0)),0)</f>
        <v>0</v>
      </c>
      <c r="F134" s="11">
        <f>Table226[[#This Row],[حسابهای دریافتنی]]+Table226[[#This Row],[چکهای در جریان وصول]]+Table226[[#This Row],[چکهای نزد صندوق]]</f>
        <v>-5793600</v>
      </c>
      <c r="G134" s="12">
        <f>IFERROR(INDEX('مانده سوفاله'!F:F,MATCH(Table226[[#This Row],[كد تفصيلي]],'مانده سوفاله'!A:A,0)),0)</f>
        <v>0</v>
      </c>
    </row>
    <row r="135" spans="1:7" customFormat="1" ht="24.75" customHeight="1" x14ac:dyDescent="0.35">
      <c r="A135" s="53">
        <v>30176</v>
      </c>
      <c r="B135" s="56" t="s">
        <v>332</v>
      </c>
      <c r="C135" s="10">
        <f>IFERROR(INDEX('حسابهای دریافتنی'!H:H,MATCH(Table226[[#This Row],[كد تفصيلي]],'حسابهای دریافتنی'!A:A,0)),0)</f>
        <v>-7540075</v>
      </c>
      <c r="D135" s="11">
        <f>IFERROR(INDEX('درجریان وصول'!F:F,MATCH(Table226[[#This Row],[كد تفصيلي]],'درجریان وصول'!A:A,0)),0)</f>
        <v>0</v>
      </c>
      <c r="E135" s="11">
        <f>IFERROR(INDEX('چکهای دریافتنی'!F:F,MATCH(Table226[[#This Row],[كد تفصيلي]],'چکهای دریافتنی'!A:A,0)),0)</f>
        <v>0</v>
      </c>
      <c r="F135" s="11">
        <f>Table226[[#This Row],[حسابهای دریافتنی]]+Table226[[#This Row],[چکهای در جریان وصول]]+Table226[[#This Row],[چکهای نزد صندوق]]</f>
        <v>-7540075</v>
      </c>
      <c r="G135" s="12">
        <f>IFERROR(INDEX('مانده سوفاله'!F:F,MATCH(Table226[[#This Row],[كد تفصيلي]],'مانده سوفاله'!A:A,0)),0)</f>
        <v>0</v>
      </c>
    </row>
    <row r="136" spans="1:7" customFormat="1" ht="24.75" customHeight="1" x14ac:dyDescent="0.35">
      <c r="A136" s="53">
        <v>10106</v>
      </c>
      <c r="B136" s="56" t="s">
        <v>298</v>
      </c>
      <c r="C136" s="10">
        <f>IFERROR(INDEX('حسابهای دریافتنی'!H:H,MATCH(Table226[[#This Row],[كد تفصيلي]],'حسابهای دریافتنی'!A:A,0)),0)</f>
        <v>-9134000</v>
      </c>
      <c r="D136" s="11">
        <f>IFERROR(INDEX('درجریان وصول'!F:F,MATCH(Table226[[#This Row],[كد تفصيلي]],'درجریان وصول'!A:A,0)),0)</f>
        <v>0</v>
      </c>
      <c r="E136" s="11">
        <f>IFERROR(INDEX('چکهای دریافتنی'!F:F,MATCH(Table226[[#This Row],[كد تفصيلي]],'چکهای دریافتنی'!A:A,0)),0)</f>
        <v>0</v>
      </c>
      <c r="F136" s="11">
        <f>Table226[[#This Row],[حسابهای دریافتنی]]+Table226[[#This Row],[چکهای در جریان وصول]]+Table226[[#This Row],[چکهای نزد صندوق]]</f>
        <v>-9134000</v>
      </c>
      <c r="G136" s="12">
        <f>IFERROR(INDEX('مانده سوفاله'!F:F,MATCH(Table226[[#This Row],[كد تفصيلي]],'مانده سوفاله'!A:A,0)),0)</f>
        <v>0</v>
      </c>
    </row>
    <row r="137" spans="1:7" customFormat="1" ht="24.75" customHeight="1" x14ac:dyDescent="0.35">
      <c r="A137" s="54">
        <v>10102</v>
      </c>
      <c r="B137" s="55" t="s">
        <v>282</v>
      </c>
      <c r="C137" s="10">
        <f>IFERROR(INDEX('حسابهای دریافتنی'!H:H,MATCH(Table226[[#This Row],[كد تفصيلي]],'حسابهای دریافتنی'!A:A,0)),0)</f>
        <v>-10374000</v>
      </c>
      <c r="D137" s="11">
        <f>IFERROR(INDEX('درجریان وصول'!F:F,MATCH(Table226[[#This Row],[كد تفصيلي]],'درجریان وصول'!A:A,0)),0)</f>
        <v>0</v>
      </c>
      <c r="E137" s="11">
        <f>IFERROR(INDEX('چکهای دریافتنی'!F:F,MATCH(Table226[[#This Row],[كد تفصيلي]],'چکهای دریافتنی'!A:A,0)),0)</f>
        <v>0</v>
      </c>
      <c r="F137" s="11">
        <f>Table226[[#This Row],[حسابهای دریافتنی]]+Table226[[#This Row],[چکهای در جریان وصول]]+Table226[[#This Row],[چکهای نزد صندوق]]</f>
        <v>-10374000</v>
      </c>
      <c r="G137" s="12">
        <f>IFERROR(INDEX('مانده سوفاله'!F:F,MATCH(Table226[[#This Row],[كد تفصيلي]],'مانده سوفاله'!A:A,0)),0)</f>
        <v>0</v>
      </c>
    </row>
    <row r="138" spans="1:7" customFormat="1" ht="24.75" customHeight="1" x14ac:dyDescent="0.35">
      <c r="A138" s="54">
        <v>10058</v>
      </c>
      <c r="B138" s="55" t="s">
        <v>173</v>
      </c>
      <c r="C138" s="10">
        <f>IFERROR(INDEX('حسابهای دریافتنی'!H:H,MATCH(Table226[[#This Row],[كد تفصيلي]],'حسابهای دریافتنی'!A:A,0)),0)</f>
        <v>-13650000</v>
      </c>
      <c r="D138" s="11">
        <f>IFERROR(INDEX('درجریان وصول'!F:F,MATCH(Table226[[#This Row],[كد تفصيلي]],'درجریان وصول'!A:A,0)),0)</f>
        <v>0</v>
      </c>
      <c r="E138" s="11">
        <f>IFERROR(INDEX('چکهای دریافتنی'!F:F,MATCH(Table226[[#This Row],[كد تفصيلي]],'چکهای دریافتنی'!A:A,0)),0)</f>
        <v>0</v>
      </c>
      <c r="F138" s="11">
        <f>Table226[[#This Row],[حسابهای دریافتنی]]+Table226[[#This Row],[چکهای در جریان وصول]]+Table226[[#This Row],[چکهای نزد صندوق]]</f>
        <v>-13650000</v>
      </c>
      <c r="G138" s="12">
        <f>IFERROR(INDEX('مانده سوفاله'!F:F,MATCH(Table226[[#This Row],[كد تفصيلي]],'مانده سوفاله'!A:A,0)),0)</f>
        <v>0</v>
      </c>
    </row>
    <row r="139" spans="1:7" customFormat="1" ht="24.75" customHeight="1" x14ac:dyDescent="0.35">
      <c r="A139" s="53">
        <v>10126</v>
      </c>
      <c r="B139" s="56" t="s">
        <v>370</v>
      </c>
      <c r="C139" s="10">
        <f>IFERROR(INDEX('حسابهای دریافتنی'!H:H,MATCH(Table226[[#This Row],[كد تفصيلي]],'حسابهای دریافتنی'!A:A,0)),0)</f>
        <v>12165000</v>
      </c>
      <c r="D139" s="11">
        <f>IFERROR(INDEX('درجریان وصول'!F:F,MATCH(Table226[[#This Row],[كد تفصيلي]],'درجریان وصول'!A:A,0)),0)</f>
        <v>0</v>
      </c>
      <c r="E139" s="11">
        <f>IFERROR(INDEX('چکهای دریافتنی'!F:F,MATCH(Table226[[#This Row],[كد تفصيلي]],'چکهای دریافتنی'!A:A,0)),0)</f>
        <v>0</v>
      </c>
      <c r="F139" s="11">
        <f>Table226[[#This Row],[حسابهای دریافتنی]]+Table226[[#This Row],[چکهای در جریان وصول]]+Table226[[#This Row],[چکهای نزد صندوق]]</f>
        <v>12165000</v>
      </c>
      <c r="G139" s="12">
        <f>IFERROR(INDEX('مانده سوفاله'!F:F,MATCH(Table226[[#This Row],[كد تفصيلي]],'مانده سوفاله'!A:A,0)),0)</f>
        <v>0</v>
      </c>
    </row>
    <row r="140" spans="1:7" customFormat="1" ht="24.75" customHeight="1" x14ac:dyDescent="0.35">
      <c r="A140" s="53">
        <v>30082</v>
      </c>
      <c r="B140" s="56" t="s">
        <v>127</v>
      </c>
      <c r="C140" s="10">
        <f>IFERROR(INDEX('حسابهای دریافتنی'!H:H,MATCH(Table226[[#This Row],[كد تفصيلي]],'حسابهای دریافتنی'!A:A,0)),0)</f>
        <v>-15037000</v>
      </c>
      <c r="D140" s="11">
        <f>IFERROR(INDEX('درجریان وصول'!F:F,MATCH(Table226[[#This Row],[كد تفصيلي]],'درجریان وصول'!A:A,0)),0)</f>
        <v>0</v>
      </c>
      <c r="E140" s="11">
        <f>IFERROR(INDEX('چکهای دریافتنی'!F:F,MATCH(Table226[[#This Row],[كد تفصيلي]],'چکهای دریافتنی'!A:A,0)),0)</f>
        <v>0</v>
      </c>
      <c r="F140" s="11">
        <f>Table226[[#This Row],[حسابهای دریافتنی]]+Table226[[#This Row],[چکهای در جریان وصول]]+Table226[[#This Row],[چکهای نزد صندوق]]</f>
        <v>-15037000</v>
      </c>
      <c r="G140" s="12">
        <f>IFERROR(INDEX('مانده سوفاله'!F:F,MATCH(Table226[[#This Row],[كد تفصيلي]],'مانده سوفاله'!A:A,0)),0)</f>
        <v>-16</v>
      </c>
    </row>
    <row r="141" spans="1:7" customFormat="1" ht="24.75" customHeight="1" x14ac:dyDescent="0.35">
      <c r="A141" s="54">
        <v>30034</v>
      </c>
      <c r="B141" s="55" t="s">
        <v>81</v>
      </c>
      <c r="C141" s="10">
        <f>IFERROR(INDEX('حسابهای دریافتنی'!H:H,MATCH(Table226[[#This Row],[كد تفصيلي]],'حسابهای دریافتنی'!A:A,0)),0)</f>
        <v>388329200</v>
      </c>
      <c r="D141" s="11">
        <f>IFERROR(INDEX('درجریان وصول'!F:F,MATCH(Table226[[#This Row],[كد تفصيلي]],'درجریان وصول'!A:A,0)),0)</f>
        <v>0</v>
      </c>
      <c r="E141" s="11">
        <f>IFERROR(INDEX('چکهای دریافتنی'!F:F,MATCH(Table226[[#This Row],[كد تفصيلي]],'چکهای دریافتنی'!A:A,0)),0)</f>
        <v>0</v>
      </c>
      <c r="F141" s="11">
        <f>Table226[[#This Row],[حسابهای دریافتنی]]+Table226[[#This Row],[چکهای در جریان وصول]]+Table226[[#This Row],[چکهای نزد صندوق]]</f>
        <v>388329200</v>
      </c>
      <c r="G141" s="12">
        <f>IFERROR(INDEX('مانده سوفاله'!F:F,MATCH(Table226[[#This Row],[كد تفصيلي]],'مانده سوفاله'!A:A,0)),0)</f>
        <v>2886</v>
      </c>
    </row>
    <row r="142" spans="1:7" customFormat="1" ht="24.75" customHeight="1" x14ac:dyDescent="0.35">
      <c r="A142" s="54">
        <v>30042</v>
      </c>
      <c r="B142" s="55" t="s">
        <v>89</v>
      </c>
      <c r="C142" s="10">
        <f>IFERROR(INDEX('حسابهای دریافتنی'!H:H,MATCH(Table226[[#This Row],[كد تفصيلي]],'حسابهای دریافتنی'!A:A,0)),0)</f>
        <v>-18303540</v>
      </c>
      <c r="D142" s="11">
        <f>IFERROR(INDEX('درجریان وصول'!F:F,MATCH(Table226[[#This Row],[كد تفصيلي]],'درجریان وصول'!A:A,0)),0)</f>
        <v>0</v>
      </c>
      <c r="E142" s="11">
        <f>IFERROR(INDEX('چکهای دریافتنی'!F:F,MATCH(Table226[[#This Row],[كد تفصيلي]],'چکهای دریافتنی'!A:A,0)),0)</f>
        <v>0</v>
      </c>
      <c r="F142" s="11">
        <f>Table226[[#This Row],[حسابهای دریافتنی]]+Table226[[#This Row],[چکهای در جریان وصول]]+Table226[[#This Row],[چکهای نزد صندوق]]</f>
        <v>-18303540</v>
      </c>
      <c r="G142" s="12">
        <f>IFERROR(INDEX('مانده سوفاله'!F:F,MATCH(Table226[[#This Row],[كد تفصيلي]],'مانده سوفاله'!A:A,0)),0)</f>
        <v>0</v>
      </c>
    </row>
    <row r="143" spans="1:7" customFormat="1" ht="24.75" customHeight="1" x14ac:dyDescent="0.35">
      <c r="A143" s="54">
        <v>30028</v>
      </c>
      <c r="B143" s="55" t="s">
        <v>76</v>
      </c>
      <c r="C143" s="10">
        <f>IFERROR(INDEX('حسابهای دریافتنی'!H:H,MATCH(Table226[[#This Row],[كد تفصيلي]],'حسابهای دریافتنی'!A:A,0)),0)</f>
        <v>-23665000</v>
      </c>
      <c r="D143" s="11">
        <f>IFERROR(INDEX('درجریان وصول'!F:F,MATCH(Table226[[#This Row],[كد تفصيلي]],'درجریان وصول'!A:A,0)),0)</f>
        <v>0</v>
      </c>
      <c r="E143" s="11">
        <f>IFERROR(INDEX('چکهای دریافتنی'!F:F,MATCH(Table226[[#This Row],[كد تفصيلي]],'چکهای دریافتنی'!A:A,0)),0)</f>
        <v>0</v>
      </c>
      <c r="F143" s="11">
        <f>Table226[[#This Row],[حسابهای دریافتنی]]+Table226[[#This Row],[چکهای در جریان وصول]]+Table226[[#This Row],[چکهای نزد صندوق]]</f>
        <v>-23665000</v>
      </c>
      <c r="G143" s="12">
        <f>IFERROR(INDEX('مانده سوفاله'!F:F,MATCH(Table226[[#This Row],[كد تفصيلي]],'مانده سوفاله'!A:A,0)),0)</f>
        <v>0</v>
      </c>
    </row>
    <row r="144" spans="1:7" customFormat="1" ht="24.75" customHeight="1" x14ac:dyDescent="0.35">
      <c r="A144" s="53">
        <v>30072</v>
      </c>
      <c r="B144" s="56" t="s">
        <v>117</v>
      </c>
      <c r="C144" s="10">
        <f>IFERROR(INDEX('حسابهای دریافتنی'!H:H,MATCH(Table226[[#This Row],[كد تفصيلي]],'حسابهای دریافتنی'!A:A,0)),0)</f>
        <v>-30178900</v>
      </c>
      <c r="D144" s="11">
        <f>IFERROR(INDEX('درجریان وصول'!F:F,MATCH(Table226[[#This Row],[كد تفصيلي]],'درجریان وصول'!A:A,0)),0)</f>
        <v>0</v>
      </c>
      <c r="E144" s="11">
        <f>IFERROR(INDEX('چکهای دریافتنی'!F:F,MATCH(Table226[[#This Row],[كد تفصيلي]],'چکهای دریافتنی'!A:A,0)),0)</f>
        <v>0</v>
      </c>
      <c r="F144" s="11">
        <f>Table226[[#This Row],[حسابهای دریافتنی]]+Table226[[#This Row],[چکهای در جریان وصول]]+Table226[[#This Row],[چکهای نزد صندوق]]</f>
        <v>-30178900</v>
      </c>
      <c r="G144" s="12">
        <f>IFERROR(INDEX('مانده سوفاله'!F:F,MATCH(Table226[[#This Row],[كد تفصيلي]],'مانده سوفاله'!A:A,0)),0)</f>
        <v>-79</v>
      </c>
    </row>
    <row r="145" spans="1:7" customFormat="1" ht="24.75" customHeight="1" x14ac:dyDescent="0.35">
      <c r="A145" s="54">
        <v>30012</v>
      </c>
      <c r="B145" s="55" t="s">
        <v>61</v>
      </c>
      <c r="C145" s="10">
        <f>IFERROR(INDEX('حسابهای دریافتنی'!H:H,MATCH(Table226[[#This Row],[كد تفصيلي]],'حسابهای دریافتنی'!A:A,0)),0)</f>
        <v>-46099000</v>
      </c>
      <c r="D145" s="11">
        <f>IFERROR(INDEX('درجریان وصول'!F:F,MATCH(Table226[[#This Row],[كد تفصيلي]],'درجریان وصول'!A:A,0)),0)</f>
        <v>0</v>
      </c>
      <c r="E145" s="11">
        <f>IFERROR(INDEX('چکهای دریافتنی'!F:F,MATCH(Table226[[#This Row],[كد تفصيلي]],'چکهای دریافتنی'!A:A,0)),0)</f>
        <v>348650000</v>
      </c>
      <c r="F145" s="11">
        <f>Table226[[#This Row],[حسابهای دریافتنی]]+Table226[[#This Row],[چکهای در جریان وصول]]+Table226[[#This Row],[چکهای نزد صندوق]]</f>
        <v>302551000</v>
      </c>
      <c r="G145" s="12">
        <f>IFERROR(INDEX('مانده سوفاله'!F:F,MATCH(Table226[[#This Row],[كد تفصيلي]],'مانده سوفاله'!A:A,0)),0)</f>
        <v>141</v>
      </c>
    </row>
    <row r="146" spans="1:7" customFormat="1" ht="24.75" customHeight="1" x14ac:dyDescent="0.35">
      <c r="A146" s="53">
        <v>30098</v>
      </c>
      <c r="B146" s="56" t="s">
        <v>238</v>
      </c>
      <c r="C146" s="10">
        <f>IFERROR(INDEX('حسابهای دریافتنی'!H:H,MATCH(Table226[[#This Row],[كد تفصيلي]],'حسابهای دریافتنی'!A:A,0)),0)</f>
        <v>-45125000</v>
      </c>
      <c r="D146" s="11">
        <f>IFERROR(INDEX('درجریان وصول'!F:F,MATCH(Table226[[#This Row],[كد تفصيلي]],'درجریان وصول'!A:A,0)),0)</f>
        <v>0</v>
      </c>
      <c r="E146" s="11">
        <f>IFERROR(INDEX('چکهای دریافتنی'!F:F,MATCH(Table226[[#This Row],[كد تفصيلي]],'چکهای دریافتنی'!A:A,0)),0)</f>
        <v>0</v>
      </c>
      <c r="F146" s="11">
        <f>Table226[[#This Row],[حسابهای دریافتنی]]+Table226[[#This Row],[چکهای در جریان وصول]]+Table226[[#This Row],[چکهای نزد صندوق]]</f>
        <v>-45125000</v>
      </c>
      <c r="G146" s="12">
        <f>IFERROR(INDEX('مانده سوفاله'!F:F,MATCH(Table226[[#This Row],[كد تفصيلي]],'مانده سوفاله'!A:A,0)),0)</f>
        <v>0</v>
      </c>
    </row>
    <row r="147" spans="1:7" customFormat="1" ht="24.75" customHeight="1" x14ac:dyDescent="0.35">
      <c r="A147" s="53">
        <v>30064</v>
      </c>
      <c r="B147" s="56" t="s">
        <v>109</v>
      </c>
      <c r="C147" s="10">
        <f>IFERROR(INDEX('حسابهای دریافتنی'!H:H,MATCH(Table226[[#This Row],[كد تفصيلي]],'حسابهای دریافتنی'!A:A,0)),0)</f>
        <v>-49679500</v>
      </c>
      <c r="D147" s="11">
        <f>IFERROR(INDEX('درجریان وصول'!F:F,MATCH(Table226[[#This Row],[كد تفصيلي]],'درجریان وصول'!A:A,0)),0)</f>
        <v>0</v>
      </c>
      <c r="E147" s="11">
        <f>IFERROR(INDEX('چکهای دریافتنی'!F:F,MATCH(Table226[[#This Row],[كد تفصيلي]],'چکهای دریافتنی'!A:A,0)),0)</f>
        <v>0</v>
      </c>
      <c r="F147" s="11">
        <f>Table226[[#This Row],[حسابهای دریافتنی]]+Table226[[#This Row],[چکهای در جریان وصول]]+Table226[[#This Row],[چکهای نزد صندوق]]</f>
        <v>-49679500</v>
      </c>
      <c r="G147" s="12">
        <f>IFERROR(INDEX('مانده سوفاله'!F:F,MATCH(Table226[[#This Row],[كد تفصيلي]],'مانده سوفاله'!A:A,0)),0)</f>
        <v>0</v>
      </c>
    </row>
    <row r="148" spans="1:7" customFormat="1" ht="24.75" customHeight="1" x14ac:dyDescent="0.35">
      <c r="A148" s="54">
        <v>10123</v>
      </c>
      <c r="B148" s="55" t="s">
        <v>340</v>
      </c>
      <c r="C148" s="10">
        <f>IFERROR(INDEX('حسابهای دریافتنی'!H:H,MATCH(Table226[[#This Row],[كد تفصيلي]],'حسابهای دریافتنی'!A:A,0)),0)</f>
        <v>-50813000</v>
      </c>
      <c r="D148" s="11">
        <f>IFERROR(INDEX('درجریان وصول'!F:F,MATCH(Table226[[#This Row],[كد تفصيلي]],'درجریان وصول'!A:A,0)),0)</f>
        <v>0</v>
      </c>
      <c r="E148" s="11">
        <f>IFERROR(INDEX('چکهای دریافتنی'!F:F,MATCH(Table226[[#This Row],[كد تفصيلي]],'چکهای دریافتنی'!A:A,0)),0)</f>
        <v>0</v>
      </c>
      <c r="F148" s="11">
        <f>Table226[[#This Row],[حسابهای دریافتنی]]+Table226[[#This Row],[چکهای در جریان وصول]]+Table226[[#This Row],[چکهای نزد صندوق]]</f>
        <v>-50813000</v>
      </c>
      <c r="G148" s="12">
        <f>IFERROR(INDEX('مانده سوفاله'!F:F,MATCH(Table226[[#This Row],[كد تفصيلي]],'مانده سوفاله'!A:A,0)),0)</f>
        <v>0</v>
      </c>
    </row>
    <row r="149" spans="1:7" customFormat="1" ht="24.75" customHeight="1" x14ac:dyDescent="0.35">
      <c r="A149" s="54">
        <v>30000</v>
      </c>
      <c r="B149" s="55" t="s">
        <v>189</v>
      </c>
      <c r="C149" s="10">
        <f>IFERROR(INDEX('حسابهای دریافتنی'!H:H,MATCH(Table226[[#This Row],[كد تفصيلي]],'حسابهای دریافتنی'!A:A,0)),0)</f>
        <v>-55440000</v>
      </c>
      <c r="D149" s="11">
        <f>IFERROR(INDEX('درجریان وصول'!F:F,MATCH(Table226[[#This Row],[كد تفصيلي]],'درجریان وصول'!A:A,0)),0)</f>
        <v>0</v>
      </c>
      <c r="E149" s="11">
        <f>IFERROR(INDEX('چکهای دریافتنی'!F:F,MATCH(Table226[[#This Row],[كد تفصيلي]],'چکهای دریافتنی'!A:A,0)),0)</f>
        <v>0</v>
      </c>
      <c r="F149" s="11">
        <f>Table226[[#This Row],[حسابهای دریافتنی]]+Table226[[#This Row],[چکهای در جریان وصول]]+Table226[[#This Row],[چکهای نزد صندوق]]</f>
        <v>-55440000</v>
      </c>
      <c r="G149" s="12">
        <f>IFERROR(INDEX('مانده سوفاله'!F:F,MATCH(Table226[[#This Row],[كد تفصيلي]],'مانده سوفاله'!A:A,0)),0)</f>
        <v>0</v>
      </c>
    </row>
    <row r="150" spans="1:7" customFormat="1" ht="24.75" customHeight="1" x14ac:dyDescent="0.35">
      <c r="A150" s="54">
        <v>30133</v>
      </c>
      <c r="B150" s="55" t="s">
        <v>251</v>
      </c>
      <c r="C150" s="10">
        <f>IFERROR(INDEX('حسابهای دریافتنی'!H:H,MATCH(Table226[[#This Row],[كد تفصيلي]],'حسابهای دریافتنی'!A:A,0)),0)</f>
        <v>-66889500</v>
      </c>
      <c r="D150" s="11">
        <f>IFERROR(INDEX('درجریان وصول'!F:F,MATCH(Table226[[#This Row],[كد تفصيلي]],'درجریان وصول'!A:A,0)),0)</f>
        <v>0</v>
      </c>
      <c r="E150" s="11">
        <f>IFERROR(INDEX('چکهای دریافتنی'!F:F,MATCH(Table226[[#This Row],[كد تفصيلي]],'چکهای دریافتنی'!A:A,0)),0)</f>
        <v>0</v>
      </c>
      <c r="F150" s="11">
        <f>Table226[[#This Row],[حسابهای دریافتنی]]+Table226[[#This Row],[چکهای در جریان وصول]]+Table226[[#This Row],[چکهای نزد صندوق]]</f>
        <v>-66889500</v>
      </c>
      <c r="G150" s="12">
        <f>IFERROR(INDEX('مانده سوفاله'!F:F,MATCH(Table226[[#This Row],[كد تفصيلي]],'مانده سوفاله'!A:A,0)),0)</f>
        <v>0</v>
      </c>
    </row>
    <row r="151" spans="1:7" customFormat="1" ht="24.75" customHeight="1" x14ac:dyDescent="0.35">
      <c r="A151" s="53">
        <v>30168</v>
      </c>
      <c r="B151" s="56" t="s">
        <v>313</v>
      </c>
      <c r="C151" s="10">
        <f>IFERROR(INDEX('حسابهای دریافتنی'!H:H,MATCH(Table226[[#This Row],[كد تفصيلي]],'حسابهای دریافتنی'!A:A,0)),0)</f>
        <v>-104220000</v>
      </c>
      <c r="D151" s="11">
        <f>IFERROR(INDEX('درجریان وصول'!F:F,MATCH(Table226[[#This Row],[كد تفصيلي]],'درجریان وصول'!A:A,0)),0)</f>
        <v>0</v>
      </c>
      <c r="E151" s="11">
        <f>IFERROR(INDEX('چکهای دریافتنی'!F:F,MATCH(Table226[[#This Row],[كد تفصيلي]],'چکهای دریافتنی'!A:A,0)),0)</f>
        <v>0</v>
      </c>
      <c r="F151" s="11">
        <f>Table226[[#This Row],[حسابهای دریافتنی]]+Table226[[#This Row],[چکهای در جریان وصول]]+Table226[[#This Row],[چکهای نزد صندوق]]</f>
        <v>-104220000</v>
      </c>
      <c r="G151" s="12">
        <f>IFERROR(INDEX('مانده سوفاله'!F:F,MATCH(Table226[[#This Row],[كد تفصيلي]],'مانده سوفاله'!A:A,0)),0)</f>
        <v>0</v>
      </c>
    </row>
    <row r="152" spans="1:7" customFormat="1" ht="24.75" customHeight="1" x14ac:dyDescent="0.35">
      <c r="A152" s="53">
        <v>30164</v>
      </c>
      <c r="B152" s="56" t="s">
        <v>304</v>
      </c>
      <c r="C152" s="10">
        <f>IFERROR(INDEX('حسابهای دریافتنی'!H:H,MATCH(Table226[[#This Row],[كد تفصيلي]],'حسابهای دریافتنی'!A:A,0)),0)</f>
        <v>184944000</v>
      </c>
      <c r="D152" s="11">
        <f>IFERROR(INDEX('درجریان وصول'!F:F,MATCH(Table226[[#This Row],[كد تفصيلي]],'درجریان وصول'!A:A,0)),0)</f>
        <v>0</v>
      </c>
      <c r="E152" s="11">
        <f>IFERROR(INDEX('چکهای دریافتنی'!F:F,MATCH(Table226[[#This Row],[كد تفصيلي]],'چکهای دریافتنی'!A:A,0)),0)</f>
        <v>0</v>
      </c>
      <c r="F152" s="11">
        <f>Table226[[#This Row],[حسابهای دریافتنی]]+Table226[[#This Row],[چکهای در جریان وصول]]+Table226[[#This Row],[چکهای نزد صندوق]]</f>
        <v>184944000</v>
      </c>
      <c r="G152" s="12">
        <f>IFERROR(INDEX('مانده سوفاله'!F:F,MATCH(Table226[[#This Row],[كد تفصيلي]],'مانده سوفاله'!A:A,0)),0)</f>
        <v>561</v>
      </c>
    </row>
    <row r="153" spans="1:7" customFormat="1" ht="24.75" customHeight="1" x14ac:dyDescent="0.35">
      <c r="A153" s="53">
        <v>10089</v>
      </c>
      <c r="B153" s="56" t="s">
        <v>255</v>
      </c>
      <c r="C153" s="10">
        <f>IFERROR(INDEX('حسابهای دریافتنی'!H:H,MATCH(Table226[[#This Row],[كد تفصيلي]],'حسابهای دریافتنی'!A:A,0)),0)</f>
        <v>-143944000</v>
      </c>
      <c r="D153" s="11">
        <f>IFERROR(INDEX('درجریان وصول'!F:F,MATCH(Table226[[#This Row],[كد تفصيلي]],'درجریان وصول'!A:A,0)),0)</f>
        <v>0</v>
      </c>
      <c r="E153" s="11">
        <f>IFERROR(INDEX('چکهای دریافتنی'!F:F,MATCH(Table226[[#This Row],[كد تفصيلي]],'چکهای دریافتنی'!A:A,0)),0)</f>
        <v>0</v>
      </c>
      <c r="F153" s="11">
        <f>Table226[[#This Row],[حسابهای دریافتنی]]+Table226[[#This Row],[چکهای در جریان وصول]]+Table226[[#This Row],[چکهای نزد صندوق]]</f>
        <v>-143944000</v>
      </c>
      <c r="G153" s="12">
        <f>IFERROR(INDEX('مانده سوفاله'!F:F,MATCH(Table226[[#This Row],[كد تفصيلي]],'مانده سوفاله'!A:A,0)),0)</f>
        <v>-948</v>
      </c>
    </row>
    <row r="154" spans="1:7" customFormat="1" ht="24.75" customHeight="1" x14ac:dyDescent="0.35">
      <c r="A154" s="53">
        <v>10093</v>
      </c>
      <c r="B154" s="56" t="s">
        <v>264</v>
      </c>
      <c r="C154" s="10">
        <f>IFERROR(INDEX('حسابهای دریافتنی'!H:H,MATCH(Table226[[#This Row],[كد تفصيلي]],'حسابهای دریافتنی'!A:A,0)),0)</f>
        <v>-2214000</v>
      </c>
      <c r="D154" s="11">
        <f>IFERROR(INDEX('درجریان وصول'!F:F,MATCH(Table226[[#This Row],[كد تفصيلي]],'درجریان وصول'!A:A,0)),0)</f>
        <v>0</v>
      </c>
      <c r="E154" s="11">
        <f>IFERROR(INDEX('چکهای دریافتنی'!F:F,MATCH(Table226[[#This Row],[كد تفصيلي]],'چکهای دریافتنی'!A:A,0)),0)</f>
        <v>0</v>
      </c>
      <c r="F154" s="11">
        <f>Table226[[#This Row],[حسابهای دریافتنی]]+Table226[[#This Row],[چکهای در جریان وصول]]+Table226[[#This Row],[چکهای نزد صندوق]]</f>
        <v>-2214000</v>
      </c>
      <c r="G154" s="12">
        <f>IFERROR(INDEX('مانده سوفاله'!F:F,MATCH(Table226[[#This Row],[كد تفصيلي]],'مانده سوفاله'!A:A,0)),0)</f>
        <v>0</v>
      </c>
    </row>
    <row r="155" spans="1:7" customFormat="1" ht="24.75" customHeight="1" x14ac:dyDescent="0.35">
      <c r="A155" s="54">
        <v>10139</v>
      </c>
      <c r="B155" s="55" t="s">
        <v>518</v>
      </c>
      <c r="C155" s="10">
        <f>IFERROR(INDEX('حسابهای دریافتنی'!H:H,MATCH(Table226[[#This Row],[كد تفصيلي]],'حسابهای دریافتنی'!A:A,0)),0)</f>
        <v>-267193000</v>
      </c>
      <c r="D155" s="11">
        <f>IFERROR(INDEX('درجریان وصول'!F:F,MATCH(Table226[[#This Row],[كد تفصيلي]],'درجریان وصول'!A:A,0)),0)</f>
        <v>0</v>
      </c>
      <c r="E155" s="11">
        <f>IFERROR(INDEX('چکهای دریافتنی'!F:F,MATCH(Table226[[#This Row],[كد تفصيلي]],'چکهای دریافتنی'!A:A,0)),0)</f>
        <v>0</v>
      </c>
      <c r="F155" s="11">
        <f>Table226[[#This Row],[حسابهای دریافتنی]]+Table226[[#This Row],[چکهای در جریان وصول]]+Table226[[#This Row],[چکهای نزد صندوق]]</f>
        <v>-267193000</v>
      </c>
      <c r="G155" s="12">
        <f>IFERROR(INDEX('مانده سوفاله'!F:F,MATCH(Table226[[#This Row],[كد تفصيلي]],'مانده سوفاله'!A:A,0)),0)</f>
        <v>0</v>
      </c>
    </row>
    <row r="156" spans="1:7" customFormat="1" ht="24.75" customHeight="1" x14ac:dyDescent="0.35">
      <c r="A156" s="53">
        <v>10079</v>
      </c>
      <c r="B156" s="56" t="s">
        <v>174</v>
      </c>
      <c r="C156" s="10">
        <f>IFERROR(INDEX('حسابهای دریافتنی'!H:H,MATCH(Table226[[#This Row],[كد تفصيلي]],'حسابهای دریافتنی'!A:A,0)),0)</f>
        <v>-226593500</v>
      </c>
      <c r="D156" s="11">
        <f>IFERROR(INDEX('درجریان وصول'!F:F,MATCH(Table226[[#This Row],[كد تفصيلي]],'درجریان وصول'!A:A,0)),0)</f>
        <v>0</v>
      </c>
      <c r="E156" s="11">
        <f>IFERROR(INDEX('چکهای دریافتنی'!F:F,MATCH(Table226[[#This Row],[كد تفصيلي]],'چکهای دریافتنی'!A:A,0)),0)</f>
        <v>0</v>
      </c>
      <c r="F156" s="11">
        <f>Table226[[#This Row],[حسابهای دریافتنی]]+Table226[[#This Row],[چکهای در جریان وصول]]+Table226[[#This Row],[چکهای نزد صندوق]]</f>
        <v>-226593500</v>
      </c>
      <c r="G156" s="12">
        <f>IFERROR(INDEX('مانده سوفاله'!F:F,MATCH(Table226[[#This Row],[كد تفصيلي]],'مانده سوفاله'!A:A,0)),0)</f>
        <v>0</v>
      </c>
    </row>
    <row r="157" spans="1:7" customFormat="1" ht="24.75" customHeight="1" x14ac:dyDescent="0.35">
      <c r="A157" s="54">
        <v>30169</v>
      </c>
      <c r="B157" s="55" t="s">
        <v>318</v>
      </c>
      <c r="C157" s="10">
        <f>IFERROR(INDEX('حسابهای دریافتنی'!H:H,MATCH(Table226[[#This Row],[كد تفصيلي]],'حسابهای دریافتنی'!A:A,0)),0)</f>
        <v>-658993316</v>
      </c>
      <c r="D157" s="11">
        <f>IFERROR(INDEX('درجریان وصول'!F:F,MATCH(Table226[[#This Row],[كد تفصيلي]],'درجریان وصول'!A:A,0)),0)</f>
        <v>0</v>
      </c>
      <c r="E157" s="11">
        <f>IFERROR(INDEX('چکهای دریافتنی'!F:F,MATCH(Table226[[#This Row],[كد تفصيلي]],'چکهای دریافتنی'!A:A,0)),0)</f>
        <v>2085000000</v>
      </c>
      <c r="F157" s="11">
        <f>Table226[[#This Row],[حسابهای دریافتنی]]+Table226[[#This Row],[چکهای در جریان وصول]]+Table226[[#This Row],[چکهای نزد صندوق]]</f>
        <v>1426006684</v>
      </c>
      <c r="G157" s="12">
        <f>IFERROR(INDEX('مانده سوفاله'!F:F,MATCH(Table226[[#This Row],[كد تفصيلي]],'مانده سوفاله'!A:A,0)),0)</f>
        <v>0</v>
      </c>
    </row>
    <row r="158" spans="1:7" ht="24.75" customHeight="1" x14ac:dyDescent="0.35">
      <c r="A158" s="27">
        <v>50008</v>
      </c>
      <c r="B158" s="55" t="s">
        <v>146</v>
      </c>
      <c r="C158" s="10">
        <f>IFERROR(INDEX('حسابهای دریافتنی'!H:H,MATCH(Table226[[#This Row],[كد تفصيلي]],'حسابهای دریافتنی'!A:A,0)),0)</f>
        <v>-406230000</v>
      </c>
      <c r="D158" s="11">
        <f>IFERROR(INDEX('درجریان وصول'!F:F,MATCH(Table226[[#This Row],[كد تفصيلي]],'درجریان وصول'!A:A,0)),0)</f>
        <v>0</v>
      </c>
      <c r="E158" s="11">
        <f>IFERROR(INDEX('چکهای دریافتنی'!F:F,MATCH(Table226[[#This Row],[كد تفصيلي]],'چکهای دریافتنی'!A:A,0)),0)</f>
        <v>0</v>
      </c>
      <c r="F158" s="11">
        <f>Table226[[#This Row],[حسابهای دریافتنی]]+Table226[[#This Row],[چکهای در جریان وصول]]+Table226[[#This Row],[چکهای نزد صندوق]]</f>
        <v>-406230000</v>
      </c>
      <c r="G158" s="12">
        <f>IFERROR(INDEX('مانده سوفاله'!F:F,MATCH(Table226[[#This Row],[كد تفصيلي]],'مانده سوفاله'!A:A,0)),0)</f>
        <v>0</v>
      </c>
    </row>
    <row r="159" spans="1:7" ht="24.75" customHeight="1" x14ac:dyDescent="0.35">
      <c r="A159" s="26">
        <v>30182</v>
      </c>
      <c r="B159" s="56" t="s">
        <v>342</v>
      </c>
      <c r="C159" s="10">
        <f>IFERROR(INDEX('حسابهای دریافتنی'!H:H,MATCH(Table226[[#This Row],[كد تفصيلي]],'حسابهای دریافتنی'!A:A,0)),0)</f>
        <v>-528256400</v>
      </c>
      <c r="D159" s="11">
        <f>IFERROR(INDEX('درجریان وصول'!F:F,MATCH(Table226[[#This Row],[كد تفصيلي]],'درجریان وصول'!A:A,0)),0)</f>
        <v>0</v>
      </c>
      <c r="E159" s="11">
        <f>IFERROR(INDEX('چکهای دریافتنی'!F:F,MATCH(Table226[[#This Row],[كد تفصيلي]],'چکهای دریافتنی'!A:A,0)),0)</f>
        <v>0</v>
      </c>
      <c r="F159" s="11">
        <f>Table226[[#This Row],[حسابهای دریافتنی]]+Table226[[#This Row],[چکهای در جریان وصول]]+Table226[[#This Row],[چکهای نزد صندوق]]</f>
        <v>-528256400</v>
      </c>
      <c r="G159" s="12">
        <f>IFERROR(INDEX('مانده سوفاله'!F:F,MATCH(Table226[[#This Row],[كد تفصيلي]],'مانده سوفاله'!A:A,0)),0)</f>
        <v>0</v>
      </c>
    </row>
    <row r="160" spans="1:7" ht="24.75" customHeight="1" x14ac:dyDescent="0.35">
      <c r="A160" s="27">
        <v>30006</v>
      </c>
      <c r="B160" s="55" t="s">
        <v>56</v>
      </c>
      <c r="C160" s="10">
        <f>IFERROR(INDEX('حسابهای دریافتنی'!H:H,MATCH(Table226[[#This Row],[كد تفصيلي]],'حسابهای دریافتنی'!A:A,0)),0)</f>
        <v>-162677545</v>
      </c>
      <c r="D160" s="11">
        <f>IFERROR(INDEX('درجریان وصول'!F:F,MATCH(Table226[[#This Row],[كد تفصيلي]],'درجریان وصول'!A:A,0)),0)</f>
        <v>0</v>
      </c>
      <c r="E160" s="11">
        <f>IFERROR(INDEX('چکهای دریافتنی'!F:F,MATCH(Table226[[#This Row],[كد تفصيلي]],'چکهای دریافتنی'!A:A,0)),0)</f>
        <v>0</v>
      </c>
      <c r="F160" s="11">
        <f>Table226[[#This Row],[حسابهای دریافتنی]]+Table226[[#This Row],[چکهای در جریان وصول]]+Table226[[#This Row],[چکهای نزد صندوق]]</f>
        <v>-162677545</v>
      </c>
      <c r="G160" s="12">
        <f>IFERROR(INDEX('مانده سوفاله'!F:F,MATCH(Table226[[#This Row],[كد تفصيلي]],'مانده سوفاله'!A:A,0)),0)</f>
        <v>-6</v>
      </c>
    </row>
    <row r="161" spans="1:7" ht="24.75" customHeight="1" x14ac:dyDescent="0.35">
      <c r="A161" s="27">
        <v>30040</v>
      </c>
      <c r="B161" s="55" t="s">
        <v>87</v>
      </c>
      <c r="C161" s="10">
        <f>IFERROR(INDEX('حسابهای دریافتنی'!H:H,MATCH(Table226[[#This Row],[كد تفصيلي]],'حسابهای دریافتنی'!A:A,0)),0)</f>
        <v>0</v>
      </c>
      <c r="D161" s="11">
        <f>IFERROR(INDEX('درجریان وصول'!F:F,MATCH(Table226[[#This Row],[كد تفصيلي]],'درجریان وصول'!A:A,0)),0)</f>
        <v>0</v>
      </c>
      <c r="E161" s="11">
        <f>IFERROR(INDEX('چکهای دریافتنی'!F:F,MATCH(Table226[[#This Row],[كد تفصيلي]],'چکهای دریافتنی'!A:A,0)),0)</f>
        <v>0</v>
      </c>
      <c r="F161" s="11">
        <f>Table226[[#This Row],[حسابهای دریافتنی]]+Table226[[#This Row],[چکهای در جریان وصول]]+Table226[[#This Row],[چکهای نزد صندوق]]</f>
        <v>0</v>
      </c>
      <c r="G161" s="12">
        <f>IFERROR(INDEX('مانده سوفاله'!F:F,MATCH(Table226[[#This Row],[كد تفصيلي]],'مانده سوفاله'!A:A,0)),0)</f>
        <v>0</v>
      </c>
    </row>
    <row r="162" spans="1:7" ht="24.75" customHeight="1" x14ac:dyDescent="0.35">
      <c r="A162" s="26">
        <v>79120</v>
      </c>
      <c r="B162" s="56" t="s">
        <v>195</v>
      </c>
      <c r="C162" s="10">
        <f>IFERROR(INDEX('حسابهای دریافتنی'!H:H,MATCH(Table226[[#This Row],[كد تفصيلي]],'حسابهای دریافتنی'!A:A,0)),0)</f>
        <v>-15776160000</v>
      </c>
      <c r="D162" s="11">
        <f>IFERROR(INDEX('درجریان وصول'!F:F,MATCH(Table226[[#This Row],[كد تفصيلي]],'درجریان وصول'!A:A,0)),0)</f>
        <v>0</v>
      </c>
      <c r="E162" s="11">
        <f>IFERROR(INDEX('چکهای دریافتنی'!F:F,MATCH(Table226[[#This Row],[كد تفصيلي]],'چکهای دریافتنی'!A:A,0)),0)</f>
        <v>0</v>
      </c>
      <c r="F162" s="11">
        <f>Table226[[#This Row],[حسابهای دریافتنی]]+Table226[[#This Row],[چکهای در جریان وصول]]+Table226[[#This Row],[چکهای نزد صندوق]]</f>
        <v>-15776160000</v>
      </c>
      <c r="G162" s="12">
        <f>IFERROR(INDEX('مانده سوفاله'!F:F,MATCH(Table226[[#This Row],[كد تفصيلي]],'مانده سوفاله'!A:A,0)),0)</f>
        <v>0</v>
      </c>
    </row>
    <row r="163" spans="1:7" ht="24.75" customHeight="1" x14ac:dyDescent="0.35">
      <c r="A163" s="26">
        <v>10069</v>
      </c>
      <c r="B163" s="56" t="s">
        <v>204</v>
      </c>
      <c r="C163" s="10">
        <f>IFERROR(INDEX('حسابهای دریافتنی'!H:H,MATCH(Table226[[#This Row],[كد تفصيلي]],'حسابهای دریافتنی'!A:A,0)),0)</f>
        <v>952500</v>
      </c>
      <c r="D163" s="11">
        <f>IFERROR(INDEX('درجریان وصول'!F:F,MATCH(Table226[[#This Row],[كد تفصيلي]],'درجریان وصول'!A:A,0)),0)</f>
        <v>0</v>
      </c>
      <c r="E163" s="11">
        <f>IFERROR(INDEX('چکهای دریافتنی'!F:F,MATCH(Table226[[#This Row],[كد تفصيلي]],'چکهای دریافتنی'!A:A,0)),0)</f>
        <v>73000000</v>
      </c>
      <c r="F163" s="11">
        <f>Table226[[#This Row],[حسابهای دریافتنی]]+Table226[[#This Row],[چکهای در جریان وصول]]+Table226[[#This Row],[چکهای نزد صندوق]]</f>
        <v>73952500</v>
      </c>
      <c r="G163" s="12">
        <f>IFERROR(INDEX('مانده سوفاله'!F:F,MATCH(Table226[[#This Row],[كد تفصيلي]],'مانده سوفاله'!A:A,0)),0)</f>
        <v>339</v>
      </c>
    </row>
    <row r="164" spans="1:7" ht="24.75" customHeight="1" x14ac:dyDescent="0.35">
      <c r="A164" s="26">
        <v>10019</v>
      </c>
      <c r="B164" s="56" t="s">
        <v>26</v>
      </c>
      <c r="C164" s="10">
        <f>IFERROR(INDEX('حسابهای دریافتنی'!H:H,MATCH(Table226[[#This Row],[كد تفصيلي]],'حسابهای دریافتنی'!A:A,0)),0)</f>
        <v>0</v>
      </c>
      <c r="D164" s="11">
        <f>IFERROR(INDEX('درجریان وصول'!F:F,MATCH(Table226[[#This Row],[كد تفصيلي]],'درجریان وصول'!A:A,0)),0)</f>
        <v>0</v>
      </c>
      <c r="E164" s="11">
        <f>IFERROR(INDEX('چکهای دریافتنی'!F:F,MATCH(Table226[[#This Row],[كد تفصيلي]],'چکهای دریافتنی'!A:A,0)),0)</f>
        <v>0</v>
      </c>
      <c r="F164" s="11">
        <f>Table226[[#This Row],[حسابهای دریافتنی]]+Table226[[#This Row],[چکهای در جریان وصول]]+Table226[[#This Row],[چکهای نزد صندوق]]</f>
        <v>0</v>
      </c>
      <c r="G164" s="12">
        <f>IFERROR(INDEX('مانده سوفاله'!F:F,MATCH(Table226[[#This Row],[كد تفصيلي]],'مانده سوفاله'!A:A,0)),0)</f>
        <v>285</v>
      </c>
    </row>
    <row r="165" spans="1:7" ht="24.75" customHeight="1" x14ac:dyDescent="0.35">
      <c r="A165" s="26">
        <v>10097</v>
      </c>
      <c r="B165" s="56" t="s">
        <v>270</v>
      </c>
      <c r="C165" s="10">
        <f>IFERROR(INDEX('حسابهای دریافتنی'!H:H,MATCH(Table226[[#This Row],[كد تفصيلي]],'حسابهای دریافتنی'!A:A,0)),0)</f>
        <v>270642500</v>
      </c>
      <c r="D165" s="11">
        <f>IFERROR(INDEX('درجریان وصول'!F:F,MATCH(Table226[[#This Row],[كد تفصيلي]],'درجریان وصول'!A:A,0)),0)</f>
        <v>0</v>
      </c>
      <c r="E165" s="11">
        <f>IFERROR(INDEX('چکهای دریافتنی'!F:F,MATCH(Table226[[#This Row],[كد تفصيلي]],'چکهای دریافتنی'!A:A,0)),0)</f>
        <v>287000000</v>
      </c>
      <c r="F165" s="11">
        <f>Table226[[#This Row],[حسابهای دریافتنی]]+Table226[[#This Row],[چکهای در جریان وصول]]+Table226[[#This Row],[چکهای نزد صندوق]]</f>
        <v>557642500</v>
      </c>
      <c r="G165" s="12">
        <f>IFERROR(INDEX('مانده سوفاله'!F:F,MATCH(Table226[[#This Row],[كد تفصيلي]],'مانده سوفاله'!A:A,0)),0)</f>
        <v>0</v>
      </c>
    </row>
    <row r="166" spans="1:7" ht="24.75" customHeight="1" x14ac:dyDescent="0.35">
      <c r="A166" s="26">
        <v>10105</v>
      </c>
      <c r="B166" s="56" t="s">
        <v>294</v>
      </c>
      <c r="C166" s="10">
        <f>IFERROR(INDEX('حسابهای دریافتنی'!H:H,MATCH(Table226[[#This Row],[كد تفصيلي]],'حسابهای دریافتنی'!A:A,0)),0)</f>
        <v>7630000</v>
      </c>
      <c r="D166" s="11">
        <f>IFERROR(INDEX('درجریان وصول'!F:F,MATCH(Table226[[#This Row],[كد تفصيلي]],'درجریان وصول'!A:A,0)),0)</f>
        <v>0</v>
      </c>
      <c r="E166" s="11">
        <f>IFERROR(INDEX('چکهای دریافتنی'!F:F,MATCH(Table226[[#This Row],[كد تفصيلي]],'چکهای دریافتنی'!A:A,0)),0)</f>
        <v>0</v>
      </c>
      <c r="F166" s="11">
        <f>Table226[[#This Row],[حسابهای دریافتنی]]+Table226[[#This Row],[چکهای در جریان وصول]]+Table226[[#This Row],[چکهای نزد صندوق]]</f>
        <v>7630000</v>
      </c>
      <c r="G166" s="12">
        <f>IFERROR(INDEX('مانده سوفاله'!F:F,MATCH(Table226[[#This Row],[كد تفصيلي]],'مانده سوفاله'!A:A,0)),0)</f>
        <v>0</v>
      </c>
    </row>
    <row r="167" spans="1:7" ht="24.75" customHeight="1" x14ac:dyDescent="0.35">
      <c r="A167" s="27">
        <v>30131</v>
      </c>
      <c r="B167" s="55" t="s">
        <v>213</v>
      </c>
      <c r="C167" s="10">
        <f>IFERROR(INDEX('حسابهای دریافتنی'!H:H,MATCH(Table226[[#This Row],[كد تفصيلي]],'حسابهای دریافتنی'!A:A,0)),0)</f>
        <v>-6228486500</v>
      </c>
      <c r="D167" s="11">
        <f>IFERROR(INDEX('درجریان وصول'!F:F,MATCH(Table226[[#This Row],[كد تفصيلي]],'درجریان وصول'!A:A,0)),0)</f>
        <v>0</v>
      </c>
      <c r="E167" s="11">
        <f>IFERROR(INDEX('چکهای دریافتنی'!F:F,MATCH(Table226[[#This Row],[كد تفصيلي]],'چکهای دریافتنی'!A:A,0)),0)</f>
        <v>0</v>
      </c>
      <c r="F167" s="11">
        <f>Table226[[#This Row],[حسابهای دریافتنی]]+Table226[[#This Row],[چکهای در جریان وصول]]+Table226[[#This Row],[چکهای نزد صندوق]]</f>
        <v>-6228486500</v>
      </c>
      <c r="G167" s="12">
        <f>IFERROR(INDEX('مانده سوفاله'!F:F,MATCH(Table226[[#This Row],[كد تفصيلي]],'مانده سوفاله'!A:A,0)),0)</f>
        <v>222</v>
      </c>
    </row>
    <row r="168" spans="1:7" ht="24.75" customHeight="1" x14ac:dyDescent="0.35">
      <c r="A168" s="27">
        <v>30189</v>
      </c>
      <c r="B168" s="55" t="s">
        <v>458</v>
      </c>
      <c r="C168" s="10">
        <f>IFERROR(INDEX('حسابهای دریافتنی'!H:H,MATCH(Table226[[#This Row],[كد تفصيلي]],'حسابهای دریافتنی'!A:A,0)),0)</f>
        <v>20776490</v>
      </c>
      <c r="D168" s="11">
        <f>IFERROR(INDEX('درجریان وصول'!F:F,MATCH(Table226[[#This Row],[كد تفصيلي]],'درجریان وصول'!A:A,0)),0)</f>
        <v>0</v>
      </c>
      <c r="E168" s="11">
        <f>IFERROR(INDEX('چکهای دریافتنی'!F:F,MATCH(Table226[[#This Row],[كد تفصيلي]],'چکهای دریافتنی'!A:A,0)),0)</f>
        <v>0</v>
      </c>
      <c r="F168" s="11">
        <f>Table226[[#This Row],[حسابهای دریافتنی]]+Table226[[#This Row],[چکهای در جریان وصول]]+Table226[[#This Row],[چکهای نزد صندوق]]</f>
        <v>20776490</v>
      </c>
      <c r="G168" s="12">
        <f>IFERROR(INDEX('مانده سوفاله'!F:F,MATCH(Table226[[#This Row],[كد تفصيلي]],'مانده سوفاله'!A:A,0)),0)</f>
        <v>0</v>
      </c>
    </row>
    <row r="169" spans="1:7" ht="24.75" customHeight="1" x14ac:dyDescent="0.35">
      <c r="A169" s="26">
        <v>30146</v>
      </c>
      <c r="B169" s="56" t="s">
        <v>266</v>
      </c>
      <c r="C169" s="10">
        <f>IFERROR(INDEX('حسابهای دریافتنی'!H:H,MATCH(Table226[[#This Row],[كد تفصيلي]],'حسابهای دریافتنی'!A:A,0)),0)</f>
        <v>-4146512500</v>
      </c>
      <c r="D169" s="11">
        <f>IFERROR(INDEX('درجریان وصول'!F:F,MATCH(Table226[[#This Row],[كد تفصيلي]],'درجریان وصول'!A:A,0)),0)</f>
        <v>0</v>
      </c>
      <c r="E169" s="11">
        <f>IFERROR(INDEX('چکهای دریافتنی'!F:F,MATCH(Table226[[#This Row],[كد تفصيلي]],'چکهای دریافتنی'!A:A,0)),0)</f>
        <v>0</v>
      </c>
      <c r="F169" s="11">
        <f>Table226[[#This Row],[حسابهای دریافتنی]]+Table226[[#This Row],[چکهای در جریان وصول]]+Table226[[#This Row],[چکهای نزد صندوق]]</f>
        <v>-4146512500</v>
      </c>
      <c r="G169" s="12">
        <f>IFERROR(INDEX('مانده سوفاله'!F:F,MATCH(Table226[[#This Row],[كد تفصيلي]],'مانده سوفاله'!A:A,0)),0)</f>
        <v>2823</v>
      </c>
    </row>
    <row r="170" spans="1:7" ht="24.75" customHeight="1" x14ac:dyDescent="0.35">
      <c r="A170" s="26">
        <v>10009</v>
      </c>
      <c r="B170" s="56" t="s">
        <v>16</v>
      </c>
      <c r="C170" s="10">
        <f>IFERROR(INDEX('حسابهای دریافتنی'!H:H,MATCH(Table226[[#This Row],[كد تفصيلي]],'حسابهای دریافتنی'!A:A,0)),0)</f>
        <v>-4260580000</v>
      </c>
      <c r="D170" s="11">
        <f>IFERROR(INDEX('درجریان وصول'!F:F,MATCH(Table226[[#This Row],[كد تفصيلي]],'درجریان وصول'!A:A,0)),0)</f>
        <v>0</v>
      </c>
      <c r="E170" s="11">
        <f>IFERROR(INDEX('چکهای دریافتنی'!F:F,MATCH(Table226[[#This Row],[كد تفصيلي]],'چکهای دریافتنی'!A:A,0)),0)</f>
        <v>1600000000</v>
      </c>
      <c r="F170" s="11">
        <f>Table226[[#This Row],[حسابهای دریافتنی]]+Table226[[#This Row],[چکهای در جریان وصول]]+Table226[[#This Row],[چکهای نزد صندوق]]</f>
        <v>-2660580000</v>
      </c>
      <c r="G170" s="12">
        <f>IFERROR(INDEX('مانده سوفاله'!F:F,MATCH(Table226[[#This Row],[كد تفصيلي]],'مانده سوفاله'!A:A,0)),0)</f>
        <v>9952</v>
      </c>
    </row>
    <row r="171" spans="1:7" ht="24.75" customHeight="1" x14ac:dyDescent="0.35">
      <c r="A171" s="27">
        <v>79043</v>
      </c>
      <c r="B171" s="55" t="s">
        <v>156</v>
      </c>
      <c r="C171" s="10">
        <f>IFERROR(INDEX('حسابهای دریافتنی'!H:H,MATCH(Table226[[#This Row],[كد تفصيلي]],'حسابهای دریافتنی'!A:A,0)),0)</f>
        <v>-16110730000</v>
      </c>
      <c r="D171" s="11">
        <f>IFERROR(INDEX('درجریان وصول'!F:F,MATCH(Table226[[#This Row],[كد تفصيلي]],'درجریان وصول'!A:A,0)),0)</f>
        <v>0</v>
      </c>
      <c r="E171" s="11">
        <f>IFERROR(INDEX('چکهای دریافتنی'!F:F,MATCH(Table226[[#This Row],[كد تفصيلي]],'چکهای دریافتنی'!A:A,0)),0)</f>
        <v>0</v>
      </c>
      <c r="F171" s="11">
        <f>Table226[[#This Row],[حسابهای دریافتنی]]+Table226[[#This Row],[چکهای در جریان وصول]]+Table226[[#This Row],[چکهای نزد صندوق]]</f>
        <v>-16110730000</v>
      </c>
      <c r="G171" s="12">
        <f>IFERROR(INDEX('مانده سوفاله'!F:F,MATCH(Table226[[#This Row],[كد تفصيلي]],'مانده سوفاله'!A:A,0)),0)</f>
        <v>0</v>
      </c>
    </row>
    <row r="172" spans="1:7" ht="24.75" customHeight="1" x14ac:dyDescent="0.35">
      <c r="A172" s="36"/>
      <c r="B172" s="37"/>
      <c r="C172" s="38">
        <f>SUBTOTAL(109,Table226[حسابهای دریافتنی])</f>
        <v>56185675599</v>
      </c>
      <c r="D172" s="38">
        <f>SUBTOTAL(109,Table226[چکهای در جریان وصول])</f>
        <v>0</v>
      </c>
      <c r="E172" s="38">
        <f>SUBTOTAL(109,Table226[چکهای نزد صندوق])</f>
        <v>62080128942</v>
      </c>
      <c r="F172" s="38"/>
      <c r="G172" s="39">
        <f>SUBTOTAL(109,Table226[مانده سوفاله])</f>
        <v>-124924.5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76"/>
  <sheetViews>
    <sheetView rightToLeft="1" topLeftCell="A172" workbookViewId="0">
      <selection activeCell="E180" sqref="E180"/>
    </sheetView>
  </sheetViews>
  <sheetFormatPr defaultColWidth="9.08984375" defaultRowHeight="28.5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6.25" customHeight="1" thickBot="1" x14ac:dyDescent="0.4">
      <c r="A1" s="97" t="s">
        <v>520</v>
      </c>
      <c r="B1" s="98"/>
      <c r="C1" s="98"/>
      <c r="D1" s="98"/>
      <c r="E1" s="98"/>
      <c r="F1" s="98"/>
      <c r="G1" s="99"/>
    </row>
    <row r="2" spans="1:7" s="2" customFormat="1" ht="57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8.5" customHeight="1" x14ac:dyDescent="0.35">
      <c r="A3" s="27">
        <v>30127</v>
      </c>
      <c r="B3" s="55" t="s">
        <v>163</v>
      </c>
      <c r="C3" s="10">
        <f>IFERROR(INDEX('حسابهای دریافتنی'!H:H,MATCH(Table227[[#This Row],[كد تفصيلي]],'حسابهای دریافتنی'!A:A,0)),0)</f>
        <v>31800110000</v>
      </c>
      <c r="D3" s="11">
        <f>IFERROR(INDEX('درجریان وصول'!F:F,MATCH(Table227[[#This Row],[كد تفصيلي]],'درجریان وصول'!A:A,0)),0)</f>
        <v>0</v>
      </c>
      <c r="E3" s="11">
        <f>IFERROR(INDEX('چکهای دریافتنی'!F:F,MATCH(Table227[[#This Row],[كد تفصيلي]],'چکهای دریافتنی'!A:A,0)),0)</f>
        <v>0</v>
      </c>
      <c r="F3" s="11">
        <f>Table227[[#This Row],[حسابهای دریافتنی]]+Table227[[#This Row],[چکهای در جریان وصول]]+Table227[[#This Row],[چکهای نزد صندوق]]</f>
        <v>31800110000</v>
      </c>
      <c r="G3" s="12">
        <f>IFERROR(INDEX('مانده سوفاله'!F:F,MATCH(Table227[[#This Row],[كد تفصيلي]],'مانده سوفاله'!A:A,0)),0)</f>
        <v>-18472</v>
      </c>
    </row>
    <row r="4" spans="1:7" ht="28.5" customHeight="1" x14ac:dyDescent="0.35">
      <c r="A4" s="26">
        <v>10003</v>
      </c>
      <c r="B4" s="56" t="s">
        <v>10</v>
      </c>
      <c r="C4" s="10">
        <f>IFERROR(INDEX('حسابهای دریافتنی'!H:H,MATCH(Table227[[#This Row],[كد تفصيلي]],'حسابهای دریافتنی'!A:A,0)),0)</f>
        <v>10804267992</v>
      </c>
      <c r="D4" s="11">
        <f>IFERROR(INDEX('درجریان وصول'!F:F,MATCH(Table227[[#This Row],[كد تفصيلي]],'درجریان وصول'!A:A,0)),0)</f>
        <v>0</v>
      </c>
      <c r="E4" s="11">
        <f>IFERROR(INDEX('چکهای دریافتنی'!F:F,MATCH(Table227[[#This Row],[كد تفصيلي]],'چکهای دریافتنی'!A:A,0)),0)</f>
        <v>13698001280</v>
      </c>
      <c r="F4" s="11">
        <f>Table227[[#This Row],[حسابهای دریافتنی]]+Table227[[#This Row],[چکهای در جریان وصول]]+Table227[[#This Row],[چکهای نزد صندوق]]</f>
        <v>24502269272</v>
      </c>
      <c r="G4" s="12">
        <f>IFERROR(INDEX('مانده سوفاله'!F:F,MATCH(Table227[[#This Row],[كد تفصيلي]],'مانده سوفاله'!A:A,0)),0)</f>
        <v>-39886</v>
      </c>
    </row>
    <row r="5" spans="1:7" ht="28.5" customHeight="1" x14ac:dyDescent="0.35">
      <c r="A5" s="27">
        <v>10026</v>
      </c>
      <c r="B5" s="55" t="s">
        <v>32</v>
      </c>
      <c r="C5" s="10">
        <f>IFERROR(INDEX('حسابهای دریافتنی'!H:H,MATCH(Table227[[#This Row],[كد تفصيلي]],'حسابهای دریافتنی'!A:A,0)),0)</f>
        <v>3795031844</v>
      </c>
      <c r="D5" s="11">
        <f>IFERROR(INDEX('درجریان وصول'!F:F,MATCH(Table227[[#This Row],[كد تفصيلي]],'درجریان وصول'!A:A,0)),0)</f>
        <v>0</v>
      </c>
      <c r="E5" s="11">
        <f>IFERROR(INDEX('چکهای دریافتنی'!F:F,MATCH(Table227[[#This Row],[كد تفصيلي]],'چکهای دریافتنی'!A:A,0)),0)</f>
        <v>2690000000</v>
      </c>
      <c r="F5" s="11">
        <f>Table227[[#This Row],[حسابهای دریافتنی]]+Table227[[#This Row],[چکهای در جریان وصول]]+Table227[[#This Row],[چکهای نزد صندوق]]</f>
        <v>6485031844</v>
      </c>
      <c r="G5" s="12">
        <f>IFERROR(INDEX('مانده سوفاله'!F:F,MATCH(Table227[[#This Row],[كد تفصيلي]],'مانده سوفاله'!A:A,0)),0)</f>
        <v>-12543</v>
      </c>
    </row>
    <row r="6" spans="1:7" ht="28.5" customHeight="1" x14ac:dyDescent="0.35">
      <c r="A6" s="26">
        <v>30066</v>
      </c>
      <c r="B6" s="56" t="s">
        <v>111</v>
      </c>
      <c r="C6" s="10">
        <f>IFERROR(INDEX('حسابهای دریافتنی'!H:H,MATCH(Table227[[#This Row],[كد تفصيلي]],'حسابهای دریافتنی'!A:A,0)),0)</f>
        <v>6484147500</v>
      </c>
      <c r="D6" s="11">
        <f>IFERROR(INDEX('درجریان وصول'!F:F,MATCH(Table227[[#This Row],[كد تفصيلي]],'درجریان وصول'!A:A,0)),0)</f>
        <v>0</v>
      </c>
      <c r="E6" s="11">
        <f>IFERROR(INDEX('چکهای دریافتنی'!F:F,MATCH(Table227[[#This Row],[كد تفصيلي]],'چکهای دریافتنی'!A:A,0)),0)</f>
        <v>0</v>
      </c>
      <c r="F6" s="11">
        <f>Table227[[#This Row],[حسابهای دریافتنی]]+Table227[[#This Row],[چکهای در جریان وصول]]+Table227[[#This Row],[چکهای نزد صندوق]]</f>
        <v>6484147500</v>
      </c>
      <c r="G6" s="12">
        <f>IFERROR(INDEX('مانده سوفاله'!F:F,MATCH(Table227[[#This Row],[كد تفصيلي]],'مانده سوفاله'!A:A,0)),0)</f>
        <v>-1320</v>
      </c>
    </row>
    <row r="7" spans="1:7" ht="28.5" customHeight="1" x14ac:dyDescent="0.35">
      <c r="A7" s="27">
        <v>30004</v>
      </c>
      <c r="B7" s="55" t="s">
        <v>54</v>
      </c>
      <c r="C7" s="10">
        <f>IFERROR(INDEX('حسابهای دریافتنی'!H:H,MATCH(Table227[[#This Row],[كد تفصيلي]],'حسابهای دریافتنی'!A:A,0)),0)</f>
        <v>7598548260</v>
      </c>
      <c r="D7" s="11">
        <f>IFERROR(INDEX('درجریان وصول'!F:F,MATCH(Table227[[#This Row],[كد تفصيلي]],'درجریان وصول'!A:A,0)),0)</f>
        <v>0</v>
      </c>
      <c r="E7" s="11">
        <f>IFERROR(INDEX('چکهای دریافتنی'!F:F,MATCH(Table227[[#This Row],[كد تفصيلي]],'چکهای دریافتنی'!A:A,0)),0)</f>
        <v>11698760000</v>
      </c>
      <c r="F7" s="11">
        <f>Table227[[#This Row],[حسابهای دریافتنی]]+Table227[[#This Row],[چکهای در جریان وصول]]+Table227[[#This Row],[چکهای نزد صندوق]]</f>
        <v>19297308260</v>
      </c>
      <c r="G7" s="12">
        <f>IFERROR(INDEX('مانده سوفاله'!F:F,MATCH(Table227[[#This Row],[كد تفصيلي]],'مانده سوفاله'!A:A,0)),0)</f>
        <v>-4237</v>
      </c>
    </row>
    <row r="8" spans="1:7" ht="28.5" customHeight="1" x14ac:dyDescent="0.35">
      <c r="A8" s="26">
        <v>30009</v>
      </c>
      <c r="B8" s="56" t="s">
        <v>164</v>
      </c>
      <c r="C8" s="10">
        <f>IFERROR(INDEX('حسابهای دریافتنی'!H:H,MATCH(Table227[[#This Row],[كد تفصيلي]],'حسابهای دریافتنی'!A:A,0)),0)</f>
        <v>7853844277</v>
      </c>
      <c r="D8" s="11">
        <f>IFERROR(INDEX('درجریان وصول'!F:F,MATCH(Table227[[#This Row],[كد تفصيلي]],'درجریان وصول'!A:A,0)),0)</f>
        <v>0</v>
      </c>
      <c r="E8" s="11">
        <f>IFERROR(INDEX('چکهای دریافتنی'!F:F,MATCH(Table227[[#This Row],[كد تفصيلي]],'چکهای دریافتنی'!A:A,0)),0)</f>
        <v>6474835380</v>
      </c>
      <c r="F8" s="11">
        <f>Table227[[#This Row],[حسابهای دریافتنی]]+Table227[[#This Row],[چکهای در جریان وصول]]+Table227[[#This Row],[چکهای نزد صندوق]]</f>
        <v>14328679657</v>
      </c>
      <c r="G8" s="12">
        <f>IFERROR(INDEX('مانده سوفاله'!F:F,MATCH(Table227[[#This Row],[كد تفصيلي]],'مانده سوفاله'!A:A,0)),0)</f>
        <v>-11452</v>
      </c>
    </row>
    <row r="9" spans="1:7" ht="28.5" customHeight="1" x14ac:dyDescent="0.35">
      <c r="A9" s="26">
        <v>10055</v>
      </c>
      <c r="B9" s="56" t="s">
        <v>162</v>
      </c>
      <c r="C9" s="10">
        <f>IFERROR(INDEX('حسابهای دریافتنی'!H:H,MATCH(Table227[[#This Row],[كد تفصيلي]],'حسابهای دریافتنی'!A:A,0)),0)</f>
        <v>10460111325</v>
      </c>
      <c r="D9" s="11">
        <f>IFERROR(INDEX('درجریان وصول'!F:F,MATCH(Table227[[#This Row],[كد تفصيلي]],'درجریان وصول'!A:A,0)),0)</f>
        <v>0</v>
      </c>
      <c r="E9" s="11">
        <f>IFERROR(INDEX('چکهای دریافتنی'!F:F,MATCH(Table227[[#This Row],[كد تفصيلي]],'چکهای دریافتنی'!A:A,0)),0)</f>
        <v>2783298655</v>
      </c>
      <c r="F9" s="11">
        <f>Table227[[#This Row],[حسابهای دریافتنی]]+Table227[[#This Row],[چکهای در جریان وصول]]+Table227[[#This Row],[چکهای نزد صندوق]]</f>
        <v>13243409980</v>
      </c>
      <c r="G9" s="12">
        <f>IFERROR(INDEX('مانده سوفاله'!F:F,MATCH(Table227[[#This Row],[كد تفصيلي]],'مانده سوفاله'!A:A,0)),0)</f>
        <v>-12714</v>
      </c>
    </row>
    <row r="10" spans="1:7" ht="28.5" customHeight="1" x14ac:dyDescent="0.35">
      <c r="A10" s="27">
        <v>10056</v>
      </c>
      <c r="B10" s="55" t="s">
        <v>166</v>
      </c>
      <c r="C10" s="10">
        <f>IFERROR(INDEX('حسابهای دریافتنی'!H:H,MATCH(Table227[[#This Row],[كد تفصيلي]],'حسابهای دریافتنی'!A:A,0)),0)</f>
        <v>812653500</v>
      </c>
      <c r="D10" s="11">
        <f>IFERROR(INDEX('درجریان وصول'!F:F,MATCH(Table227[[#This Row],[كد تفصيلي]],'درجریان وصول'!A:A,0)),0)</f>
        <v>0</v>
      </c>
      <c r="E10" s="11">
        <f>IFERROR(INDEX('چکهای دریافتنی'!F:F,MATCH(Table227[[#This Row],[كد تفصيلي]],'چکهای دریافتنی'!A:A,0)),0)</f>
        <v>0</v>
      </c>
      <c r="F10" s="11">
        <f>Table227[[#This Row],[حسابهای دریافتنی]]+Table227[[#This Row],[چکهای در جریان وصول]]+Table227[[#This Row],[چکهای نزد صندوق]]</f>
        <v>812653500</v>
      </c>
      <c r="G10" s="12">
        <f>IFERROR(INDEX('مانده سوفاله'!F:F,MATCH(Table227[[#This Row],[كد تفصيلي]],'مانده سوفاله'!A:A,0)),0)</f>
        <v>0</v>
      </c>
    </row>
    <row r="11" spans="1:7" ht="28.5" customHeight="1" x14ac:dyDescent="0.35">
      <c r="A11" s="26">
        <v>30140</v>
      </c>
      <c r="B11" s="56" t="s">
        <v>259</v>
      </c>
      <c r="C11" s="10">
        <f>IFERROR(INDEX('حسابهای دریافتنی'!H:H,MATCH(Table227[[#This Row],[كد تفصيلي]],'حسابهای دریافتنی'!A:A,0)),0)</f>
        <v>553728200</v>
      </c>
      <c r="D11" s="11">
        <f>IFERROR(INDEX('درجریان وصول'!F:F,MATCH(Table227[[#This Row],[كد تفصيلي]],'درجریان وصول'!A:A,0)),0)</f>
        <v>0</v>
      </c>
      <c r="E11" s="11">
        <f>IFERROR(INDEX('چکهای دریافتنی'!F:F,MATCH(Table227[[#This Row],[كد تفصيلي]],'چکهای دریافتنی'!A:A,0)),0)</f>
        <v>1030000000</v>
      </c>
      <c r="F11" s="11">
        <f>Table227[[#This Row],[حسابهای دریافتنی]]+Table227[[#This Row],[چکهای در جریان وصول]]+Table227[[#This Row],[چکهای نزد صندوق]]</f>
        <v>1583728200</v>
      </c>
      <c r="G11" s="12">
        <f>IFERROR(INDEX('مانده سوفاله'!F:F,MATCH(Table227[[#This Row],[كد تفصيلي]],'مانده سوفاله'!A:A,0)),0)</f>
        <v>-12630</v>
      </c>
    </row>
    <row r="12" spans="1:7" ht="28.5" customHeight="1" x14ac:dyDescent="0.35">
      <c r="A12" s="27">
        <v>30081</v>
      </c>
      <c r="B12" s="55" t="s">
        <v>126</v>
      </c>
      <c r="C12" s="10">
        <f>IFERROR(INDEX('حسابهای دریافتنی'!H:H,MATCH(Table227[[#This Row],[كد تفصيلي]],'حسابهای دریافتنی'!A:A,0)),0)</f>
        <v>1148992373</v>
      </c>
      <c r="D12" s="11">
        <f>IFERROR(INDEX('درجریان وصول'!F:F,MATCH(Table227[[#This Row],[كد تفصيلي]],'درجریان وصول'!A:A,0)),0)</f>
        <v>0</v>
      </c>
      <c r="E12" s="11">
        <f>IFERROR(INDEX('چکهای دریافتنی'!F:F,MATCH(Table227[[#This Row],[كد تفصيلي]],'چکهای دریافتنی'!A:A,0)),0)</f>
        <v>0</v>
      </c>
      <c r="F12" s="11">
        <f>Table227[[#This Row],[حسابهای دریافتنی]]+Table227[[#This Row],[چکهای در جریان وصول]]+Table227[[#This Row],[چکهای نزد صندوق]]</f>
        <v>1148992373</v>
      </c>
      <c r="G12" s="12">
        <f>IFERROR(INDEX('مانده سوفاله'!F:F,MATCH(Table227[[#This Row],[كد تفصيلي]],'مانده سوفاله'!A:A,0)),0)</f>
        <v>-6924</v>
      </c>
    </row>
    <row r="13" spans="1:7" ht="28.5" customHeight="1" x14ac:dyDescent="0.35">
      <c r="A13" s="26">
        <v>30186</v>
      </c>
      <c r="B13" s="56" t="s">
        <v>367</v>
      </c>
      <c r="C13" s="10">
        <f>IFERROR(INDEX('حسابهای دریافتنی'!H:H,MATCH(Table227[[#This Row],[كد تفصيلي]],'حسابهای دریافتنی'!A:A,0)),0)</f>
        <v>986425000</v>
      </c>
      <c r="D13" s="11">
        <f>IFERROR(INDEX('درجریان وصول'!F:F,MATCH(Table227[[#This Row],[كد تفصيلي]],'درجریان وصول'!A:A,0)),0)</f>
        <v>0</v>
      </c>
      <c r="E13" s="11">
        <f>IFERROR(INDEX('چکهای دریافتنی'!F:F,MATCH(Table227[[#This Row],[كد تفصيلي]],'چکهای دریافتنی'!A:A,0)),0)</f>
        <v>5982430000</v>
      </c>
      <c r="F13" s="11">
        <f>Table227[[#This Row],[حسابهای دریافتنی]]+Table227[[#This Row],[چکهای در جریان وصول]]+Table227[[#This Row],[چکهای نزد صندوق]]</f>
        <v>6968855000</v>
      </c>
      <c r="G13" s="12">
        <f>IFERROR(INDEX('مانده سوفاله'!F:F,MATCH(Table227[[#This Row],[كد تفصيلي]],'مانده سوفاله'!A:A,0)),0)</f>
        <v>-7388</v>
      </c>
    </row>
    <row r="14" spans="1:7" ht="28.5" customHeight="1" x14ac:dyDescent="0.35">
      <c r="A14" s="27">
        <v>30099</v>
      </c>
      <c r="B14" s="55" t="s">
        <v>167</v>
      </c>
      <c r="C14" s="10">
        <f>IFERROR(INDEX('حسابهای دریافتنی'!H:H,MATCH(Table227[[#This Row],[كد تفصيلي]],'حسابهای دریافتنی'!A:A,0)),0)</f>
        <v>1398393484</v>
      </c>
      <c r="D14" s="11">
        <f>IFERROR(INDEX('درجریان وصول'!F:F,MATCH(Table227[[#This Row],[كد تفصيلي]],'درجریان وصول'!A:A,0)),0)</f>
        <v>0</v>
      </c>
      <c r="E14" s="11">
        <f>IFERROR(INDEX('چکهای دریافتنی'!F:F,MATCH(Table227[[#This Row],[كد تفصيلي]],'چکهای دریافتنی'!A:A,0)),0)</f>
        <v>583000000</v>
      </c>
      <c r="F14" s="11">
        <f>Table227[[#This Row],[حسابهای دریافتنی]]+Table227[[#This Row],[چکهای در جریان وصول]]+Table227[[#This Row],[چکهای نزد صندوق]]</f>
        <v>1981393484</v>
      </c>
      <c r="G14" s="12">
        <f>IFERROR(INDEX('مانده سوفاله'!F:F,MATCH(Table227[[#This Row],[كد تفصيلي]],'مانده سوفاله'!A:A,0)),0)</f>
        <v>-332</v>
      </c>
    </row>
    <row r="15" spans="1:7" ht="28.5" customHeight="1" x14ac:dyDescent="0.35">
      <c r="A15" s="27">
        <v>30022</v>
      </c>
      <c r="B15" s="55" t="s">
        <v>70</v>
      </c>
      <c r="C15" s="10">
        <f>IFERROR(INDEX('حسابهای دریافتنی'!H:H,MATCH(Table227[[#This Row],[كد تفصيلي]],'حسابهای دریافتنی'!A:A,0)),0)</f>
        <v>2933770530</v>
      </c>
      <c r="D15" s="11">
        <f>IFERROR(INDEX('درجریان وصول'!F:F,MATCH(Table227[[#This Row],[كد تفصيلي]],'درجریان وصول'!A:A,0)),0)</f>
        <v>0</v>
      </c>
      <c r="E15" s="11">
        <f>IFERROR(INDEX('چکهای دریافتنی'!F:F,MATCH(Table227[[#This Row],[كد تفصيلي]],'چکهای دریافتنی'!A:A,0)),0)</f>
        <v>0</v>
      </c>
      <c r="F15" s="11">
        <f>Table227[[#This Row],[حسابهای دریافتنی]]+Table227[[#This Row],[چکهای در جریان وصول]]+Table227[[#This Row],[چکهای نزد صندوق]]</f>
        <v>2933770530</v>
      </c>
      <c r="G15" s="12">
        <f>IFERROR(INDEX('مانده سوفاله'!F:F,MATCH(Table227[[#This Row],[كد تفصيلي]],'مانده سوفاله'!A:A,0)),0)</f>
        <v>-14747</v>
      </c>
    </row>
    <row r="16" spans="1:7" ht="28.5" customHeight="1" x14ac:dyDescent="0.35">
      <c r="A16" s="26">
        <v>30003</v>
      </c>
      <c r="B16" s="56" t="s">
        <v>53</v>
      </c>
      <c r="C16" s="10">
        <f>IFERROR(INDEX('حسابهای دریافتنی'!H:H,MATCH(Table227[[#This Row],[كد تفصيلي]],'حسابهای دریافتنی'!A:A,0)),0)</f>
        <v>754765900</v>
      </c>
      <c r="D16" s="11">
        <f>IFERROR(INDEX('درجریان وصول'!F:F,MATCH(Table227[[#This Row],[كد تفصيلي]],'درجریان وصول'!A:A,0)),0)</f>
        <v>0</v>
      </c>
      <c r="E16" s="11">
        <f>IFERROR(INDEX('چکهای دریافتنی'!F:F,MATCH(Table227[[#This Row],[كد تفصيلي]],'چکهای دریافتنی'!A:A,0)),0)</f>
        <v>571000000</v>
      </c>
      <c r="F16" s="11">
        <f>Table227[[#This Row],[حسابهای دریافتنی]]+Table227[[#This Row],[چکهای در جریان وصول]]+Table227[[#This Row],[چکهای نزد صندوق]]</f>
        <v>1325765900</v>
      </c>
      <c r="G16" s="12">
        <f>IFERROR(INDEX('مانده سوفاله'!F:F,MATCH(Table227[[#This Row],[كد تفصيلي]],'مانده سوفاله'!A:A,0)),0)</f>
        <v>-3538</v>
      </c>
    </row>
    <row r="17" spans="1:7" ht="28.5" customHeight="1" x14ac:dyDescent="0.35">
      <c r="A17" s="26">
        <v>30058</v>
      </c>
      <c r="B17" s="56" t="s">
        <v>103</v>
      </c>
      <c r="C17" s="10">
        <f>IFERROR(INDEX('حسابهای دریافتنی'!H:H,MATCH(Table227[[#This Row],[كد تفصيلي]],'حسابهای دریافتنی'!A:A,0)),0)</f>
        <v>1700045560</v>
      </c>
      <c r="D17" s="11">
        <f>IFERROR(INDEX('درجریان وصول'!F:F,MATCH(Table227[[#This Row],[كد تفصيلي]],'درجریان وصول'!A:A,0)),0)</f>
        <v>0</v>
      </c>
      <c r="E17" s="11">
        <f>IFERROR(INDEX('چکهای دریافتنی'!F:F,MATCH(Table227[[#This Row],[كد تفصيلي]],'چکهای دریافتنی'!A:A,0)),0)</f>
        <v>0</v>
      </c>
      <c r="F17" s="11">
        <f>Table227[[#This Row],[حسابهای دریافتنی]]+Table227[[#This Row],[چکهای در جریان وصول]]+Table227[[#This Row],[چکهای نزد صندوق]]</f>
        <v>1700045560</v>
      </c>
      <c r="G17" s="12">
        <f>IFERROR(INDEX('مانده سوفاله'!F:F,MATCH(Table227[[#This Row],[كد تفصيلي]],'مانده سوفاله'!A:A,0)),0)</f>
        <v>-225</v>
      </c>
    </row>
    <row r="18" spans="1:7" ht="28.5" customHeight="1" x14ac:dyDescent="0.35">
      <c r="A18" s="27">
        <v>30014</v>
      </c>
      <c r="B18" s="55" t="s">
        <v>63</v>
      </c>
      <c r="C18" s="10">
        <f>IFERROR(INDEX('حسابهای دریافتنی'!H:H,MATCH(Table227[[#This Row],[كد تفصيلي]],'حسابهای دریافتنی'!A:A,0)),0)</f>
        <v>1762223932</v>
      </c>
      <c r="D18" s="11">
        <f>IFERROR(INDEX('درجریان وصول'!F:F,MATCH(Table227[[#This Row],[كد تفصيلي]],'درجریان وصول'!A:A,0)),0)</f>
        <v>0</v>
      </c>
      <c r="E18" s="11">
        <f>IFERROR(INDEX('چکهای دریافتنی'!F:F,MATCH(Table227[[#This Row],[كد تفصيلي]],'چکهای دریافتنی'!A:A,0)),0)</f>
        <v>0</v>
      </c>
      <c r="F18" s="11">
        <f>Table227[[#This Row],[حسابهای دریافتنی]]+Table227[[#This Row],[چکهای در جریان وصول]]+Table227[[#This Row],[چکهای نزد صندوق]]</f>
        <v>1762223932</v>
      </c>
      <c r="G18" s="12">
        <f>IFERROR(INDEX('مانده سوفاله'!F:F,MATCH(Table227[[#This Row],[كد تفصيلي]],'مانده سوفاله'!A:A,0)),0)</f>
        <v>-1368</v>
      </c>
    </row>
    <row r="19" spans="1:7" ht="28.5" customHeight="1" x14ac:dyDescent="0.35">
      <c r="A19" s="27">
        <v>10020</v>
      </c>
      <c r="B19" s="55" t="s">
        <v>27</v>
      </c>
      <c r="C19" s="10">
        <f>IFERROR(INDEX('حسابهای دریافتنی'!H:H,MATCH(Table227[[#This Row],[كد تفصيلي]],'حسابهای دریافتنی'!A:A,0)),0)</f>
        <v>57999963</v>
      </c>
      <c r="D19" s="11">
        <f>IFERROR(INDEX('درجریان وصول'!F:F,MATCH(Table227[[#This Row],[كد تفصيلي]],'درجریان وصول'!A:A,0)),0)</f>
        <v>0</v>
      </c>
      <c r="E19" s="11">
        <f>IFERROR(INDEX('چکهای دریافتنی'!F:F,MATCH(Table227[[#This Row],[كد تفصيلي]],'چکهای دریافتنی'!A:A,0)),0)</f>
        <v>728000000</v>
      </c>
      <c r="F19" s="11">
        <f>Table227[[#This Row],[حسابهای دریافتنی]]+Table227[[#This Row],[چکهای در جریان وصول]]+Table227[[#This Row],[چکهای نزد صندوق]]</f>
        <v>785999963</v>
      </c>
      <c r="G19" s="12">
        <f>IFERROR(INDEX('مانده سوفاله'!F:F,MATCH(Table227[[#This Row],[كد تفصيلي]],'مانده سوفاله'!A:A,0)),0)</f>
        <v>-1031</v>
      </c>
    </row>
    <row r="20" spans="1:7" ht="28.5" customHeight="1" x14ac:dyDescent="0.35">
      <c r="A20" s="26">
        <v>30017</v>
      </c>
      <c r="B20" s="56" t="s">
        <v>65</v>
      </c>
      <c r="C20" s="10">
        <f>IFERROR(INDEX('حسابهای دریافتنی'!H:H,MATCH(Table227[[#This Row],[كد تفصيلي]],'حسابهای دریافتنی'!A:A,0)),0)</f>
        <v>905000830</v>
      </c>
      <c r="D20" s="11">
        <f>IFERROR(INDEX('درجریان وصول'!F:F,MATCH(Table227[[#This Row],[كد تفصيلي]],'درجریان وصول'!A:A,0)),0)</f>
        <v>0</v>
      </c>
      <c r="E20" s="11">
        <f>IFERROR(INDEX('چکهای دریافتنی'!F:F,MATCH(Table227[[#This Row],[كد تفصيلي]],'چکهای دریافتنی'!A:A,0)),0)</f>
        <v>0</v>
      </c>
      <c r="F20" s="11">
        <f>Table227[[#This Row],[حسابهای دریافتنی]]+Table227[[#This Row],[چکهای در جریان وصول]]+Table227[[#This Row],[چکهای نزد صندوق]]</f>
        <v>905000830</v>
      </c>
      <c r="G20" s="12">
        <f>IFERROR(INDEX('مانده سوفاله'!F:F,MATCH(Table227[[#This Row],[كد تفصيلي]],'مانده سوفاله'!A:A,0)),0)</f>
        <v>-2186</v>
      </c>
    </row>
    <row r="21" spans="1:7" ht="28.5" customHeight="1" x14ac:dyDescent="0.35">
      <c r="A21" s="26">
        <v>10027</v>
      </c>
      <c r="B21" s="56" t="s">
        <v>33</v>
      </c>
      <c r="C21" s="10">
        <f>IFERROR(INDEX('حسابهای دریافتنی'!H:H,MATCH(Table227[[#This Row],[كد تفصيلي]],'حسابهای دریافتنی'!A:A,0)),0)</f>
        <v>33078340</v>
      </c>
      <c r="D21" s="11">
        <f>IFERROR(INDEX('درجریان وصول'!F:F,MATCH(Table227[[#This Row],[كد تفصيلي]],'درجریان وصول'!A:A,0)),0)</f>
        <v>0</v>
      </c>
      <c r="E21" s="11">
        <f>IFERROR(INDEX('چکهای دریافتنی'!F:F,MATCH(Table227[[#This Row],[كد تفصيلي]],'چکهای دریافتنی'!A:A,0)),0)</f>
        <v>1588359160</v>
      </c>
      <c r="F21" s="11">
        <f>Table227[[#This Row],[حسابهای دریافتنی]]+Table227[[#This Row],[چکهای در جریان وصول]]+Table227[[#This Row],[چکهای نزد صندوق]]</f>
        <v>1621437500</v>
      </c>
      <c r="G21" s="12">
        <f>IFERROR(INDEX('مانده سوفاله'!F:F,MATCH(Table227[[#This Row],[كد تفصيلي]],'مانده سوفاله'!A:A,0)),0)</f>
        <v>-647</v>
      </c>
    </row>
    <row r="22" spans="1:7" ht="28.5" customHeight="1" x14ac:dyDescent="0.35">
      <c r="A22" s="27">
        <v>10127</v>
      </c>
      <c r="B22" s="55" t="s">
        <v>371</v>
      </c>
      <c r="C22" s="10">
        <f>IFERROR(INDEX('حسابهای دریافتنی'!H:H,MATCH(Table227[[#This Row],[كد تفصيلي]],'حسابهای دریافتنی'!A:A,0)),0)</f>
        <v>803728000</v>
      </c>
      <c r="D22" s="11">
        <f>IFERROR(INDEX('درجریان وصول'!F:F,MATCH(Table227[[#This Row],[كد تفصيلي]],'درجریان وصول'!A:A,0)),0)</f>
        <v>0</v>
      </c>
      <c r="E22" s="11">
        <f>IFERROR(INDEX('چکهای دریافتنی'!F:F,MATCH(Table227[[#This Row],[كد تفصيلي]],'چکهای دریافتنی'!A:A,0)),0)</f>
        <v>0</v>
      </c>
      <c r="F22" s="11">
        <f>Table227[[#This Row],[حسابهای دریافتنی]]+Table227[[#This Row],[چکهای در جریان وصول]]+Table227[[#This Row],[چکهای نزد صندوق]]</f>
        <v>803728000</v>
      </c>
      <c r="G22" s="12">
        <f>IFERROR(INDEX('مانده سوفاله'!F:F,MATCH(Table227[[#This Row],[كد تفصيلي]],'مانده سوفاله'!A:A,0)),0)</f>
        <v>-1469</v>
      </c>
    </row>
    <row r="23" spans="1:7" ht="28.5" customHeight="1" x14ac:dyDescent="0.35">
      <c r="A23" s="26">
        <v>50011</v>
      </c>
      <c r="B23" s="56" t="s">
        <v>147</v>
      </c>
      <c r="C23" s="10">
        <f>IFERROR(INDEX('حسابهای دریافتنی'!H:H,MATCH(Table227[[#This Row],[كد تفصيلي]],'حسابهای دریافتنی'!A:A,0)),0)</f>
        <v>832182413</v>
      </c>
      <c r="D23" s="11">
        <f>IFERROR(INDEX('درجریان وصول'!F:F,MATCH(Table227[[#This Row],[كد تفصيلي]],'درجریان وصول'!A:A,0)),0)</f>
        <v>0</v>
      </c>
      <c r="E23" s="11">
        <f>IFERROR(INDEX('چکهای دریافتنی'!F:F,MATCH(Table227[[#This Row],[كد تفصيلي]],'چکهای دریافتنی'!A:A,0)),0)</f>
        <v>0</v>
      </c>
      <c r="F23" s="11">
        <f>Table227[[#This Row],[حسابهای دریافتنی]]+Table227[[#This Row],[چکهای در جریان وصول]]+Table227[[#This Row],[چکهای نزد صندوق]]</f>
        <v>832182413</v>
      </c>
      <c r="G23" s="12">
        <f>IFERROR(INDEX('مانده سوفاله'!F:F,MATCH(Table227[[#This Row],[كد تفصيلي]],'مانده سوفاله'!A:A,0)),0)</f>
        <v>30</v>
      </c>
    </row>
    <row r="24" spans="1:7" ht="28.5" customHeight="1" x14ac:dyDescent="0.35">
      <c r="A24" s="27">
        <v>10070</v>
      </c>
      <c r="B24" s="55" t="s">
        <v>230</v>
      </c>
      <c r="C24" s="10">
        <f>IFERROR(INDEX('حسابهای دریافتنی'!H:H,MATCH(Table227[[#This Row],[كد تفصيلي]],'حسابهای دریافتنی'!A:A,0)),0)</f>
        <v>508152500</v>
      </c>
      <c r="D24" s="11">
        <f>IFERROR(INDEX('درجریان وصول'!F:F,MATCH(Table227[[#This Row],[كد تفصيلي]],'درجریان وصول'!A:A,0)),0)</f>
        <v>0</v>
      </c>
      <c r="E24" s="11">
        <f>IFERROR(INDEX('چکهای دریافتنی'!F:F,MATCH(Table227[[#This Row],[كد تفصيلي]],'چکهای دریافتنی'!A:A,0)),0)</f>
        <v>570000000</v>
      </c>
      <c r="F24" s="11">
        <f>Table227[[#This Row],[حسابهای دریافتنی]]+Table227[[#This Row],[چکهای در جریان وصول]]+Table227[[#This Row],[چکهای نزد صندوق]]</f>
        <v>1078152500</v>
      </c>
      <c r="G24" s="12">
        <f>IFERROR(INDEX('مانده سوفاله'!F:F,MATCH(Table227[[#This Row],[كد تفصيلي]],'مانده سوفاله'!A:A,0)),0)</f>
        <v>-3170</v>
      </c>
    </row>
    <row r="25" spans="1:7" ht="28.5" customHeight="1" x14ac:dyDescent="0.35">
      <c r="A25" s="26">
        <v>10057</v>
      </c>
      <c r="B25" s="56" t="s">
        <v>225</v>
      </c>
      <c r="C25" s="10">
        <f>IFERROR(INDEX('حسابهای دریافتنی'!H:H,MATCH(Table227[[#This Row],[كد تفصيلي]],'حسابهای دریافتنی'!A:A,0)),0)</f>
        <v>1390485500</v>
      </c>
      <c r="D25" s="11">
        <f>IFERROR(INDEX('درجریان وصول'!F:F,MATCH(Table227[[#This Row],[كد تفصيلي]],'درجریان وصول'!A:A,0)),0)</f>
        <v>0</v>
      </c>
      <c r="E25" s="11">
        <f>IFERROR(INDEX('چکهای دریافتنی'!F:F,MATCH(Table227[[#This Row],[كد تفصيلي]],'چکهای دریافتنی'!A:A,0)),0)</f>
        <v>0</v>
      </c>
      <c r="F25" s="11">
        <f>Table227[[#This Row],[حسابهای دریافتنی]]+Table227[[#This Row],[چکهای در جریان وصول]]+Table227[[#This Row],[چکهای نزد صندوق]]</f>
        <v>1390485500</v>
      </c>
      <c r="G25" s="12">
        <f>IFERROR(INDEX('مانده سوفاله'!F:F,MATCH(Table227[[#This Row],[كد تفصيلي]],'مانده سوفاله'!A:A,0)),0)</f>
        <v>-2044</v>
      </c>
    </row>
    <row r="26" spans="1:7" ht="28.5" customHeight="1" x14ac:dyDescent="0.35">
      <c r="A26" s="27">
        <v>30093</v>
      </c>
      <c r="B26" s="55" t="s">
        <v>151</v>
      </c>
      <c r="C26" s="10">
        <f>IFERROR(INDEX('حسابهای دریافتنی'!H:H,MATCH(Table227[[#This Row],[كد تفصيلي]],'حسابهای دریافتنی'!A:A,0)),0)</f>
        <v>0</v>
      </c>
      <c r="D26" s="11">
        <f>IFERROR(INDEX('درجریان وصول'!F:F,MATCH(Table227[[#This Row],[كد تفصيلي]],'درجریان وصول'!A:A,0)),0)</f>
        <v>0</v>
      </c>
      <c r="E26" s="11">
        <f>IFERROR(INDEX('چکهای دریافتنی'!F:F,MATCH(Table227[[#This Row],[كد تفصيلي]],'چکهای دریافتنی'!A:A,0)),0)</f>
        <v>0</v>
      </c>
      <c r="F26" s="11">
        <f>Table227[[#This Row],[حسابهای دریافتنی]]+Table227[[#This Row],[چکهای در جریان وصول]]+Table227[[#This Row],[چکهای نزد صندوق]]</f>
        <v>0</v>
      </c>
      <c r="G26" s="12">
        <f>IFERROR(INDEX('مانده سوفاله'!F:F,MATCH(Table227[[#This Row],[كد تفصيلي]],'مانده سوفاله'!A:A,0)),0)</f>
        <v>0</v>
      </c>
    </row>
    <row r="27" spans="1:7" ht="28.5" customHeight="1" x14ac:dyDescent="0.35">
      <c r="A27" s="27">
        <v>10008</v>
      </c>
      <c r="B27" s="55" t="s">
        <v>15</v>
      </c>
      <c r="C27" s="10">
        <f>IFERROR(INDEX('حسابهای دریافتنی'!H:H,MATCH(Table227[[#This Row],[كد تفصيلي]],'حسابهای دریافتنی'!A:A,0)),0)</f>
        <v>597342000</v>
      </c>
      <c r="D27" s="11">
        <f>IFERROR(INDEX('درجریان وصول'!F:F,MATCH(Table227[[#This Row],[كد تفصيلي]],'درجریان وصول'!A:A,0)),0)</f>
        <v>0</v>
      </c>
      <c r="E27" s="11">
        <f>IFERROR(INDEX('چکهای دریافتنی'!F:F,MATCH(Table227[[#This Row],[كد تفصيلي]],'چکهای دریافتنی'!A:A,0)),0)</f>
        <v>0</v>
      </c>
      <c r="F27" s="11">
        <f>Table227[[#This Row],[حسابهای دریافتنی]]+Table227[[#This Row],[چکهای در جریان وصول]]+Table227[[#This Row],[چکهای نزد صندوق]]</f>
        <v>597342000</v>
      </c>
      <c r="G27" s="12">
        <f>IFERROR(INDEX('مانده سوفاله'!F:F,MATCH(Table227[[#This Row],[كد تفصيلي]],'مانده سوفاله'!A:A,0)),0)</f>
        <v>-578</v>
      </c>
    </row>
    <row r="28" spans="1:7" ht="28.5" customHeight="1" x14ac:dyDescent="0.35">
      <c r="A28" s="27">
        <v>30187</v>
      </c>
      <c r="B28" s="55" t="s">
        <v>369</v>
      </c>
      <c r="C28" s="10">
        <f>IFERROR(INDEX('حسابهای دریافتنی'!H:H,MATCH(Table227[[#This Row],[كد تفصيلي]],'حسابهای دریافتنی'!A:A,0)),0)</f>
        <v>337825500</v>
      </c>
      <c r="D28" s="11">
        <f>IFERROR(INDEX('درجریان وصول'!F:F,MATCH(Table227[[#This Row],[كد تفصيلي]],'درجریان وصول'!A:A,0)),0)</f>
        <v>0</v>
      </c>
      <c r="E28" s="11">
        <f>IFERROR(INDEX('چکهای دریافتنی'!F:F,MATCH(Table227[[#This Row],[كد تفصيلي]],'چکهای دریافتنی'!A:A,0)),0)</f>
        <v>0</v>
      </c>
      <c r="F28" s="11">
        <f>Table227[[#This Row],[حسابهای دریافتنی]]+Table227[[#This Row],[چکهای در جریان وصول]]+Table227[[#This Row],[چکهای نزد صندوق]]</f>
        <v>337825500</v>
      </c>
      <c r="G28" s="12">
        <f>IFERROR(INDEX('مانده سوفاله'!F:F,MATCH(Table227[[#This Row],[كد تفصيلي]],'مانده سوفاله'!A:A,0)),0)</f>
        <v>-108</v>
      </c>
    </row>
    <row r="29" spans="1:7" ht="28.5" customHeight="1" x14ac:dyDescent="0.35">
      <c r="A29" s="27">
        <v>30018</v>
      </c>
      <c r="B29" s="55" t="s">
        <v>66</v>
      </c>
      <c r="C29" s="10">
        <f>IFERROR(INDEX('حسابهای دریافتنی'!H:H,MATCH(Table227[[#This Row],[كد تفصيلي]],'حسابهای دریافتنی'!A:A,0)),0)</f>
        <v>1901077182</v>
      </c>
      <c r="D29" s="11">
        <f>IFERROR(INDEX('درجریان وصول'!F:F,MATCH(Table227[[#This Row],[كد تفصيلي]],'درجریان وصول'!A:A,0)),0)</f>
        <v>0</v>
      </c>
      <c r="E29" s="11">
        <f>IFERROR(INDEX('چکهای دریافتنی'!F:F,MATCH(Table227[[#This Row],[كد تفصيلي]],'چکهای دریافتنی'!A:A,0)),0)</f>
        <v>0</v>
      </c>
      <c r="F29" s="11">
        <f>Table227[[#This Row],[حسابهای دریافتنی]]+Table227[[#This Row],[چکهای در جریان وصول]]+Table227[[#This Row],[چکهای نزد صندوق]]</f>
        <v>1901077182</v>
      </c>
      <c r="G29" s="12">
        <f>IFERROR(INDEX('مانده سوفاله'!F:F,MATCH(Table227[[#This Row],[كد تفصيلي]],'مانده سوفاله'!A:A,0)),0)</f>
        <v>-3024</v>
      </c>
    </row>
    <row r="30" spans="1:7" ht="28.5" customHeight="1" x14ac:dyDescent="0.35">
      <c r="A30" s="26">
        <v>30191</v>
      </c>
      <c r="B30" s="56" t="s">
        <v>460</v>
      </c>
      <c r="C30" s="10">
        <f>IFERROR(INDEX('حسابهای دریافتنی'!H:H,MATCH(Table227[[#This Row],[كد تفصيلي]],'حسابهای دریافتنی'!A:A,0)),0)</f>
        <v>792933000</v>
      </c>
      <c r="D30" s="11">
        <f>IFERROR(INDEX('درجریان وصول'!F:F,MATCH(Table227[[#This Row],[كد تفصيلي]],'درجریان وصول'!A:A,0)),0)</f>
        <v>0</v>
      </c>
      <c r="E30" s="11">
        <f>IFERROR(INDEX('چکهای دریافتنی'!F:F,MATCH(Table227[[#This Row],[كد تفصيلي]],'چکهای دریافتنی'!A:A,0)),0)</f>
        <v>0</v>
      </c>
      <c r="F30" s="11">
        <f>Table227[[#This Row],[حسابهای دریافتنی]]+Table227[[#This Row],[چکهای در جریان وصول]]+Table227[[#This Row],[چکهای نزد صندوق]]</f>
        <v>792933000</v>
      </c>
      <c r="G30" s="12">
        <f>IFERROR(INDEX('مانده سوفاله'!F:F,MATCH(Table227[[#This Row],[كد تفصيلي]],'مانده سوفاله'!A:A,0)),0)</f>
        <v>134</v>
      </c>
    </row>
    <row r="31" spans="1:7" ht="28.5" customHeight="1" x14ac:dyDescent="0.35">
      <c r="A31" s="27">
        <v>30069</v>
      </c>
      <c r="B31" s="55" t="s">
        <v>114</v>
      </c>
      <c r="C31" s="10">
        <f>IFERROR(INDEX('حسابهای دریافتنی'!H:H,MATCH(Table227[[#This Row],[كد تفصيلي]],'حسابهای دریافتنی'!A:A,0)),0)</f>
        <v>377909400</v>
      </c>
      <c r="D31" s="11">
        <f>IFERROR(INDEX('درجریان وصول'!F:F,MATCH(Table227[[#This Row],[كد تفصيلي]],'درجریان وصول'!A:A,0)),0)</f>
        <v>0</v>
      </c>
      <c r="E31" s="11">
        <f>IFERROR(INDEX('چکهای دریافتنی'!F:F,MATCH(Table227[[#This Row],[كد تفصيلي]],'چکهای دریافتنی'!A:A,0)),0)</f>
        <v>0</v>
      </c>
      <c r="F31" s="11">
        <f>Table227[[#This Row],[حسابهای دریافتنی]]+Table227[[#This Row],[چکهای در جریان وصول]]+Table227[[#This Row],[چکهای نزد صندوق]]</f>
        <v>377909400</v>
      </c>
      <c r="G31" s="12">
        <f>IFERROR(INDEX('مانده سوفاله'!F:F,MATCH(Table227[[#This Row],[كد تفصيلي]],'مانده سوفاله'!A:A,0)),0)</f>
        <v>66</v>
      </c>
    </row>
    <row r="32" spans="1:7" ht="28.5" customHeight="1" x14ac:dyDescent="0.35">
      <c r="A32" s="26">
        <v>10029</v>
      </c>
      <c r="B32" s="56" t="s">
        <v>35</v>
      </c>
      <c r="C32" s="10">
        <f>IFERROR(INDEX('حسابهای دریافتنی'!H:H,MATCH(Table227[[#This Row],[كد تفصيلي]],'حسابهای دریافتنی'!A:A,0)),0)</f>
        <v>-1038298620</v>
      </c>
      <c r="D32" s="11">
        <f>IFERROR(INDEX('درجریان وصول'!F:F,MATCH(Table227[[#This Row],[كد تفصيلي]],'درجریان وصول'!A:A,0)),0)</f>
        <v>0</v>
      </c>
      <c r="E32" s="11">
        <f>IFERROR(INDEX('چکهای دریافتنی'!F:F,MATCH(Table227[[#This Row],[كد تفصيلي]],'چکهای دریافتنی'!A:A,0)),0)</f>
        <v>2019000000</v>
      </c>
      <c r="F32" s="11">
        <f>Table227[[#This Row],[حسابهای دریافتنی]]+Table227[[#This Row],[چکهای در جریان وصول]]+Table227[[#This Row],[چکهای نزد صندوق]]</f>
        <v>980701380</v>
      </c>
      <c r="G32" s="12">
        <f>IFERROR(INDEX('مانده سوفاله'!F:F,MATCH(Table227[[#This Row],[كد تفصيلي]],'مانده سوفاله'!A:A,0)),0)</f>
        <v>6603</v>
      </c>
    </row>
    <row r="33" spans="1:7" ht="28.5" customHeight="1" x14ac:dyDescent="0.35">
      <c r="A33" s="27">
        <v>10084</v>
      </c>
      <c r="B33" s="55" t="s">
        <v>217</v>
      </c>
      <c r="C33" s="10">
        <f>IFERROR(INDEX('حسابهای دریافتنی'!H:H,MATCH(Table227[[#This Row],[كد تفصيلي]],'حسابهای دریافتنی'!A:A,0)),0)</f>
        <v>358092810</v>
      </c>
      <c r="D33" s="11">
        <f>IFERROR(INDEX('درجریان وصول'!F:F,MATCH(Table227[[#This Row],[كد تفصيلي]],'درجریان وصول'!A:A,0)),0)</f>
        <v>0</v>
      </c>
      <c r="E33" s="11">
        <f>IFERROR(INDEX('چکهای دریافتنی'!F:F,MATCH(Table227[[#This Row],[كد تفصيلي]],'چکهای دریافتنی'!A:A,0)),0)</f>
        <v>870000000</v>
      </c>
      <c r="F33" s="11">
        <f>Table227[[#This Row],[حسابهای دریافتنی]]+Table227[[#This Row],[چکهای در جریان وصول]]+Table227[[#This Row],[چکهای نزد صندوق]]</f>
        <v>1228092810</v>
      </c>
      <c r="G33" s="12">
        <f>IFERROR(INDEX('مانده سوفاله'!F:F,MATCH(Table227[[#This Row],[كد تفصيلي]],'مانده سوفاله'!A:A,0)),0)</f>
        <v>-1656</v>
      </c>
    </row>
    <row r="34" spans="1:7" ht="28.5" customHeight="1" x14ac:dyDescent="0.35">
      <c r="A34" s="27">
        <v>10004</v>
      </c>
      <c r="B34" s="55" t="s">
        <v>11</v>
      </c>
      <c r="C34" s="10">
        <f>IFERROR(INDEX('حسابهای دریافتنی'!H:H,MATCH(Table227[[#This Row],[كد تفصيلي]],'حسابهای دریافتنی'!A:A,0)),0)</f>
        <v>853000</v>
      </c>
      <c r="D34" s="11">
        <f>IFERROR(INDEX('درجریان وصول'!F:F,MATCH(Table227[[#This Row],[كد تفصيلي]],'درجریان وصول'!A:A,0)),0)</f>
        <v>0</v>
      </c>
      <c r="E34" s="11">
        <f>IFERROR(INDEX('چکهای دریافتنی'!F:F,MATCH(Table227[[#This Row],[كد تفصيلي]],'چکهای دریافتنی'!A:A,0)),0)</f>
        <v>341000000</v>
      </c>
      <c r="F34" s="11">
        <f>Table227[[#This Row],[حسابهای دریافتنی]]+Table227[[#This Row],[چکهای در جریان وصول]]+Table227[[#This Row],[چکهای نزد صندوق]]</f>
        <v>341853000</v>
      </c>
      <c r="G34" s="12">
        <f>IFERROR(INDEX('مانده سوفاله'!F:F,MATCH(Table227[[#This Row],[كد تفصيلي]],'مانده سوفاله'!A:A,0)),0)</f>
        <v>-12</v>
      </c>
    </row>
    <row r="35" spans="1:7" ht="28.5" customHeight="1" x14ac:dyDescent="0.35">
      <c r="A35" s="26">
        <v>30070</v>
      </c>
      <c r="B35" s="56" t="s">
        <v>115</v>
      </c>
      <c r="C35" s="10">
        <f>IFERROR(INDEX('حسابهای دریافتنی'!H:H,MATCH(Table227[[#This Row],[كد تفصيلي]],'حسابهای دریافتنی'!A:A,0)),0)</f>
        <v>2651728820</v>
      </c>
      <c r="D35" s="11">
        <f>IFERROR(INDEX('درجریان وصول'!F:F,MATCH(Table227[[#This Row],[كد تفصيلي]],'درجریان وصول'!A:A,0)),0)</f>
        <v>0</v>
      </c>
      <c r="E35" s="11">
        <f>IFERROR(INDEX('چکهای دریافتنی'!F:F,MATCH(Table227[[#This Row],[كد تفصيلي]],'چکهای دریافتنی'!A:A,0)),0)</f>
        <v>3660000000</v>
      </c>
      <c r="F35" s="11">
        <f>Table227[[#This Row],[حسابهای دریافتنی]]+Table227[[#This Row],[چکهای در جریان وصول]]+Table227[[#This Row],[چکهای نزد صندوق]]</f>
        <v>6311728820</v>
      </c>
      <c r="G35" s="12">
        <f>IFERROR(INDEX('مانده سوفاله'!F:F,MATCH(Table227[[#This Row],[كد تفصيلي]],'مانده سوفاله'!A:A,0)),0)</f>
        <v>4378</v>
      </c>
    </row>
    <row r="36" spans="1:7" ht="28.5" customHeight="1" x14ac:dyDescent="0.35">
      <c r="A36" s="26">
        <v>30162</v>
      </c>
      <c r="B36" s="56" t="s">
        <v>301</v>
      </c>
      <c r="C36" s="10">
        <f>IFERROR(INDEX('حسابهای دریافتنی'!H:H,MATCH(Table227[[#This Row],[كد تفصيلي]],'حسابهای دریافتنی'!A:A,0)),0)</f>
        <v>204890235</v>
      </c>
      <c r="D36" s="11">
        <f>IFERROR(INDEX('درجریان وصول'!F:F,MATCH(Table227[[#This Row],[كد تفصيلي]],'درجریان وصول'!A:A,0)),0)</f>
        <v>0</v>
      </c>
      <c r="E36" s="11">
        <f>IFERROR(INDEX('چکهای دریافتنی'!F:F,MATCH(Table227[[#This Row],[كد تفصيلي]],'چکهای دریافتنی'!A:A,0)),0)</f>
        <v>0</v>
      </c>
      <c r="F36" s="11">
        <f>Table227[[#This Row],[حسابهای دریافتنی]]+Table227[[#This Row],[چکهای در جریان وصول]]+Table227[[#This Row],[چکهای نزد صندوق]]</f>
        <v>204890235</v>
      </c>
      <c r="G36" s="12">
        <f>IFERROR(INDEX('مانده سوفاله'!F:F,MATCH(Table227[[#This Row],[كد تفصيلي]],'مانده سوفاله'!A:A,0)),0)</f>
        <v>-251</v>
      </c>
    </row>
    <row r="37" spans="1:7" ht="28.5" customHeight="1" x14ac:dyDescent="0.35">
      <c r="A37" s="27">
        <v>30137</v>
      </c>
      <c r="B37" s="55" t="s">
        <v>218</v>
      </c>
      <c r="C37" s="10">
        <f>IFERROR(INDEX('حسابهای دریافتنی'!H:H,MATCH(Table227[[#This Row],[كد تفصيلي]],'حسابهای دریافتنی'!A:A,0)),0)</f>
        <v>0</v>
      </c>
      <c r="D37" s="11">
        <f>IFERROR(INDEX('درجریان وصول'!F:F,MATCH(Table227[[#This Row],[كد تفصيلي]],'درجریان وصول'!A:A,0)),0)</f>
        <v>0</v>
      </c>
      <c r="E37" s="11">
        <f>IFERROR(INDEX('چکهای دریافتنی'!F:F,MATCH(Table227[[#This Row],[كد تفصيلي]],'چکهای دریافتنی'!A:A,0)),0)</f>
        <v>213182200</v>
      </c>
      <c r="F37" s="11">
        <f>Table227[[#This Row],[حسابهای دریافتنی]]+Table227[[#This Row],[چکهای در جریان وصول]]+Table227[[#This Row],[چکهای نزد صندوق]]</f>
        <v>213182200</v>
      </c>
      <c r="G37" s="12">
        <f>IFERROR(INDEX('مانده سوفاله'!F:F,MATCH(Table227[[#This Row],[كد تفصيلي]],'مانده سوفاله'!A:A,0)),0)</f>
        <v>0</v>
      </c>
    </row>
    <row r="38" spans="1:7" ht="28.5" customHeight="1" x14ac:dyDescent="0.35">
      <c r="A38" s="26">
        <v>30124</v>
      </c>
      <c r="B38" s="56" t="s">
        <v>246</v>
      </c>
      <c r="C38" s="10">
        <f>IFERROR(INDEX('حسابهای دریافتنی'!H:H,MATCH(Table227[[#This Row],[كد تفصيلي]],'حسابهای دریافتنی'!A:A,0)),0)</f>
        <v>0</v>
      </c>
      <c r="D38" s="11">
        <f>IFERROR(INDEX('درجریان وصول'!F:F,MATCH(Table227[[#This Row],[كد تفصيلي]],'درجریان وصول'!A:A,0)),0)</f>
        <v>0</v>
      </c>
      <c r="E38" s="11">
        <f>IFERROR(INDEX('چکهای دریافتنی'!F:F,MATCH(Table227[[#This Row],[كد تفصيلي]],'چکهای دریافتنی'!A:A,0)),0)</f>
        <v>505676000</v>
      </c>
      <c r="F38" s="11">
        <f>Table227[[#This Row],[حسابهای دریافتنی]]+Table227[[#This Row],[چکهای در جریان وصول]]+Table227[[#This Row],[چکهای نزد صندوق]]</f>
        <v>505676000</v>
      </c>
      <c r="G38" s="12">
        <f>IFERROR(INDEX('مانده سوفاله'!F:F,MATCH(Table227[[#This Row],[كد تفصيلي]],'مانده سوفاله'!A:A,0)),0)</f>
        <v>1498</v>
      </c>
    </row>
    <row r="39" spans="1:7" ht="28.5" customHeight="1" x14ac:dyDescent="0.35">
      <c r="A39" s="26">
        <v>30086</v>
      </c>
      <c r="B39" s="56" t="s">
        <v>131</v>
      </c>
      <c r="C39" s="10">
        <f>IFERROR(INDEX('حسابهای دریافتنی'!H:H,MATCH(Table227[[#This Row],[كد تفصيلي]],'حسابهای دریافتنی'!A:A,0)),0)</f>
        <v>187376603</v>
      </c>
      <c r="D39" s="11">
        <f>IFERROR(INDEX('درجریان وصول'!F:F,MATCH(Table227[[#This Row],[كد تفصيلي]],'درجریان وصول'!A:A,0)),0)</f>
        <v>0</v>
      </c>
      <c r="E39" s="11">
        <f>IFERROR(INDEX('چکهای دریافتنی'!F:F,MATCH(Table227[[#This Row],[كد تفصيلي]],'چکهای دریافتنی'!A:A,0)),0)</f>
        <v>0</v>
      </c>
      <c r="F39" s="11">
        <f>Table227[[#This Row],[حسابهای دریافتنی]]+Table227[[#This Row],[چکهای در جریان وصول]]+Table227[[#This Row],[چکهای نزد صندوق]]</f>
        <v>187376603</v>
      </c>
      <c r="G39" s="12">
        <f>IFERROR(INDEX('مانده سوفاله'!F:F,MATCH(Table227[[#This Row],[كد تفصيلي]],'مانده سوفاله'!A:A,0)),0)</f>
        <v>1549</v>
      </c>
    </row>
    <row r="40" spans="1:7" ht="28.5" customHeight="1" x14ac:dyDescent="0.35">
      <c r="A40" s="26">
        <v>30001</v>
      </c>
      <c r="B40" s="56" t="s">
        <v>190</v>
      </c>
      <c r="C40" s="10">
        <f>IFERROR(INDEX('حسابهای دریافتنی'!H:H,MATCH(Table227[[#This Row],[كد تفصيلي]],'حسابهای دریافتنی'!A:A,0)),0)</f>
        <v>119647176</v>
      </c>
      <c r="D40" s="11">
        <f>IFERROR(INDEX('درجریان وصول'!F:F,MATCH(Table227[[#This Row],[كد تفصيلي]],'درجریان وصول'!A:A,0)),0)</f>
        <v>0</v>
      </c>
      <c r="E40" s="11">
        <f>IFERROR(INDEX('چکهای دریافتنی'!F:F,MATCH(Table227[[#This Row],[كد تفصيلي]],'چکهای دریافتنی'!A:A,0)),0)</f>
        <v>0</v>
      </c>
      <c r="F40" s="11">
        <f>Table227[[#This Row],[حسابهای دریافتنی]]+Table227[[#This Row],[چکهای در جریان وصول]]+Table227[[#This Row],[چکهای نزد صندوق]]</f>
        <v>119647176</v>
      </c>
      <c r="G40" s="12">
        <f>IFERROR(INDEX('مانده سوفاله'!F:F,MATCH(Table227[[#This Row],[كد تفصيلي]],'مانده سوفاله'!A:A,0)),0)</f>
        <v>123</v>
      </c>
    </row>
    <row r="41" spans="1:7" ht="28.5" customHeight="1" x14ac:dyDescent="0.35">
      <c r="A41" s="27">
        <v>30190</v>
      </c>
      <c r="B41" s="55" t="s">
        <v>459</v>
      </c>
      <c r="C41" s="10">
        <f>IFERROR(INDEX('حسابهای دریافتنی'!H:H,MATCH(Table227[[#This Row],[كد تفصيلي]],'حسابهای دریافتنی'!A:A,0)),0)</f>
        <v>328477520</v>
      </c>
      <c r="D41" s="11">
        <f>IFERROR(INDEX('درجریان وصول'!F:F,MATCH(Table227[[#This Row],[كد تفصيلي]],'درجریان وصول'!A:A,0)),0)</f>
        <v>0</v>
      </c>
      <c r="E41" s="11">
        <f>IFERROR(INDEX('چکهای دریافتنی'!F:F,MATCH(Table227[[#This Row],[كد تفصيلي]],'چکهای دریافتنی'!A:A,0)),0)</f>
        <v>0</v>
      </c>
      <c r="F41" s="11">
        <f>Table227[[#This Row],[حسابهای دریافتنی]]+Table227[[#This Row],[چکهای در جریان وصول]]+Table227[[#This Row],[چکهای نزد صندوق]]</f>
        <v>328477520</v>
      </c>
      <c r="G41" s="12">
        <f>IFERROR(INDEX('مانده سوفاله'!F:F,MATCH(Table227[[#This Row],[كد تفصيلي]],'مانده سوفاله'!A:A,0)),0)</f>
        <v>1790</v>
      </c>
    </row>
    <row r="42" spans="1:7" ht="28.5" customHeight="1" x14ac:dyDescent="0.35">
      <c r="A42" s="27">
        <v>10018</v>
      </c>
      <c r="B42" s="55" t="s">
        <v>25</v>
      </c>
      <c r="C42" s="10">
        <f>IFERROR(INDEX('حسابهای دریافتنی'!H:H,MATCH(Table227[[#This Row],[كد تفصيلي]],'حسابهای دریافتنی'!A:A,0)),0)</f>
        <v>95282000</v>
      </c>
      <c r="D42" s="11">
        <f>IFERROR(INDEX('درجریان وصول'!F:F,MATCH(Table227[[#This Row],[كد تفصيلي]],'درجریان وصول'!A:A,0)),0)</f>
        <v>0</v>
      </c>
      <c r="E42" s="11">
        <f>IFERROR(INDEX('چکهای دریافتنی'!F:F,MATCH(Table227[[#This Row],[كد تفصيلي]],'چکهای دریافتنی'!A:A,0)),0)</f>
        <v>0</v>
      </c>
      <c r="F42" s="11">
        <f>Table227[[#This Row],[حسابهای دریافتنی]]+Table227[[#This Row],[چکهای در جریان وصول]]+Table227[[#This Row],[چکهای نزد صندوق]]</f>
        <v>95282000</v>
      </c>
      <c r="G42" s="12">
        <f>IFERROR(INDEX('مانده سوفاله'!F:F,MATCH(Table227[[#This Row],[كد تفصيلي]],'مانده سوفاله'!A:A,0)),0)</f>
        <v>-32</v>
      </c>
    </row>
    <row r="43" spans="1:7" ht="28.5" customHeight="1" x14ac:dyDescent="0.35">
      <c r="A43" s="27">
        <v>10096</v>
      </c>
      <c r="B43" s="55" t="s">
        <v>271</v>
      </c>
      <c r="C43" s="10">
        <f>IFERROR(INDEX('حسابهای دریافتنی'!H:H,MATCH(Table227[[#This Row],[كد تفصيلي]],'حسابهای دریافتنی'!A:A,0)),0)</f>
        <v>36455500</v>
      </c>
      <c r="D43" s="11">
        <f>IFERROR(INDEX('درجریان وصول'!F:F,MATCH(Table227[[#This Row],[كد تفصيلي]],'درجریان وصول'!A:A,0)),0)</f>
        <v>0</v>
      </c>
      <c r="E43" s="11">
        <f>IFERROR(INDEX('چکهای دریافتنی'!F:F,MATCH(Table227[[#This Row],[كد تفصيلي]],'چکهای دریافتنی'!A:A,0)),0)</f>
        <v>0</v>
      </c>
      <c r="F43" s="11">
        <f>Table227[[#This Row],[حسابهای دریافتنی]]+Table227[[#This Row],[چکهای در جریان وصول]]+Table227[[#This Row],[چکهای نزد صندوق]]</f>
        <v>36455500</v>
      </c>
      <c r="G43" s="12">
        <f>IFERROR(INDEX('مانده سوفاله'!F:F,MATCH(Table227[[#This Row],[كد تفصيلي]],'مانده سوفاله'!A:A,0)),0)</f>
        <v>0</v>
      </c>
    </row>
    <row r="44" spans="1:7" ht="28.5" customHeight="1" x14ac:dyDescent="0.35">
      <c r="A44" s="26">
        <v>30025</v>
      </c>
      <c r="B44" s="56" t="s">
        <v>73</v>
      </c>
      <c r="C44" s="10">
        <f>IFERROR(INDEX('حسابهای دریافتنی'!H:H,MATCH(Table227[[#This Row],[كد تفصيلي]],'حسابهای دریافتنی'!A:A,0)),0)</f>
        <v>35598920</v>
      </c>
      <c r="D44" s="11">
        <f>IFERROR(INDEX('درجریان وصول'!F:F,MATCH(Table227[[#This Row],[كد تفصيلي]],'درجریان وصول'!A:A,0)),0)</f>
        <v>0</v>
      </c>
      <c r="E44" s="11">
        <f>IFERROR(INDEX('چکهای دریافتنی'!F:F,MATCH(Table227[[#This Row],[كد تفصيلي]],'چکهای دریافتنی'!A:A,0)),0)</f>
        <v>0</v>
      </c>
      <c r="F44" s="11">
        <f>Table227[[#This Row],[حسابهای دریافتنی]]+Table227[[#This Row],[چکهای در جریان وصول]]+Table227[[#This Row],[چکهای نزد صندوق]]</f>
        <v>35598920</v>
      </c>
      <c r="G44" s="12">
        <f>IFERROR(INDEX('مانده سوفاله'!F:F,MATCH(Table227[[#This Row],[كد تفصيلي]],'مانده سوفاله'!A:A,0)),0)</f>
        <v>-165</v>
      </c>
    </row>
    <row r="45" spans="1:7" ht="28.5" customHeight="1" x14ac:dyDescent="0.35">
      <c r="A45" s="27">
        <v>30155</v>
      </c>
      <c r="B45" s="55" t="s">
        <v>289</v>
      </c>
      <c r="C45" s="10">
        <f>IFERROR(INDEX('حسابهای دریافتنی'!H:H,MATCH(Table227[[#This Row],[كد تفصيلي]],'حسابهای دریافتنی'!A:A,0)),0)</f>
        <v>-454985417</v>
      </c>
      <c r="D45" s="11">
        <f>IFERROR(INDEX('درجریان وصول'!F:F,MATCH(Table227[[#This Row],[كد تفصيلي]],'درجریان وصول'!A:A,0)),0)</f>
        <v>0</v>
      </c>
      <c r="E45" s="11">
        <f>IFERROR(INDEX('چکهای دریافتنی'!F:F,MATCH(Table227[[#This Row],[كد تفصيلي]],'چکهای دریافتنی'!A:A,0)),0)</f>
        <v>1379936267</v>
      </c>
      <c r="F45" s="11">
        <f>Table227[[#This Row],[حسابهای دریافتنی]]+Table227[[#This Row],[چکهای در جریان وصول]]+Table227[[#This Row],[چکهای نزد صندوق]]</f>
        <v>924950850</v>
      </c>
      <c r="G45" s="12">
        <f>IFERROR(INDEX('مانده سوفاله'!F:F,MATCH(Table227[[#This Row],[كد تفصيلي]],'مانده سوفاله'!A:A,0)),0)</f>
        <v>0</v>
      </c>
    </row>
    <row r="46" spans="1:7" ht="28.5" customHeight="1" x14ac:dyDescent="0.35">
      <c r="A46" s="26">
        <v>30005</v>
      </c>
      <c r="B46" s="56" t="s">
        <v>55</v>
      </c>
      <c r="C46" s="10">
        <f>IFERROR(INDEX('حسابهای دریافتنی'!H:H,MATCH(Table227[[#This Row],[كد تفصيلي]],'حسابهای دریافتنی'!A:A,0)),0)</f>
        <v>35368209</v>
      </c>
      <c r="D46" s="11">
        <f>IFERROR(INDEX('درجریان وصول'!F:F,MATCH(Table227[[#This Row],[كد تفصيلي]],'درجریان وصول'!A:A,0)),0)</f>
        <v>0</v>
      </c>
      <c r="E46" s="11">
        <f>IFERROR(INDEX('چکهای دریافتنی'!F:F,MATCH(Table227[[#This Row],[كد تفصيلي]],'چکهای دریافتنی'!A:A,0)),0)</f>
        <v>0</v>
      </c>
      <c r="F46" s="11">
        <f>Table227[[#This Row],[حسابهای دریافتنی]]+Table227[[#This Row],[چکهای در جریان وصول]]+Table227[[#This Row],[چکهای نزد صندوق]]</f>
        <v>35368209</v>
      </c>
      <c r="G46" s="12">
        <f>IFERROR(INDEX('مانده سوفاله'!F:F,MATCH(Table227[[#This Row],[كد تفصيلي]],'مانده سوفاله'!A:A,0)),0)</f>
        <v>61</v>
      </c>
    </row>
    <row r="47" spans="1:7" ht="28.5" customHeight="1" x14ac:dyDescent="0.35">
      <c r="A47" s="27">
        <v>30101</v>
      </c>
      <c r="B47" s="55" t="s">
        <v>196</v>
      </c>
      <c r="C47" s="10">
        <f>IFERROR(INDEX('حسابهای دریافتنی'!H:H,MATCH(Table227[[#This Row],[كد تفصيلي]],'حسابهای دریافتنی'!A:A,0)),0)</f>
        <v>203336095</v>
      </c>
      <c r="D47" s="11">
        <f>IFERROR(INDEX('درجریان وصول'!F:F,MATCH(Table227[[#This Row],[كد تفصيلي]],'درجریان وصول'!A:A,0)),0)</f>
        <v>0</v>
      </c>
      <c r="E47" s="11">
        <f>IFERROR(INDEX('چکهای دریافتنی'!F:F,MATCH(Table227[[#This Row],[كد تفصيلي]],'چکهای دریافتنی'!A:A,0)),0)</f>
        <v>0</v>
      </c>
      <c r="F47" s="11">
        <f>Table227[[#This Row],[حسابهای دریافتنی]]+Table227[[#This Row],[چکهای در جریان وصول]]+Table227[[#This Row],[چکهای نزد صندوق]]</f>
        <v>203336095</v>
      </c>
      <c r="G47" s="12">
        <f>IFERROR(INDEX('مانده سوفاله'!F:F,MATCH(Table227[[#This Row],[كد تفصيلي]],'مانده سوفاله'!A:A,0)),0)</f>
        <v>15</v>
      </c>
    </row>
    <row r="48" spans="1:7" ht="28.5" customHeight="1" x14ac:dyDescent="0.35">
      <c r="A48" s="27">
        <v>30024</v>
      </c>
      <c r="B48" s="55" t="s">
        <v>72</v>
      </c>
      <c r="C48" s="10">
        <f>IFERROR(INDEX('حسابهای دریافتنی'!H:H,MATCH(Table227[[#This Row],[كد تفصيلي]],'حسابهای دریافتنی'!A:A,0)),0)</f>
        <v>16135000</v>
      </c>
      <c r="D48" s="11">
        <f>IFERROR(INDEX('درجریان وصول'!F:F,MATCH(Table227[[#This Row],[كد تفصيلي]],'درجریان وصول'!A:A,0)),0)</f>
        <v>0</v>
      </c>
      <c r="E48" s="11">
        <f>IFERROR(INDEX('چکهای دریافتنی'!F:F,MATCH(Table227[[#This Row],[كد تفصيلي]],'چکهای دریافتنی'!A:A,0)),0)</f>
        <v>0</v>
      </c>
      <c r="F48" s="11">
        <f>Table227[[#This Row],[حسابهای دریافتنی]]+Table227[[#This Row],[چکهای در جریان وصول]]+Table227[[#This Row],[چکهای نزد صندوق]]</f>
        <v>16135000</v>
      </c>
      <c r="G48" s="12">
        <f>IFERROR(INDEX('مانده سوفاله'!F:F,MATCH(Table227[[#This Row],[كد تفصيلي]],'مانده سوفاله'!A:A,0)),0)</f>
        <v>0</v>
      </c>
    </row>
    <row r="49" spans="1:7" ht="28.5" customHeight="1" x14ac:dyDescent="0.35">
      <c r="A49" s="27">
        <v>30008</v>
      </c>
      <c r="B49" s="55" t="s">
        <v>58</v>
      </c>
      <c r="C49" s="10">
        <f>IFERROR(INDEX('حسابهای دریافتنی'!H:H,MATCH(Table227[[#This Row],[كد تفصيلي]],'حسابهای دریافتنی'!A:A,0)),0)</f>
        <v>15520000</v>
      </c>
      <c r="D49" s="11">
        <f>IFERROR(INDEX('درجریان وصول'!F:F,MATCH(Table227[[#This Row],[كد تفصيلي]],'درجریان وصول'!A:A,0)),0)</f>
        <v>0</v>
      </c>
      <c r="E49" s="11">
        <f>IFERROR(INDEX('چکهای دریافتنی'!F:F,MATCH(Table227[[#This Row],[كد تفصيلي]],'چکهای دریافتنی'!A:A,0)),0)</f>
        <v>0</v>
      </c>
      <c r="F49" s="11">
        <f>Table227[[#This Row],[حسابهای دریافتنی]]+Table227[[#This Row],[چکهای در جریان وصول]]+Table227[[#This Row],[چکهای نزد صندوق]]</f>
        <v>15520000</v>
      </c>
      <c r="G49" s="12">
        <f>IFERROR(INDEX('مانده سوفاله'!F:F,MATCH(Table227[[#This Row],[كد تفصيلي]],'مانده سوفاله'!A:A,0)),0)</f>
        <v>0</v>
      </c>
    </row>
    <row r="50" spans="1:7" ht="28.5" customHeight="1" x14ac:dyDescent="0.35">
      <c r="A50" s="27">
        <v>10092</v>
      </c>
      <c r="B50" s="55" t="s">
        <v>260</v>
      </c>
      <c r="C50" s="10">
        <f>IFERROR(INDEX('حسابهای دریافتنی'!H:H,MATCH(Table227[[#This Row],[كد تفصيلي]],'حسابهای دریافتنی'!A:A,0)),0)</f>
        <v>-1749946500</v>
      </c>
      <c r="D50" s="11">
        <f>IFERROR(INDEX('درجریان وصول'!F:F,MATCH(Table227[[#This Row],[كد تفصيلي]],'درجریان وصول'!A:A,0)),0)</f>
        <v>0</v>
      </c>
      <c r="E50" s="11">
        <f>IFERROR(INDEX('چکهای دریافتنی'!F:F,MATCH(Table227[[#This Row],[كد تفصيلي]],'چکهای دریافتنی'!A:A,0)),0)</f>
        <v>300000000</v>
      </c>
      <c r="F50" s="11">
        <f>Table227[[#This Row],[حسابهای دریافتنی]]+Table227[[#This Row],[چکهای در جریان وصول]]+Table227[[#This Row],[چکهای نزد صندوق]]</f>
        <v>-1449946500</v>
      </c>
      <c r="G50" s="12">
        <f>IFERROR(INDEX('مانده سوفاله'!F:F,MATCH(Table227[[#This Row],[كد تفصيلي]],'مانده سوفاله'!A:A,0)),0)</f>
        <v>0</v>
      </c>
    </row>
    <row r="51" spans="1:7" ht="28.5" customHeight="1" x14ac:dyDescent="0.35">
      <c r="A51" s="26">
        <v>10007</v>
      </c>
      <c r="B51" s="56" t="s">
        <v>14</v>
      </c>
      <c r="C51" s="10">
        <f>IFERROR(INDEX('حسابهای دریافتنی'!H:H,MATCH(Table227[[#This Row],[كد تفصيلي]],'حسابهای دریافتنی'!A:A,0)),0)</f>
        <v>12770000</v>
      </c>
      <c r="D51" s="11">
        <f>IFERROR(INDEX('درجریان وصول'!F:F,MATCH(Table227[[#This Row],[كد تفصيلي]],'درجریان وصول'!A:A,0)),0)</f>
        <v>0</v>
      </c>
      <c r="E51" s="11">
        <f>IFERROR(INDEX('چکهای دریافتنی'!F:F,MATCH(Table227[[#This Row],[كد تفصيلي]],'چکهای دریافتنی'!A:A,0)),0)</f>
        <v>0</v>
      </c>
      <c r="F51" s="11">
        <f>Table227[[#This Row],[حسابهای دریافتنی]]+Table227[[#This Row],[چکهای در جریان وصول]]+Table227[[#This Row],[چکهای نزد صندوق]]</f>
        <v>12770000</v>
      </c>
      <c r="G51" s="12">
        <f>IFERROR(INDEX('مانده سوفاله'!F:F,MATCH(Table227[[#This Row],[كد تفصيلي]],'مانده سوفاله'!A:A,0)),0)</f>
        <v>-52.5</v>
      </c>
    </row>
    <row r="52" spans="1:7" ht="28.5" customHeight="1" x14ac:dyDescent="0.35">
      <c r="A52" s="26">
        <v>30156</v>
      </c>
      <c r="B52" s="56" t="s">
        <v>290</v>
      </c>
      <c r="C52" s="10">
        <f>IFERROR(INDEX('حسابهای دریافتنی'!H:H,MATCH(Table227[[#This Row],[كد تفصيلي]],'حسابهای دریافتنی'!A:A,0)),0)</f>
        <v>-180917500</v>
      </c>
      <c r="D52" s="11">
        <f>IFERROR(INDEX('درجریان وصول'!F:F,MATCH(Table227[[#This Row],[كد تفصيلي]],'درجریان وصول'!A:A,0)),0)</f>
        <v>0</v>
      </c>
      <c r="E52" s="11">
        <f>IFERROR(INDEX('چکهای دریافتنی'!F:F,MATCH(Table227[[#This Row],[كد تفصيلي]],'چکهای دریافتنی'!A:A,0)),0)</f>
        <v>0</v>
      </c>
      <c r="F52" s="11">
        <f>Table227[[#This Row],[حسابهای دریافتنی]]+Table227[[#This Row],[چکهای در جریان وصول]]+Table227[[#This Row],[چکهای نزد صندوق]]</f>
        <v>-180917500</v>
      </c>
      <c r="G52" s="12">
        <f>IFERROR(INDEX('مانده سوفاله'!F:F,MATCH(Table227[[#This Row],[كد تفصيلي]],'مانده سوفاله'!A:A,0)),0)</f>
        <v>0</v>
      </c>
    </row>
    <row r="53" spans="1:7" ht="28.5" customHeight="1" x14ac:dyDescent="0.35">
      <c r="A53" s="27">
        <v>30145</v>
      </c>
      <c r="B53" s="55" t="s">
        <v>265</v>
      </c>
      <c r="C53" s="10">
        <f>IFERROR(INDEX('حسابهای دریافتنی'!H:H,MATCH(Table227[[#This Row],[كد تفصيلي]],'حسابهای دریافتنی'!A:A,0)),0)</f>
        <v>6442500</v>
      </c>
      <c r="D53" s="11">
        <f>IFERROR(INDEX('درجریان وصول'!F:F,MATCH(Table227[[#This Row],[كد تفصيلي]],'درجریان وصول'!A:A,0)),0)</f>
        <v>0</v>
      </c>
      <c r="E53" s="11">
        <f>IFERROR(INDEX('چکهای دریافتنی'!F:F,MATCH(Table227[[#This Row],[كد تفصيلي]],'چکهای دریافتنی'!A:A,0)),0)</f>
        <v>0</v>
      </c>
      <c r="F53" s="11">
        <f>Table227[[#This Row],[حسابهای دریافتنی]]+Table227[[#This Row],[چکهای در جریان وصول]]+Table227[[#This Row],[چکهای نزد صندوق]]</f>
        <v>6442500</v>
      </c>
      <c r="G53" s="12">
        <f>IFERROR(INDEX('مانده سوفاله'!F:F,MATCH(Table227[[#This Row],[كد تفصيلي]],'مانده سوفاله'!A:A,0)),0)</f>
        <v>0</v>
      </c>
    </row>
    <row r="54" spans="1:7" ht="28.5" customHeight="1" x14ac:dyDescent="0.35">
      <c r="A54" s="26">
        <v>30047</v>
      </c>
      <c r="B54" s="56" t="s">
        <v>94</v>
      </c>
      <c r="C54" s="10">
        <f>IFERROR(INDEX('حسابهای دریافتنی'!H:H,MATCH(Table227[[#This Row],[كد تفصيلي]],'حسابهای دریافتنی'!A:A,0)),0)</f>
        <v>5794900</v>
      </c>
      <c r="D54" s="11">
        <f>IFERROR(INDEX('درجریان وصول'!F:F,MATCH(Table227[[#This Row],[كد تفصيلي]],'درجریان وصول'!A:A,0)),0)</f>
        <v>0</v>
      </c>
      <c r="E54" s="11">
        <f>IFERROR(INDEX('چکهای دریافتنی'!F:F,MATCH(Table227[[#This Row],[كد تفصيلي]],'چکهای دریافتنی'!A:A,0)),0)</f>
        <v>0</v>
      </c>
      <c r="F54" s="11">
        <f>Table227[[#This Row],[حسابهای دریافتنی]]+Table227[[#This Row],[چکهای در جریان وصول]]+Table227[[#This Row],[چکهای نزد صندوق]]</f>
        <v>5794900</v>
      </c>
      <c r="G54" s="12">
        <f>IFERROR(INDEX('مانده سوفاله'!F:F,MATCH(Table227[[#This Row],[كد تفصيلي]],'مانده سوفاله'!A:A,0)),0)</f>
        <v>-630</v>
      </c>
    </row>
    <row r="55" spans="1:7" ht="28.5" customHeight="1" x14ac:dyDescent="0.35">
      <c r="A55" s="26">
        <v>30011</v>
      </c>
      <c r="B55" s="56" t="s">
        <v>60</v>
      </c>
      <c r="C55" s="10">
        <f>IFERROR(INDEX('حسابهای دریافتنی'!H:H,MATCH(Table227[[#This Row],[كد تفصيلي]],'حسابهای دریافتنی'!A:A,0)),0)</f>
        <v>5595200</v>
      </c>
      <c r="D55" s="11">
        <f>IFERROR(INDEX('درجریان وصول'!F:F,MATCH(Table227[[#This Row],[كد تفصيلي]],'درجریان وصول'!A:A,0)),0)</f>
        <v>0</v>
      </c>
      <c r="E55" s="11">
        <f>IFERROR(INDEX('چکهای دریافتنی'!F:F,MATCH(Table227[[#This Row],[كد تفصيلي]],'چکهای دریافتنی'!A:A,0)),0)</f>
        <v>0</v>
      </c>
      <c r="F55" s="11">
        <f>Table227[[#This Row],[حسابهای دریافتنی]]+Table227[[#This Row],[چکهای در جریان وصول]]+Table227[[#This Row],[چکهای نزد صندوق]]</f>
        <v>5595200</v>
      </c>
      <c r="G55" s="12">
        <f>IFERROR(INDEX('مانده سوفاله'!F:F,MATCH(Table227[[#This Row],[كد تفصيلي]],'مانده سوفاله'!A:A,0)),0)</f>
        <v>-5</v>
      </c>
    </row>
    <row r="56" spans="1:7" ht="28.5" customHeight="1" x14ac:dyDescent="0.35">
      <c r="A56" s="27">
        <v>10080</v>
      </c>
      <c r="B56" s="55" t="s">
        <v>214</v>
      </c>
      <c r="C56" s="10">
        <f>IFERROR(INDEX('حسابهای دریافتنی'!H:H,MATCH(Table227[[#This Row],[كد تفصيلي]],'حسابهای دریافتنی'!A:A,0)),0)</f>
        <v>5395000</v>
      </c>
      <c r="D56" s="11">
        <f>IFERROR(INDEX('درجریان وصول'!F:F,MATCH(Table227[[#This Row],[كد تفصيلي]],'درجریان وصول'!A:A,0)),0)</f>
        <v>0</v>
      </c>
      <c r="E56" s="11">
        <f>IFERROR(INDEX('چکهای دریافتنی'!F:F,MATCH(Table227[[#This Row],[كد تفصيلي]],'چکهای دریافتنی'!A:A,0)),0)</f>
        <v>0</v>
      </c>
      <c r="F56" s="11">
        <f>Table227[[#This Row],[حسابهای دریافتنی]]+Table227[[#This Row],[چکهای در جریان وصول]]+Table227[[#This Row],[چکهای نزد صندوق]]</f>
        <v>5395000</v>
      </c>
      <c r="G56" s="12">
        <f>IFERROR(INDEX('مانده سوفاله'!F:F,MATCH(Table227[[#This Row],[كد تفصيلي]],'مانده سوفاله'!A:A,0)),0)</f>
        <v>0</v>
      </c>
    </row>
    <row r="57" spans="1:7" ht="28.5" customHeight="1" x14ac:dyDescent="0.35">
      <c r="A57" s="26">
        <v>30114</v>
      </c>
      <c r="B57" s="56" t="s">
        <v>175</v>
      </c>
      <c r="C57" s="10">
        <f>IFERROR(INDEX('حسابهای دریافتنی'!H:H,MATCH(Table227[[#This Row],[كد تفصيلي]],'حسابهای دریافتنی'!A:A,0)),0)</f>
        <v>5385600</v>
      </c>
      <c r="D57" s="11">
        <f>IFERROR(INDEX('درجریان وصول'!F:F,MATCH(Table227[[#This Row],[كد تفصيلي]],'درجریان وصول'!A:A,0)),0)</f>
        <v>0</v>
      </c>
      <c r="E57" s="11">
        <f>IFERROR(INDEX('چکهای دریافتنی'!F:F,MATCH(Table227[[#This Row],[كد تفصيلي]],'چکهای دریافتنی'!A:A,0)),0)</f>
        <v>0</v>
      </c>
      <c r="F57" s="11">
        <f>Table227[[#This Row],[حسابهای دریافتنی]]+Table227[[#This Row],[چکهای در جریان وصول]]+Table227[[#This Row],[چکهای نزد صندوق]]</f>
        <v>5385600</v>
      </c>
      <c r="G57" s="12">
        <f>IFERROR(INDEX('مانده سوفاله'!F:F,MATCH(Table227[[#This Row],[كد تفصيلي]],'مانده سوفاله'!A:A,0)),0)</f>
        <v>0</v>
      </c>
    </row>
    <row r="58" spans="1:7" ht="28.5" customHeight="1" x14ac:dyDescent="0.35">
      <c r="A58" s="27">
        <v>30123</v>
      </c>
      <c r="B58" s="55" t="s">
        <v>208</v>
      </c>
      <c r="C58" s="10">
        <f>IFERROR(INDEX('حسابهای دریافتنی'!H:H,MATCH(Table227[[#This Row],[كد تفصيلي]],'حسابهای دریافتنی'!A:A,0)),0)</f>
        <v>4138250</v>
      </c>
      <c r="D58" s="11">
        <f>IFERROR(INDEX('درجریان وصول'!F:F,MATCH(Table227[[#This Row],[كد تفصيلي]],'درجریان وصول'!A:A,0)),0)</f>
        <v>0</v>
      </c>
      <c r="E58" s="11">
        <f>IFERROR(INDEX('چکهای دریافتنی'!F:F,MATCH(Table227[[#This Row],[كد تفصيلي]],'چکهای دریافتنی'!A:A,0)),0)</f>
        <v>0</v>
      </c>
      <c r="F58" s="11">
        <f>Table227[[#This Row],[حسابهای دریافتنی]]+Table227[[#This Row],[چکهای در جریان وصول]]+Table227[[#This Row],[چکهای نزد صندوق]]</f>
        <v>4138250</v>
      </c>
      <c r="G58" s="12">
        <f>IFERROR(INDEX('مانده سوفاله'!F:F,MATCH(Table227[[#This Row],[كد تفصيلي]],'مانده سوفاله'!A:A,0)),0)</f>
        <v>-20</v>
      </c>
    </row>
    <row r="59" spans="1:7" ht="28.5" customHeight="1" x14ac:dyDescent="0.35">
      <c r="A59" s="26">
        <v>10116</v>
      </c>
      <c r="B59" s="56" t="s">
        <v>321</v>
      </c>
      <c r="C59" s="10">
        <f>IFERROR(INDEX('حسابهای دریافتنی'!H:H,MATCH(Table227[[#This Row],[كد تفصيلي]],'حسابهای دریافتنی'!A:A,0)),0)</f>
        <v>3892500</v>
      </c>
      <c r="D59" s="11">
        <f>IFERROR(INDEX('درجریان وصول'!F:F,MATCH(Table227[[#This Row],[كد تفصيلي]],'درجریان وصول'!A:A,0)),0)</f>
        <v>0</v>
      </c>
      <c r="E59" s="11">
        <f>IFERROR(INDEX('چکهای دریافتنی'!F:F,MATCH(Table227[[#This Row],[كد تفصيلي]],'چکهای دریافتنی'!A:A,0)),0)</f>
        <v>0</v>
      </c>
      <c r="F59" s="11">
        <f>Table227[[#This Row],[حسابهای دریافتنی]]+Table227[[#This Row],[چکهای در جریان وصول]]+Table227[[#This Row],[چکهای نزد صندوق]]</f>
        <v>3892500</v>
      </c>
      <c r="G59" s="12">
        <f>IFERROR(INDEX('مانده سوفاله'!F:F,MATCH(Table227[[#This Row],[كد تفصيلي]],'مانده سوفاله'!A:A,0)),0)</f>
        <v>0</v>
      </c>
    </row>
    <row r="60" spans="1:7" ht="28.5" customHeight="1" x14ac:dyDescent="0.35">
      <c r="A60" s="26">
        <v>30184</v>
      </c>
      <c r="B60" s="56" t="s">
        <v>368</v>
      </c>
      <c r="C60" s="10">
        <f>IFERROR(INDEX('حسابهای دریافتنی'!H:H,MATCH(Table227[[#This Row],[كد تفصيلي]],'حسابهای دریافتنی'!A:A,0)),0)</f>
        <v>904890480</v>
      </c>
      <c r="D60" s="11">
        <f>IFERROR(INDEX('درجریان وصول'!F:F,MATCH(Table227[[#This Row],[كد تفصيلي]],'درجریان وصول'!A:A,0)),0)</f>
        <v>0</v>
      </c>
      <c r="E60" s="11">
        <f>IFERROR(INDEX('چکهای دریافتنی'!F:F,MATCH(Table227[[#This Row],[كد تفصيلي]],'چکهای دریافتنی'!A:A,0)),0)</f>
        <v>0</v>
      </c>
      <c r="F60" s="11">
        <f>Table227[[#This Row],[حسابهای دریافتنی]]+Table227[[#This Row],[چکهای در جریان وصول]]+Table227[[#This Row],[چکهای نزد صندوق]]</f>
        <v>904890480</v>
      </c>
      <c r="G60" s="12">
        <f>IFERROR(INDEX('مانده سوفاله'!F:F,MATCH(Table227[[#This Row],[كد تفصيلي]],'مانده سوفاله'!A:A,0)),0)</f>
        <v>-100</v>
      </c>
    </row>
    <row r="61" spans="1:7" ht="28.5" customHeight="1" x14ac:dyDescent="0.35">
      <c r="A61" s="26">
        <v>10122</v>
      </c>
      <c r="B61" s="56" t="s">
        <v>339</v>
      </c>
      <c r="C61" s="10">
        <f>IFERROR(INDEX('حسابهای دریافتنی'!H:H,MATCH(Table227[[#This Row],[كد تفصيلي]],'حسابهای دریافتنی'!A:A,0)),0)</f>
        <v>3375000</v>
      </c>
      <c r="D61" s="11">
        <f>IFERROR(INDEX('درجریان وصول'!F:F,MATCH(Table227[[#This Row],[كد تفصيلي]],'درجریان وصول'!A:A,0)),0)</f>
        <v>0</v>
      </c>
      <c r="E61" s="11">
        <f>IFERROR(INDEX('چکهای دریافتنی'!F:F,MATCH(Table227[[#This Row],[كد تفصيلي]],'چکهای دریافتنی'!A:A,0)),0)</f>
        <v>0</v>
      </c>
      <c r="F61" s="11">
        <f>Table227[[#This Row],[حسابهای دریافتنی]]+Table227[[#This Row],[چکهای در جریان وصول]]+Table227[[#This Row],[چکهای نزد صندوق]]</f>
        <v>3375000</v>
      </c>
      <c r="G61" s="12">
        <f>IFERROR(INDEX('مانده سوفاله'!F:F,MATCH(Table227[[#This Row],[كد تفصيلي]],'مانده سوفاله'!A:A,0)),0)</f>
        <v>0</v>
      </c>
    </row>
    <row r="62" spans="1:7" ht="28.5" customHeight="1" x14ac:dyDescent="0.35">
      <c r="A62" s="27">
        <v>10030</v>
      </c>
      <c r="B62" s="55" t="s">
        <v>36</v>
      </c>
      <c r="C62" s="10">
        <f>IFERROR(INDEX('حسابهای دریافتنی'!H:H,MATCH(Table227[[#This Row],[كد تفصيلي]],'حسابهای دریافتنی'!A:A,0)),0)</f>
        <v>3272000</v>
      </c>
      <c r="D62" s="11">
        <f>IFERROR(INDEX('درجریان وصول'!F:F,MATCH(Table227[[#This Row],[كد تفصيلي]],'درجریان وصول'!A:A,0)),0)</f>
        <v>0</v>
      </c>
      <c r="E62" s="11">
        <f>IFERROR(INDEX('چکهای دریافتنی'!F:F,MATCH(Table227[[#This Row],[كد تفصيلي]],'چکهای دریافتنی'!A:A,0)),0)</f>
        <v>0</v>
      </c>
      <c r="F62" s="11">
        <f>Table227[[#This Row],[حسابهای دریافتنی]]+Table227[[#This Row],[چکهای در جریان وصول]]+Table227[[#This Row],[چکهای نزد صندوق]]</f>
        <v>3272000</v>
      </c>
      <c r="G62" s="12">
        <f>IFERROR(INDEX('مانده سوفاله'!F:F,MATCH(Table227[[#This Row],[كد تفصيلي]],'مانده سوفاله'!A:A,0)),0)</f>
        <v>-222</v>
      </c>
    </row>
    <row r="63" spans="1:7" ht="28.5" customHeight="1" x14ac:dyDescent="0.35">
      <c r="A63" s="26">
        <v>30178</v>
      </c>
      <c r="B63" s="56" t="s">
        <v>335</v>
      </c>
      <c r="C63" s="10">
        <f>IFERROR(INDEX('حسابهای دریافتنی'!H:H,MATCH(Table227[[#This Row],[كد تفصيلي]],'حسابهای دریافتنی'!A:A,0)),0)</f>
        <v>3040000</v>
      </c>
      <c r="D63" s="11">
        <f>IFERROR(INDEX('درجریان وصول'!F:F,MATCH(Table227[[#This Row],[كد تفصيلي]],'درجریان وصول'!A:A,0)),0)</f>
        <v>0</v>
      </c>
      <c r="E63" s="11">
        <f>IFERROR(INDEX('چکهای دریافتنی'!F:F,MATCH(Table227[[#This Row],[كد تفصيلي]],'چکهای دریافتنی'!A:A,0)),0)</f>
        <v>0</v>
      </c>
      <c r="F63" s="11">
        <f>Table227[[#This Row],[حسابهای دریافتنی]]+Table227[[#This Row],[چکهای در جریان وصول]]+Table227[[#This Row],[چکهای نزد صندوق]]</f>
        <v>3040000</v>
      </c>
      <c r="G63" s="12">
        <f>IFERROR(INDEX('مانده سوفاله'!F:F,MATCH(Table227[[#This Row],[كد تفصيلي]],'مانده سوفاله'!A:A,0)),0)</f>
        <v>0</v>
      </c>
    </row>
    <row r="64" spans="1:7" ht="28.5" customHeight="1" x14ac:dyDescent="0.35">
      <c r="A64" s="27">
        <v>30020</v>
      </c>
      <c r="B64" s="55" t="s">
        <v>68</v>
      </c>
      <c r="C64" s="10">
        <f>IFERROR(INDEX('حسابهای دریافتنی'!H:H,MATCH(Table227[[#This Row],[كد تفصيلي]],'حسابهای دریافتنی'!A:A,0)),0)</f>
        <v>2253500</v>
      </c>
      <c r="D64" s="11">
        <f>IFERROR(INDEX('درجریان وصول'!F:F,MATCH(Table227[[#This Row],[كد تفصيلي]],'درجریان وصول'!A:A,0)),0)</f>
        <v>0</v>
      </c>
      <c r="E64" s="11">
        <f>IFERROR(INDEX('چکهای دریافتنی'!F:F,MATCH(Table227[[#This Row],[كد تفصيلي]],'چکهای دریافتنی'!A:A,0)),0)</f>
        <v>0</v>
      </c>
      <c r="F64" s="11">
        <f>Table227[[#This Row],[حسابهای دریافتنی]]+Table227[[#This Row],[چکهای در جریان وصول]]+Table227[[#This Row],[چکهای نزد صندوق]]</f>
        <v>2253500</v>
      </c>
      <c r="G64" s="12">
        <f>IFERROR(INDEX('مانده سوفاله'!F:F,MATCH(Table227[[#This Row],[كد تفصيلي]],'مانده سوفاله'!A:A,0)),0)</f>
        <v>4</v>
      </c>
    </row>
    <row r="65" spans="1:7" ht="28.5" customHeight="1" x14ac:dyDescent="0.35">
      <c r="A65" s="26">
        <v>30084</v>
      </c>
      <c r="B65" s="56" t="s">
        <v>129</v>
      </c>
      <c r="C65" s="10">
        <f>IFERROR(INDEX('حسابهای دریافتنی'!H:H,MATCH(Table227[[#This Row],[كد تفصيلي]],'حسابهای دریافتنی'!A:A,0)),0)</f>
        <v>1220000</v>
      </c>
      <c r="D65" s="11">
        <f>IFERROR(INDEX('درجریان وصول'!F:F,MATCH(Table227[[#This Row],[كد تفصيلي]],'درجریان وصول'!A:A,0)),0)</f>
        <v>0</v>
      </c>
      <c r="E65" s="11">
        <f>IFERROR(INDEX('چکهای دریافتنی'!F:F,MATCH(Table227[[#This Row],[كد تفصيلي]],'چکهای دریافتنی'!A:A,0)),0)</f>
        <v>0</v>
      </c>
      <c r="F65" s="11">
        <f>Table227[[#This Row],[حسابهای دریافتنی]]+Table227[[#This Row],[چکهای در جریان وصول]]+Table227[[#This Row],[چکهای نزد صندوق]]</f>
        <v>1220000</v>
      </c>
      <c r="G65" s="12">
        <f>IFERROR(INDEX('مانده سوفاله'!F:F,MATCH(Table227[[#This Row],[كد تفصيلي]],'مانده سوفاله'!A:A,0)),0)</f>
        <v>0</v>
      </c>
    </row>
    <row r="66" spans="1:7" ht="28.5" customHeight="1" x14ac:dyDescent="0.35">
      <c r="A66" s="27">
        <v>79055</v>
      </c>
      <c r="B66" s="55" t="s">
        <v>297</v>
      </c>
      <c r="C66" s="10">
        <f>IFERROR(INDEX('حسابهای دریافتنی'!H:H,MATCH(Table227[[#This Row],[كد تفصيلي]],'حسابهای دریافتنی'!A:A,0)),0)</f>
        <v>896500</v>
      </c>
      <c r="D66" s="11">
        <f>IFERROR(INDEX('درجریان وصول'!F:F,MATCH(Table227[[#This Row],[كد تفصيلي]],'درجریان وصول'!A:A,0)),0)</f>
        <v>0</v>
      </c>
      <c r="E66" s="11">
        <f>IFERROR(INDEX('چکهای دریافتنی'!F:F,MATCH(Table227[[#This Row],[كد تفصيلي]],'چکهای دریافتنی'!A:A,0)),0)</f>
        <v>0</v>
      </c>
      <c r="F66" s="11">
        <f>Table227[[#This Row],[حسابهای دریافتنی]]+Table227[[#This Row],[چکهای در جریان وصول]]+Table227[[#This Row],[چکهای نزد صندوق]]</f>
        <v>896500</v>
      </c>
      <c r="G66" s="12">
        <f>IFERROR(INDEX('مانده سوفاله'!F:F,MATCH(Table227[[#This Row],[كد تفصيلي]],'مانده سوفاله'!A:A,0)),0)</f>
        <v>0</v>
      </c>
    </row>
    <row r="67" spans="1:7" ht="28.5" customHeight="1" x14ac:dyDescent="0.35">
      <c r="A67" s="27">
        <v>30030</v>
      </c>
      <c r="B67" s="55" t="s">
        <v>77</v>
      </c>
      <c r="C67" s="10">
        <f>IFERROR(INDEX('حسابهای دریافتنی'!H:H,MATCH(Table227[[#This Row],[كد تفصيلي]],'حسابهای دریافتنی'!A:A,0)),0)</f>
        <v>850500</v>
      </c>
      <c r="D67" s="11">
        <f>IFERROR(INDEX('درجریان وصول'!F:F,MATCH(Table227[[#This Row],[كد تفصيلي]],'درجریان وصول'!A:A,0)),0)</f>
        <v>0</v>
      </c>
      <c r="E67" s="11">
        <f>IFERROR(INDEX('چکهای دریافتنی'!F:F,MATCH(Table227[[#This Row],[كد تفصيلي]],'چکهای دریافتنی'!A:A,0)),0)</f>
        <v>0</v>
      </c>
      <c r="F67" s="11">
        <f>Table227[[#This Row],[حسابهای دریافتنی]]+Table227[[#This Row],[چکهای در جریان وصول]]+Table227[[#This Row],[چکهای نزد صندوق]]</f>
        <v>850500</v>
      </c>
      <c r="G67" s="12">
        <f>IFERROR(INDEX('مانده سوفاله'!F:F,MATCH(Table227[[#This Row],[كد تفصيلي]],'مانده سوفاله'!A:A,0)),0)</f>
        <v>-49</v>
      </c>
    </row>
    <row r="68" spans="1:7" ht="28.5" customHeight="1" x14ac:dyDescent="0.35">
      <c r="A68" s="27">
        <v>30129</v>
      </c>
      <c r="B68" s="55" t="s">
        <v>178</v>
      </c>
      <c r="C68" s="10">
        <f>IFERROR(INDEX('حسابهای دریافتنی'!H:H,MATCH(Table227[[#This Row],[كد تفصيلي]],'حسابهای دریافتنی'!A:A,0)),0)</f>
        <v>783000</v>
      </c>
      <c r="D68" s="11">
        <f>IFERROR(INDEX('درجریان وصول'!F:F,MATCH(Table227[[#This Row],[كد تفصيلي]],'درجریان وصول'!A:A,0)),0)</f>
        <v>0</v>
      </c>
      <c r="E68" s="11">
        <f>IFERROR(INDEX('چکهای دریافتنی'!F:F,MATCH(Table227[[#This Row],[كد تفصيلي]],'چکهای دریافتنی'!A:A,0)),0)</f>
        <v>0</v>
      </c>
      <c r="F68" s="11">
        <f>Table227[[#This Row],[حسابهای دریافتنی]]+Table227[[#This Row],[چکهای در جریان وصول]]+Table227[[#This Row],[چکهای نزد صندوق]]</f>
        <v>783000</v>
      </c>
      <c r="G68" s="12">
        <f>IFERROR(INDEX('مانده سوفاله'!F:F,MATCH(Table227[[#This Row],[كد تفصيلي]],'مانده سوفاله'!A:A,0)),0)</f>
        <v>0</v>
      </c>
    </row>
    <row r="69" spans="1:7" ht="28.5" customHeight="1" x14ac:dyDescent="0.35">
      <c r="A69" s="26">
        <v>30090</v>
      </c>
      <c r="B69" s="56" t="s">
        <v>144</v>
      </c>
      <c r="C69" s="10">
        <f>IFERROR(INDEX('حسابهای دریافتنی'!H:H,MATCH(Table227[[#This Row],[كد تفصيلي]],'حسابهای دریافتنی'!A:A,0)),0)</f>
        <v>640100</v>
      </c>
      <c r="D69" s="11">
        <f>IFERROR(INDEX('درجریان وصول'!F:F,MATCH(Table227[[#This Row],[كد تفصيلي]],'درجریان وصول'!A:A,0)),0)</f>
        <v>0</v>
      </c>
      <c r="E69" s="11">
        <f>IFERROR(INDEX('چکهای دریافتنی'!F:F,MATCH(Table227[[#This Row],[كد تفصيلي]],'چکهای دریافتنی'!A:A,0)),0)</f>
        <v>0</v>
      </c>
      <c r="F69" s="11">
        <f>Table227[[#This Row],[حسابهای دریافتنی]]+Table227[[#This Row],[چکهای در جریان وصول]]+Table227[[#This Row],[چکهای نزد صندوق]]</f>
        <v>640100</v>
      </c>
      <c r="G69" s="12">
        <f>IFERROR(INDEX('مانده سوفاله'!F:F,MATCH(Table227[[#This Row],[كد تفصيلي]],'مانده سوفاله'!A:A,0)),0)</f>
        <v>0</v>
      </c>
    </row>
    <row r="70" spans="1:7" ht="28.5" customHeight="1" x14ac:dyDescent="0.35">
      <c r="A70" s="27">
        <v>30109</v>
      </c>
      <c r="B70" s="55" t="s">
        <v>165</v>
      </c>
      <c r="C70" s="10">
        <f>IFERROR(INDEX('حسابهای دریافتنی'!H:H,MATCH(Table227[[#This Row],[كد تفصيلي]],'حسابهای دریافتنی'!A:A,0)),0)</f>
        <v>607300</v>
      </c>
      <c r="D70" s="11">
        <f>IFERROR(INDEX('درجریان وصول'!F:F,MATCH(Table227[[#This Row],[كد تفصيلي]],'درجریان وصول'!A:A,0)),0)</f>
        <v>0</v>
      </c>
      <c r="E70" s="11">
        <f>IFERROR(INDEX('چکهای دریافتنی'!F:F,MATCH(Table227[[#This Row],[كد تفصيلي]],'چکهای دریافتنی'!A:A,0)),0)</f>
        <v>0</v>
      </c>
      <c r="F70" s="11">
        <f>Table227[[#This Row],[حسابهای دریافتنی]]+Table227[[#This Row],[چکهای در جریان وصول]]+Table227[[#This Row],[چکهای نزد صندوق]]</f>
        <v>607300</v>
      </c>
      <c r="G70" s="12">
        <f>IFERROR(INDEX('مانده سوفاله'!F:F,MATCH(Table227[[#This Row],[كد تفصيلي]],'مانده سوفاله'!A:A,0)),0)</f>
        <v>0</v>
      </c>
    </row>
    <row r="71" spans="1:7" ht="28.5" customHeight="1" x14ac:dyDescent="0.35">
      <c r="A71" s="27">
        <v>30010</v>
      </c>
      <c r="B71" s="55" t="s">
        <v>59</v>
      </c>
      <c r="C71" s="10">
        <f>IFERROR(INDEX('حسابهای دریافتنی'!H:H,MATCH(Table227[[#This Row],[كد تفصيلي]],'حسابهای دریافتنی'!A:A,0)),0)</f>
        <v>366215</v>
      </c>
      <c r="D71" s="11">
        <f>IFERROR(INDEX('درجریان وصول'!F:F,MATCH(Table227[[#This Row],[كد تفصيلي]],'درجریان وصول'!A:A,0)),0)</f>
        <v>0</v>
      </c>
      <c r="E71" s="11">
        <f>IFERROR(INDEX('چکهای دریافتنی'!F:F,MATCH(Table227[[#This Row],[كد تفصيلي]],'چکهای دریافتنی'!A:A,0)),0)</f>
        <v>0</v>
      </c>
      <c r="F71" s="11">
        <f>Table227[[#This Row],[حسابهای دریافتنی]]+Table227[[#This Row],[چکهای در جریان وصول]]+Table227[[#This Row],[چکهای نزد صندوق]]</f>
        <v>366215</v>
      </c>
      <c r="G71" s="12">
        <f>IFERROR(INDEX('مانده سوفاله'!F:F,MATCH(Table227[[#This Row],[كد تفصيلي]],'مانده سوفاله'!A:A,0)),0)</f>
        <v>8</v>
      </c>
    </row>
    <row r="72" spans="1:7" ht="28.5" customHeight="1" x14ac:dyDescent="0.35">
      <c r="A72" s="27">
        <v>30077</v>
      </c>
      <c r="B72" s="55" t="s">
        <v>122</v>
      </c>
      <c r="C72" s="10">
        <f>IFERROR(INDEX('حسابهای دریافتنی'!H:H,MATCH(Table227[[#This Row],[كد تفصيلي]],'حسابهای دریافتنی'!A:A,0)),0)</f>
        <v>360000</v>
      </c>
      <c r="D72" s="11">
        <f>IFERROR(INDEX('درجریان وصول'!F:F,MATCH(Table227[[#This Row],[كد تفصيلي]],'درجریان وصول'!A:A,0)),0)</f>
        <v>0</v>
      </c>
      <c r="E72" s="11">
        <f>IFERROR(INDEX('چکهای دریافتنی'!F:F,MATCH(Table227[[#This Row],[كد تفصيلي]],'چکهای دریافتنی'!A:A,0)),0)</f>
        <v>0</v>
      </c>
      <c r="F72" s="11">
        <f>Table227[[#This Row],[حسابهای دریافتنی]]+Table227[[#This Row],[چکهای در جریان وصول]]+Table227[[#This Row],[چکهای نزد صندوق]]</f>
        <v>360000</v>
      </c>
      <c r="G72" s="12">
        <f>IFERROR(INDEX('مانده سوفاله'!F:F,MATCH(Table227[[#This Row],[كد تفصيلي]],'مانده سوفاله'!A:A,0)),0)</f>
        <v>-32</v>
      </c>
    </row>
    <row r="73" spans="1:7" ht="28.5" customHeight="1" x14ac:dyDescent="0.35">
      <c r="A73" s="26">
        <v>30027</v>
      </c>
      <c r="B73" s="56" t="s">
        <v>75</v>
      </c>
      <c r="C73" s="10">
        <f>IFERROR(INDEX('حسابهای دریافتنی'!H:H,MATCH(Table227[[#This Row],[كد تفصيلي]],'حسابهای دریافتنی'!A:A,0)),0)</f>
        <v>326950</v>
      </c>
      <c r="D73" s="11">
        <f>IFERROR(INDEX('درجریان وصول'!F:F,MATCH(Table227[[#This Row],[كد تفصيلي]],'درجریان وصول'!A:A,0)),0)</f>
        <v>0</v>
      </c>
      <c r="E73" s="11">
        <f>IFERROR(INDEX('چکهای دریافتنی'!F:F,MATCH(Table227[[#This Row],[كد تفصيلي]],'چکهای دریافتنی'!A:A,0)),0)</f>
        <v>0</v>
      </c>
      <c r="F73" s="11">
        <f>Table227[[#This Row],[حسابهای دریافتنی]]+Table227[[#This Row],[چکهای در جریان وصول]]+Table227[[#This Row],[چکهای نزد صندوق]]</f>
        <v>326950</v>
      </c>
      <c r="G73" s="12">
        <f>IFERROR(INDEX('مانده سوفاله'!F:F,MATCH(Table227[[#This Row],[كد تفصيلي]],'مانده سوفاله'!A:A,0)),0)</f>
        <v>0</v>
      </c>
    </row>
    <row r="74" spans="1:7" ht="28.5" customHeight="1" x14ac:dyDescent="0.35">
      <c r="A74" s="27">
        <v>30135</v>
      </c>
      <c r="B74" s="55" t="s">
        <v>179</v>
      </c>
      <c r="C74" s="10">
        <f>IFERROR(INDEX('حسابهای دریافتنی'!H:H,MATCH(Table227[[#This Row],[كد تفصيلي]],'حسابهای دریافتنی'!A:A,0)),0)</f>
        <v>195000</v>
      </c>
      <c r="D74" s="11">
        <f>IFERROR(INDEX('درجریان وصول'!F:F,MATCH(Table227[[#This Row],[كد تفصيلي]],'درجریان وصول'!A:A,0)),0)</f>
        <v>0</v>
      </c>
      <c r="E74" s="11">
        <f>IFERROR(INDEX('چکهای دریافتنی'!F:F,MATCH(Table227[[#This Row],[كد تفصيلي]],'چکهای دریافتنی'!A:A,0)),0)</f>
        <v>0</v>
      </c>
      <c r="F74" s="11">
        <f>Table227[[#This Row],[حسابهای دریافتنی]]+Table227[[#This Row],[چکهای در جریان وصول]]+Table227[[#This Row],[چکهای نزد صندوق]]</f>
        <v>195000</v>
      </c>
      <c r="G74" s="12">
        <f>IFERROR(INDEX('مانده سوفاله'!F:F,MATCH(Table227[[#This Row],[كد تفصيلي]],'مانده سوفاله'!A:A,0)),0)</f>
        <v>-5</v>
      </c>
    </row>
    <row r="75" spans="1:7" ht="28.5" customHeight="1" x14ac:dyDescent="0.35">
      <c r="A75" s="27">
        <v>10088</v>
      </c>
      <c r="B75" s="55" t="s">
        <v>254</v>
      </c>
      <c r="C75" s="10">
        <f>IFERROR(INDEX('حسابهای دریافتنی'!H:H,MATCH(Table227[[#This Row],[كد تفصيلي]],'حسابهای دریافتنی'!A:A,0)),0)</f>
        <v>113500</v>
      </c>
      <c r="D75" s="11">
        <f>IFERROR(INDEX('درجریان وصول'!F:F,MATCH(Table227[[#This Row],[كد تفصيلي]],'درجریان وصول'!A:A,0)),0)</f>
        <v>0</v>
      </c>
      <c r="E75" s="11">
        <f>IFERROR(INDEX('چکهای دریافتنی'!F:F,MATCH(Table227[[#This Row],[كد تفصيلي]],'چکهای دریافتنی'!A:A,0)),0)</f>
        <v>0</v>
      </c>
      <c r="F75" s="11">
        <f>Table227[[#This Row],[حسابهای دریافتنی]]+Table227[[#This Row],[چکهای در جریان وصول]]+Table227[[#This Row],[چکهای نزد صندوق]]</f>
        <v>113500</v>
      </c>
      <c r="G75" s="12">
        <f>IFERROR(INDEX('مانده سوفاله'!F:F,MATCH(Table227[[#This Row],[كد تفصيلي]],'مانده سوفاله'!A:A,0)),0)</f>
        <v>0</v>
      </c>
    </row>
    <row r="76" spans="1:7" ht="28.5" customHeight="1" x14ac:dyDescent="0.35">
      <c r="A76" s="26">
        <v>30019</v>
      </c>
      <c r="B76" s="56" t="s">
        <v>67</v>
      </c>
      <c r="C76" s="10">
        <f>IFERROR(INDEX('حسابهای دریافتنی'!H:H,MATCH(Table227[[#This Row],[كد تفصيلي]],'حسابهای دریافتنی'!A:A,0)),0)</f>
        <v>823484840</v>
      </c>
      <c r="D76" s="11">
        <f>IFERROR(INDEX('درجریان وصول'!F:F,MATCH(Table227[[#This Row],[كد تفصيلي]],'درجریان وصول'!A:A,0)),0)</f>
        <v>0</v>
      </c>
      <c r="E76" s="11">
        <f>IFERROR(INDEX('چکهای دریافتنی'!F:F,MATCH(Table227[[#This Row],[كد تفصيلي]],'چکهای دریافتنی'!A:A,0)),0)</f>
        <v>0</v>
      </c>
      <c r="F76" s="11">
        <f>Table227[[#This Row],[حسابهای دریافتنی]]+Table227[[#This Row],[چکهای در جریان وصول]]+Table227[[#This Row],[چکهای نزد صندوق]]</f>
        <v>823484840</v>
      </c>
      <c r="G76" s="12">
        <f>IFERROR(INDEX('مانده سوفاله'!F:F,MATCH(Table227[[#This Row],[كد تفصيلي]],'مانده سوفاله'!A:A,0)),0)</f>
        <v>612</v>
      </c>
    </row>
    <row r="77" spans="1:7" ht="28.5" customHeight="1" x14ac:dyDescent="0.35">
      <c r="A77" s="26">
        <v>10091</v>
      </c>
      <c r="B77" s="56" t="s">
        <v>258</v>
      </c>
      <c r="C77" s="10">
        <f>IFERROR(INDEX('حسابهای دریافتنی'!H:H,MATCH(Table227[[#This Row],[كد تفصيلي]],'حسابهای دریافتنی'!A:A,0)),0)</f>
        <v>59321500</v>
      </c>
      <c r="D77" s="11">
        <f>IFERROR(INDEX('درجریان وصول'!F:F,MATCH(Table227[[#This Row],[كد تفصيلي]],'درجریان وصول'!A:A,0)),0)</f>
        <v>0</v>
      </c>
      <c r="E77" s="11">
        <f>IFERROR(INDEX('چکهای دریافتنی'!F:F,MATCH(Table227[[#This Row],[كد تفصيلي]],'چکهای دریافتنی'!A:A,0)),0)</f>
        <v>0</v>
      </c>
      <c r="F77" s="11">
        <f>Table227[[#This Row],[حسابهای دریافتنی]]+Table227[[#This Row],[چکهای در جریان وصول]]+Table227[[#This Row],[چکهای نزد صندوق]]</f>
        <v>59321500</v>
      </c>
      <c r="G77" s="12">
        <f>IFERROR(INDEX('مانده سوفاله'!F:F,MATCH(Table227[[#This Row],[كد تفصيلي]],'مانده سوفاله'!A:A,0)),0)</f>
        <v>0</v>
      </c>
    </row>
    <row r="78" spans="1:7" ht="28.5" customHeight="1" x14ac:dyDescent="0.35">
      <c r="A78" s="27">
        <v>10010</v>
      </c>
      <c r="B78" s="55" t="s">
        <v>17</v>
      </c>
      <c r="C78" s="10">
        <f>IFERROR(INDEX('حسابهای دریافتنی'!H:H,MATCH(Table227[[#This Row],[كد تفصيلي]],'حسابهای دریافتنی'!A:A,0)),0)</f>
        <v>0</v>
      </c>
      <c r="D78" s="11">
        <f>IFERROR(INDEX('درجریان وصول'!F:F,MATCH(Table227[[#This Row],[كد تفصيلي]],'درجریان وصول'!A:A,0)),0)</f>
        <v>0</v>
      </c>
      <c r="E78" s="11">
        <f>IFERROR(INDEX('چکهای دریافتنی'!F:F,MATCH(Table227[[#This Row],[كد تفصيلي]],'چکهای دریافتنی'!A:A,0)),0)</f>
        <v>0</v>
      </c>
      <c r="F78" s="11">
        <f>Table227[[#This Row],[حسابهای دریافتنی]]+Table227[[#This Row],[چکهای در جریان وصول]]+Table227[[#This Row],[چکهای نزد صندوق]]</f>
        <v>0</v>
      </c>
      <c r="G78" s="12">
        <f>IFERROR(INDEX('مانده سوفاله'!F:F,MATCH(Table227[[#This Row],[كد تفصيلي]],'مانده سوفاله'!A:A,0)),0)</f>
        <v>8</v>
      </c>
    </row>
    <row r="79" spans="1:7" ht="28.5" customHeight="1" x14ac:dyDescent="0.35">
      <c r="A79" s="27">
        <v>10014</v>
      </c>
      <c r="B79" s="55" t="s">
        <v>21</v>
      </c>
      <c r="C79" s="10">
        <f>IFERROR(INDEX('حسابهای دریافتنی'!H:H,MATCH(Table227[[#This Row],[كد تفصيلي]],'حسابهای دریافتنی'!A:A,0)),0)</f>
        <v>0</v>
      </c>
      <c r="D79" s="11">
        <f>IFERROR(INDEX('درجریان وصول'!F:F,MATCH(Table227[[#This Row],[كد تفصيلي]],'درجریان وصول'!A:A,0)),0)</f>
        <v>0</v>
      </c>
      <c r="E79" s="11">
        <f>IFERROR(INDEX('چکهای دریافتنی'!F:F,MATCH(Table227[[#This Row],[كد تفصيلي]],'چکهای دریافتنی'!A:A,0)),0)</f>
        <v>0</v>
      </c>
      <c r="F79" s="11">
        <f>Table227[[#This Row],[حسابهای دریافتنی]]+Table227[[#This Row],[چکهای در جریان وصول]]+Table227[[#This Row],[چکهای نزد صندوق]]</f>
        <v>0</v>
      </c>
      <c r="G79" s="12">
        <f>IFERROR(INDEX('مانده سوفاله'!F:F,MATCH(Table227[[#This Row],[كد تفصيلي]],'مانده سوفاله'!A:A,0)),0)</f>
        <v>21</v>
      </c>
    </row>
    <row r="80" spans="1:7" ht="28.5" customHeight="1" x14ac:dyDescent="0.35">
      <c r="A80" s="26">
        <v>10023</v>
      </c>
      <c r="B80" s="56" t="s">
        <v>155</v>
      </c>
      <c r="C80" s="10">
        <f>IFERROR(INDEX('حسابهای دریافتنی'!H:H,MATCH(Table227[[#This Row],[كد تفصيلي]],'حسابهای دریافتنی'!A:A,0)),0)</f>
        <v>0</v>
      </c>
      <c r="D80" s="11">
        <f>IFERROR(INDEX('درجریان وصول'!F:F,MATCH(Table227[[#This Row],[كد تفصيلي]],'درجریان وصول'!A:A,0)),0)</f>
        <v>0</v>
      </c>
      <c r="E80" s="11">
        <f>IFERROR(INDEX('چکهای دریافتنی'!F:F,MATCH(Table227[[#This Row],[كد تفصيلي]],'چکهای دریافتنی'!A:A,0)),0)</f>
        <v>0</v>
      </c>
      <c r="F80" s="11">
        <f>Table227[[#This Row],[حسابهای دریافتنی]]+Table227[[#This Row],[چکهای در جریان وصول]]+Table227[[#This Row],[چکهای نزد صندوق]]</f>
        <v>0</v>
      </c>
      <c r="G80" s="12">
        <f>IFERROR(INDEX('مانده سوفاله'!F:F,MATCH(Table227[[#This Row],[كد تفصيلي]],'مانده سوفاله'!A:A,0)),0)</f>
        <v>6</v>
      </c>
    </row>
    <row r="81" spans="1:7" ht="28.5" customHeight="1" x14ac:dyDescent="0.35">
      <c r="A81" s="26">
        <v>10039</v>
      </c>
      <c r="B81" s="56" t="s">
        <v>45</v>
      </c>
      <c r="C81" s="10">
        <f>IFERROR(INDEX('حسابهای دریافتنی'!H:H,MATCH(Table227[[#This Row],[كد تفصيلي]],'حسابهای دریافتنی'!A:A,0)),0)</f>
        <v>0</v>
      </c>
      <c r="D81" s="11">
        <f>IFERROR(INDEX('درجریان وصول'!F:F,MATCH(Table227[[#This Row],[كد تفصيلي]],'درجریان وصول'!A:A,0)),0)</f>
        <v>0</v>
      </c>
      <c r="E81" s="11">
        <f>IFERROR(INDEX('چکهای دریافتنی'!F:F,MATCH(Table227[[#This Row],[كد تفصيلي]],'چکهای دریافتنی'!A:A,0)),0)</f>
        <v>0</v>
      </c>
      <c r="F81" s="11">
        <f>Table227[[#This Row],[حسابهای دریافتنی]]+Table227[[#This Row],[چکهای در جریان وصول]]+Table227[[#This Row],[چکهای نزد صندوق]]</f>
        <v>0</v>
      </c>
      <c r="G81" s="12">
        <f>IFERROR(INDEX('مانده سوفاله'!F:F,MATCH(Table227[[#This Row],[كد تفصيلي]],'مانده سوفاله'!A:A,0)),0)</f>
        <v>4</v>
      </c>
    </row>
    <row r="82" spans="1:7" customFormat="1" ht="28.5" customHeight="1" x14ac:dyDescent="0.35">
      <c r="A82" s="54">
        <v>10046</v>
      </c>
      <c r="B82" s="55" t="s">
        <v>51</v>
      </c>
      <c r="C82" s="10">
        <f>IFERROR(INDEX('حسابهای دریافتنی'!H:H,MATCH(Table227[[#This Row],[كد تفصيلي]],'حسابهای دریافتنی'!A:A,0)),0)</f>
        <v>0</v>
      </c>
      <c r="D82" s="11">
        <f>IFERROR(INDEX('درجریان وصول'!F:F,MATCH(Table227[[#This Row],[كد تفصيلي]],'درجریان وصول'!A:A,0)),0)</f>
        <v>0</v>
      </c>
      <c r="E82" s="11">
        <f>IFERROR(INDEX('چکهای دریافتنی'!F:F,MATCH(Table227[[#This Row],[كد تفصيلي]],'چکهای دریافتنی'!A:A,0)),0)</f>
        <v>0</v>
      </c>
      <c r="F82" s="11">
        <f>Table227[[#This Row],[حسابهای دریافتنی]]+Table227[[#This Row],[چکهای در جریان وصول]]+Table227[[#This Row],[چکهای نزد صندوق]]</f>
        <v>0</v>
      </c>
      <c r="G82" s="12">
        <f>IFERROR(INDEX('مانده سوفاله'!F:F,MATCH(Table227[[#This Row],[كد تفصيلي]],'مانده سوفاله'!A:A,0)),0)</f>
        <v>118</v>
      </c>
    </row>
    <row r="83" spans="1:7" customFormat="1" ht="28.5" customHeight="1" x14ac:dyDescent="0.35">
      <c r="A83" s="53">
        <v>10065</v>
      </c>
      <c r="B83" s="56" t="s">
        <v>228</v>
      </c>
      <c r="C83" s="10">
        <f>IFERROR(INDEX('حسابهای دریافتنی'!H:H,MATCH(Table227[[#This Row],[كد تفصيلي]],'حسابهای دریافتنی'!A:A,0)),0)</f>
        <v>0</v>
      </c>
      <c r="D83" s="11">
        <f>IFERROR(INDEX('درجریان وصول'!F:F,MATCH(Table227[[#This Row],[كد تفصيلي]],'درجریان وصول'!A:A,0)),0)</f>
        <v>0</v>
      </c>
      <c r="E83" s="11">
        <f>IFERROR(INDEX('چکهای دریافتنی'!F:F,MATCH(Table227[[#This Row],[كد تفصيلي]],'چکهای دریافتنی'!A:A,0)),0)</f>
        <v>0</v>
      </c>
      <c r="F83" s="11">
        <f>Table227[[#This Row],[حسابهای دریافتنی]]+Table227[[#This Row],[چکهای در جریان وصول]]+Table227[[#This Row],[چکهای نزد صندوق]]</f>
        <v>0</v>
      </c>
      <c r="G83" s="12">
        <f>IFERROR(INDEX('مانده سوفاله'!F:F,MATCH(Table227[[#This Row],[كد تفصيلي]],'مانده سوفاله'!A:A,0)),0)</f>
        <v>127</v>
      </c>
    </row>
    <row r="84" spans="1:7" customFormat="1" ht="28.5" customHeight="1" x14ac:dyDescent="0.35">
      <c r="A84" s="54">
        <v>10076</v>
      </c>
      <c r="B84" s="55" t="s">
        <v>182</v>
      </c>
      <c r="C84" s="10">
        <f>IFERROR(INDEX('حسابهای دریافتنی'!H:H,MATCH(Table227[[#This Row],[كد تفصيلي]],'حسابهای دریافتنی'!A:A,0)),0)</f>
        <v>0</v>
      </c>
      <c r="D84" s="11">
        <f>IFERROR(INDEX('درجریان وصول'!F:F,MATCH(Table227[[#This Row],[كد تفصيلي]],'درجریان وصول'!A:A,0)),0)</f>
        <v>0</v>
      </c>
      <c r="E84" s="11">
        <f>IFERROR(INDEX('چکهای دریافتنی'!F:F,MATCH(Table227[[#This Row],[كد تفصيلي]],'چکهای دریافتنی'!A:A,0)),0)</f>
        <v>0</v>
      </c>
      <c r="F84" s="11">
        <f>Table227[[#This Row],[حسابهای دریافتنی]]+Table227[[#This Row],[چکهای در جریان وصول]]+Table227[[#This Row],[چکهای نزد صندوق]]</f>
        <v>0</v>
      </c>
      <c r="G84" s="12">
        <f>IFERROR(INDEX('مانده سوفاله'!F:F,MATCH(Table227[[#This Row],[كد تفصيلي]],'مانده سوفاله'!A:A,0)),0)</f>
        <v>-13</v>
      </c>
    </row>
    <row r="85" spans="1:7" ht="28.5" customHeight="1" x14ac:dyDescent="0.35">
      <c r="A85" s="54">
        <v>10104</v>
      </c>
      <c r="B85" s="55" t="s">
        <v>293</v>
      </c>
      <c r="C85" s="10">
        <f>IFERROR(INDEX('حسابهای دریافتنی'!H:H,MATCH(Table227[[#This Row],[كد تفصيلي]],'حسابهای دریافتنی'!A:A,0)),0)</f>
        <v>0</v>
      </c>
      <c r="D85" s="11">
        <f>IFERROR(INDEX('درجریان وصول'!F:F,MATCH(Table227[[#This Row],[كد تفصيلي]],'درجریان وصول'!A:A,0)),0)</f>
        <v>0</v>
      </c>
      <c r="E85" s="11">
        <f>IFERROR(INDEX('چکهای دریافتنی'!F:F,MATCH(Table227[[#This Row],[كد تفصيلي]],'چکهای دریافتنی'!A:A,0)),0)</f>
        <v>0</v>
      </c>
      <c r="F85" s="11">
        <f>Table227[[#This Row],[حسابهای دریافتنی]]+Table227[[#This Row],[چکهای در جریان وصول]]+Table227[[#This Row],[چکهای نزد صندوق]]</f>
        <v>0</v>
      </c>
      <c r="G85" s="12">
        <f>IFERROR(INDEX('مانده سوفاله'!F:F,MATCH(Table227[[#This Row],[كد تفصيلي]],'مانده سوفاله'!A:A,0)),0)</f>
        <v>4065</v>
      </c>
    </row>
    <row r="86" spans="1:7" ht="28.5" customHeight="1" x14ac:dyDescent="0.35">
      <c r="A86" s="27">
        <v>10119</v>
      </c>
      <c r="B86" s="55" t="s">
        <v>333</v>
      </c>
      <c r="C86" s="10">
        <f>IFERROR(INDEX('حسابهای دریافتنی'!H:H,MATCH(Table227[[#This Row],[كد تفصيلي]],'حسابهای دریافتنی'!A:A,0)),0)</f>
        <v>-2592000</v>
      </c>
      <c r="D86" s="11">
        <f>IFERROR(INDEX('درجریان وصول'!F:F,MATCH(Table227[[#This Row],[كد تفصيلي]],'درجریان وصول'!A:A,0)),0)</f>
        <v>0</v>
      </c>
      <c r="E86" s="11">
        <f>IFERROR(INDEX('چکهای دریافتنی'!F:F,MATCH(Table227[[#This Row],[كد تفصيلي]],'چکهای دریافتنی'!A:A,0)),0)</f>
        <v>0</v>
      </c>
      <c r="F86" s="11">
        <f>Table227[[#This Row],[حسابهای دریافتنی]]+Table227[[#This Row],[چکهای در جریان وصول]]+Table227[[#This Row],[چکهای نزد صندوق]]</f>
        <v>-2592000</v>
      </c>
      <c r="G86" s="12">
        <f>IFERROR(INDEX('مانده سوفاله'!F:F,MATCH(Table227[[#This Row],[كد تفصيلي]],'مانده سوفاله'!A:A,0)),0)</f>
        <v>353</v>
      </c>
    </row>
    <row r="87" spans="1:7" ht="28.5" customHeight="1" x14ac:dyDescent="0.35">
      <c r="A87" s="26">
        <v>30031</v>
      </c>
      <c r="B87" s="56" t="s">
        <v>78</v>
      </c>
      <c r="C87" s="10">
        <f>IFERROR(INDEX('حسابهای دریافتنی'!H:H,MATCH(Table227[[#This Row],[كد تفصيلي]],'حسابهای دریافتنی'!A:A,0)),0)</f>
        <v>0</v>
      </c>
      <c r="D87" s="11">
        <f>IFERROR(INDEX('درجریان وصول'!F:F,MATCH(Table227[[#This Row],[كد تفصيلي]],'درجریان وصول'!A:A,0)),0)</f>
        <v>0</v>
      </c>
      <c r="E87" s="11">
        <f>IFERROR(INDEX('چکهای دریافتنی'!F:F,MATCH(Table227[[#This Row],[كد تفصيلي]],'چکهای دریافتنی'!A:A,0)),0)</f>
        <v>0</v>
      </c>
      <c r="F87" s="11">
        <f>Table227[[#This Row],[حسابهای دریافتنی]]+Table227[[#This Row],[چکهای در جریان وصول]]+Table227[[#This Row],[چکهای نزد صندوق]]</f>
        <v>0</v>
      </c>
      <c r="G87" s="12">
        <f>IFERROR(INDEX('مانده سوفاله'!F:F,MATCH(Table227[[#This Row],[كد تفصيلي]],'مانده سوفاله'!A:A,0)),0)</f>
        <v>-1</v>
      </c>
    </row>
    <row r="88" spans="1:7" ht="28.5" customHeight="1" x14ac:dyDescent="0.35">
      <c r="A88" s="27">
        <v>30055</v>
      </c>
      <c r="B88" s="55" t="s">
        <v>100</v>
      </c>
      <c r="C88" s="10">
        <f>IFERROR(INDEX('حسابهای دریافتنی'!H:H,MATCH(Table227[[#This Row],[كد تفصيلي]],'حسابهای دریافتنی'!A:A,0)),0)</f>
        <v>0</v>
      </c>
      <c r="D88" s="11">
        <f>IFERROR(INDEX('درجریان وصول'!F:F,MATCH(Table227[[#This Row],[كد تفصيلي]],'درجریان وصول'!A:A,0)),0)</f>
        <v>0</v>
      </c>
      <c r="E88" s="11">
        <f>IFERROR(INDEX('چکهای دریافتنی'!F:F,MATCH(Table227[[#This Row],[كد تفصيلي]],'چکهای دریافتنی'!A:A,0)),0)</f>
        <v>0</v>
      </c>
      <c r="F88" s="11">
        <f>Table227[[#This Row],[حسابهای دریافتنی]]+Table227[[#This Row],[چکهای در جریان وصول]]+Table227[[#This Row],[چکهای نزد صندوق]]</f>
        <v>0</v>
      </c>
      <c r="G88" s="12">
        <f>IFERROR(INDEX('مانده سوفاله'!F:F,MATCH(Table227[[#This Row],[كد تفصيلي]],'مانده سوفاله'!A:A,0)),0)</f>
        <v>48</v>
      </c>
    </row>
    <row r="89" spans="1:7" ht="28.5" customHeight="1" x14ac:dyDescent="0.35">
      <c r="A89" s="27">
        <v>30065</v>
      </c>
      <c r="B89" s="55" t="s">
        <v>110</v>
      </c>
      <c r="C89" s="10">
        <f>IFERROR(INDEX('حسابهای دریافتنی'!H:H,MATCH(Table227[[#This Row],[كد تفصيلي]],'حسابهای دریافتنی'!A:A,0)),0)</f>
        <v>0</v>
      </c>
      <c r="D89" s="11">
        <f>IFERROR(INDEX('درجریان وصول'!F:F,MATCH(Table227[[#This Row],[كد تفصيلي]],'درجریان وصول'!A:A,0)),0)</f>
        <v>0</v>
      </c>
      <c r="E89" s="11">
        <f>IFERROR(INDEX('چکهای دریافتنی'!F:F,MATCH(Table227[[#This Row],[كد تفصيلي]],'چکهای دریافتنی'!A:A,0)),0)</f>
        <v>0</v>
      </c>
      <c r="F89" s="11">
        <f>Table227[[#This Row],[حسابهای دریافتنی]]+Table227[[#This Row],[چکهای در جریان وصول]]+Table227[[#This Row],[چکهای نزد صندوق]]</f>
        <v>0</v>
      </c>
      <c r="G89" s="12">
        <f>IFERROR(INDEX('مانده سوفاله'!F:F,MATCH(Table227[[#This Row],[كد تفصيلي]],'مانده سوفاله'!A:A,0)),0)</f>
        <v>33</v>
      </c>
    </row>
    <row r="90" spans="1:7" ht="28.5" customHeight="1" x14ac:dyDescent="0.35">
      <c r="A90" s="27">
        <v>30071</v>
      </c>
      <c r="B90" s="55" t="s">
        <v>116</v>
      </c>
      <c r="C90" s="10">
        <f>IFERROR(INDEX('حسابهای دریافتنی'!H:H,MATCH(Table227[[#This Row],[كد تفصيلي]],'حسابهای دریافتنی'!A:A,0)),0)</f>
        <v>0</v>
      </c>
      <c r="D90" s="11">
        <f>IFERROR(INDEX('درجریان وصول'!F:F,MATCH(Table227[[#This Row],[كد تفصيلي]],'درجریان وصول'!A:A,0)),0)</f>
        <v>0</v>
      </c>
      <c r="E90" s="11">
        <f>IFERROR(INDEX('چکهای دریافتنی'!F:F,MATCH(Table227[[#This Row],[كد تفصيلي]],'چکهای دریافتنی'!A:A,0)),0)</f>
        <v>0</v>
      </c>
      <c r="F90" s="11">
        <f>Table227[[#This Row],[حسابهای دریافتنی]]+Table227[[#This Row],[چکهای در جریان وصول]]+Table227[[#This Row],[چکهای نزد صندوق]]</f>
        <v>0</v>
      </c>
      <c r="G90" s="12">
        <f>IFERROR(INDEX('مانده سوفاله'!F:F,MATCH(Table227[[#This Row],[كد تفصيلي]],'مانده سوفاله'!A:A,0)),0)</f>
        <v>3</v>
      </c>
    </row>
    <row r="91" spans="1:7" ht="28.5" customHeight="1" x14ac:dyDescent="0.35">
      <c r="A91" s="27">
        <v>30079</v>
      </c>
      <c r="B91" s="55" t="s">
        <v>124</v>
      </c>
      <c r="C91" s="10">
        <f>IFERROR(INDEX('حسابهای دریافتنی'!H:H,MATCH(Table227[[#This Row],[كد تفصيلي]],'حسابهای دریافتنی'!A:A,0)),0)</f>
        <v>0</v>
      </c>
      <c r="D91" s="11">
        <f>IFERROR(INDEX('درجریان وصول'!F:F,MATCH(Table227[[#This Row],[كد تفصيلي]],'درجریان وصول'!A:A,0)),0)</f>
        <v>0</v>
      </c>
      <c r="E91" s="11">
        <f>IFERROR(INDEX('چکهای دریافتنی'!F:F,MATCH(Table227[[#This Row],[كد تفصيلي]],'چکهای دریافتنی'!A:A,0)),0)</f>
        <v>0</v>
      </c>
      <c r="F91" s="11">
        <f>Table227[[#This Row],[حسابهای دریافتنی]]+Table227[[#This Row],[چکهای در جریان وصول]]+Table227[[#This Row],[چکهای نزد صندوق]]</f>
        <v>0</v>
      </c>
      <c r="G91" s="12">
        <f>IFERROR(INDEX('مانده سوفاله'!F:F,MATCH(Table227[[#This Row],[كد تفصيلي]],'مانده سوفاله'!A:A,0)),0)</f>
        <v>-85</v>
      </c>
    </row>
    <row r="92" spans="1:7" ht="28.5" customHeight="1" x14ac:dyDescent="0.35">
      <c r="A92" s="27">
        <v>30097</v>
      </c>
      <c r="B92" s="55" t="s">
        <v>188</v>
      </c>
      <c r="C92" s="10">
        <f>IFERROR(INDEX('حسابهای دریافتنی'!H:H,MATCH(Table227[[#This Row],[كد تفصيلي]],'حسابهای دریافتنی'!A:A,0)),0)</f>
        <v>0</v>
      </c>
      <c r="D92" s="11">
        <f>IFERROR(INDEX('درجریان وصول'!F:F,MATCH(Table227[[#This Row],[كد تفصيلي]],'درجریان وصول'!A:A,0)),0)</f>
        <v>0</v>
      </c>
      <c r="E92" s="11">
        <f>IFERROR(INDEX('چکهای دریافتنی'!F:F,MATCH(Table227[[#This Row],[كد تفصيلي]],'چکهای دریافتنی'!A:A,0)),0)</f>
        <v>0</v>
      </c>
      <c r="F92" s="11">
        <f>Table227[[#This Row],[حسابهای دریافتنی]]+Table227[[#This Row],[چکهای در جریان وصول]]+Table227[[#This Row],[چکهای نزد صندوق]]</f>
        <v>0</v>
      </c>
      <c r="G92" s="12">
        <f>IFERROR(INDEX('مانده سوفاله'!F:F,MATCH(Table227[[#This Row],[كد تفصيلي]],'مانده سوفاله'!A:A,0)),0)</f>
        <v>-82</v>
      </c>
    </row>
    <row r="93" spans="1:7" ht="28.5" customHeight="1" x14ac:dyDescent="0.35">
      <c r="A93" s="26">
        <v>30118</v>
      </c>
      <c r="B93" s="56" t="s">
        <v>205</v>
      </c>
      <c r="C93" s="10">
        <f>IFERROR(INDEX('حسابهای دریافتنی'!H:H,MATCH(Table227[[#This Row],[كد تفصيلي]],'حسابهای دریافتنی'!A:A,0)),0)</f>
        <v>0</v>
      </c>
      <c r="D93" s="11">
        <f>IFERROR(INDEX('درجریان وصول'!F:F,MATCH(Table227[[#This Row],[كد تفصيلي]],'درجریان وصول'!A:A,0)),0)</f>
        <v>0</v>
      </c>
      <c r="E93" s="11">
        <f>IFERROR(INDEX('چکهای دریافتنی'!F:F,MATCH(Table227[[#This Row],[كد تفصيلي]],'چکهای دریافتنی'!A:A,0)),0)</f>
        <v>0</v>
      </c>
      <c r="F93" s="11">
        <f>Table227[[#This Row],[حسابهای دریافتنی]]+Table227[[#This Row],[چکهای در جریان وصول]]+Table227[[#This Row],[چکهای نزد صندوق]]</f>
        <v>0</v>
      </c>
      <c r="G93" s="12">
        <f>IFERROR(INDEX('مانده سوفاله'!F:F,MATCH(Table227[[#This Row],[كد تفصيلي]],'مانده سوفاله'!A:A,0)),0)</f>
        <v>-20</v>
      </c>
    </row>
    <row r="94" spans="1:7" ht="28.5" customHeight="1" x14ac:dyDescent="0.35">
      <c r="A94" s="27">
        <v>30141</v>
      </c>
      <c r="B94" s="55" t="s">
        <v>261</v>
      </c>
      <c r="C94" s="10">
        <f>IFERROR(INDEX('حسابهای دریافتنی'!H:H,MATCH(Table227[[#This Row],[كد تفصيلي]],'حسابهای دریافتنی'!A:A,0)),0)</f>
        <v>0</v>
      </c>
      <c r="D94" s="11">
        <f>IFERROR(INDEX('درجریان وصول'!F:F,MATCH(Table227[[#This Row],[كد تفصيلي]],'درجریان وصول'!A:A,0)),0)</f>
        <v>0</v>
      </c>
      <c r="E94" s="11">
        <f>IFERROR(INDEX('چکهای دریافتنی'!F:F,MATCH(Table227[[#This Row],[كد تفصيلي]],'چکهای دریافتنی'!A:A,0)),0)</f>
        <v>0</v>
      </c>
      <c r="F94" s="11">
        <f>Table227[[#This Row],[حسابهای دریافتنی]]+Table227[[#This Row],[چکهای در جریان وصول]]+Table227[[#This Row],[چکهای نزد صندوق]]</f>
        <v>0</v>
      </c>
      <c r="G94" s="12">
        <f>IFERROR(INDEX('مانده سوفاله'!F:F,MATCH(Table227[[#This Row],[كد تفصيلي]],'مانده سوفاله'!A:A,0)),0)</f>
        <v>-42</v>
      </c>
    </row>
    <row r="95" spans="1:7" ht="28.5" customHeight="1" x14ac:dyDescent="0.35">
      <c r="A95" s="26">
        <v>30142</v>
      </c>
      <c r="B95" s="56" t="s">
        <v>263</v>
      </c>
      <c r="C95" s="10">
        <f>IFERROR(INDEX('حسابهای دریافتنی'!H:H,MATCH(Table227[[#This Row],[كد تفصيلي]],'حسابهای دریافتنی'!A:A,0)),0)</f>
        <v>0</v>
      </c>
      <c r="D95" s="11">
        <f>IFERROR(INDEX('درجریان وصول'!F:F,MATCH(Table227[[#This Row],[كد تفصيلي]],'درجریان وصول'!A:A,0)),0)</f>
        <v>0</v>
      </c>
      <c r="E95" s="11">
        <f>IFERROR(INDEX('چکهای دریافتنی'!F:F,MATCH(Table227[[#This Row],[كد تفصيلي]],'چکهای دریافتنی'!A:A,0)),0)</f>
        <v>0</v>
      </c>
      <c r="F95" s="11">
        <f>Table227[[#This Row],[حسابهای دریافتنی]]+Table227[[#This Row],[چکهای در جریان وصول]]+Table227[[#This Row],[چکهای نزد صندوق]]</f>
        <v>0</v>
      </c>
      <c r="G95" s="12">
        <f>IFERROR(INDEX('مانده سوفاله'!F:F,MATCH(Table227[[#This Row],[كد تفصيلي]],'مانده سوفاله'!A:A,0)),0)</f>
        <v>13</v>
      </c>
    </row>
    <row r="96" spans="1:7" ht="28.5" customHeight="1" x14ac:dyDescent="0.35">
      <c r="A96" s="26">
        <v>30160</v>
      </c>
      <c r="B96" s="56" t="s">
        <v>296</v>
      </c>
      <c r="C96" s="10">
        <f>IFERROR(INDEX('حسابهای دریافتنی'!H:H,MATCH(Table227[[#This Row],[كد تفصيلي]],'حسابهای دریافتنی'!A:A,0)),0)</f>
        <v>0</v>
      </c>
      <c r="D96" s="11">
        <f>IFERROR(INDEX('درجریان وصول'!F:F,MATCH(Table227[[#This Row],[كد تفصيلي]],'درجریان وصول'!A:A,0)),0)</f>
        <v>0</v>
      </c>
      <c r="E96" s="11">
        <f>IFERROR(INDEX('چکهای دریافتنی'!F:F,MATCH(Table227[[#This Row],[كد تفصيلي]],'چکهای دریافتنی'!A:A,0)),0)</f>
        <v>0</v>
      </c>
      <c r="F96" s="11">
        <f>Table227[[#This Row],[حسابهای دریافتنی]]+Table227[[#This Row],[چکهای در جریان وصول]]+Table227[[#This Row],[چکهای نزد صندوق]]</f>
        <v>0</v>
      </c>
      <c r="G96" s="12">
        <f>IFERROR(INDEX('مانده سوفاله'!F:F,MATCH(Table227[[#This Row],[كد تفصيلي]],'مانده سوفاله'!A:A,0)),0)</f>
        <v>-425</v>
      </c>
    </row>
    <row r="97" spans="1:7" ht="28.5" customHeight="1" x14ac:dyDescent="0.35">
      <c r="A97" s="26">
        <v>30198</v>
      </c>
      <c r="B97" s="56" t="s">
        <v>497</v>
      </c>
      <c r="C97" s="10">
        <f>IFERROR(INDEX('حسابهای دریافتنی'!H:H,MATCH(Table227[[#This Row],[كد تفصيلي]],'حسابهای دریافتنی'!A:A,0)),0)</f>
        <v>0</v>
      </c>
      <c r="D97" s="11">
        <f>IFERROR(INDEX('درجریان وصول'!F:F,MATCH(Table227[[#This Row],[كد تفصيلي]],'درجریان وصول'!A:A,0)),0)</f>
        <v>0</v>
      </c>
      <c r="E97" s="11">
        <f>IFERROR(INDEX('چکهای دریافتنی'!F:F,MATCH(Table227[[#This Row],[كد تفصيلي]],'چکهای دریافتنی'!A:A,0)),0)</f>
        <v>0</v>
      </c>
      <c r="F97" s="11">
        <f>Table227[[#This Row],[حسابهای دریافتنی]]+Table227[[#This Row],[چکهای در جریان وصول]]+Table227[[#This Row],[چکهای نزد صندوق]]</f>
        <v>0</v>
      </c>
      <c r="G97" s="12">
        <f>IFERROR(INDEX('مانده سوفاله'!F:F,MATCH(Table227[[#This Row],[كد تفصيلي]],'مانده سوفاله'!A:A,0)),0)</f>
        <v>0</v>
      </c>
    </row>
    <row r="98" spans="1:7" ht="28.5" customHeight="1" x14ac:dyDescent="0.35">
      <c r="A98" s="27">
        <v>79010</v>
      </c>
      <c r="B98" s="55" t="s">
        <v>176</v>
      </c>
      <c r="C98" s="10">
        <f>IFERROR(INDEX('حسابهای دریافتنی'!H:H,MATCH(Table227[[#This Row],[كد تفصيلي]],'حسابهای دریافتنی'!A:A,0)),0)</f>
        <v>0</v>
      </c>
      <c r="D98" s="11">
        <f>IFERROR(INDEX('درجریان وصول'!F:F,MATCH(Table227[[#This Row],[كد تفصيلي]],'درجریان وصول'!A:A,0)),0)</f>
        <v>0</v>
      </c>
      <c r="E98" s="11">
        <f>IFERROR(INDEX('چکهای دریافتنی'!F:F,MATCH(Table227[[#This Row],[كد تفصيلي]],'چکهای دریافتنی'!A:A,0)),0)</f>
        <v>0</v>
      </c>
      <c r="F98" s="11">
        <f>Table227[[#This Row],[حسابهای دریافتنی]]+Table227[[#This Row],[چکهای در جریان وصول]]+Table227[[#This Row],[چکهای نزد صندوق]]</f>
        <v>0</v>
      </c>
      <c r="G98" s="12">
        <f>IFERROR(INDEX('مانده سوفاله'!F:F,MATCH(Table227[[#This Row],[كد تفصيلي]],'مانده سوفاله'!A:A,0)),0)</f>
        <v>-110</v>
      </c>
    </row>
    <row r="99" spans="1:7" ht="28.5" customHeight="1" x14ac:dyDescent="0.35">
      <c r="A99" s="26">
        <v>30174</v>
      </c>
      <c r="B99" s="56" t="s">
        <v>327</v>
      </c>
      <c r="C99" s="10">
        <f>IFERROR(INDEX('حسابهای دریافتنی'!H:H,MATCH(Table227[[#This Row],[كد تفصيلي]],'حسابهای دریافتنی'!A:A,0)),0)</f>
        <v>-5000</v>
      </c>
      <c r="D99" s="11">
        <f>IFERROR(INDEX('درجریان وصول'!F:F,MATCH(Table227[[#This Row],[كد تفصيلي]],'درجریان وصول'!A:A,0)),0)</f>
        <v>0</v>
      </c>
      <c r="E99" s="11">
        <f>IFERROR(INDEX('چکهای دریافتنی'!F:F,MATCH(Table227[[#This Row],[كد تفصيلي]],'چکهای دریافتنی'!A:A,0)),0)</f>
        <v>0</v>
      </c>
      <c r="F99" s="11">
        <f>Table227[[#This Row],[حسابهای دریافتنی]]+Table227[[#This Row],[چکهای در جریان وصول]]+Table227[[#This Row],[چکهای نزد صندوق]]</f>
        <v>-5000</v>
      </c>
      <c r="G99" s="12">
        <f>IFERROR(INDEX('مانده سوفاله'!F:F,MATCH(Table227[[#This Row],[كد تفصيلي]],'مانده سوفاله'!A:A,0)),0)</f>
        <v>0</v>
      </c>
    </row>
    <row r="100" spans="1:7" ht="28.5" customHeight="1" x14ac:dyDescent="0.35">
      <c r="A100" s="27">
        <v>30195</v>
      </c>
      <c r="B100" s="55" t="s">
        <v>477</v>
      </c>
      <c r="C100" s="10">
        <f>IFERROR(INDEX('حسابهای دریافتنی'!H:H,MATCH(Table227[[#This Row],[كد تفصيلي]],'حسابهای دریافتنی'!A:A,0)),0)</f>
        <v>-1861000</v>
      </c>
      <c r="D100" s="11">
        <f>IFERROR(INDEX('درجریان وصول'!F:F,MATCH(Table227[[#This Row],[كد تفصيلي]],'درجریان وصول'!A:A,0)),0)</f>
        <v>0</v>
      </c>
      <c r="E100" s="11">
        <f>IFERROR(INDEX('چکهای دریافتنی'!F:F,MATCH(Table227[[#This Row],[كد تفصيلي]],'چکهای دریافتنی'!A:A,0)),0)</f>
        <v>0</v>
      </c>
      <c r="F100" s="11">
        <f>Table227[[#This Row],[حسابهای دریافتنی]]+Table227[[#This Row],[چکهای در جریان وصول]]+Table227[[#This Row],[چکهای نزد صندوق]]</f>
        <v>-1861000</v>
      </c>
      <c r="G100" s="12">
        <f>IFERROR(INDEX('مانده سوفاله'!F:F,MATCH(Table227[[#This Row],[كد تفصيلي]],'مانده سوفاله'!A:A,0)),0)</f>
        <v>0</v>
      </c>
    </row>
    <row r="101" spans="1:7" ht="28.5" customHeight="1" x14ac:dyDescent="0.35">
      <c r="A101" s="27">
        <v>30026</v>
      </c>
      <c r="B101" s="55" t="s">
        <v>74</v>
      </c>
      <c r="C101" s="10">
        <f>IFERROR(INDEX('حسابهای دریافتنی'!H:H,MATCH(Table227[[#This Row],[كد تفصيلي]],'حسابهای دریافتنی'!A:A,0)),0)</f>
        <v>5689439</v>
      </c>
      <c r="D101" s="11">
        <f>IFERROR(INDEX('درجریان وصول'!F:F,MATCH(Table227[[#This Row],[كد تفصيلي]],'درجریان وصول'!A:A,0)),0)</f>
        <v>0</v>
      </c>
      <c r="E101" s="11">
        <f>IFERROR(INDEX('چکهای دریافتنی'!F:F,MATCH(Table227[[#This Row],[كد تفصيلي]],'چکهای دریافتنی'!A:A,0)),0)</f>
        <v>0</v>
      </c>
      <c r="F101" s="11">
        <f>Table227[[#This Row],[حسابهای دریافتنی]]+Table227[[#This Row],[چکهای در جریان وصول]]+Table227[[#This Row],[چکهای نزد صندوق]]</f>
        <v>5689439</v>
      </c>
      <c r="G101" s="12">
        <f>IFERROR(INDEX('مانده سوفاله'!F:F,MATCH(Table227[[#This Row],[كد تفصيلي]],'مانده سوفاله'!A:A,0)),0)</f>
        <v>764</v>
      </c>
    </row>
    <row r="102" spans="1:7" ht="28.5" customHeight="1" x14ac:dyDescent="0.35">
      <c r="A102" s="26">
        <v>10128</v>
      </c>
      <c r="B102" s="56" t="s">
        <v>372</v>
      </c>
      <c r="C102" s="10">
        <f>IFERROR(INDEX('حسابهای دریافتنی'!H:H,MATCH(Table227[[#This Row],[كد تفصيلي]],'حسابهای دریافتنی'!A:A,0)),0)</f>
        <v>-45000</v>
      </c>
      <c r="D102" s="11">
        <f>IFERROR(INDEX('درجریان وصول'!F:F,MATCH(Table227[[#This Row],[كد تفصيلي]],'درجریان وصول'!A:A,0)),0)</f>
        <v>0</v>
      </c>
      <c r="E102" s="11">
        <f>IFERROR(INDEX('چکهای دریافتنی'!F:F,MATCH(Table227[[#This Row],[كد تفصيلي]],'چکهای دریافتنی'!A:A,0)),0)</f>
        <v>0</v>
      </c>
      <c r="F102" s="11">
        <f>Table227[[#This Row],[حسابهای دریافتنی]]+Table227[[#This Row],[چکهای در جریان وصول]]+Table227[[#This Row],[چکهای نزد صندوق]]</f>
        <v>-45000</v>
      </c>
      <c r="G102" s="12">
        <f>IFERROR(INDEX('مانده سوفاله'!F:F,MATCH(Table227[[#This Row],[كد تفصيلي]],'مانده سوفاله'!A:A,0)),0)</f>
        <v>6</v>
      </c>
    </row>
    <row r="103" spans="1:7" ht="28.5" customHeight="1" x14ac:dyDescent="0.35">
      <c r="A103" s="27">
        <v>10109</v>
      </c>
      <c r="B103" s="55" t="s">
        <v>303</v>
      </c>
      <c r="C103" s="10">
        <f>IFERROR(INDEX('حسابهای دریافتنی'!H:H,MATCH(Table227[[#This Row],[كد تفصيلي]],'حسابهای دریافتنی'!A:A,0)),0)</f>
        <v>-1124737000</v>
      </c>
      <c r="D103" s="11">
        <f>IFERROR(INDEX('درجریان وصول'!F:F,MATCH(Table227[[#This Row],[كد تفصيلي]],'درجریان وصول'!A:A,0)),0)</f>
        <v>0</v>
      </c>
      <c r="E103" s="11">
        <f>IFERROR(INDEX('چکهای دریافتنی'!F:F,MATCH(Table227[[#This Row],[كد تفصيلي]],'چکهای دریافتنی'!A:A,0)),0)</f>
        <v>0</v>
      </c>
      <c r="F103" s="11">
        <f>Table227[[#This Row],[حسابهای دریافتنی]]+Table227[[#This Row],[چکهای در جریان وصول]]+Table227[[#This Row],[چکهای نزد صندوق]]</f>
        <v>-1124737000</v>
      </c>
      <c r="G103" s="12">
        <f>IFERROR(INDEX('مانده سوفاله'!F:F,MATCH(Table227[[#This Row],[كد تفصيلي]],'مانده سوفاله'!A:A,0)),0)</f>
        <v>-241</v>
      </c>
    </row>
    <row r="104" spans="1:7" ht="28.5" customHeight="1" x14ac:dyDescent="0.35">
      <c r="A104" s="26">
        <v>30021</v>
      </c>
      <c r="B104" s="56" t="s">
        <v>69</v>
      </c>
      <c r="C104" s="10">
        <f>IFERROR(INDEX('حسابهای دریافتنی'!H:H,MATCH(Table227[[#This Row],[كد تفصيلي]],'حسابهای دریافتنی'!A:A,0)),0)</f>
        <v>-122000</v>
      </c>
      <c r="D104" s="11">
        <f>IFERROR(INDEX('درجریان وصول'!F:F,MATCH(Table227[[#This Row],[كد تفصيلي]],'درجریان وصول'!A:A,0)),0)</f>
        <v>0</v>
      </c>
      <c r="E104" s="11">
        <f>IFERROR(INDEX('چکهای دریافتنی'!F:F,MATCH(Table227[[#This Row],[كد تفصيلي]],'چکهای دریافتنی'!A:A,0)),0)</f>
        <v>0</v>
      </c>
      <c r="F104" s="11">
        <f>Table227[[#This Row],[حسابهای دریافتنی]]+Table227[[#This Row],[چکهای در جریان وصول]]+Table227[[#This Row],[چکهای نزد صندوق]]</f>
        <v>-122000</v>
      </c>
      <c r="G104" s="12">
        <f>IFERROR(INDEX('مانده سوفاله'!F:F,MATCH(Table227[[#This Row],[كد تفصيلي]],'مانده سوفاله'!A:A,0)),0)</f>
        <v>0</v>
      </c>
    </row>
    <row r="105" spans="1:7" ht="28.5" customHeight="1" x14ac:dyDescent="0.35">
      <c r="A105" s="27">
        <v>10066</v>
      </c>
      <c r="B105" s="55" t="s">
        <v>262</v>
      </c>
      <c r="C105" s="10">
        <f>IFERROR(INDEX('حسابهای دریافتنی'!H:H,MATCH(Table227[[#This Row],[كد تفصيلي]],'حسابهای دریافتنی'!A:A,0)),0)</f>
        <v>-191500</v>
      </c>
      <c r="D105" s="11">
        <f>IFERROR(INDEX('درجریان وصول'!F:F,MATCH(Table227[[#This Row],[كد تفصيلي]],'درجریان وصول'!A:A,0)),0)</f>
        <v>0</v>
      </c>
      <c r="E105" s="11">
        <f>IFERROR(INDEX('چکهای دریافتنی'!F:F,MATCH(Table227[[#This Row],[كد تفصيلي]],'چکهای دریافتنی'!A:A,0)),0)</f>
        <v>0</v>
      </c>
      <c r="F105" s="11">
        <f>Table227[[#This Row],[حسابهای دریافتنی]]+Table227[[#This Row],[چکهای در جریان وصول]]+Table227[[#This Row],[چکهای نزد صندوق]]</f>
        <v>-191500</v>
      </c>
      <c r="G105" s="12">
        <f>IFERROR(INDEX('مانده سوفاله'!F:F,MATCH(Table227[[#This Row],[كد تفصيلي]],'مانده سوفاله'!A:A,0)),0)</f>
        <v>2</v>
      </c>
    </row>
    <row r="106" spans="1:7" ht="28.5" customHeight="1" x14ac:dyDescent="0.35">
      <c r="A106" s="27">
        <v>30167</v>
      </c>
      <c r="B106" s="55" t="s">
        <v>311</v>
      </c>
      <c r="C106" s="10">
        <f>IFERROR(INDEX('حسابهای دریافتنی'!H:H,MATCH(Table227[[#This Row],[كد تفصيلي]],'حسابهای دریافتنی'!A:A,0)),0)</f>
        <v>-221000</v>
      </c>
      <c r="D106" s="11">
        <f>IFERROR(INDEX('درجریان وصول'!F:F,MATCH(Table227[[#This Row],[كد تفصيلي]],'درجریان وصول'!A:A,0)),0)</f>
        <v>0</v>
      </c>
      <c r="E106" s="11">
        <f>IFERROR(INDEX('چکهای دریافتنی'!F:F,MATCH(Table227[[#This Row],[كد تفصيلي]],'چکهای دریافتنی'!A:A,0)),0)</f>
        <v>0</v>
      </c>
      <c r="F106" s="11">
        <f>Table227[[#This Row],[حسابهای دریافتنی]]+Table227[[#This Row],[چکهای در جریان وصول]]+Table227[[#This Row],[چکهای نزد صندوق]]</f>
        <v>-221000</v>
      </c>
      <c r="G106" s="12">
        <f>IFERROR(INDEX('مانده سوفاله'!F:F,MATCH(Table227[[#This Row],[كد تفصيلي]],'مانده سوفاله'!A:A,0)),0)</f>
        <v>6</v>
      </c>
    </row>
    <row r="107" spans="1:7" ht="28.5" customHeight="1" x14ac:dyDescent="0.35">
      <c r="A107" s="26">
        <v>10077</v>
      </c>
      <c r="B107" s="56" t="s">
        <v>210</v>
      </c>
      <c r="C107" s="10">
        <f>IFERROR(INDEX('حسابهای دریافتنی'!H:H,MATCH(Table227[[#This Row],[كد تفصيلي]],'حسابهای دریافتنی'!A:A,0)),0)</f>
        <v>-238500</v>
      </c>
      <c r="D107" s="11">
        <f>IFERROR(INDEX('درجریان وصول'!F:F,MATCH(Table227[[#This Row],[كد تفصيلي]],'درجریان وصول'!A:A,0)),0)</f>
        <v>0</v>
      </c>
      <c r="E107" s="11">
        <f>IFERROR(INDEX('چکهای دریافتنی'!F:F,MATCH(Table227[[#This Row],[كد تفصيلي]],'چکهای دریافتنی'!A:A,0)),0)</f>
        <v>0</v>
      </c>
      <c r="F107" s="11">
        <f>Table227[[#This Row],[حسابهای دریافتنی]]+Table227[[#This Row],[چکهای در جریان وصول]]+Table227[[#This Row],[چکهای نزد صندوق]]</f>
        <v>-238500</v>
      </c>
      <c r="G107" s="12">
        <f>IFERROR(INDEX('مانده سوفاله'!F:F,MATCH(Table227[[#This Row],[كد تفصيلي]],'مانده سوفاله'!A:A,0)),0)</f>
        <v>0</v>
      </c>
    </row>
    <row r="108" spans="1:7" ht="28.5" customHeight="1" x14ac:dyDescent="0.35">
      <c r="A108" s="27">
        <v>10012</v>
      </c>
      <c r="B108" s="55" t="s">
        <v>19</v>
      </c>
      <c r="C108" s="10">
        <f>IFERROR(INDEX('حسابهای دریافتنی'!H:H,MATCH(Table227[[#This Row],[كد تفصيلي]],'حسابهای دریافتنی'!A:A,0)),0)</f>
        <v>-244000</v>
      </c>
      <c r="D108" s="11">
        <f>IFERROR(INDEX('درجریان وصول'!F:F,MATCH(Table227[[#This Row],[كد تفصيلي]],'درجریان وصول'!A:A,0)),0)</f>
        <v>0</v>
      </c>
      <c r="E108" s="11">
        <f>IFERROR(INDEX('چکهای دریافتنی'!F:F,MATCH(Table227[[#This Row],[كد تفصيلي]],'چکهای دریافتنی'!A:A,0)),0)</f>
        <v>0</v>
      </c>
      <c r="F108" s="11">
        <f>Table227[[#This Row],[حسابهای دریافتنی]]+Table227[[#This Row],[چکهای در جریان وصول]]+Table227[[#This Row],[چکهای نزد صندوق]]</f>
        <v>-244000</v>
      </c>
      <c r="G108" s="12">
        <f>IFERROR(INDEX('مانده سوفاله'!F:F,MATCH(Table227[[#This Row],[كد تفصيلي]],'مانده سوفاله'!A:A,0)),0)</f>
        <v>0</v>
      </c>
    </row>
    <row r="109" spans="1:7" ht="28.5" customHeight="1" x14ac:dyDescent="0.35">
      <c r="A109" s="26">
        <v>30088</v>
      </c>
      <c r="B109" s="56" t="s">
        <v>142</v>
      </c>
      <c r="C109" s="10">
        <f>IFERROR(INDEX('حسابهای دریافتنی'!H:H,MATCH(Table227[[#This Row],[كد تفصيلي]],'حسابهای دریافتنی'!A:A,0)),0)</f>
        <v>-252000</v>
      </c>
      <c r="D109" s="11">
        <f>IFERROR(INDEX('درجریان وصول'!F:F,MATCH(Table227[[#This Row],[كد تفصيلي]],'درجریان وصول'!A:A,0)),0)</f>
        <v>0</v>
      </c>
      <c r="E109" s="11">
        <f>IFERROR(INDEX('چکهای دریافتنی'!F:F,MATCH(Table227[[#This Row],[كد تفصيلي]],'چکهای دریافتنی'!A:A,0)),0)</f>
        <v>0</v>
      </c>
      <c r="F109" s="11">
        <f>Table227[[#This Row],[حسابهای دریافتنی]]+Table227[[#This Row],[چکهای در جریان وصول]]+Table227[[#This Row],[چکهای نزد صندوق]]</f>
        <v>-252000</v>
      </c>
      <c r="G109" s="12">
        <f>IFERROR(INDEX('مانده سوفاله'!F:F,MATCH(Table227[[#This Row],[كد تفصيلي]],'مانده سوفاله'!A:A,0)),0)</f>
        <v>0</v>
      </c>
    </row>
    <row r="110" spans="1:7" ht="28.5" customHeight="1" x14ac:dyDescent="0.35">
      <c r="A110" s="26">
        <v>10045</v>
      </c>
      <c r="B110" s="56" t="s">
        <v>50</v>
      </c>
      <c r="C110" s="10">
        <f>IFERROR(INDEX('حسابهای دریافتنی'!H:H,MATCH(Table227[[#This Row],[كد تفصيلي]],'حسابهای دریافتنی'!A:A,0)),0)</f>
        <v>-383000</v>
      </c>
      <c r="D110" s="11">
        <f>IFERROR(INDEX('درجریان وصول'!F:F,MATCH(Table227[[#This Row],[كد تفصيلي]],'درجریان وصول'!A:A,0)),0)</f>
        <v>0</v>
      </c>
      <c r="E110" s="11">
        <f>IFERROR(INDEX('چکهای دریافتنی'!F:F,MATCH(Table227[[#This Row],[كد تفصيلي]],'چکهای دریافتنی'!A:A,0)),0)</f>
        <v>0</v>
      </c>
      <c r="F110" s="11">
        <f>Table227[[#This Row],[حسابهای دریافتنی]]+Table227[[#This Row],[چکهای در جریان وصول]]+Table227[[#This Row],[چکهای نزد صندوق]]</f>
        <v>-383000</v>
      </c>
      <c r="G110" s="12">
        <f>IFERROR(INDEX('مانده سوفاله'!F:F,MATCH(Table227[[#This Row],[كد تفصيلي]],'مانده سوفاله'!A:A,0)),0)</f>
        <v>-30</v>
      </c>
    </row>
    <row r="111" spans="1:7" ht="28.5" customHeight="1" x14ac:dyDescent="0.35">
      <c r="A111" s="26">
        <v>30051</v>
      </c>
      <c r="B111" s="56" t="s">
        <v>98</v>
      </c>
      <c r="C111" s="10">
        <f>IFERROR(INDEX('حسابهای دریافتنی'!H:H,MATCH(Table227[[#This Row],[كد تفصيلي]],'حسابهای دریافتنی'!A:A,0)),0)</f>
        <v>-384000</v>
      </c>
      <c r="D111" s="11">
        <f>IFERROR(INDEX('درجریان وصول'!F:F,MATCH(Table227[[#This Row],[كد تفصيلي]],'درجریان وصول'!A:A,0)),0)</f>
        <v>0</v>
      </c>
      <c r="E111" s="11">
        <f>IFERROR(INDEX('چکهای دریافتنی'!F:F,MATCH(Table227[[#This Row],[كد تفصيلي]],'چکهای دریافتنی'!A:A,0)),0)</f>
        <v>0</v>
      </c>
      <c r="F111" s="11">
        <f>Table227[[#This Row],[حسابهای دریافتنی]]+Table227[[#This Row],[چکهای در جریان وصول]]+Table227[[#This Row],[چکهای نزد صندوق]]</f>
        <v>-384000</v>
      </c>
      <c r="G111" s="12">
        <f>IFERROR(INDEX('مانده سوفاله'!F:F,MATCH(Table227[[#This Row],[كد تفصيلي]],'مانده سوفاله'!A:A,0)),0)</f>
        <v>0</v>
      </c>
    </row>
    <row r="112" spans="1:7" ht="28.5" customHeight="1" x14ac:dyDescent="0.35">
      <c r="A112" s="27">
        <v>10048</v>
      </c>
      <c r="B112" s="55" t="s">
        <v>191</v>
      </c>
      <c r="C112" s="10">
        <f>IFERROR(INDEX('حسابهای دریافتنی'!H:H,MATCH(Table227[[#This Row],[كد تفصيلي]],'حسابهای دریافتنی'!A:A,0)),0)</f>
        <v>0</v>
      </c>
      <c r="D112" s="11">
        <f>IFERROR(INDEX('درجریان وصول'!F:F,MATCH(Table227[[#This Row],[كد تفصيلي]],'درجریان وصول'!A:A,0)),0)</f>
        <v>0</v>
      </c>
      <c r="E112" s="11">
        <f>IFERROR(INDEX('چکهای دریافتنی'!F:F,MATCH(Table227[[#This Row],[كد تفصيلي]],'چکهای دریافتنی'!A:A,0)),0)</f>
        <v>0</v>
      </c>
      <c r="F112" s="11">
        <f>Table227[[#This Row],[حسابهای دریافتنی]]+Table227[[#This Row],[چکهای در جریان وصول]]+Table227[[#This Row],[چکهای نزد صندوق]]</f>
        <v>0</v>
      </c>
      <c r="G112" s="12">
        <f>IFERROR(INDEX('مانده سوفاله'!F:F,MATCH(Table227[[#This Row],[كد تفصيلي]],'مانده سوفاله'!A:A,0)),0)</f>
        <v>-1097</v>
      </c>
    </row>
    <row r="113" spans="1:7" ht="28.5" customHeight="1" x14ac:dyDescent="0.35">
      <c r="A113" s="27">
        <v>30044</v>
      </c>
      <c r="B113" s="55" t="s">
        <v>91</v>
      </c>
      <c r="C113" s="10">
        <f>IFERROR(INDEX('حسابهای دریافتنی'!H:H,MATCH(Table227[[#This Row],[كد تفصيلي]],'حسابهای دریافتنی'!A:A,0)),0)</f>
        <v>-492500</v>
      </c>
      <c r="D113" s="11">
        <f>IFERROR(INDEX('درجریان وصول'!F:F,MATCH(Table227[[#This Row],[كد تفصيلي]],'درجریان وصول'!A:A,0)),0)</f>
        <v>0</v>
      </c>
      <c r="E113" s="11">
        <f>IFERROR(INDEX('چکهای دریافتنی'!F:F,MATCH(Table227[[#This Row],[كد تفصيلي]],'چکهای دریافتنی'!A:A,0)),0)</f>
        <v>0</v>
      </c>
      <c r="F113" s="11">
        <f>Table227[[#This Row],[حسابهای دریافتنی]]+Table227[[#This Row],[چکهای در جریان وصول]]+Table227[[#This Row],[چکهای نزد صندوق]]</f>
        <v>-492500</v>
      </c>
      <c r="G113" s="12">
        <f>IFERROR(INDEX('مانده سوفاله'!F:F,MATCH(Table227[[#This Row],[كد تفصيلي]],'مانده سوفاله'!A:A,0)),0)</f>
        <v>2</v>
      </c>
    </row>
    <row r="114" spans="1:7" ht="28.5" customHeight="1" x14ac:dyDescent="0.35">
      <c r="A114" s="26">
        <v>10095</v>
      </c>
      <c r="B114" s="56" t="s">
        <v>268</v>
      </c>
      <c r="C114" s="10">
        <f>IFERROR(INDEX('حسابهای دریافتنی'!H:H,MATCH(Table227[[#This Row],[كد تفصيلي]],'حسابهای دریافتنی'!A:A,0)),0)</f>
        <v>-496500</v>
      </c>
      <c r="D114" s="11">
        <f>IFERROR(INDEX('درجریان وصول'!F:F,MATCH(Table227[[#This Row],[كد تفصيلي]],'درجریان وصول'!A:A,0)),0)</f>
        <v>0</v>
      </c>
      <c r="E114" s="11">
        <f>IFERROR(INDEX('چکهای دریافتنی'!F:F,MATCH(Table227[[#This Row],[كد تفصيلي]],'چکهای دریافتنی'!A:A,0)),0)</f>
        <v>0</v>
      </c>
      <c r="F114" s="11">
        <f>Table227[[#This Row],[حسابهای دریافتنی]]+Table227[[#This Row],[چکهای در جریان وصول]]+Table227[[#This Row],[چکهای نزد صندوق]]</f>
        <v>-496500</v>
      </c>
      <c r="G114" s="12">
        <f>IFERROR(INDEX('مانده سوفاله'!F:F,MATCH(Table227[[#This Row],[كد تفصيلي]],'مانده سوفاله'!A:A,0)),0)</f>
        <v>0</v>
      </c>
    </row>
    <row r="115" spans="1:7" ht="28.5" customHeight="1" x14ac:dyDescent="0.35">
      <c r="A115" s="27">
        <v>30052</v>
      </c>
      <c r="B115" s="55" t="s">
        <v>149</v>
      </c>
      <c r="C115" s="10">
        <f>IFERROR(INDEX('حسابهای دریافتنی'!H:H,MATCH(Table227[[#This Row],[كد تفصيلي]],'حسابهای دریافتنی'!A:A,0)),0)</f>
        <v>-539000</v>
      </c>
      <c r="D115" s="11">
        <f>IFERROR(INDEX('درجریان وصول'!F:F,MATCH(Table227[[#This Row],[كد تفصيلي]],'درجریان وصول'!A:A,0)),0)</f>
        <v>0</v>
      </c>
      <c r="E115" s="11">
        <f>IFERROR(INDEX('چکهای دریافتنی'!F:F,MATCH(Table227[[#This Row],[كد تفصيلي]],'چکهای دریافتنی'!A:A,0)),0)</f>
        <v>0</v>
      </c>
      <c r="F115" s="11">
        <f>Table227[[#This Row],[حسابهای دریافتنی]]+Table227[[#This Row],[چکهای در جریان وصول]]+Table227[[#This Row],[چکهای نزد صندوق]]</f>
        <v>-539000</v>
      </c>
      <c r="G115" s="12">
        <f>IFERROR(INDEX('مانده سوفاله'!F:F,MATCH(Table227[[#This Row],[كد تفصيلي]],'مانده سوفاله'!A:A,0)),0)</f>
        <v>0</v>
      </c>
    </row>
    <row r="116" spans="1:7" ht="28.5" customHeight="1" x14ac:dyDescent="0.35">
      <c r="A116" s="26">
        <v>10061</v>
      </c>
      <c r="B116" s="56" t="s">
        <v>194</v>
      </c>
      <c r="C116" s="10">
        <f>IFERROR(INDEX('حسابهای دریافتنی'!H:H,MATCH(Table227[[#This Row],[كد تفصيلي]],'حسابهای دریافتنی'!A:A,0)),0)</f>
        <v>-565500</v>
      </c>
      <c r="D116" s="11">
        <f>IFERROR(INDEX('درجریان وصول'!F:F,MATCH(Table227[[#This Row],[كد تفصيلي]],'درجریان وصول'!A:A,0)),0)</f>
        <v>0</v>
      </c>
      <c r="E116" s="11">
        <f>IFERROR(INDEX('چکهای دریافتنی'!F:F,MATCH(Table227[[#This Row],[كد تفصيلي]],'چکهای دریافتنی'!A:A,0)),0)</f>
        <v>0</v>
      </c>
      <c r="F116" s="11">
        <f>Table227[[#This Row],[حسابهای دریافتنی]]+Table227[[#This Row],[چکهای در جریان وصول]]+Table227[[#This Row],[چکهای نزد صندوق]]</f>
        <v>-565500</v>
      </c>
      <c r="G116" s="12">
        <f>IFERROR(INDEX('مانده سوفاله'!F:F,MATCH(Table227[[#This Row],[كد تفصيلي]],'مانده سوفاله'!A:A,0)),0)</f>
        <v>0</v>
      </c>
    </row>
    <row r="117" spans="1:7" ht="28.5" customHeight="1" x14ac:dyDescent="0.35">
      <c r="A117" s="26">
        <v>10118</v>
      </c>
      <c r="B117" s="56" t="s">
        <v>334</v>
      </c>
      <c r="C117" s="10">
        <f>IFERROR(INDEX('حسابهای دریافتنی'!H:H,MATCH(Table227[[#This Row],[كد تفصيلي]],'حسابهای دریافتنی'!A:A,0)),0)</f>
        <v>-587500</v>
      </c>
      <c r="D117" s="11">
        <f>IFERROR(INDEX('درجریان وصول'!F:F,MATCH(Table227[[#This Row],[كد تفصيلي]],'درجریان وصول'!A:A,0)),0)</f>
        <v>0</v>
      </c>
      <c r="E117" s="11">
        <f>IFERROR(INDEX('چکهای دریافتنی'!F:F,MATCH(Table227[[#This Row],[كد تفصيلي]],'چکهای دریافتنی'!A:A,0)),0)</f>
        <v>0</v>
      </c>
      <c r="F117" s="11">
        <f>Table227[[#This Row],[حسابهای دریافتنی]]+Table227[[#This Row],[چکهای در جریان وصول]]+Table227[[#This Row],[چکهای نزد صندوق]]</f>
        <v>-587500</v>
      </c>
      <c r="G117" s="12">
        <f>IFERROR(INDEX('مانده سوفاله'!F:F,MATCH(Table227[[#This Row],[كد تفصيلي]],'مانده سوفاله'!A:A,0)),0)</f>
        <v>0</v>
      </c>
    </row>
    <row r="118" spans="1:7" ht="28.5" customHeight="1" x14ac:dyDescent="0.35">
      <c r="A118" s="27">
        <v>10131</v>
      </c>
      <c r="B118" s="55" t="s">
        <v>457</v>
      </c>
      <c r="C118" s="10">
        <f>IFERROR(INDEX('حسابهای دریافتنی'!H:H,MATCH(Table227[[#This Row],[كد تفصيلي]],'حسابهای دریافتنی'!A:A,0)),0)</f>
        <v>-1194000</v>
      </c>
      <c r="D118" s="11">
        <f>IFERROR(INDEX('درجریان وصول'!F:F,MATCH(Table227[[#This Row],[كد تفصيلي]],'درجریان وصول'!A:A,0)),0)</f>
        <v>0</v>
      </c>
      <c r="E118" s="11">
        <f>IFERROR(INDEX('چکهای دریافتنی'!F:F,MATCH(Table227[[#This Row],[كد تفصيلي]],'چکهای دریافتنی'!A:A,0)),0)</f>
        <v>0</v>
      </c>
      <c r="F118" s="11">
        <f>Table227[[#This Row],[حسابهای دریافتنی]]+Table227[[#This Row],[چکهای در جریان وصول]]+Table227[[#This Row],[چکهای نزد صندوق]]</f>
        <v>-1194000</v>
      </c>
      <c r="G118" s="12">
        <f>IFERROR(INDEX('مانده سوفاله'!F:F,MATCH(Table227[[#This Row],[كد تفصيلي]],'مانده سوفاله'!A:A,0)),0)</f>
        <v>1</v>
      </c>
    </row>
    <row r="119" spans="1:7" ht="28.5" customHeight="1" x14ac:dyDescent="0.35">
      <c r="A119" s="26">
        <v>30112</v>
      </c>
      <c r="B119" s="56" t="s">
        <v>201</v>
      </c>
      <c r="C119" s="10">
        <f>IFERROR(INDEX('حسابهای دریافتنی'!H:H,MATCH(Table227[[#This Row],[كد تفصيلي]],'حسابهای دریافتنی'!A:A,0)),0)</f>
        <v>-720500</v>
      </c>
      <c r="D119" s="11">
        <f>IFERROR(INDEX('درجریان وصول'!F:F,MATCH(Table227[[#This Row],[كد تفصيلي]],'درجریان وصول'!A:A,0)),0)</f>
        <v>0</v>
      </c>
      <c r="E119" s="11">
        <f>IFERROR(INDEX('چکهای دریافتنی'!F:F,MATCH(Table227[[#This Row],[كد تفصيلي]],'چکهای دریافتنی'!A:A,0)),0)</f>
        <v>0</v>
      </c>
      <c r="F119" s="11">
        <f>Table227[[#This Row],[حسابهای دریافتنی]]+Table227[[#This Row],[چکهای در جریان وصول]]+Table227[[#This Row],[چکهای نزد صندوق]]</f>
        <v>-720500</v>
      </c>
      <c r="G119" s="12">
        <f>IFERROR(INDEX('مانده سوفاله'!F:F,MATCH(Table227[[#This Row],[كد تفصيلي]],'مانده سوفاله'!A:A,0)),0)</f>
        <v>36</v>
      </c>
    </row>
    <row r="120" spans="1:7" ht="28.5" customHeight="1" x14ac:dyDescent="0.35">
      <c r="A120" s="26">
        <v>10013</v>
      </c>
      <c r="B120" s="56" t="s">
        <v>20</v>
      </c>
      <c r="C120" s="10">
        <f>IFERROR(INDEX('حسابهای دریافتنی'!H:H,MATCH(Table227[[#This Row],[كد تفصيلي]],'حسابهای دریافتنی'!A:A,0)),0)</f>
        <v>-915000</v>
      </c>
      <c r="D120" s="11">
        <f>IFERROR(INDEX('درجریان وصول'!F:F,MATCH(Table227[[#This Row],[كد تفصيلي]],'درجریان وصول'!A:A,0)),0)</f>
        <v>0</v>
      </c>
      <c r="E120" s="11">
        <f>IFERROR(INDEX('چکهای دریافتنی'!F:F,MATCH(Table227[[#This Row],[كد تفصيلي]],'چکهای دریافتنی'!A:A,0)),0)</f>
        <v>0</v>
      </c>
      <c r="F120" s="11">
        <f>Table227[[#This Row],[حسابهای دریافتنی]]+Table227[[#This Row],[چکهای در جریان وصول]]+Table227[[#This Row],[چکهای نزد صندوق]]</f>
        <v>-915000</v>
      </c>
      <c r="G120" s="12">
        <f>IFERROR(INDEX('مانده سوفاله'!F:F,MATCH(Table227[[#This Row],[كد تفصيلي]],'مانده سوفاله'!A:A,0)),0)</f>
        <v>0</v>
      </c>
    </row>
    <row r="121" spans="1:7" ht="28.5" customHeight="1" x14ac:dyDescent="0.35">
      <c r="A121" s="27">
        <v>10042</v>
      </c>
      <c r="B121" s="55" t="s">
        <v>47</v>
      </c>
      <c r="C121" s="10">
        <f>IFERROR(INDEX('حسابهای دریافتنی'!H:H,MATCH(Table227[[#This Row],[كد تفصيلي]],'حسابهای دریافتنی'!A:A,0)),0)</f>
        <v>-1120000</v>
      </c>
      <c r="D121" s="11">
        <f>IFERROR(INDEX('درجریان وصول'!F:F,MATCH(Table227[[#This Row],[كد تفصيلي]],'درجریان وصول'!A:A,0)),0)</f>
        <v>0</v>
      </c>
      <c r="E121" s="11">
        <f>IFERROR(INDEX('چکهای دریافتنی'!F:F,MATCH(Table227[[#This Row],[كد تفصيلي]],'چکهای دریافتنی'!A:A,0)),0)</f>
        <v>0</v>
      </c>
      <c r="F121" s="11">
        <f>Table227[[#This Row],[حسابهای دریافتنی]]+Table227[[#This Row],[چکهای در جریان وصول]]+Table227[[#This Row],[چکهای نزد صندوق]]</f>
        <v>-1120000</v>
      </c>
      <c r="G121" s="12">
        <f>IFERROR(INDEX('مانده سوفاله'!F:F,MATCH(Table227[[#This Row],[كد تفصيلي]],'مانده سوفاله'!A:A,0)),0)</f>
        <v>2</v>
      </c>
    </row>
    <row r="122" spans="1:7" ht="28.5" customHeight="1" x14ac:dyDescent="0.35">
      <c r="A122" s="27">
        <v>30032</v>
      </c>
      <c r="B122" s="55" t="s">
        <v>79</v>
      </c>
      <c r="C122" s="10">
        <f>IFERROR(INDEX('حسابهای دریافتنی'!H:H,MATCH(Table227[[#This Row],[كد تفصيلي]],'حسابهای دریافتنی'!A:A,0)),0)</f>
        <v>-1347000</v>
      </c>
      <c r="D122" s="11">
        <f>IFERROR(INDEX('درجریان وصول'!F:F,MATCH(Table227[[#This Row],[كد تفصيلي]],'درجریان وصول'!A:A,0)),0)</f>
        <v>0</v>
      </c>
      <c r="E122" s="11">
        <f>IFERROR(INDEX('چکهای دریافتنی'!F:F,MATCH(Table227[[#This Row],[كد تفصيلي]],'چکهای دریافتنی'!A:A,0)),0)</f>
        <v>0</v>
      </c>
      <c r="F122" s="11">
        <f>Table227[[#This Row],[حسابهای دریافتنی]]+Table227[[#This Row],[چکهای در جریان وصول]]+Table227[[#This Row],[چکهای نزد صندوق]]</f>
        <v>-1347000</v>
      </c>
      <c r="G122" s="12">
        <f>IFERROR(INDEX('مانده سوفاله'!F:F,MATCH(Table227[[#This Row],[كد تفصيلي]],'مانده سوفاله'!A:A,0)),0)</f>
        <v>0</v>
      </c>
    </row>
    <row r="123" spans="1:7" ht="28.5" customHeight="1" x14ac:dyDescent="0.35">
      <c r="A123" s="27">
        <v>30171</v>
      </c>
      <c r="B123" s="55" t="s">
        <v>322</v>
      </c>
      <c r="C123" s="10">
        <f>IFERROR(INDEX('حسابهای دریافتنی'!H:H,MATCH(Table227[[#This Row],[كد تفصيلي]],'حسابهای دریافتنی'!A:A,0)),0)</f>
        <v>-1500000</v>
      </c>
      <c r="D123" s="11">
        <f>IFERROR(INDEX('درجریان وصول'!F:F,MATCH(Table227[[#This Row],[كد تفصيلي]],'درجریان وصول'!A:A,0)),0)</f>
        <v>0</v>
      </c>
      <c r="E123" s="11">
        <f>IFERROR(INDEX('چکهای دریافتنی'!F:F,MATCH(Table227[[#This Row],[كد تفصيلي]],'چکهای دریافتنی'!A:A,0)),0)</f>
        <v>0</v>
      </c>
      <c r="F123" s="11">
        <f>Table227[[#This Row],[حسابهای دریافتنی]]+Table227[[#This Row],[چکهای در جریان وصول]]+Table227[[#This Row],[چکهای نزد صندوق]]</f>
        <v>-1500000</v>
      </c>
      <c r="G123" s="12">
        <f>IFERROR(INDEX('مانده سوفاله'!F:F,MATCH(Table227[[#This Row],[كد تفصيلي]],'مانده سوفاله'!A:A,0)),0)</f>
        <v>0</v>
      </c>
    </row>
    <row r="124" spans="1:7" ht="28.5" customHeight="1" x14ac:dyDescent="0.35">
      <c r="A124" s="26">
        <v>10103</v>
      </c>
      <c r="B124" s="56" t="s">
        <v>283</v>
      </c>
      <c r="C124" s="10">
        <f>IFERROR(INDEX('حسابهای دریافتنی'!H:H,MATCH(Table227[[#This Row],[كد تفصيلي]],'حسابهای دریافتنی'!A:A,0)),0)</f>
        <v>-1580000</v>
      </c>
      <c r="D124" s="11">
        <f>IFERROR(INDEX('درجریان وصول'!F:F,MATCH(Table227[[#This Row],[كد تفصيلي]],'درجریان وصول'!A:A,0)),0)</f>
        <v>0</v>
      </c>
      <c r="E124" s="11">
        <f>IFERROR(INDEX('چکهای دریافتنی'!F:F,MATCH(Table227[[#This Row],[كد تفصيلي]],'چکهای دریافتنی'!A:A,0)),0)</f>
        <v>0</v>
      </c>
      <c r="F124" s="11">
        <f>Table227[[#This Row],[حسابهای دریافتنی]]+Table227[[#This Row],[چکهای در جریان وصول]]+Table227[[#This Row],[چکهای نزد صندوق]]</f>
        <v>-1580000</v>
      </c>
      <c r="G124" s="12">
        <f>IFERROR(INDEX('مانده سوفاله'!F:F,MATCH(Table227[[#This Row],[كد تفصيلي]],'مانده سوفاله'!A:A,0)),0)</f>
        <v>0</v>
      </c>
    </row>
    <row r="125" spans="1:7" ht="28.5" customHeight="1" x14ac:dyDescent="0.35">
      <c r="A125" s="27">
        <v>10125</v>
      </c>
      <c r="B125" s="55" t="s">
        <v>345</v>
      </c>
      <c r="C125" s="10">
        <f>IFERROR(INDEX('حسابهای دریافتنی'!H:H,MATCH(Table227[[#This Row],[كد تفصيلي]],'حسابهای دریافتنی'!A:A,0)),0)</f>
        <v>-1650000</v>
      </c>
      <c r="D125" s="11">
        <f>IFERROR(INDEX('درجریان وصول'!F:F,MATCH(Table227[[#This Row],[كد تفصيلي]],'درجریان وصول'!A:A,0)),0)</f>
        <v>0</v>
      </c>
      <c r="E125" s="11">
        <f>IFERROR(INDEX('چکهای دریافتنی'!F:F,MATCH(Table227[[#This Row],[كد تفصيلي]],'چکهای دریافتنی'!A:A,0)),0)</f>
        <v>0</v>
      </c>
      <c r="F125" s="11">
        <f>Table227[[#This Row],[حسابهای دریافتنی]]+Table227[[#This Row],[چکهای در جریان وصول]]+Table227[[#This Row],[چکهای نزد صندوق]]</f>
        <v>-1650000</v>
      </c>
      <c r="G125" s="12">
        <f>IFERROR(INDEX('مانده سوفاله'!F:F,MATCH(Table227[[#This Row],[كد تفصيلي]],'مانده سوفاله'!A:A,0)),0)</f>
        <v>0</v>
      </c>
    </row>
    <row r="126" spans="1:7" ht="28.5" customHeight="1" x14ac:dyDescent="0.35">
      <c r="A126" s="26">
        <v>10110</v>
      </c>
      <c r="B126" s="56" t="s">
        <v>306</v>
      </c>
      <c r="C126" s="10">
        <f>IFERROR(INDEX('حسابهای دریافتنی'!H:H,MATCH(Table227[[#This Row],[كد تفصيلي]],'حسابهای دریافتنی'!A:A,0)),0)</f>
        <v>-1817500</v>
      </c>
      <c r="D126" s="11">
        <f>IFERROR(INDEX('درجریان وصول'!F:F,MATCH(Table227[[#This Row],[كد تفصيلي]],'درجریان وصول'!A:A,0)),0)</f>
        <v>0</v>
      </c>
      <c r="E126" s="11">
        <f>IFERROR(INDEX('چکهای دریافتنی'!F:F,MATCH(Table227[[#This Row],[كد تفصيلي]],'چکهای دریافتنی'!A:A,0)),0)</f>
        <v>0</v>
      </c>
      <c r="F126" s="11">
        <f>Table227[[#This Row],[حسابهای دریافتنی]]+Table227[[#This Row],[چکهای در جریان وصول]]+Table227[[#This Row],[چکهای نزد صندوق]]</f>
        <v>-1817500</v>
      </c>
      <c r="G126" s="12">
        <f>IFERROR(INDEX('مانده سوفاله'!F:F,MATCH(Table227[[#This Row],[كد تفصيلي]],'مانده سوفاله'!A:A,0)),0)</f>
        <v>7</v>
      </c>
    </row>
    <row r="127" spans="1:7" ht="28.5" customHeight="1" x14ac:dyDescent="0.35">
      <c r="A127" s="27">
        <v>30103</v>
      </c>
      <c r="B127" s="55" t="s">
        <v>240</v>
      </c>
      <c r="C127" s="10">
        <f>IFERROR(INDEX('حسابهای دریافتنی'!H:H,MATCH(Table227[[#This Row],[كد تفصيلي]],'حسابهای دریافتنی'!A:A,0)),0)</f>
        <v>-1820000</v>
      </c>
      <c r="D127" s="11">
        <f>IFERROR(INDEX('درجریان وصول'!F:F,MATCH(Table227[[#This Row],[كد تفصيلي]],'درجریان وصول'!A:A,0)),0)</f>
        <v>0</v>
      </c>
      <c r="E127" s="11">
        <f>IFERROR(INDEX('چکهای دریافتنی'!F:F,MATCH(Table227[[#This Row],[كد تفصيلي]],'چکهای دریافتنی'!A:A,0)),0)</f>
        <v>0</v>
      </c>
      <c r="F127" s="11">
        <f>Table227[[#This Row],[حسابهای دریافتنی]]+Table227[[#This Row],[چکهای در جریان وصول]]+Table227[[#This Row],[چکهای نزد صندوق]]</f>
        <v>-1820000</v>
      </c>
      <c r="G127" s="12">
        <f>IFERROR(INDEX('مانده سوفاله'!F:F,MATCH(Table227[[#This Row],[كد تفصيلي]],'مانده سوفاله'!A:A,0)),0)</f>
        <v>0</v>
      </c>
    </row>
    <row r="128" spans="1:7" ht="28.5" customHeight="1" x14ac:dyDescent="0.35">
      <c r="A128" s="26">
        <v>30128</v>
      </c>
      <c r="B128" s="56" t="s">
        <v>212</v>
      </c>
      <c r="C128" s="10">
        <f>IFERROR(INDEX('حسابهای دریافتنی'!H:H,MATCH(Table227[[#This Row],[كد تفصيلي]],'حسابهای دریافتنی'!A:A,0)),0)</f>
        <v>-2451320</v>
      </c>
      <c r="D128" s="11">
        <f>IFERROR(INDEX('درجریان وصول'!F:F,MATCH(Table227[[#This Row],[كد تفصيلي]],'درجریان وصول'!A:A,0)),0)</f>
        <v>0</v>
      </c>
      <c r="E128" s="11">
        <f>IFERROR(INDEX('چکهای دریافتنی'!F:F,MATCH(Table227[[#This Row],[كد تفصيلي]],'چکهای دریافتنی'!A:A,0)),0)</f>
        <v>0</v>
      </c>
      <c r="F128" s="11">
        <f>Table227[[#This Row],[حسابهای دریافتنی]]+Table227[[#This Row],[چکهای در جریان وصول]]+Table227[[#This Row],[چکهای نزد صندوق]]</f>
        <v>-2451320</v>
      </c>
      <c r="G128" s="12">
        <f>IFERROR(INDEX('مانده سوفاله'!F:F,MATCH(Table227[[#This Row],[كد تفصيلي]],'مانده سوفاله'!A:A,0)),0)</f>
        <v>0</v>
      </c>
    </row>
    <row r="129" spans="1:7" ht="28.5" customHeight="1" x14ac:dyDescent="0.35">
      <c r="A129" s="26">
        <v>30013</v>
      </c>
      <c r="B129" s="56" t="s">
        <v>62</v>
      </c>
      <c r="C129" s="10">
        <f>IFERROR(INDEX('حسابهای دریافتنی'!H:H,MATCH(Table227[[#This Row],[كد تفصيلي]],'حسابهای دریافتنی'!A:A,0)),0)</f>
        <v>-2744620</v>
      </c>
      <c r="D129" s="11">
        <f>IFERROR(INDEX('درجریان وصول'!F:F,MATCH(Table227[[#This Row],[كد تفصيلي]],'درجریان وصول'!A:A,0)),0)</f>
        <v>0</v>
      </c>
      <c r="E129" s="11">
        <f>IFERROR(INDEX('چکهای دریافتنی'!F:F,MATCH(Table227[[#This Row],[كد تفصيلي]],'چکهای دریافتنی'!A:A,0)),0)</f>
        <v>0</v>
      </c>
      <c r="F129" s="11">
        <f>Table227[[#This Row],[حسابهای دریافتنی]]+Table227[[#This Row],[چکهای در جریان وصول]]+Table227[[#This Row],[چکهای نزد صندوق]]</f>
        <v>-2744620</v>
      </c>
      <c r="G129" s="12">
        <f>IFERROR(INDEX('مانده سوفاله'!F:F,MATCH(Table227[[#This Row],[كد تفصيلي]],'مانده سوفاله'!A:A,0)),0)</f>
        <v>0</v>
      </c>
    </row>
    <row r="130" spans="1:7" ht="28.5" customHeight="1" x14ac:dyDescent="0.35">
      <c r="A130" s="26">
        <v>30015</v>
      </c>
      <c r="B130" s="56" t="s">
        <v>64</v>
      </c>
      <c r="C130" s="10">
        <f>IFERROR(INDEX('حسابهای دریافتنی'!H:H,MATCH(Table227[[#This Row],[كد تفصيلي]],'حسابهای دریافتنی'!A:A,0)),0)</f>
        <v>-3105895</v>
      </c>
      <c r="D130" s="11">
        <f>IFERROR(INDEX('درجریان وصول'!F:F,MATCH(Table227[[#This Row],[كد تفصيلي]],'درجریان وصول'!A:A,0)),0)</f>
        <v>0</v>
      </c>
      <c r="E130" s="11">
        <f>IFERROR(INDEX('چکهای دریافتنی'!F:F,MATCH(Table227[[#This Row],[كد تفصيلي]],'چکهای دریافتنی'!A:A,0)),0)</f>
        <v>0</v>
      </c>
      <c r="F130" s="11">
        <f>Table227[[#This Row],[حسابهای دریافتنی]]+Table227[[#This Row],[چکهای در جریان وصول]]+Table227[[#This Row],[چکهای نزد صندوق]]</f>
        <v>-3105895</v>
      </c>
      <c r="G130" s="12">
        <f>IFERROR(INDEX('مانده سوفاله'!F:F,MATCH(Table227[[#This Row],[كد تفصيلي]],'مانده سوفاله'!A:A,0)),0)</f>
        <v>0</v>
      </c>
    </row>
    <row r="131" spans="1:7" ht="28.5" customHeight="1" x14ac:dyDescent="0.35">
      <c r="A131" s="26">
        <v>30110</v>
      </c>
      <c r="B131" s="56" t="s">
        <v>200</v>
      </c>
      <c r="C131" s="10">
        <f>IFERROR(INDEX('حسابهای دریافتنی'!H:H,MATCH(Table227[[#This Row],[كد تفصيلي]],'حسابهای دریافتنی'!A:A,0)),0)</f>
        <v>-3492360</v>
      </c>
      <c r="D131" s="11">
        <f>IFERROR(INDEX('درجریان وصول'!F:F,MATCH(Table227[[#This Row],[كد تفصيلي]],'درجریان وصول'!A:A,0)),0)</f>
        <v>0</v>
      </c>
      <c r="E131" s="11">
        <f>IFERROR(INDEX('چکهای دریافتنی'!F:F,MATCH(Table227[[#This Row],[كد تفصيلي]],'چکهای دریافتنی'!A:A,0)),0)</f>
        <v>0</v>
      </c>
      <c r="F131" s="11">
        <f>Table227[[#This Row],[حسابهای دریافتنی]]+Table227[[#This Row],[چکهای در جریان وصول]]+Table227[[#This Row],[چکهای نزد صندوق]]</f>
        <v>-3492360</v>
      </c>
      <c r="G131" s="12">
        <f>IFERROR(INDEX('مانده سوفاله'!F:F,MATCH(Table227[[#This Row],[كد تفصيلي]],'مانده سوفاله'!A:A,0)),0)</f>
        <v>0</v>
      </c>
    </row>
    <row r="132" spans="1:7" ht="28.5" customHeight="1" x14ac:dyDescent="0.35">
      <c r="A132" s="26">
        <v>10049</v>
      </c>
      <c r="B132" s="56" t="s">
        <v>157</v>
      </c>
      <c r="C132" s="10">
        <f>IFERROR(INDEX('حسابهای دریافتنی'!H:H,MATCH(Table227[[#This Row],[كد تفصيلي]],'حسابهای دریافتنی'!A:A,0)),0)</f>
        <v>-32909500</v>
      </c>
      <c r="D132" s="11">
        <f>IFERROR(INDEX('درجریان وصول'!F:F,MATCH(Table227[[#This Row],[كد تفصيلي]],'درجریان وصول'!A:A,0)),0)</f>
        <v>0</v>
      </c>
      <c r="E132" s="11">
        <f>IFERROR(INDEX('چکهای دریافتنی'!F:F,MATCH(Table227[[#This Row],[كد تفصيلي]],'چکهای دریافتنی'!A:A,0)),0)</f>
        <v>0</v>
      </c>
      <c r="F132" s="11">
        <f>Table227[[#This Row],[حسابهای دریافتنی]]+Table227[[#This Row],[چکهای در جریان وصول]]+Table227[[#This Row],[چکهای نزد صندوق]]</f>
        <v>-32909500</v>
      </c>
      <c r="G132" s="12">
        <f>IFERROR(INDEX('مانده سوفاله'!F:F,MATCH(Table227[[#This Row],[كد تفصيلي]],'مانده سوفاله'!A:A,0)),0)</f>
        <v>0</v>
      </c>
    </row>
    <row r="133" spans="1:7" ht="28.5" customHeight="1" x14ac:dyDescent="0.35">
      <c r="A133" s="26">
        <v>10015</v>
      </c>
      <c r="B133" s="56" t="s">
        <v>22</v>
      </c>
      <c r="C133" s="10">
        <f>IFERROR(INDEX('حسابهای دریافتنی'!H:H,MATCH(Table227[[#This Row],[كد تفصيلي]],'حسابهای دریافتنی'!A:A,0)),0)</f>
        <v>-4735000</v>
      </c>
      <c r="D133" s="11">
        <f>IFERROR(INDEX('درجریان وصول'!F:F,MATCH(Table227[[#This Row],[كد تفصيلي]],'درجریان وصول'!A:A,0)),0)</f>
        <v>0</v>
      </c>
      <c r="E133" s="11">
        <f>IFERROR(INDEX('چکهای دریافتنی'!F:F,MATCH(Table227[[#This Row],[كد تفصيلي]],'چکهای دریافتنی'!A:A,0)),0)</f>
        <v>0</v>
      </c>
      <c r="F133" s="11">
        <f>Table227[[#This Row],[حسابهای دریافتنی]]+Table227[[#This Row],[چکهای در جریان وصول]]+Table227[[#This Row],[چکهای نزد صندوق]]</f>
        <v>-4735000</v>
      </c>
      <c r="G133" s="12">
        <f>IFERROR(INDEX('مانده سوفاله'!F:F,MATCH(Table227[[#This Row],[كد تفصيلي]],'مانده سوفاله'!A:A,0)),0)</f>
        <v>12</v>
      </c>
    </row>
    <row r="134" spans="1:7" ht="28.5" customHeight="1" x14ac:dyDescent="0.35">
      <c r="A134" s="27">
        <v>30153</v>
      </c>
      <c r="B134" s="55" t="s">
        <v>279</v>
      </c>
      <c r="C134" s="10">
        <f>IFERROR(INDEX('حسابهای دریافتنی'!H:H,MATCH(Table227[[#This Row],[كد تفصيلي]],'حسابهای دریافتنی'!A:A,0)),0)</f>
        <v>-4818000</v>
      </c>
      <c r="D134" s="11">
        <f>IFERROR(INDEX('درجریان وصول'!F:F,MATCH(Table227[[#This Row],[كد تفصيلي]],'درجریان وصول'!A:A,0)),0)</f>
        <v>0</v>
      </c>
      <c r="E134" s="11">
        <f>IFERROR(INDEX('چکهای دریافتنی'!F:F,MATCH(Table227[[#This Row],[كد تفصيلي]],'چکهای دریافتنی'!A:A,0)),0)</f>
        <v>0</v>
      </c>
      <c r="F134" s="11">
        <f>Table227[[#This Row],[حسابهای دریافتنی]]+Table227[[#This Row],[چکهای در جریان وصول]]+Table227[[#This Row],[چکهای نزد صندوق]]</f>
        <v>-4818000</v>
      </c>
      <c r="G134" s="12">
        <f>IFERROR(INDEX('مانده سوفاله'!F:F,MATCH(Table227[[#This Row],[كد تفصيلي]],'مانده سوفاله'!A:A,0)),0)</f>
        <v>0</v>
      </c>
    </row>
    <row r="135" spans="1:7" customFormat="1" ht="28.5" customHeight="1" x14ac:dyDescent="0.35">
      <c r="A135" s="53">
        <v>30023</v>
      </c>
      <c r="B135" s="56" t="s">
        <v>71</v>
      </c>
      <c r="C135" s="10">
        <f>IFERROR(INDEX('حسابهای دریافتنی'!H:H,MATCH(Table227[[#This Row],[كد تفصيلي]],'حسابهای دریافتنی'!A:A,0)),0)</f>
        <v>-5793600</v>
      </c>
      <c r="D135" s="11">
        <f>IFERROR(INDEX('درجریان وصول'!F:F,MATCH(Table227[[#This Row],[كد تفصيلي]],'درجریان وصول'!A:A,0)),0)</f>
        <v>0</v>
      </c>
      <c r="E135" s="11">
        <f>IFERROR(INDEX('چکهای دریافتنی'!F:F,MATCH(Table227[[#This Row],[كد تفصيلي]],'چکهای دریافتنی'!A:A,0)),0)</f>
        <v>0</v>
      </c>
      <c r="F135" s="11">
        <f>Table227[[#This Row],[حسابهای دریافتنی]]+Table227[[#This Row],[چکهای در جریان وصول]]+Table227[[#This Row],[چکهای نزد صندوق]]</f>
        <v>-5793600</v>
      </c>
      <c r="G135" s="12">
        <f>IFERROR(INDEX('مانده سوفاله'!F:F,MATCH(Table227[[#This Row],[كد تفصيلي]],'مانده سوفاله'!A:A,0)),0)</f>
        <v>0</v>
      </c>
    </row>
    <row r="136" spans="1:7" customFormat="1" ht="28.5" customHeight="1" x14ac:dyDescent="0.35">
      <c r="A136" s="53">
        <v>30176</v>
      </c>
      <c r="B136" s="56" t="s">
        <v>332</v>
      </c>
      <c r="C136" s="10">
        <f>IFERROR(INDEX('حسابهای دریافتنی'!H:H,MATCH(Table227[[#This Row],[كد تفصيلي]],'حسابهای دریافتنی'!A:A,0)),0)</f>
        <v>-7540075</v>
      </c>
      <c r="D136" s="11">
        <f>IFERROR(INDEX('درجریان وصول'!F:F,MATCH(Table227[[#This Row],[كد تفصيلي]],'درجریان وصول'!A:A,0)),0)</f>
        <v>0</v>
      </c>
      <c r="E136" s="11">
        <f>IFERROR(INDEX('چکهای دریافتنی'!F:F,MATCH(Table227[[#This Row],[كد تفصيلي]],'چکهای دریافتنی'!A:A,0)),0)</f>
        <v>0</v>
      </c>
      <c r="F136" s="11">
        <f>Table227[[#This Row],[حسابهای دریافتنی]]+Table227[[#This Row],[چکهای در جریان وصول]]+Table227[[#This Row],[چکهای نزد صندوق]]</f>
        <v>-7540075</v>
      </c>
      <c r="G136" s="12">
        <f>IFERROR(INDEX('مانده سوفاله'!F:F,MATCH(Table227[[#This Row],[كد تفصيلي]],'مانده سوفاله'!A:A,0)),0)</f>
        <v>0</v>
      </c>
    </row>
    <row r="137" spans="1:7" customFormat="1" ht="28.5" customHeight="1" x14ac:dyDescent="0.35">
      <c r="A137" s="53">
        <v>10106</v>
      </c>
      <c r="B137" s="56" t="s">
        <v>298</v>
      </c>
      <c r="C137" s="10">
        <f>IFERROR(INDEX('حسابهای دریافتنی'!H:H,MATCH(Table227[[#This Row],[كد تفصيلي]],'حسابهای دریافتنی'!A:A,0)),0)</f>
        <v>-9134000</v>
      </c>
      <c r="D137" s="11">
        <f>IFERROR(INDEX('درجریان وصول'!F:F,MATCH(Table227[[#This Row],[كد تفصيلي]],'درجریان وصول'!A:A,0)),0)</f>
        <v>0</v>
      </c>
      <c r="E137" s="11">
        <f>IFERROR(INDEX('چکهای دریافتنی'!F:F,MATCH(Table227[[#This Row],[كد تفصيلي]],'چکهای دریافتنی'!A:A,0)),0)</f>
        <v>0</v>
      </c>
      <c r="F137" s="11">
        <f>Table227[[#This Row],[حسابهای دریافتنی]]+Table227[[#This Row],[چکهای در جریان وصول]]+Table227[[#This Row],[چکهای نزد صندوق]]</f>
        <v>-9134000</v>
      </c>
      <c r="G137" s="12">
        <f>IFERROR(INDEX('مانده سوفاله'!F:F,MATCH(Table227[[#This Row],[كد تفصيلي]],'مانده سوفاله'!A:A,0)),0)</f>
        <v>0</v>
      </c>
    </row>
    <row r="138" spans="1:7" customFormat="1" ht="28.5" customHeight="1" x14ac:dyDescent="0.35">
      <c r="A138" s="54">
        <v>10102</v>
      </c>
      <c r="B138" s="55" t="s">
        <v>282</v>
      </c>
      <c r="C138" s="10">
        <f>IFERROR(INDEX('حسابهای دریافتنی'!H:H,MATCH(Table227[[#This Row],[كد تفصيلي]],'حسابهای دریافتنی'!A:A,0)),0)</f>
        <v>-10374000</v>
      </c>
      <c r="D138" s="11">
        <f>IFERROR(INDEX('درجریان وصول'!F:F,MATCH(Table227[[#This Row],[كد تفصيلي]],'درجریان وصول'!A:A,0)),0)</f>
        <v>0</v>
      </c>
      <c r="E138" s="11">
        <f>IFERROR(INDEX('چکهای دریافتنی'!F:F,MATCH(Table227[[#This Row],[كد تفصيلي]],'چکهای دریافتنی'!A:A,0)),0)</f>
        <v>0</v>
      </c>
      <c r="F138" s="11">
        <f>Table227[[#This Row],[حسابهای دریافتنی]]+Table227[[#This Row],[چکهای در جریان وصول]]+Table227[[#This Row],[چکهای نزد صندوق]]</f>
        <v>-10374000</v>
      </c>
      <c r="G138" s="12">
        <f>IFERROR(INDEX('مانده سوفاله'!F:F,MATCH(Table227[[#This Row],[كد تفصيلي]],'مانده سوفاله'!A:A,0)),0)</f>
        <v>0</v>
      </c>
    </row>
    <row r="139" spans="1:7" customFormat="1" ht="28.5" customHeight="1" x14ac:dyDescent="0.35">
      <c r="A139" s="54">
        <v>10058</v>
      </c>
      <c r="B139" s="55" t="s">
        <v>173</v>
      </c>
      <c r="C139" s="10">
        <f>IFERROR(INDEX('حسابهای دریافتنی'!H:H,MATCH(Table227[[#This Row],[كد تفصيلي]],'حسابهای دریافتنی'!A:A,0)),0)</f>
        <v>-13650000</v>
      </c>
      <c r="D139" s="11">
        <f>IFERROR(INDEX('درجریان وصول'!F:F,MATCH(Table227[[#This Row],[كد تفصيلي]],'درجریان وصول'!A:A,0)),0)</f>
        <v>0</v>
      </c>
      <c r="E139" s="11">
        <f>IFERROR(INDEX('چکهای دریافتنی'!F:F,MATCH(Table227[[#This Row],[كد تفصيلي]],'چکهای دریافتنی'!A:A,0)),0)</f>
        <v>0</v>
      </c>
      <c r="F139" s="11">
        <f>Table227[[#This Row],[حسابهای دریافتنی]]+Table227[[#This Row],[چکهای در جریان وصول]]+Table227[[#This Row],[چکهای نزد صندوق]]</f>
        <v>-13650000</v>
      </c>
      <c r="G139" s="12">
        <f>IFERROR(INDEX('مانده سوفاله'!F:F,MATCH(Table227[[#This Row],[كد تفصيلي]],'مانده سوفاله'!A:A,0)),0)</f>
        <v>0</v>
      </c>
    </row>
    <row r="140" spans="1:7" customFormat="1" ht="28.5" customHeight="1" x14ac:dyDescent="0.35">
      <c r="A140" s="53">
        <v>10126</v>
      </c>
      <c r="B140" s="56" t="s">
        <v>370</v>
      </c>
      <c r="C140" s="10">
        <f>IFERROR(INDEX('حسابهای دریافتنی'!H:H,MATCH(Table227[[#This Row],[كد تفصيلي]],'حسابهای دریافتنی'!A:A,0)),0)</f>
        <v>12165000</v>
      </c>
      <c r="D140" s="11">
        <f>IFERROR(INDEX('درجریان وصول'!F:F,MATCH(Table227[[#This Row],[كد تفصيلي]],'درجریان وصول'!A:A,0)),0)</f>
        <v>0</v>
      </c>
      <c r="E140" s="11">
        <f>IFERROR(INDEX('چکهای دریافتنی'!F:F,MATCH(Table227[[#This Row],[كد تفصيلي]],'چکهای دریافتنی'!A:A,0)),0)</f>
        <v>0</v>
      </c>
      <c r="F140" s="11">
        <f>Table227[[#This Row],[حسابهای دریافتنی]]+Table227[[#This Row],[چکهای در جریان وصول]]+Table227[[#This Row],[چکهای نزد صندوق]]</f>
        <v>12165000</v>
      </c>
      <c r="G140" s="12">
        <f>IFERROR(INDEX('مانده سوفاله'!F:F,MATCH(Table227[[#This Row],[كد تفصيلي]],'مانده سوفاله'!A:A,0)),0)</f>
        <v>0</v>
      </c>
    </row>
    <row r="141" spans="1:7" customFormat="1" ht="28.5" customHeight="1" x14ac:dyDescent="0.35">
      <c r="A141" s="53">
        <v>30082</v>
      </c>
      <c r="B141" s="56" t="s">
        <v>127</v>
      </c>
      <c r="C141" s="10">
        <f>IFERROR(INDEX('حسابهای دریافتنی'!H:H,MATCH(Table227[[#This Row],[كد تفصيلي]],'حسابهای دریافتنی'!A:A,0)),0)</f>
        <v>-15037000</v>
      </c>
      <c r="D141" s="11">
        <f>IFERROR(INDEX('درجریان وصول'!F:F,MATCH(Table227[[#This Row],[كد تفصيلي]],'درجریان وصول'!A:A,0)),0)</f>
        <v>0</v>
      </c>
      <c r="E141" s="11">
        <f>IFERROR(INDEX('چکهای دریافتنی'!F:F,MATCH(Table227[[#This Row],[كد تفصيلي]],'چکهای دریافتنی'!A:A,0)),0)</f>
        <v>0</v>
      </c>
      <c r="F141" s="11">
        <f>Table227[[#This Row],[حسابهای دریافتنی]]+Table227[[#This Row],[چکهای در جریان وصول]]+Table227[[#This Row],[چکهای نزد صندوق]]</f>
        <v>-15037000</v>
      </c>
      <c r="G141" s="12">
        <f>IFERROR(INDEX('مانده سوفاله'!F:F,MATCH(Table227[[#This Row],[كد تفصيلي]],'مانده سوفاله'!A:A,0)),0)</f>
        <v>-16</v>
      </c>
    </row>
    <row r="142" spans="1:7" customFormat="1" ht="28.5" customHeight="1" x14ac:dyDescent="0.35">
      <c r="A142" s="54">
        <v>30034</v>
      </c>
      <c r="B142" s="55" t="s">
        <v>81</v>
      </c>
      <c r="C142" s="10">
        <f>IFERROR(INDEX('حسابهای دریافتنی'!H:H,MATCH(Table227[[#This Row],[كد تفصيلي]],'حسابهای دریافتنی'!A:A,0)),0)</f>
        <v>388329200</v>
      </c>
      <c r="D142" s="11">
        <f>IFERROR(INDEX('درجریان وصول'!F:F,MATCH(Table227[[#This Row],[كد تفصيلي]],'درجریان وصول'!A:A,0)),0)</f>
        <v>0</v>
      </c>
      <c r="E142" s="11">
        <f>IFERROR(INDEX('چکهای دریافتنی'!F:F,MATCH(Table227[[#This Row],[كد تفصيلي]],'چکهای دریافتنی'!A:A,0)),0)</f>
        <v>0</v>
      </c>
      <c r="F142" s="11">
        <f>Table227[[#This Row],[حسابهای دریافتنی]]+Table227[[#This Row],[چکهای در جریان وصول]]+Table227[[#This Row],[چکهای نزد صندوق]]</f>
        <v>388329200</v>
      </c>
      <c r="G142" s="12">
        <f>IFERROR(INDEX('مانده سوفاله'!F:F,MATCH(Table227[[#This Row],[كد تفصيلي]],'مانده سوفاله'!A:A,0)),0)</f>
        <v>2886</v>
      </c>
    </row>
    <row r="143" spans="1:7" customFormat="1" ht="28.5" customHeight="1" x14ac:dyDescent="0.35">
      <c r="A143" s="54">
        <v>30042</v>
      </c>
      <c r="B143" s="55" t="s">
        <v>89</v>
      </c>
      <c r="C143" s="10">
        <f>IFERROR(INDEX('حسابهای دریافتنی'!H:H,MATCH(Table227[[#This Row],[كد تفصيلي]],'حسابهای دریافتنی'!A:A,0)),0)</f>
        <v>-18303540</v>
      </c>
      <c r="D143" s="11">
        <f>IFERROR(INDEX('درجریان وصول'!F:F,MATCH(Table227[[#This Row],[كد تفصيلي]],'درجریان وصول'!A:A,0)),0)</f>
        <v>0</v>
      </c>
      <c r="E143" s="11">
        <f>IFERROR(INDEX('چکهای دریافتنی'!F:F,MATCH(Table227[[#This Row],[كد تفصيلي]],'چکهای دریافتنی'!A:A,0)),0)</f>
        <v>0</v>
      </c>
      <c r="F143" s="11">
        <f>Table227[[#This Row],[حسابهای دریافتنی]]+Table227[[#This Row],[چکهای در جریان وصول]]+Table227[[#This Row],[چکهای نزد صندوق]]</f>
        <v>-18303540</v>
      </c>
      <c r="G143" s="12">
        <f>IFERROR(INDEX('مانده سوفاله'!F:F,MATCH(Table227[[#This Row],[كد تفصيلي]],'مانده سوفاله'!A:A,0)),0)</f>
        <v>0</v>
      </c>
    </row>
    <row r="144" spans="1:7" customFormat="1" ht="28.5" customHeight="1" x14ac:dyDescent="0.35">
      <c r="A144" s="54">
        <v>30028</v>
      </c>
      <c r="B144" s="55" t="s">
        <v>76</v>
      </c>
      <c r="C144" s="10">
        <f>IFERROR(INDEX('حسابهای دریافتنی'!H:H,MATCH(Table227[[#This Row],[كد تفصيلي]],'حسابهای دریافتنی'!A:A,0)),0)</f>
        <v>-23665000</v>
      </c>
      <c r="D144" s="11">
        <f>IFERROR(INDEX('درجریان وصول'!F:F,MATCH(Table227[[#This Row],[كد تفصيلي]],'درجریان وصول'!A:A,0)),0)</f>
        <v>0</v>
      </c>
      <c r="E144" s="11">
        <f>IFERROR(INDEX('چکهای دریافتنی'!F:F,MATCH(Table227[[#This Row],[كد تفصيلي]],'چکهای دریافتنی'!A:A,0)),0)</f>
        <v>0</v>
      </c>
      <c r="F144" s="11">
        <f>Table227[[#This Row],[حسابهای دریافتنی]]+Table227[[#This Row],[چکهای در جریان وصول]]+Table227[[#This Row],[چکهای نزد صندوق]]</f>
        <v>-23665000</v>
      </c>
      <c r="G144" s="12">
        <f>IFERROR(INDEX('مانده سوفاله'!F:F,MATCH(Table227[[#This Row],[كد تفصيلي]],'مانده سوفاله'!A:A,0)),0)</f>
        <v>0</v>
      </c>
    </row>
    <row r="145" spans="1:7" customFormat="1" ht="28.5" customHeight="1" x14ac:dyDescent="0.35">
      <c r="A145" s="53">
        <v>30072</v>
      </c>
      <c r="B145" s="56" t="s">
        <v>117</v>
      </c>
      <c r="C145" s="10">
        <f>IFERROR(INDEX('حسابهای دریافتنی'!H:H,MATCH(Table227[[#This Row],[كد تفصيلي]],'حسابهای دریافتنی'!A:A,0)),0)</f>
        <v>-30178900</v>
      </c>
      <c r="D145" s="11">
        <f>IFERROR(INDEX('درجریان وصول'!F:F,MATCH(Table227[[#This Row],[كد تفصيلي]],'درجریان وصول'!A:A,0)),0)</f>
        <v>0</v>
      </c>
      <c r="E145" s="11">
        <f>IFERROR(INDEX('چکهای دریافتنی'!F:F,MATCH(Table227[[#This Row],[كد تفصيلي]],'چکهای دریافتنی'!A:A,0)),0)</f>
        <v>0</v>
      </c>
      <c r="F145" s="11">
        <f>Table227[[#This Row],[حسابهای دریافتنی]]+Table227[[#This Row],[چکهای در جریان وصول]]+Table227[[#This Row],[چکهای نزد صندوق]]</f>
        <v>-30178900</v>
      </c>
      <c r="G145" s="12">
        <f>IFERROR(INDEX('مانده سوفاله'!F:F,MATCH(Table227[[#This Row],[كد تفصيلي]],'مانده سوفاله'!A:A,0)),0)</f>
        <v>-79</v>
      </c>
    </row>
    <row r="146" spans="1:7" customFormat="1" ht="28.5" customHeight="1" x14ac:dyDescent="0.35">
      <c r="A146" s="54">
        <v>30012</v>
      </c>
      <c r="B146" s="55" t="s">
        <v>61</v>
      </c>
      <c r="C146" s="10">
        <f>IFERROR(INDEX('حسابهای دریافتنی'!H:H,MATCH(Table227[[#This Row],[كد تفصيلي]],'حسابهای دریافتنی'!A:A,0)),0)</f>
        <v>-46099000</v>
      </c>
      <c r="D146" s="11">
        <f>IFERROR(INDEX('درجریان وصول'!F:F,MATCH(Table227[[#This Row],[كد تفصيلي]],'درجریان وصول'!A:A,0)),0)</f>
        <v>0</v>
      </c>
      <c r="E146" s="11">
        <f>IFERROR(INDEX('چکهای دریافتنی'!F:F,MATCH(Table227[[#This Row],[كد تفصيلي]],'چکهای دریافتنی'!A:A,0)),0)</f>
        <v>348650000</v>
      </c>
      <c r="F146" s="11">
        <f>Table227[[#This Row],[حسابهای دریافتنی]]+Table227[[#This Row],[چکهای در جریان وصول]]+Table227[[#This Row],[چکهای نزد صندوق]]</f>
        <v>302551000</v>
      </c>
      <c r="G146" s="12">
        <f>IFERROR(INDEX('مانده سوفاله'!F:F,MATCH(Table227[[#This Row],[كد تفصيلي]],'مانده سوفاله'!A:A,0)),0)</f>
        <v>141</v>
      </c>
    </row>
    <row r="147" spans="1:7" customFormat="1" ht="28.5" customHeight="1" x14ac:dyDescent="0.35">
      <c r="A147" s="53">
        <v>30098</v>
      </c>
      <c r="B147" s="56" t="s">
        <v>238</v>
      </c>
      <c r="C147" s="10">
        <f>IFERROR(INDEX('حسابهای دریافتنی'!H:H,MATCH(Table227[[#This Row],[كد تفصيلي]],'حسابهای دریافتنی'!A:A,0)),0)</f>
        <v>-45125000</v>
      </c>
      <c r="D147" s="11">
        <f>IFERROR(INDEX('درجریان وصول'!F:F,MATCH(Table227[[#This Row],[كد تفصيلي]],'درجریان وصول'!A:A,0)),0)</f>
        <v>0</v>
      </c>
      <c r="E147" s="11">
        <f>IFERROR(INDEX('چکهای دریافتنی'!F:F,MATCH(Table227[[#This Row],[كد تفصيلي]],'چکهای دریافتنی'!A:A,0)),0)</f>
        <v>0</v>
      </c>
      <c r="F147" s="11">
        <f>Table227[[#This Row],[حسابهای دریافتنی]]+Table227[[#This Row],[چکهای در جریان وصول]]+Table227[[#This Row],[چکهای نزد صندوق]]</f>
        <v>-45125000</v>
      </c>
      <c r="G147" s="12">
        <f>IFERROR(INDEX('مانده سوفاله'!F:F,MATCH(Table227[[#This Row],[كد تفصيلي]],'مانده سوفاله'!A:A,0)),0)</f>
        <v>0</v>
      </c>
    </row>
    <row r="148" spans="1:7" customFormat="1" ht="28.5" customHeight="1" x14ac:dyDescent="0.35">
      <c r="A148" s="53">
        <v>30064</v>
      </c>
      <c r="B148" s="56" t="s">
        <v>109</v>
      </c>
      <c r="C148" s="10">
        <f>IFERROR(INDEX('حسابهای دریافتنی'!H:H,MATCH(Table227[[#This Row],[كد تفصيلي]],'حسابهای دریافتنی'!A:A,0)),0)</f>
        <v>-49679500</v>
      </c>
      <c r="D148" s="11">
        <f>IFERROR(INDEX('درجریان وصول'!F:F,MATCH(Table227[[#This Row],[كد تفصيلي]],'درجریان وصول'!A:A,0)),0)</f>
        <v>0</v>
      </c>
      <c r="E148" s="11">
        <f>IFERROR(INDEX('چکهای دریافتنی'!F:F,MATCH(Table227[[#This Row],[كد تفصيلي]],'چکهای دریافتنی'!A:A,0)),0)</f>
        <v>0</v>
      </c>
      <c r="F148" s="11">
        <f>Table227[[#This Row],[حسابهای دریافتنی]]+Table227[[#This Row],[چکهای در جریان وصول]]+Table227[[#This Row],[چکهای نزد صندوق]]</f>
        <v>-49679500</v>
      </c>
      <c r="G148" s="12">
        <f>IFERROR(INDEX('مانده سوفاله'!F:F,MATCH(Table227[[#This Row],[كد تفصيلي]],'مانده سوفاله'!A:A,0)),0)</f>
        <v>0</v>
      </c>
    </row>
    <row r="149" spans="1:7" customFormat="1" ht="28.5" customHeight="1" x14ac:dyDescent="0.35">
      <c r="A149" s="54">
        <v>10123</v>
      </c>
      <c r="B149" s="55" t="s">
        <v>340</v>
      </c>
      <c r="C149" s="10">
        <f>IFERROR(INDEX('حسابهای دریافتنی'!H:H,MATCH(Table227[[#This Row],[كد تفصيلي]],'حسابهای دریافتنی'!A:A,0)),0)</f>
        <v>-50813000</v>
      </c>
      <c r="D149" s="11">
        <f>IFERROR(INDEX('درجریان وصول'!F:F,MATCH(Table227[[#This Row],[كد تفصيلي]],'درجریان وصول'!A:A,0)),0)</f>
        <v>0</v>
      </c>
      <c r="E149" s="11">
        <f>IFERROR(INDEX('چکهای دریافتنی'!F:F,MATCH(Table227[[#This Row],[كد تفصيلي]],'چکهای دریافتنی'!A:A,0)),0)</f>
        <v>0</v>
      </c>
      <c r="F149" s="11">
        <f>Table227[[#This Row],[حسابهای دریافتنی]]+Table227[[#This Row],[چکهای در جریان وصول]]+Table227[[#This Row],[چکهای نزد صندوق]]</f>
        <v>-50813000</v>
      </c>
      <c r="G149" s="12">
        <f>IFERROR(INDEX('مانده سوفاله'!F:F,MATCH(Table227[[#This Row],[كد تفصيلي]],'مانده سوفاله'!A:A,0)),0)</f>
        <v>0</v>
      </c>
    </row>
    <row r="150" spans="1:7" customFormat="1" ht="28.5" customHeight="1" x14ac:dyDescent="0.35">
      <c r="A150" s="54">
        <v>30000</v>
      </c>
      <c r="B150" s="55" t="s">
        <v>189</v>
      </c>
      <c r="C150" s="10">
        <f>IFERROR(INDEX('حسابهای دریافتنی'!H:H,MATCH(Table227[[#This Row],[كد تفصيلي]],'حسابهای دریافتنی'!A:A,0)),0)</f>
        <v>-55440000</v>
      </c>
      <c r="D150" s="11">
        <f>IFERROR(INDEX('درجریان وصول'!F:F,MATCH(Table227[[#This Row],[كد تفصيلي]],'درجریان وصول'!A:A,0)),0)</f>
        <v>0</v>
      </c>
      <c r="E150" s="11">
        <f>IFERROR(INDEX('چکهای دریافتنی'!F:F,MATCH(Table227[[#This Row],[كد تفصيلي]],'چکهای دریافتنی'!A:A,0)),0)</f>
        <v>0</v>
      </c>
      <c r="F150" s="11">
        <f>Table227[[#This Row],[حسابهای دریافتنی]]+Table227[[#This Row],[چکهای در جریان وصول]]+Table227[[#This Row],[چکهای نزد صندوق]]</f>
        <v>-55440000</v>
      </c>
      <c r="G150" s="12">
        <f>IFERROR(INDEX('مانده سوفاله'!F:F,MATCH(Table227[[#This Row],[كد تفصيلي]],'مانده سوفاله'!A:A,0)),0)</f>
        <v>0</v>
      </c>
    </row>
    <row r="151" spans="1:7" customFormat="1" ht="28.5" customHeight="1" x14ac:dyDescent="0.35">
      <c r="A151" s="53">
        <v>10069</v>
      </c>
      <c r="B151" s="56" t="s">
        <v>204</v>
      </c>
      <c r="C151" s="10">
        <f>IFERROR(INDEX('حسابهای دریافتنی'!H:H,MATCH(Table227[[#This Row],[كد تفصيلي]],'حسابهای دریافتنی'!A:A,0)),0)</f>
        <v>952500</v>
      </c>
      <c r="D151" s="11">
        <f>IFERROR(INDEX('درجریان وصول'!F:F,MATCH(Table227[[#This Row],[كد تفصيلي]],'درجریان وصول'!A:A,0)),0)</f>
        <v>0</v>
      </c>
      <c r="E151" s="11">
        <f>IFERROR(INDEX('چکهای دریافتنی'!F:F,MATCH(Table227[[#This Row],[كد تفصيلي]],'چکهای دریافتنی'!A:A,0)),0)</f>
        <v>73000000</v>
      </c>
      <c r="F151" s="11">
        <f>Table227[[#This Row],[حسابهای دریافتنی]]+Table227[[#This Row],[چکهای در جریان وصول]]+Table227[[#This Row],[چکهای نزد صندوق]]</f>
        <v>73952500</v>
      </c>
      <c r="G151" s="12">
        <f>IFERROR(INDEX('مانده سوفاله'!F:F,MATCH(Table227[[#This Row],[كد تفصيلي]],'مانده سوفاله'!A:A,0)),0)</f>
        <v>339</v>
      </c>
    </row>
    <row r="152" spans="1:7" customFormat="1" ht="28.5" customHeight="1" x14ac:dyDescent="0.35">
      <c r="A152" s="54">
        <v>30133</v>
      </c>
      <c r="B152" s="55" t="s">
        <v>251</v>
      </c>
      <c r="C152" s="10">
        <f>IFERROR(INDEX('حسابهای دریافتنی'!H:H,MATCH(Table227[[#This Row],[كد تفصيلي]],'حسابهای دریافتنی'!A:A,0)),0)</f>
        <v>-66889500</v>
      </c>
      <c r="D152" s="11">
        <f>IFERROR(INDEX('درجریان وصول'!F:F,MATCH(Table227[[#This Row],[كد تفصيلي]],'درجریان وصول'!A:A,0)),0)</f>
        <v>0</v>
      </c>
      <c r="E152" s="11">
        <f>IFERROR(INDEX('چکهای دریافتنی'!F:F,MATCH(Table227[[#This Row],[كد تفصيلي]],'چکهای دریافتنی'!A:A,0)),0)</f>
        <v>0</v>
      </c>
      <c r="F152" s="11">
        <f>Table227[[#This Row],[حسابهای دریافتنی]]+Table227[[#This Row],[چکهای در جریان وصول]]+Table227[[#This Row],[چکهای نزد صندوق]]</f>
        <v>-66889500</v>
      </c>
      <c r="G152" s="12">
        <f>IFERROR(INDEX('مانده سوفاله'!F:F,MATCH(Table227[[#This Row],[كد تفصيلي]],'مانده سوفاله'!A:A,0)),0)</f>
        <v>0</v>
      </c>
    </row>
    <row r="153" spans="1:7" customFormat="1" ht="28.5" customHeight="1" x14ac:dyDescent="0.35">
      <c r="A153" s="53">
        <v>30168</v>
      </c>
      <c r="B153" s="56" t="s">
        <v>313</v>
      </c>
      <c r="C153" s="10">
        <f>IFERROR(INDEX('حسابهای دریافتنی'!H:H,MATCH(Table227[[#This Row],[كد تفصيلي]],'حسابهای دریافتنی'!A:A,0)),0)</f>
        <v>-104220000</v>
      </c>
      <c r="D153" s="11">
        <f>IFERROR(INDEX('درجریان وصول'!F:F,MATCH(Table227[[#This Row],[كد تفصيلي]],'درجریان وصول'!A:A,0)),0)</f>
        <v>0</v>
      </c>
      <c r="E153" s="11">
        <f>IFERROR(INDEX('چکهای دریافتنی'!F:F,MATCH(Table227[[#This Row],[كد تفصيلي]],'چکهای دریافتنی'!A:A,0)),0)</f>
        <v>0</v>
      </c>
      <c r="F153" s="11">
        <f>Table227[[#This Row],[حسابهای دریافتنی]]+Table227[[#This Row],[چکهای در جریان وصول]]+Table227[[#This Row],[چکهای نزد صندوق]]</f>
        <v>-104220000</v>
      </c>
      <c r="G153" s="12">
        <f>IFERROR(INDEX('مانده سوفاله'!F:F,MATCH(Table227[[#This Row],[كد تفصيلي]],'مانده سوفاله'!A:A,0)),0)</f>
        <v>0</v>
      </c>
    </row>
    <row r="154" spans="1:7" customFormat="1" ht="28.5" customHeight="1" x14ac:dyDescent="0.35">
      <c r="A154" s="53">
        <v>30164</v>
      </c>
      <c r="B154" s="56" t="s">
        <v>304</v>
      </c>
      <c r="C154" s="10">
        <f>IFERROR(INDEX('حسابهای دریافتنی'!H:H,MATCH(Table227[[#This Row],[كد تفصيلي]],'حسابهای دریافتنی'!A:A,0)),0)</f>
        <v>184944000</v>
      </c>
      <c r="D154" s="11">
        <f>IFERROR(INDEX('درجریان وصول'!F:F,MATCH(Table227[[#This Row],[كد تفصيلي]],'درجریان وصول'!A:A,0)),0)</f>
        <v>0</v>
      </c>
      <c r="E154" s="11">
        <f>IFERROR(INDEX('چکهای دریافتنی'!F:F,MATCH(Table227[[#This Row],[كد تفصيلي]],'چکهای دریافتنی'!A:A,0)),0)</f>
        <v>0</v>
      </c>
      <c r="F154" s="11">
        <f>Table227[[#This Row],[حسابهای دریافتنی]]+Table227[[#This Row],[چکهای در جریان وصول]]+Table227[[#This Row],[چکهای نزد صندوق]]</f>
        <v>184944000</v>
      </c>
      <c r="G154" s="12">
        <f>IFERROR(INDEX('مانده سوفاله'!F:F,MATCH(Table227[[#This Row],[كد تفصيلي]],'مانده سوفاله'!A:A,0)),0)</f>
        <v>561</v>
      </c>
    </row>
    <row r="155" spans="1:7" customFormat="1" ht="28.5" customHeight="1" x14ac:dyDescent="0.35">
      <c r="A155" s="53">
        <v>10089</v>
      </c>
      <c r="B155" s="56" t="s">
        <v>255</v>
      </c>
      <c r="C155" s="10">
        <f>IFERROR(INDEX('حسابهای دریافتنی'!H:H,MATCH(Table227[[#This Row],[كد تفصيلي]],'حسابهای دریافتنی'!A:A,0)),0)</f>
        <v>-143944000</v>
      </c>
      <c r="D155" s="11">
        <f>IFERROR(INDEX('درجریان وصول'!F:F,MATCH(Table227[[#This Row],[كد تفصيلي]],'درجریان وصول'!A:A,0)),0)</f>
        <v>0</v>
      </c>
      <c r="E155" s="11">
        <f>IFERROR(INDEX('چکهای دریافتنی'!F:F,MATCH(Table227[[#This Row],[كد تفصيلي]],'چکهای دریافتنی'!A:A,0)),0)</f>
        <v>0</v>
      </c>
      <c r="F155" s="11">
        <f>Table227[[#This Row],[حسابهای دریافتنی]]+Table227[[#This Row],[چکهای در جریان وصول]]+Table227[[#This Row],[چکهای نزد صندوق]]</f>
        <v>-143944000</v>
      </c>
      <c r="G155" s="12">
        <f>IFERROR(INDEX('مانده سوفاله'!F:F,MATCH(Table227[[#This Row],[كد تفصيلي]],'مانده سوفاله'!A:A,0)),0)</f>
        <v>-948</v>
      </c>
    </row>
    <row r="156" spans="1:7" customFormat="1" ht="28.5" customHeight="1" x14ac:dyDescent="0.35">
      <c r="A156" s="53">
        <v>10093</v>
      </c>
      <c r="B156" s="56" t="s">
        <v>264</v>
      </c>
      <c r="C156" s="10">
        <f>IFERROR(INDEX('حسابهای دریافتنی'!H:H,MATCH(Table227[[#This Row],[كد تفصيلي]],'حسابهای دریافتنی'!A:A,0)),0)</f>
        <v>-2214000</v>
      </c>
      <c r="D156" s="11">
        <f>IFERROR(INDEX('درجریان وصول'!F:F,MATCH(Table227[[#This Row],[كد تفصيلي]],'درجریان وصول'!A:A,0)),0)</f>
        <v>0</v>
      </c>
      <c r="E156" s="11">
        <f>IFERROR(INDEX('چکهای دریافتنی'!F:F,MATCH(Table227[[#This Row],[كد تفصيلي]],'چکهای دریافتنی'!A:A,0)),0)</f>
        <v>0</v>
      </c>
      <c r="F156" s="11">
        <f>Table227[[#This Row],[حسابهای دریافتنی]]+Table227[[#This Row],[چکهای در جریان وصول]]+Table227[[#This Row],[چکهای نزد صندوق]]</f>
        <v>-2214000</v>
      </c>
      <c r="G156" s="12">
        <f>IFERROR(INDEX('مانده سوفاله'!F:F,MATCH(Table227[[#This Row],[كد تفصيلي]],'مانده سوفاله'!A:A,0)),0)</f>
        <v>0</v>
      </c>
    </row>
    <row r="157" spans="1:7" customFormat="1" ht="28.5" customHeight="1" x14ac:dyDescent="0.35">
      <c r="A157" s="53">
        <v>10139</v>
      </c>
      <c r="B157" s="56" t="s">
        <v>518</v>
      </c>
      <c r="C157" s="10">
        <f>IFERROR(INDEX('حسابهای دریافتنی'!H:H,MATCH(Table227[[#This Row],[كد تفصيلي]],'حسابهای دریافتنی'!A:A,0)),0)</f>
        <v>-267193000</v>
      </c>
      <c r="D157" s="11">
        <f>IFERROR(INDEX('درجریان وصول'!F:F,MATCH(Table227[[#This Row],[كد تفصيلي]],'درجریان وصول'!A:A,0)),0)</f>
        <v>0</v>
      </c>
      <c r="E157" s="11">
        <f>IFERROR(INDEX('چکهای دریافتنی'!F:F,MATCH(Table227[[#This Row],[كد تفصيلي]],'چکهای دریافتنی'!A:A,0)),0)</f>
        <v>0</v>
      </c>
      <c r="F157" s="11">
        <f>Table227[[#This Row],[حسابهای دریافتنی]]+Table227[[#This Row],[چکهای در جریان وصول]]+Table227[[#This Row],[چکهای نزد صندوق]]</f>
        <v>-267193000</v>
      </c>
      <c r="G157" s="12">
        <f>IFERROR(INDEX('مانده سوفاله'!F:F,MATCH(Table227[[#This Row],[كد تفصيلي]],'مانده سوفاله'!A:A,0)),0)</f>
        <v>0</v>
      </c>
    </row>
    <row r="158" spans="1:7" customFormat="1" ht="28.5" customHeight="1" x14ac:dyDescent="0.35">
      <c r="A158" s="53">
        <v>10079</v>
      </c>
      <c r="B158" s="56" t="s">
        <v>174</v>
      </c>
      <c r="C158" s="10">
        <f>IFERROR(INDEX('حسابهای دریافتنی'!H:H,MATCH(Table227[[#This Row],[كد تفصيلي]],'حسابهای دریافتنی'!A:A,0)),0)</f>
        <v>-226593500</v>
      </c>
      <c r="D158" s="11">
        <f>IFERROR(INDEX('درجریان وصول'!F:F,MATCH(Table227[[#This Row],[كد تفصيلي]],'درجریان وصول'!A:A,0)),0)</f>
        <v>0</v>
      </c>
      <c r="E158" s="11">
        <f>IFERROR(INDEX('چکهای دریافتنی'!F:F,MATCH(Table227[[#This Row],[كد تفصيلي]],'چکهای دریافتنی'!A:A,0)),0)</f>
        <v>0</v>
      </c>
      <c r="F158" s="11">
        <f>Table227[[#This Row],[حسابهای دریافتنی]]+Table227[[#This Row],[چکهای در جریان وصول]]+Table227[[#This Row],[چکهای نزد صندوق]]</f>
        <v>-226593500</v>
      </c>
      <c r="G158" s="12">
        <f>IFERROR(INDEX('مانده سوفاله'!F:F,MATCH(Table227[[#This Row],[كد تفصيلي]],'مانده سوفاله'!A:A,0)),0)</f>
        <v>0</v>
      </c>
    </row>
    <row r="159" spans="1:7" customFormat="1" ht="28.5" customHeight="1" x14ac:dyDescent="0.35">
      <c r="A159" s="53">
        <v>30146</v>
      </c>
      <c r="B159" s="56" t="s">
        <v>266</v>
      </c>
      <c r="C159" s="10">
        <f>IFERROR(INDEX('حسابهای دریافتنی'!H:H,MATCH(Table227[[#This Row],[كد تفصيلي]],'حسابهای دریافتنی'!A:A,0)),0)</f>
        <v>-4146512500</v>
      </c>
      <c r="D159" s="11">
        <f>IFERROR(INDEX('درجریان وصول'!F:F,MATCH(Table227[[#This Row],[كد تفصيلي]],'درجریان وصول'!A:A,0)),0)</f>
        <v>0</v>
      </c>
      <c r="E159" s="11">
        <f>IFERROR(INDEX('چکهای دریافتنی'!F:F,MATCH(Table227[[#This Row],[كد تفصيلي]],'چکهای دریافتنی'!A:A,0)),0)</f>
        <v>0</v>
      </c>
      <c r="F159" s="11">
        <f>Table227[[#This Row],[حسابهای دریافتنی]]+Table227[[#This Row],[چکهای در جریان وصول]]+Table227[[#This Row],[چکهای نزد صندوق]]</f>
        <v>-4146512500</v>
      </c>
      <c r="G159" s="12">
        <f>IFERROR(INDEX('مانده سوفاله'!F:F,MATCH(Table227[[#This Row],[كد تفصيلي]],'مانده سوفاله'!A:A,0)),0)</f>
        <v>2823</v>
      </c>
    </row>
    <row r="160" spans="1:7" customFormat="1" ht="28.5" customHeight="1" x14ac:dyDescent="0.35">
      <c r="A160" s="53">
        <v>30116</v>
      </c>
      <c r="B160" s="56" t="s">
        <v>203</v>
      </c>
      <c r="C160" s="10">
        <f>IFERROR(INDEX('حسابهای دریافتنی'!H:H,MATCH(Table227[[#This Row],[كد تفصيلي]],'حسابهای دریافتنی'!A:A,0)),0)</f>
        <v>-303220621</v>
      </c>
      <c r="D160" s="11">
        <f>IFERROR(INDEX('درجریان وصول'!F:F,MATCH(Table227[[#This Row],[كد تفصيلي]],'درجریان وصول'!A:A,0)),0)</f>
        <v>0</v>
      </c>
      <c r="E160" s="11">
        <f>IFERROR(INDEX('چکهای دریافتنی'!F:F,MATCH(Table227[[#This Row],[كد تفصيلي]],'چکهای دریافتنی'!A:A,0)),0)</f>
        <v>0</v>
      </c>
      <c r="F160" s="11">
        <f>Table227[[#This Row],[حسابهای دریافتنی]]+Table227[[#This Row],[چکهای در جریان وصول]]+Table227[[#This Row],[چکهای نزد صندوق]]</f>
        <v>-303220621</v>
      </c>
      <c r="G160" s="12">
        <f>IFERROR(INDEX('مانده سوفاله'!F:F,MATCH(Table227[[#This Row],[كد تفصيلي]],'مانده سوفاله'!A:A,0)),0)</f>
        <v>0</v>
      </c>
    </row>
    <row r="161" spans="1:7" customFormat="1" ht="28.5" customHeight="1" x14ac:dyDescent="0.35">
      <c r="A161" s="54">
        <v>50008</v>
      </c>
      <c r="B161" s="55" t="s">
        <v>146</v>
      </c>
      <c r="C161" s="10">
        <f>IFERROR(INDEX('حسابهای دریافتنی'!H:H,MATCH(Table227[[#This Row],[كد تفصيلي]],'حسابهای دریافتنی'!A:A,0)),0)</f>
        <v>-406230000</v>
      </c>
      <c r="D161" s="11">
        <f>IFERROR(INDEX('درجریان وصول'!F:F,MATCH(Table227[[#This Row],[كد تفصيلي]],'درجریان وصول'!A:A,0)),0)</f>
        <v>0</v>
      </c>
      <c r="E161" s="11">
        <f>IFERROR(INDEX('چکهای دریافتنی'!F:F,MATCH(Table227[[#This Row],[كد تفصيلي]],'چکهای دریافتنی'!A:A,0)),0)</f>
        <v>0</v>
      </c>
      <c r="F161" s="11">
        <f>Table227[[#This Row],[حسابهای دریافتنی]]+Table227[[#This Row],[چکهای در جریان وصول]]+Table227[[#This Row],[چکهای نزد صندوق]]</f>
        <v>-406230000</v>
      </c>
      <c r="G161" s="12">
        <f>IFERROR(INDEX('مانده سوفاله'!F:F,MATCH(Table227[[#This Row],[كد تفصيلي]],'مانده سوفاله'!A:A,0)),0)</f>
        <v>0</v>
      </c>
    </row>
    <row r="162" spans="1:7" ht="28.5" customHeight="1" x14ac:dyDescent="0.35">
      <c r="A162" s="26">
        <v>30182</v>
      </c>
      <c r="B162" s="56" t="s">
        <v>342</v>
      </c>
      <c r="C162" s="10">
        <f>IFERROR(INDEX('حسابهای دریافتنی'!H:H,MATCH(Table227[[#This Row],[كد تفصيلي]],'حسابهای دریافتنی'!A:A,0)),0)</f>
        <v>-528256400</v>
      </c>
      <c r="D162" s="11">
        <f>IFERROR(INDEX('درجریان وصول'!F:F,MATCH(Table227[[#This Row],[كد تفصيلي]],'درجریان وصول'!A:A,0)),0)</f>
        <v>0</v>
      </c>
      <c r="E162" s="11">
        <f>IFERROR(INDEX('چکهای دریافتنی'!F:F,MATCH(Table227[[#This Row],[كد تفصيلي]],'چکهای دریافتنی'!A:A,0)),0)</f>
        <v>0</v>
      </c>
      <c r="F162" s="11">
        <f>Table227[[#This Row],[حسابهای دریافتنی]]+Table227[[#This Row],[چکهای در جریان وصول]]+Table227[[#This Row],[چکهای نزد صندوق]]</f>
        <v>-528256400</v>
      </c>
      <c r="G162" s="12">
        <f>IFERROR(INDEX('مانده سوفاله'!F:F,MATCH(Table227[[#This Row],[كد تفصيلي]],'مانده سوفاله'!A:A,0)),0)</f>
        <v>0</v>
      </c>
    </row>
    <row r="163" spans="1:7" ht="28.5" customHeight="1" x14ac:dyDescent="0.35">
      <c r="A163" s="27">
        <v>30006</v>
      </c>
      <c r="B163" s="55" t="s">
        <v>56</v>
      </c>
      <c r="C163" s="10">
        <f>IFERROR(INDEX('حسابهای دریافتنی'!H:H,MATCH(Table227[[#This Row],[كد تفصيلي]],'حسابهای دریافتنی'!A:A,0)),0)</f>
        <v>-162677545</v>
      </c>
      <c r="D163" s="11">
        <f>IFERROR(INDEX('درجریان وصول'!F:F,MATCH(Table227[[#This Row],[كد تفصيلي]],'درجریان وصول'!A:A,0)),0)</f>
        <v>0</v>
      </c>
      <c r="E163" s="11">
        <f>IFERROR(INDEX('چکهای دریافتنی'!F:F,MATCH(Table227[[#This Row],[كد تفصيلي]],'چکهای دریافتنی'!A:A,0)),0)</f>
        <v>0</v>
      </c>
      <c r="F163" s="11">
        <f>Table227[[#This Row],[حسابهای دریافتنی]]+Table227[[#This Row],[چکهای در جریان وصول]]+Table227[[#This Row],[چکهای نزد صندوق]]</f>
        <v>-162677545</v>
      </c>
      <c r="G163" s="12">
        <f>IFERROR(INDEX('مانده سوفاله'!F:F,MATCH(Table227[[#This Row],[كد تفصيلي]],'مانده سوفاله'!A:A,0)),0)</f>
        <v>-6</v>
      </c>
    </row>
    <row r="164" spans="1:7" ht="28.5" customHeight="1" x14ac:dyDescent="0.35">
      <c r="A164" s="26">
        <v>10133</v>
      </c>
      <c r="B164" s="56" t="s">
        <v>465</v>
      </c>
      <c r="C164" s="10">
        <f>IFERROR(INDEX('حسابهای دریافتنی'!H:H,MATCH(Table227[[#This Row],[كد تفصيلي]],'حسابهای دریافتنی'!A:A,0)),0)</f>
        <v>-1249039000</v>
      </c>
      <c r="D164" s="11">
        <f>IFERROR(INDEX('درجریان وصول'!F:F,MATCH(Table227[[#This Row],[كد تفصيلي]],'درجریان وصول'!A:A,0)),0)</f>
        <v>0</v>
      </c>
      <c r="E164" s="11">
        <f>IFERROR(INDEX('چکهای دریافتنی'!F:F,MATCH(Table227[[#This Row],[كد تفصيلي]],'چکهای دریافتنی'!A:A,0)),0)</f>
        <v>0</v>
      </c>
      <c r="F164" s="11">
        <f>Table227[[#This Row],[حسابهای دریافتنی]]+Table227[[#This Row],[چکهای در جریان وصول]]+Table227[[#This Row],[چکهای نزد صندوق]]</f>
        <v>-1249039000</v>
      </c>
      <c r="G164" s="12">
        <f>IFERROR(INDEX('مانده سوفاله'!F:F,MATCH(Table227[[#This Row],[كد تفصيلي]],'مانده سوفاله'!A:A,0)),0)</f>
        <v>0</v>
      </c>
    </row>
    <row r="165" spans="1:7" ht="28.5" customHeight="1" x14ac:dyDescent="0.35">
      <c r="A165" s="27">
        <v>30040</v>
      </c>
      <c r="B165" s="55" t="s">
        <v>87</v>
      </c>
      <c r="C165" s="10">
        <f>IFERROR(INDEX('حسابهای دریافتنی'!H:H,MATCH(Table227[[#This Row],[كد تفصيلي]],'حسابهای دریافتنی'!A:A,0)),0)</f>
        <v>0</v>
      </c>
      <c r="D165" s="11">
        <f>IFERROR(INDEX('درجریان وصول'!F:F,MATCH(Table227[[#This Row],[كد تفصيلي]],'درجریان وصول'!A:A,0)),0)</f>
        <v>0</v>
      </c>
      <c r="E165" s="11">
        <f>IFERROR(INDEX('چکهای دریافتنی'!F:F,MATCH(Table227[[#This Row],[كد تفصيلي]],'چکهای دریافتنی'!A:A,0)),0)</f>
        <v>0</v>
      </c>
      <c r="F165" s="11">
        <f>Table227[[#This Row],[حسابهای دریافتنی]]+Table227[[#This Row],[چکهای در جریان وصول]]+Table227[[#This Row],[چکهای نزد صندوق]]</f>
        <v>0</v>
      </c>
      <c r="G165" s="12">
        <f>IFERROR(INDEX('مانده سوفاله'!F:F,MATCH(Table227[[#This Row],[كد تفصيلي]],'مانده سوفاله'!A:A,0)),0)</f>
        <v>0</v>
      </c>
    </row>
    <row r="166" spans="1:7" ht="28.5" customHeight="1" x14ac:dyDescent="0.35">
      <c r="A166" s="26">
        <v>79120</v>
      </c>
      <c r="B166" s="56" t="s">
        <v>195</v>
      </c>
      <c r="C166" s="10">
        <f>IFERROR(INDEX('حسابهای دریافتنی'!H:H,MATCH(Table227[[#This Row],[كد تفصيلي]],'حسابهای دریافتنی'!A:A,0)),0)</f>
        <v>-15776160000</v>
      </c>
      <c r="D166" s="11">
        <f>IFERROR(INDEX('درجریان وصول'!F:F,MATCH(Table227[[#This Row],[كد تفصيلي]],'درجریان وصول'!A:A,0)),0)</f>
        <v>0</v>
      </c>
      <c r="E166" s="11">
        <f>IFERROR(INDEX('چکهای دریافتنی'!F:F,MATCH(Table227[[#This Row],[كد تفصيلي]],'چکهای دریافتنی'!A:A,0)),0)</f>
        <v>0</v>
      </c>
      <c r="F166" s="11">
        <f>Table227[[#This Row],[حسابهای دریافتنی]]+Table227[[#This Row],[چکهای در جریان وصول]]+Table227[[#This Row],[چکهای نزد صندوق]]</f>
        <v>-15776160000</v>
      </c>
      <c r="G166" s="12">
        <f>IFERROR(INDEX('مانده سوفاله'!F:F,MATCH(Table227[[#This Row],[كد تفصيلي]],'مانده سوفاله'!A:A,0)),0)</f>
        <v>0</v>
      </c>
    </row>
    <row r="167" spans="1:7" ht="28.5" customHeight="1" x14ac:dyDescent="0.35">
      <c r="A167" s="26">
        <v>10097</v>
      </c>
      <c r="B167" s="56" t="s">
        <v>270</v>
      </c>
      <c r="C167" s="10">
        <f>IFERROR(INDEX('حسابهای دریافتنی'!H:H,MATCH(Table227[[#This Row],[كد تفصيلي]],'حسابهای دریافتنی'!A:A,0)),0)</f>
        <v>270642500</v>
      </c>
      <c r="D167" s="11">
        <f>IFERROR(INDEX('درجریان وصول'!F:F,MATCH(Table227[[#This Row],[كد تفصيلي]],'درجریان وصول'!A:A,0)),0)</f>
        <v>0</v>
      </c>
      <c r="E167" s="11">
        <f>IFERROR(INDEX('چکهای دریافتنی'!F:F,MATCH(Table227[[#This Row],[كد تفصيلي]],'چکهای دریافتنی'!A:A,0)),0)</f>
        <v>287000000</v>
      </c>
      <c r="F167" s="11">
        <f>Table227[[#This Row],[حسابهای دریافتنی]]+Table227[[#This Row],[چکهای در جریان وصول]]+Table227[[#This Row],[چکهای نزد صندوق]]</f>
        <v>557642500</v>
      </c>
      <c r="G167" s="12">
        <f>IFERROR(INDEX('مانده سوفاله'!F:F,MATCH(Table227[[#This Row],[كد تفصيلي]],'مانده سوفاله'!A:A,0)),0)</f>
        <v>0</v>
      </c>
    </row>
    <row r="168" spans="1:7" ht="28.5" customHeight="1" x14ac:dyDescent="0.35">
      <c r="A168" s="27">
        <v>30169</v>
      </c>
      <c r="B168" s="55" t="s">
        <v>318</v>
      </c>
      <c r="C168" s="10">
        <f>IFERROR(INDEX('حسابهای دریافتنی'!H:H,MATCH(Table227[[#This Row],[كد تفصيلي]],'حسابهای دریافتنی'!A:A,0)),0)</f>
        <v>-658993316</v>
      </c>
      <c r="D168" s="11">
        <f>IFERROR(INDEX('درجریان وصول'!F:F,MATCH(Table227[[#This Row],[كد تفصيلي]],'درجریان وصول'!A:A,0)),0)</f>
        <v>0</v>
      </c>
      <c r="E168" s="11">
        <f>IFERROR(INDEX('چکهای دریافتنی'!F:F,MATCH(Table227[[#This Row],[كد تفصيلي]],'چکهای دریافتنی'!A:A,0)),0)</f>
        <v>2085000000</v>
      </c>
      <c r="F168" s="11">
        <f>Table227[[#This Row],[حسابهای دریافتنی]]+Table227[[#This Row],[چکهای در جریان وصول]]+Table227[[#This Row],[چکهای نزد صندوق]]</f>
        <v>1426006684</v>
      </c>
      <c r="G168" s="12">
        <f>IFERROR(INDEX('مانده سوفاله'!F:F,MATCH(Table227[[#This Row],[كد تفصيلي]],'مانده سوفاله'!A:A,0)),0)</f>
        <v>0</v>
      </c>
    </row>
    <row r="169" spans="1:7" ht="28.5" customHeight="1" x14ac:dyDescent="0.35">
      <c r="A169" s="26">
        <v>10105</v>
      </c>
      <c r="B169" s="56" t="s">
        <v>294</v>
      </c>
      <c r="C169" s="10">
        <f>IFERROR(INDEX('حسابهای دریافتنی'!H:H,MATCH(Table227[[#This Row],[كد تفصيلي]],'حسابهای دریافتنی'!A:A,0)),0)</f>
        <v>7630000</v>
      </c>
      <c r="D169" s="11">
        <f>IFERROR(INDEX('درجریان وصول'!F:F,MATCH(Table227[[#This Row],[كد تفصيلي]],'درجریان وصول'!A:A,0)),0)</f>
        <v>0</v>
      </c>
      <c r="E169" s="11">
        <f>IFERROR(INDEX('چکهای دریافتنی'!F:F,MATCH(Table227[[#This Row],[كد تفصيلي]],'چکهای دریافتنی'!A:A,0)),0)</f>
        <v>0</v>
      </c>
      <c r="F169" s="11">
        <f>Table227[[#This Row],[حسابهای دریافتنی]]+Table227[[#This Row],[چکهای در جریان وصول]]+Table227[[#This Row],[چکهای نزد صندوق]]</f>
        <v>7630000</v>
      </c>
      <c r="G169" s="12">
        <f>IFERROR(INDEX('مانده سوفاله'!F:F,MATCH(Table227[[#This Row],[كد تفصيلي]],'مانده سوفاله'!A:A,0)),0)</f>
        <v>0</v>
      </c>
    </row>
    <row r="170" spans="1:7" ht="28.5" customHeight="1" x14ac:dyDescent="0.35">
      <c r="A170" s="26">
        <v>10019</v>
      </c>
      <c r="B170" s="56" t="s">
        <v>26</v>
      </c>
      <c r="C170" s="10">
        <f>IFERROR(INDEX('حسابهای دریافتنی'!H:H,MATCH(Table227[[#This Row],[كد تفصيلي]],'حسابهای دریافتنی'!A:A,0)),0)</f>
        <v>0</v>
      </c>
      <c r="D170" s="11">
        <f>IFERROR(INDEX('درجریان وصول'!F:F,MATCH(Table227[[#This Row],[كد تفصيلي]],'درجریان وصول'!A:A,0)),0)</f>
        <v>0</v>
      </c>
      <c r="E170" s="11">
        <f>IFERROR(INDEX('چکهای دریافتنی'!F:F,MATCH(Table227[[#This Row],[كد تفصيلي]],'چکهای دریافتنی'!A:A,0)),0)</f>
        <v>0</v>
      </c>
      <c r="F170" s="11">
        <f>Table227[[#This Row],[حسابهای دریافتنی]]+Table227[[#This Row],[چکهای در جریان وصول]]+Table227[[#This Row],[چکهای نزد صندوق]]</f>
        <v>0</v>
      </c>
      <c r="G170" s="12">
        <f>IFERROR(INDEX('مانده سوفاله'!F:F,MATCH(Table227[[#This Row],[كد تفصيلي]],'مانده سوفاله'!A:A,0)),0)</f>
        <v>285</v>
      </c>
    </row>
    <row r="171" spans="1:7" ht="28.5" customHeight="1" x14ac:dyDescent="0.35">
      <c r="A171" s="27">
        <v>50016</v>
      </c>
      <c r="B171" s="55" t="s">
        <v>160</v>
      </c>
      <c r="C171" s="10">
        <f>IFERROR(INDEX('حسابهای دریافتنی'!H:H,MATCH(Table227[[#This Row],[كد تفصيلي]],'حسابهای دریافتنی'!A:A,0)),0)</f>
        <v>6344545550</v>
      </c>
      <c r="D171" s="11">
        <f>IFERROR(INDEX('درجریان وصول'!F:F,MATCH(Table227[[#This Row],[كد تفصيلي]],'درجریان وصول'!A:A,0)),0)</f>
        <v>0</v>
      </c>
      <c r="E171" s="11">
        <f>IFERROR(INDEX('چکهای دریافتنی'!F:F,MATCH(Table227[[#This Row],[كد تفصيلي]],'چکهای دریافتنی'!A:A,0)),0)</f>
        <v>0</v>
      </c>
      <c r="F171" s="11">
        <f>Table227[[#This Row],[حسابهای دریافتنی]]+Table227[[#This Row],[چکهای در جریان وصول]]+Table227[[#This Row],[چکهای نزد صندوق]]</f>
        <v>6344545550</v>
      </c>
      <c r="G171" s="12">
        <f>IFERROR(INDEX('مانده سوفاله'!F:F,MATCH(Table227[[#This Row],[كد تفصيلي]],'مانده سوفاله'!A:A,0)),0)</f>
        <v>5508</v>
      </c>
    </row>
    <row r="172" spans="1:7" ht="28.5" customHeight="1" x14ac:dyDescent="0.35">
      <c r="A172" s="27">
        <v>30131</v>
      </c>
      <c r="B172" s="55" t="s">
        <v>213</v>
      </c>
      <c r="C172" s="10">
        <f>IFERROR(INDEX('حسابهای دریافتنی'!H:H,MATCH(Table227[[#This Row],[كد تفصيلي]],'حسابهای دریافتنی'!A:A,0)),0)</f>
        <v>-6228486500</v>
      </c>
      <c r="D172" s="11">
        <f>IFERROR(INDEX('درجریان وصول'!F:F,MATCH(Table227[[#This Row],[كد تفصيلي]],'درجریان وصول'!A:A,0)),0)</f>
        <v>0</v>
      </c>
      <c r="E172" s="11">
        <f>IFERROR(INDEX('چکهای دریافتنی'!F:F,MATCH(Table227[[#This Row],[كد تفصيلي]],'چکهای دریافتنی'!A:A,0)),0)</f>
        <v>0</v>
      </c>
      <c r="F172" s="11">
        <f>Table227[[#This Row],[حسابهای دریافتنی]]+Table227[[#This Row],[چکهای در جریان وصول]]+Table227[[#This Row],[چکهای نزد صندوق]]</f>
        <v>-6228486500</v>
      </c>
      <c r="G172" s="12">
        <f>IFERROR(INDEX('مانده سوفاله'!F:F,MATCH(Table227[[#This Row],[كد تفصيلي]],'مانده سوفاله'!A:A,0)),0)</f>
        <v>222</v>
      </c>
    </row>
    <row r="173" spans="1:7" ht="28.5" customHeight="1" x14ac:dyDescent="0.35">
      <c r="A173" s="26">
        <v>30189</v>
      </c>
      <c r="B173" s="56" t="s">
        <v>458</v>
      </c>
      <c r="C173" s="10">
        <f>IFERROR(INDEX('حسابهای دریافتنی'!H:H,MATCH(Table227[[#This Row],[كد تفصيلي]],'حسابهای دریافتنی'!A:A,0)),0)</f>
        <v>20776490</v>
      </c>
      <c r="D173" s="11">
        <f>IFERROR(INDEX('درجریان وصول'!F:F,MATCH(Table227[[#This Row],[كد تفصيلي]],'درجریان وصول'!A:A,0)),0)</f>
        <v>0</v>
      </c>
      <c r="E173" s="11">
        <f>IFERROR(INDEX('چکهای دریافتنی'!F:F,MATCH(Table227[[#This Row],[كد تفصيلي]],'چکهای دریافتنی'!A:A,0)),0)</f>
        <v>0</v>
      </c>
      <c r="F173" s="11">
        <f>Table227[[#This Row],[حسابهای دریافتنی]]+Table227[[#This Row],[چکهای در جریان وصول]]+Table227[[#This Row],[چکهای نزد صندوق]]</f>
        <v>20776490</v>
      </c>
      <c r="G173" s="12">
        <f>IFERROR(INDEX('مانده سوفاله'!F:F,MATCH(Table227[[#This Row],[كد تفصيلي]],'مانده سوفاله'!A:A,0)),0)</f>
        <v>0</v>
      </c>
    </row>
    <row r="174" spans="1:7" ht="28.5" customHeight="1" x14ac:dyDescent="0.35">
      <c r="A174" s="26">
        <v>10009</v>
      </c>
      <c r="B174" s="56" t="s">
        <v>16</v>
      </c>
      <c r="C174" s="10">
        <f>IFERROR(INDEX('حسابهای دریافتنی'!H:H,MATCH(Table227[[#This Row],[كد تفصيلي]],'حسابهای دریافتنی'!A:A,0)),0)</f>
        <v>-4260580000</v>
      </c>
      <c r="D174" s="11">
        <f>IFERROR(INDEX('درجریان وصول'!F:F,MATCH(Table227[[#This Row],[كد تفصيلي]],'درجریان وصول'!A:A,0)),0)</f>
        <v>0</v>
      </c>
      <c r="E174" s="11">
        <f>IFERROR(INDEX('چکهای دریافتنی'!F:F,MATCH(Table227[[#This Row],[كد تفصيلي]],'چکهای دریافتنی'!A:A,0)),0)</f>
        <v>1600000000</v>
      </c>
      <c r="F174" s="11">
        <f>Table227[[#This Row],[حسابهای دریافتنی]]+Table227[[#This Row],[چکهای در جریان وصول]]+Table227[[#This Row],[چکهای نزد صندوق]]</f>
        <v>-2660580000</v>
      </c>
      <c r="G174" s="12">
        <f>IFERROR(INDEX('مانده سوفاله'!F:F,MATCH(Table227[[#This Row],[كد تفصيلي]],'مانده سوفاله'!A:A,0)),0)</f>
        <v>9952</v>
      </c>
    </row>
    <row r="175" spans="1:7" ht="28.5" customHeight="1" x14ac:dyDescent="0.35">
      <c r="A175" s="27">
        <v>79043</v>
      </c>
      <c r="B175" s="55" t="s">
        <v>156</v>
      </c>
      <c r="C175" s="10">
        <f>IFERROR(INDEX('حسابهای دریافتنی'!H:H,MATCH(Table227[[#This Row],[كد تفصيلي]],'حسابهای دریافتنی'!A:A,0)),0)</f>
        <v>-16110730000</v>
      </c>
      <c r="D175" s="11">
        <f>IFERROR(INDEX('درجریان وصول'!F:F,MATCH(Table227[[#This Row],[كد تفصيلي]],'درجریان وصول'!A:A,0)),0)</f>
        <v>0</v>
      </c>
      <c r="E175" s="11">
        <f>IFERROR(INDEX('چکهای دریافتنی'!F:F,MATCH(Table227[[#This Row],[كد تفصيلي]],'چکهای دریافتنی'!A:A,0)),0)</f>
        <v>0</v>
      </c>
      <c r="F175" s="11">
        <f>Table227[[#This Row],[حسابهای دریافتنی]]+Table227[[#This Row],[چکهای در جریان وصول]]+Table227[[#This Row],[چکهای نزد صندوق]]</f>
        <v>-16110730000</v>
      </c>
      <c r="G175" s="12">
        <f>IFERROR(INDEX('مانده سوفاله'!F:F,MATCH(Table227[[#This Row],[كد تفصيلي]],'مانده سوفاله'!A:A,0)),0)</f>
        <v>0</v>
      </c>
    </row>
    <row r="176" spans="1:7" ht="28.5" customHeight="1" x14ac:dyDescent="0.35">
      <c r="A176" s="36"/>
      <c r="B176" s="37"/>
      <c r="C176" s="38">
        <f>SUBTOTAL(109,Table227[حسابهای دریافتنی])</f>
        <v>57115822978</v>
      </c>
      <c r="D176" s="38">
        <f>SUBTOTAL(109,Table227[چکهای در جریان وصول])</f>
        <v>0</v>
      </c>
      <c r="E176" s="38">
        <f>SUBTOTAL(109,Table227[چکهای نزد صندوق])</f>
        <v>62080128942</v>
      </c>
      <c r="F176" s="38"/>
      <c r="G176" s="39">
        <f>SUBTOTAL(109,Table227[مانده سوفاله])</f>
        <v>-123234.5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0" orientation="landscape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81"/>
  <sheetViews>
    <sheetView rightToLeft="1" topLeftCell="A130" workbookViewId="0">
      <selection activeCell="A180" sqref="A180:XFD180"/>
    </sheetView>
  </sheetViews>
  <sheetFormatPr defaultColWidth="9.08984375" defaultRowHeight="26.25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5" customHeight="1" thickBot="1" x14ac:dyDescent="0.4">
      <c r="A1" s="97" t="s">
        <v>523</v>
      </c>
      <c r="B1" s="98"/>
      <c r="C1" s="98"/>
      <c r="D1" s="98"/>
      <c r="E1" s="98"/>
      <c r="F1" s="98"/>
      <c r="G1" s="99"/>
    </row>
    <row r="2" spans="1:7" s="2" customFormat="1" ht="62.2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6.25" customHeight="1" x14ac:dyDescent="0.35">
      <c r="A3" s="27">
        <v>30127</v>
      </c>
      <c r="B3" s="55" t="s">
        <v>163</v>
      </c>
      <c r="C3" s="10">
        <f>IFERROR(INDEX('حسابهای دریافتنی'!H:H,MATCH(Table228[[#This Row],[كد تفصيلي]],'حسابهای دریافتنی'!A:A,0)),0)</f>
        <v>31800110000</v>
      </c>
      <c r="D3" s="11">
        <f>IFERROR(INDEX('درجریان وصول'!F:F,MATCH(Table228[[#This Row],[كد تفصيلي]],'درجریان وصول'!A:A,0)),0)</f>
        <v>0</v>
      </c>
      <c r="E3" s="11">
        <f>IFERROR(INDEX('چکهای دریافتنی'!F:F,MATCH(Table228[[#This Row],[كد تفصيلي]],'چکهای دریافتنی'!A:A,0)),0)</f>
        <v>0</v>
      </c>
      <c r="F3" s="11">
        <f>Table228[[#This Row],[حسابهای دریافتنی]]+Table228[[#This Row],[چکهای در جریان وصول]]+Table228[[#This Row],[چکهای نزد صندوق]]</f>
        <v>31800110000</v>
      </c>
      <c r="G3" s="12">
        <f>IFERROR(INDEX('مانده سوفاله'!F:F,MATCH(Table228[[#This Row],[كد تفصيلي]],'مانده سوفاله'!A:A,0)),0)</f>
        <v>-18472</v>
      </c>
    </row>
    <row r="4" spans="1:7" ht="26.25" customHeight="1" x14ac:dyDescent="0.35">
      <c r="A4" s="26">
        <v>10003</v>
      </c>
      <c r="B4" s="56" t="s">
        <v>10</v>
      </c>
      <c r="C4" s="10">
        <f>IFERROR(INDEX('حسابهای دریافتنی'!H:H,MATCH(Table228[[#This Row],[كد تفصيلي]],'حسابهای دریافتنی'!A:A,0)),0)</f>
        <v>10804267992</v>
      </c>
      <c r="D4" s="11">
        <f>IFERROR(INDEX('درجریان وصول'!F:F,MATCH(Table228[[#This Row],[كد تفصيلي]],'درجریان وصول'!A:A,0)),0)</f>
        <v>0</v>
      </c>
      <c r="E4" s="11">
        <f>IFERROR(INDEX('چکهای دریافتنی'!F:F,MATCH(Table228[[#This Row],[كد تفصيلي]],'چکهای دریافتنی'!A:A,0)),0)</f>
        <v>13698001280</v>
      </c>
      <c r="F4" s="11">
        <f>Table228[[#This Row],[حسابهای دریافتنی]]+Table228[[#This Row],[چکهای در جریان وصول]]+Table228[[#This Row],[چکهای نزد صندوق]]</f>
        <v>24502269272</v>
      </c>
      <c r="G4" s="12">
        <f>IFERROR(INDEX('مانده سوفاله'!F:F,MATCH(Table228[[#This Row],[كد تفصيلي]],'مانده سوفاله'!A:A,0)),0)</f>
        <v>-39886</v>
      </c>
    </row>
    <row r="5" spans="1:7" ht="26.25" customHeight="1" x14ac:dyDescent="0.35">
      <c r="A5" s="27">
        <v>10026</v>
      </c>
      <c r="B5" s="55" t="s">
        <v>32</v>
      </c>
      <c r="C5" s="10">
        <f>IFERROR(INDEX('حسابهای دریافتنی'!H:H,MATCH(Table228[[#This Row],[كد تفصيلي]],'حسابهای دریافتنی'!A:A,0)),0)</f>
        <v>3795031844</v>
      </c>
      <c r="D5" s="11">
        <f>IFERROR(INDEX('درجریان وصول'!F:F,MATCH(Table228[[#This Row],[كد تفصيلي]],'درجریان وصول'!A:A,0)),0)</f>
        <v>0</v>
      </c>
      <c r="E5" s="11">
        <f>IFERROR(INDEX('چکهای دریافتنی'!F:F,MATCH(Table228[[#This Row],[كد تفصيلي]],'چکهای دریافتنی'!A:A,0)),0)</f>
        <v>2690000000</v>
      </c>
      <c r="F5" s="11">
        <f>Table228[[#This Row],[حسابهای دریافتنی]]+Table228[[#This Row],[چکهای در جریان وصول]]+Table228[[#This Row],[چکهای نزد صندوق]]</f>
        <v>6485031844</v>
      </c>
      <c r="G5" s="12">
        <f>IFERROR(INDEX('مانده سوفاله'!F:F,MATCH(Table228[[#This Row],[كد تفصيلي]],'مانده سوفاله'!A:A,0)),0)</f>
        <v>-12543</v>
      </c>
    </row>
    <row r="6" spans="1:7" ht="26.25" customHeight="1" x14ac:dyDescent="0.35">
      <c r="A6" s="26">
        <v>30066</v>
      </c>
      <c r="B6" s="56" t="s">
        <v>111</v>
      </c>
      <c r="C6" s="10">
        <f>IFERROR(INDEX('حسابهای دریافتنی'!H:H,MATCH(Table228[[#This Row],[كد تفصيلي]],'حسابهای دریافتنی'!A:A,0)),0)</f>
        <v>6484147500</v>
      </c>
      <c r="D6" s="11">
        <f>IFERROR(INDEX('درجریان وصول'!F:F,MATCH(Table228[[#This Row],[كد تفصيلي]],'درجریان وصول'!A:A,0)),0)</f>
        <v>0</v>
      </c>
      <c r="E6" s="11">
        <f>IFERROR(INDEX('چکهای دریافتنی'!F:F,MATCH(Table228[[#This Row],[كد تفصيلي]],'چکهای دریافتنی'!A:A,0)),0)</f>
        <v>0</v>
      </c>
      <c r="F6" s="11">
        <f>Table228[[#This Row],[حسابهای دریافتنی]]+Table228[[#This Row],[چکهای در جریان وصول]]+Table228[[#This Row],[چکهای نزد صندوق]]</f>
        <v>6484147500</v>
      </c>
      <c r="G6" s="12">
        <f>IFERROR(INDEX('مانده سوفاله'!F:F,MATCH(Table228[[#This Row],[كد تفصيلي]],'مانده سوفاله'!A:A,0)),0)</f>
        <v>-1320</v>
      </c>
    </row>
    <row r="7" spans="1:7" ht="26.25" customHeight="1" x14ac:dyDescent="0.35">
      <c r="A7" s="27">
        <v>30004</v>
      </c>
      <c r="B7" s="55" t="s">
        <v>54</v>
      </c>
      <c r="C7" s="10">
        <f>IFERROR(INDEX('حسابهای دریافتنی'!H:H,MATCH(Table228[[#This Row],[كد تفصيلي]],'حسابهای دریافتنی'!A:A,0)),0)</f>
        <v>7598548260</v>
      </c>
      <c r="D7" s="11">
        <f>IFERROR(INDEX('درجریان وصول'!F:F,MATCH(Table228[[#This Row],[كد تفصيلي]],'درجریان وصول'!A:A,0)),0)</f>
        <v>0</v>
      </c>
      <c r="E7" s="11">
        <f>IFERROR(INDEX('چکهای دریافتنی'!F:F,MATCH(Table228[[#This Row],[كد تفصيلي]],'چکهای دریافتنی'!A:A,0)),0)</f>
        <v>11698760000</v>
      </c>
      <c r="F7" s="11">
        <f>Table228[[#This Row],[حسابهای دریافتنی]]+Table228[[#This Row],[چکهای در جریان وصول]]+Table228[[#This Row],[چکهای نزد صندوق]]</f>
        <v>19297308260</v>
      </c>
      <c r="G7" s="12">
        <f>IFERROR(INDEX('مانده سوفاله'!F:F,MATCH(Table228[[#This Row],[كد تفصيلي]],'مانده سوفاله'!A:A,0)),0)</f>
        <v>-4237</v>
      </c>
    </row>
    <row r="8" spans="1:7" ht="26.25" customHeight="1" x14ac:dyDescent="0.35">
      <c r="A8" s="27">
        <v>50016</v>
      </c>
      <c r="B8" s="55" t="s">
        <v>160</v>
      </c>
      <c r="C8" s="10">
        <f>IFERROR(INDEX('حسابهای دریافتنی'!H:H,MATCH(Table228[[#This Row],[كد تفصيلي]],'حسابهای دریافتنی'!A:A,0)),0)</f>
        <v>6344545550</v>
      </c>
      <c r="D8" s="11">
        <f>IFERROR(INDEX('درجریان وصول'!F:F,MATCH(Table228[[#This Row],[كد تفصيلي]],'درجریان وصول'!A:A,0)),0)</f>
        <v>0</v>
      </c>
      <c r="E8" s="11">
        <f>IFERROR(INDEX('چکهای دریافتنی'!F:F,MATCH(Table228[[#This Row],[كد تفصيلي]],'چکهای دریافتنی'!A:A,0)),0)</f>
        <v>0</v>
      </c>
      <c r="F8" s="11">
        <f>Table228[[#This Row],[حسابهای دریافتنی]]+Table228[[#This Row],[چکهای در جریان وصول]]+Table228[[#This Row],[چکهای نزد صندوق]]</f>
        <v>6344545550</v>
      </c>
      <c r="G8" s="12">
        <f>IFERROR(INDEX('مانده سوفاله'!F:F,MATCH(Table228[[#This Row],[كد تفصيلي]],'مانده سوفاله'!A:A,0)),0)</f>
        <v>5508</v>
      </c>
    </row>
    <row r="9" spans="1:7" ht="26.25" customHeight="1" x14ac:dyDescent="0.35">
      <c r="A9" s="26">
        <v>10055</v>
      </c>
      <c r="B9" s="56" t="s">
        <v>162</v>
      </c>
      <c r="C9" s="10">
        <f>IFERROR(INDEX('حسابهای دریافتنی'!H:H,MATCH(Table228[[#This Row],[كد تفصيلي]],'حسابهای دریافتنی'!A:A,0)),0)</f>
        <v>10460111325</v>
      </c>
      <c r="D9" s="11">
        <f>IFERROR(INDEX('درجریان وصول'!F:F,MATCH(Table228[[#This Row],[كد تفصيلي]],'درجریان وصول'!A:A,0)),0)</f>
        <v>0</v>
      </c>
      <c r="E9" s="11">
        <f>IFERROR(INDEX('چکهای دریافتنی'!F:F,MATCH(Table228[[#This Row],[كد تفصيلي]],'چکهای دریافتنی'!A:A,0)),0)</f>
        <v>2783298655</v>
      </c>
      <c r="F9" s="11">
        <f>Table228[[#This Row],[حسابهای دریافتنی]]+Table228[[#This Row],[چکهای در جریان وصول]]+Table228[[#This Row],[چکهای نزد صندوق]]</f>
        <v>13243409980</v>
      </c>
      <c r="G9" s="12">
        <f>IFERROR(INDEX('مانده سوفاله'!F:F,MATCH(Table228[[#This Row],[كد تفصيلي]],'مانده سوفاله'!A:A,0)),0)</f>
        <v>-12714</v>
      </c>
    </row>
    <row r="10" spans="1:7" ht="26.25" customHeight="1" x14ac:dyDescent="0.35">
      <c r="A10" s="26">
        <v>30009</v>
      </c>
      <c r="B10" s="56" t="s">
        <v>164</v>
      </c>
      <c r="C10" s="10">
        <f>IFERROR(INDEX('حسابهای دریافتنی'!H:H,MATCH(Table228[[#This Row],[كد تفصيلي]],'حسابهای دریافتنی'!A:A,0)),0)</f>
        <v>7853844277</v>
      </c>
      <c r="D10" s="11">
        <f>IFERROR(INDEX('درجریان وصول'!F:F,MATCH(Table228[[#This Row],[كد تفصيلي]],'درجریان وصول'!A:A,0)),0)</f>
        <v>0</v>
      </c>
      <c r="E10" s="11">
        <f>IFERROR(INDEX('چکهای دریافتنی'!F:F,MATCH(Table228[[#This Row],[كد تفصيلي]],'چکهای دریافتنی'!A:A,0)),0)</f>
        <v>6474835380</v>
      </c>
      <c r="F10" s="11">
        <f>Table228[[#This Row],[حسابهای دریافتنی]]+Table228[[#This Row],[چکهای در جریان وصول]]+Table228[[#This Row],[چکهای نزد صندوق]]</f>
        <v>14328679657</v>
      </c>
      <c r="G10" s="12">
        <f>IFERROR(INDEX('مانده سوفاله'!F:F,MATCH(Table228[[#This Row],[كد تفصيلي]],'مانده سوفاله'!A:A,0)),0)</f>
        <v>-11452</v>
      </c>
    </row>
    <row r="11" spans="1:7" ht="26.25" customHeight="1" x14ac:dyDescent="0.35">
      <c r="A11" s="26">
        <v>10097</v>
      </c>
      <c r="B11" s="56" t="s">
        <v>270</v>
      </c>
      <c r="C11" s="10">
        <f>IFERROR(INDEX('حسابهای دریافتنی'!H:H,MATCH(Table228[[#This Row],[كد تفصيلي]],'حسابهای دریافتنی'!A:A,0)),0)</f>
        <v>270642500</v>
      </c>
      <c r="D11" s="11">
        <f>IFERROR(INDEX('درجریان وصول'!F:F,MATCH(Table228[[#This Row],[كد تفصيلي]],'درجریان وصول'!A:A,0)),0)</f>
        <v>0</v>
      </c>
      <c r="E11" s="11">
        <f>IFERROR(INDEX('چکهای دریافتنی'!F:F,MATCH(Table228[[#This Row],[كد تفصيلي]],'چکهای دریافتنی'!A:A,0)),0)</f>
        <v>287000000</v>
      </c>
      <c r="F11" s="11">
        <f>Table228[[#This Row],[حسابهای دریافتنی]]+Table228[[#This Row],[چکهای در جریان وصول]]+Table228[[#This Row],[چکهای نزد صندوق]]</f>
        <v>557642500</v>
      </c>
      <c r="G11" s="12">
        <f>IFERROR(INDEX('مانده سوفاله'!F:F,MATCH(Table228[[#This Row],[كد تفصيلي]],'مانده سوفاله'!A:A,0)),0)</f>
        <v>0</v>
      </c>
    </row>
    <row r="12" spans="1:7" ht="26.25" customHeight="1" x14ac:dyDescent="0.35">
      <c r="A12" s="26">
        <v>30140</v>
      </c>
      <c r="B12" s="56" t="s">
        <v>259</v>
      </c>
      <c r="C12" s="10">
        <f>IFERROR(INDEX('حسابهای دریافتنی'!H:H,MATCH(Table228[[#This Row],[كد تفصيلي]],'حسابهای دریافتنی'!A:A,0)),0)</f>
        <v>553728200</v>
      </c>
      <c r="D12" s="11">
        <f>IFERROR(INDEX('درجریان وصول'!F:F,MATCH(Table228[[#This Row],[كد تفصيلي]],'درجریان وصول'!A:A,0)),0)</f>
        <v>0</v>
      </c>
      <c r="E12" s="11">
        <f>IFERROR(INDEX('چکهای دریافتنی'!F:F,MATCH(Table228[[#This Row],[كد تفصيلي]],'چکهای دریافتنی'!A:A,0)),0)</f>
        <v>1030000000</v>
      </c>
      <c r="F12" s="11">
        <f>Table228[[#This Row],[حسابهای دریافتنی]]+Table228[[#This Row],[چکهای در جریان وصول]]+Table228[[#This Row],[چکهای نزد صندوق]]</f>
        <v>1583728200</v>
      </c>
      <c r="G12" s="12">
        <f>IFERROR(INDEX('مانده سوفاله'!F:F,MATCH(Table228[[#This Row],[كد تفصيلي]],'مانده سوفاله'!A:A,0)),0)</f>
        <v>-12630</v>
      </c>
    </row>
    <row r="13" spans="1:7" ht="26.25" customHeight="1" x14ac:dyDescent="0.35">
      <c r="A13" s="27">
        <v>30161</v>
      </c>
      <c r="B13" s="55" t="s">
        <v>299</v>
      </c>
      <c r="C13" s="10">
        <f>IFERROR(INDEX('حسابهای دریافتنی'!H:H,MATCH(Table228[[#This Row],[كد تفصيلي]],'حسابهای دریافتنی'!A:A,0)),0)</f>
        <v>0</v>
      </c>
      <c r="D13" s="11">
        <f>IFERROR(INDEX('درجریان وصول'!F:F,MATCH(Table228[[#This Row],[كد تفصيلي]],'درجریان وصول'!A:A,0)),0)</f>
        <v>0</v>
      </c>
      <c r="E13" s="11">
        <f>IFERROR(INDEX('چکهای دریافتنی'!F:F,MATCH(Table228[[#This Row],[كد تفصيلي]],'چکهای دریافتنی'!A:A,0)),0)</f>
        <v>0</v>
      </c>
      <c r="F13" s="11">
        <f>Table228[[#This Row],[حسابهای دریافتنی]]+Table228[[#This Row],[چکهای در جریان وصول]]+Table228[[#This Row],[چکهای نزد صندوق]]</f>
        <v>0</v>
      </c>
      <c r="G13" s="12">
        <f>IFERROR(INDEX('مانده سوفاله'!F:F,MATCH(Table228[[#This Row],[كد تفصيلي]],'مانده سوفاله'!A:A,0)),0)</f>
        <v>0</v>
      </c>
    </row>
    <row r="14" spans="1:7" ht="26.25" customHeight="1" x14ac:dyDescent="0.35">
      <c r="A14" s="27">
        <v>30022</v>
      </c>
      <c r="B14" s="55" t="s">
        <v>70</v>
      </c>
      <c r="C14" s="10">
        <f>IFERROR(INDEX('حسابهای دریافتنی'!H:H,MATCH(Table228[[#This Row],[كد تفصيلي]],'حسابهای دریافتنی'!A:A,0)),0)</f>
        <v>2933770530</v>
      </c>
      <c r="D14" s="11">
        <f>IFERROR(INDEX('درجریان وصول'!F:F,MATCH(Table228[[#This Row],[كد تفصيلي]],'درجریان وصول'!A:A,0)),0)</f>
        <v>0</v>
      </c>
      <c r="E14" s="11">
        <f>IFERROR(INDEX('چکهای دریافتنی'!F:F,MATCH(Table228[[#This Row],[كد تفصيلي]],'چکهای دریافتنی'!A:A,0)),0)</f>
        <v>0</v>
      </c>
      <c r="F14" s="11">
        <f>Table228[[#This Row],[حسابهای دریافتنی]]+Table228[[#This Row],[چکهای در جریان وصول]]+Table228[[#This Row],[چکهای نزد صندوق]]</f>
        <v>2933770530</v>
      </c>
      <c r="G14" s="12">
        <f>IFERROR(INDEX('مانده سوفاله'!F:F,MATCH(Table228[[#This Row],[كد تفصيلي]],'مانده سوفاله'!A:A,0)),0)</f>
        <v>-14747</v>
      </c>
    </row>
    <row r="15" spans="1:7" ht="26.25" customHeight="1" x14ac:dyDescent="0.35">
      <c r="A15" s="27">
        <v>30081</v>
      </c>
      <c r="B15" s="55" t="s">
        <v>126</v>
      </c>
      <c r="C15" s="10">
        <f>IFERROR(INDEX('حسابهای دریافتنی'!H:H,MATCH(Table228[[#This Row],[كد تفصيلي]],'حسابهای دریافتنی'!A:A,0)),0)</f>
        <v>1148992373</v>
      </c>
      <c r="D15" s="11">
        <f>IFERROR(INDEX('درجریان وصول'!F:F,MATCH(Table228[[#This Row],[كد تفصيلي]],'درجریان وصول'!A:A,0)),0)</f>
        <v>0</v>
      </c>
      <c r="E15" s="11">
        <f>IFERROR(INDEX('چکهای دریافتنی'!F:F,MATCH(Table228[[#This Row],[كد تفصيلي]],'چکهای دریافتنی'!A:A,0)),0)</f>
        <v>0</v>
      </c>
      <c r="F15" s="11">
        <f>Table228[[#This Row],[حسابهای دریافتنی]]+Table228[[#This Row],[چکهای در جریان وصول]]+Table228[[#This Row],[چکهای نزد صندوق]]</f>
        <v>1148992373</v>
      </c>
      <c r="G15" s="12">
        <f>IFERROR(INDEX('مانده سوفاله'!F:F,MATCH(Table228[[#This Row],[كد تفصيلي]],'مانده سوفاله'!A:A,0)),0)</f>
        <v>-6924</v>
      </c>
    </row>
    <row r="16" spans="1:7" ht="26.25" customHeight="1" x14ac:dyDescent="0.35">
      <c r="A16" s="27">
        <v>30099</v>
      </c>
      <c r="B16" s="55" t="s">
        <v>167</v>
      </c>
      <c r="C16" s="10">
        <f>IFERROR(INDEX('حسابهای دریافتنی'!H:H,MATCH(Table228[[#This Row],[كد تفصيلي]],'حسابهای دریافتنی'!A:A,0)),0)</f>
        <v>1398393484</v>
      </c>
      <c r="D16" s="11">
        <f>IFERROR(INDEX('درجریان وصول'!F:F,MATCH(Table228[[#This Row],[كد تفصيلي]],'درجریان وصول'!A:A,0)),0)</f>
        <v>0</v>
      </c>
      <c r="E16" s="11">
        <f>IFERROR(INDEX('چکهای دریافتنی'!F:F,MATCH(Table228[[#This Row],[كد تفصيلي]],'چکهای دریافتنی'!A:A,0)),0)</f>
        <v>583000000</v>
      </c>
      <c r="F16" s="11">
        <f>Table228[[#This Row],[حسابهای دریافتنی]]+Table228[[#This Row],[چکهای در جریان وصول]]+Table228[[#This Row],[چکهای نزد صندوق]]</f>
        <v>1981393484</v>
      </c>
      <c r="G16" s="12">
        <f>IFERROR(INDEX('مانده سوفاله'!F:F,MATCH(Table228[[#This Row],[كد تفصيلي]],'مانده سوفاله'!A:A,0)),0)</f>
        <v>-332</v>
      </c>
    </row>
    <row r="17" spans="1:7" ht="26.25" customHeight="1" x14ac:dyDescent="0.35">
      <c r="A17" s="26">
        <v>30186</v>
      </c>
      <c r="B17" s="56" t="s">
        <v>367</v>
      </c>
      <c r="C17" s="10">
        <f>IFERROR(INDEX('حسابهای دریافتنی'!H:H,MATCH(Table228[[#This Row],[كد تفصيلي]],'حسابهای دریافتنی'!A:A,0)),0)</f>
        <v>986425000</v>
      </c>
      <c r="D17" s="11">
        <f>IFERROR(INDEX('درجریان وصول'!F:F,MATCH(Table228[[#This Row],[كد تفصيلي]],'درجریان وصول'!A:A,0)),0)</f>
        <v>0</v>
      </c>
      <c r="E17" s="11">
        <f>IFERROR(INDEX('چکهای دریافتنی'!F:F,MATCH(Table228[[#This Row],[كد تفصيلي]],'چکهای دریافتنی'!A:A,0)),0)</f>
        <v>5982430000</v>
      </c>
      <c r="F17" s="11">
        <f>Table228[[#This Row],[حسابهای دریافتنی]]+Table228[[#This Row],[چکهای در جریان وصول]]+Table228[[#This Row],[چکهای نزد صندوق]]</f>
        <v>6968855000</v>
      </c>
      <c r="G17" s="12">
        <f>IFERROR(INDEX('مانده سوفاله'!F:F,MATCH(Table228[[#This Row],[كد تفصيلي]],'مانده سوفاله'!A:A,0)),0)</f>
        <v>-7388</v>
      </c>
    </row>
    <row r="18" spans="1:7" ht="26.25" customHeight="1" x14ac:dyDescent="0.35">
      <c r="A18" s="27">
        <v>10056</v>
      </c>
      <c r="B18" s="55" t="s">
        <v>166</v>
      </c>
      <c r="C18" s="10">
        <f>IFERROR(INDEX('حسابهای دریافتنی'!H:H,MATCH(Table228[[#This Row],[كد تفصيلي]],'حسابهای دریافتنی'!A:A,0)),0)</f>
        <v>812653500</v>
      </c>
      <c r="D18" s="11">
        <f>IFERROR(INDEX('درجریان وصول'!F:F,MATCH(Table228[[#This Row],[كد تفصيلي]],'درجریان وصول'!A:A,0)),0)</f>
        <v>0</v>
      </c>
      <c r="E18" s="11">
        <f>IFERROR(INDEX('چکهای دریافتنی'!F:F,MATCH(Table228[[#This Row],[كد تفصيلي]],'چکهای دریافتنی'!A:A,0)),0)</f>
        <v>0</v>
      </c>
      <c r="F18" s="11">
        <f>Table228[[#This Row],[حسابهای دریافتنی]]+Table228[[#This Row],[چکهای در جریان وصول]]+Table228[[#This Row],[چکهای نزد صندوق]]</f>
        <v>812653500</v>
      </c>
      <c r="G18" s="12">
        <f>IFERROR(INDEX('مانده سوفاله'!F:F,MATCH(Table228[[#This Row],[كد تفصيلي]],'مانده سوفاله'!A:A,0)),0)</f>
        <v>0</v>
      </c>
    </row>
    <row r="19" spans="1:7" ht="26.25" customHeight="1" x14ac:dyDescent="0.35">
      <c r="A19" s="26">
        <v>10057</v>
      </c>
      <c r="B19" s="56" t="s">
        <v>225</v>
      </c>
      <c r="C19" s="10">
        <f>IFERROR(INDEX('حسابهای دریافتنی'!H:H,MATCH(Table228[[#This Row],[كد تفصيلي]],'حسابهای دریافتنی'!A:A,0)),0)</f>
        <v>1390485500</v>
      </c>
      <c r="D19" s="11">
        <f>IFERROR(INDEX('درجریان وصول'!F:F,MATCH(Table228[[#This Row],[كد تفصيلي]],'درجریان وصول'!A:A,0)),0)</f>
        <v>0</v>
      </c>
      <c r="E19" s="11">
        <f>IFERROR(INDEX('چکهای دریافتنی'!F:F,MATCH(Table228[[#This Row],[كد تفصيلي]],'چکهای دریافتنی'!A:A,0)),0)</f>
        <v>0</v>
      </c>
      <c r="F19" s="11">
        <f>Table228[[#This Row],[حسابهای دریافتنی]]+Table228[[#This Row],[چکهای در جریان وصول]]+Table228[[#This Row],[چکهای نزد صندوق]]</f>
        <v>1390485500</v>
      </c>
      <c r="G19" s="12">
        <f>IFERROR(INDEX('مانده سوفاله'!F:F,MATCH(Table228[[#This Row],[كد تفصيلي]],'مانده سوفاله'!A:A,0)),0)</f>
        <v>-2044</v>
      </c>
    </row>
    <row r="20" spans="1:7" ht="26.25" customHeight="1" x14ac:dyDescent="0.35">
      <c r="A20" s="27">
        <v>10020</v>
      </c>
      <c r="B20" s="55" t="s">
        <v>27</v>
      </c>
      <c r="C20" s="10">
        <f>IFERROR(INDEX('حسابهای دریافتنی'!H:H,MATCH(Table228[[#This Row],[كد تفصيلي]],'حسابهای دریافتنی'!A:A,0)),0)</f>
        <v>57999963</v>
      </c>
      <c r="D20" s="11">
        <f>IFERROR(INDEX('درجریان وصول'!F:F,MATCH(Table228[[#This Row],[كد تفصيلي]],'درجریان وصول'!A:A,0)),0)</f>
        <v>0</v>
      </c>
      <c r="E20" s="11">
        <f>IFERROR(INDEX('چکهای دریافتنی'!F:F,MATCH(Table228[[#This Row],[كد تفصيلي]],'چکهای دریافتنی'!A:A,0)),0)</f>
        <v>728000000</v>
      </c>
      <c r="F20" s="11">
        <f>Table228[[#This Row],[حسابهای دریافتنی]]+Table228[[#This Row],[چکهای در جریان وصول]]+Table228[[#This Row],[چکهای نزد صندوق]]</f>
        <v>785999963</v>
      </c>
      <c r="G20" s="12">
        <f>IFERROR(INDEX('مانده سوفاله'!F:F,MATCH(Table228[[#This Row],[كد تفصيلي]],'مانده سوفاله'!A:A,0)),0)</f>
        <v>-1031</v>
      </c>
    </row>
    <row r="21" spans="1:7" ht="26.25" customHeight="1" x14ac:dyDescent="0.35">
      <c r="A21" s="26">
        <v>30058</v>
      </c>
      <c r="B21" s="56" t="s">
        <v>103</v>
      </c>
      <c r="C21" s="10">
        <f>IFERROR(INDEX('حسابهای دریافتنی'!H:H,MATCH(Table228[[#This Row],[كد تفصيلي]],'حسابهای دریافتنی'!A:A,0)),0)</f>
        <v>1700045560</v>
      </c>
      <c r="D21" s="11">
        <f>IFERROR(INDEX('درجریان وصول'!F:F,MATCH(Table228[[#This Row],[كد تفصيلي]],'درجریان وصول'!A:A,0)),0)</f>
        <v>0</v>
      </c>
      <c r="E21" s="11">
        <f>IFERROR(INDEX('چکهای دریافتنی'!F:F,MATCH(Table228[[#This Row],[كد تفصيلي]],'چکهای دریافتنی'!A:A,0)),0)</f>
        <v>0</v>
      </c>
      <c r="F21" s="11">
        <f>Table228[[#This Row],[حسابهای دریافتنی]]+Table228[[#This Row],[چکهای در جریان وصول]]+Table228[[#This Row],[چکهای نزد صندوق]]</f>
        <v>1700045560</v>
      </c>
      <c r="G21" s="12">
        <f>IFERROR(INDEX('مانده سوفاله'!F:F,MATCH(Table228[[#This Row],[كد تفصيلي]],'مانده سوفاله'!A:A,0)),0)</f>
        <v>-225</v>
      </c>
    </row>
    <row r="22" spans="1:7" ht="26.25" customHeight="1" x14ac:dyDescent="0.35">
      <c r="A22" s="27">
        <v>30014</v>
      </c>
      <c r="B22" s="55" t="s">
        <v>63</v>
      </c>
      <c r="C22" s="10">
        <f>IFERROR(INDEX('حسابهای دریافتنی'!H:H,MATCH(Table228[[#This Row],[كد تفصيلي]],'حسابهای دریافتنی'!A:A,0)),0)</f>
        <v>1762223932</v>
      </c>
      <c r="D22" s="11">
        <f>IFERROR(INDEX('درجریان وصول'!F:F,MATCH(Table228[[#This Row],[كد تفصيلي]],'درجریان وصول'!A:A,0)),0)</f>
        <v>0</v>
      </c>
      <c r="E22" s="11">
        <f>IFERROR(INDEX('چکهای دریافتنی'!F:F,MATCH(Table228[[#This Row],[كد تفصيلي]],'چکهای دریافتنی'!A:A,0)),0)</f>
        <v>0</v>
      </c>
      <c r="F22" s="11">
        <f>Table228[[#This Row],[حسابهای دریافتنی]]+Table228[[#This Row],[چکهای در جریان وصول]]+Table228[[#This Row],[چکهای نزد صندوق]]</f>
        <v>1762223932</v>
      </c>
      <c r="G22" s="12">
        <f>IFERROR(INDEX('مانده سوفاله'!F:F,MATCH(Table228[[#This Row],[كد تفصيلي]],'مانده سوفاله'!A:A,0)),0)</f>
        <v>-1368</v>
      </c>
    </row>
    <row r="23" spans="1:7" ht="26.25" customHeight="1" x14ac:dyDescent="0.35">
      <c r="A23" s="27">
        <v>10070</v>
      </c>
      <c r="B23" s="55" t="s">
        <v>230</v>
      </c>
      <c r="C23" s="10">
        <f>IFERROR(INDEX('حسابهای دریافتنی'!H:H,MATCH(Table228[[#This Row],[كد تفصيلي]],'حسابهای دریافتنی'!A:A,0)),0)</f>
        <v>508152500</v>
      </c>
      <c r="D23" s="11">
        <f>IFERROR(INDEX('درجریان وصول'!F:F,MATCH(Table228[[#This Row],[كد تفصيلي]],'درجریان وصول'!A:A,0)),0)</f>
        <v>0</v>
      </c>
      <c r="E23" s="11">
        <f>IFERROR(INDEX('چکهای دریافتنی'!F:F,MATCH(Table228[[#This Row],[كد تفصيلي]],'چکهای دریافتنی'!A:A,0)),0)</f>
        <v>570000000</v>
      </c>
      <c r="F23" s="11">
        <f>Table228[[#This Row],[حسابهای دریافتنی]]+Table228[[#This Row],[چکهای در جریان وصول]]+Table228[[#This Row],[چکهای نزد صندوق]]</f>
        <v>1078152500</v>
      </c>
      <c r="G23" s="12">
        <f>IFERROR(INDEX('مانده سوفاله'!F:F,MATCH(Table228[[#This Row],[كد تفصيلي]],'مانده سوفاله'!A:A,0)),0)</f>
        <v>-3170</v>
      </c>
    </row>
    <row r="24" spans="1:7" ht="26.25" customHeight="1" x14ac:dyDescent="0.35">
      <c r="A24" s="26">
        <v>30017</v>
      </c>
      <c r="B24" s="56" t="s">
        <v>65</v>
      </c>
      <c r="C24" s="10">
        <f>IFERROR(INDEX('حسابهای دریافتنی'!H:H,MATCH(Table228[[#This Row],[كد تفصيلي]],'حسابهای دریافتنی'!A:A,0)),0)</f>
        <v>905000830</v>
      </c>
      <c r="D24" s="11">
        <f>IFERROR(INDEX('درجریان وصول'!F:F,MATCH(Table228[[#This Row],[كد تفصيلي]],'درجریان وصول'!A:A,0)),0)</f>
        <v>0</v>
      </c>
      <c r="E24" s="11">
        <f>IFERROR(INDEX('چکهای دریافتنی'!F:F,MATCH(Table228[[#This Row],[كد تفصيلي]],'چکهای دریافتنی'!A:A,0)),0)</f>
        <v>0</v>
      </c>
      <c r="F24" s="11">
        <f>Table228[[#This Row],[حسابهای دریافتنی]]+Table228[[#This Row],[چکهای در جریان وصول]]+Table228[[#This Row],[چکهای نزد صندوق]]</f>
        <v>905000830</v>
      </c>
      <c r="G24" s="12">
        <f>IFERROR(INDEX('مانده سوفاله'!F:F,MATCH(Table228[[#This Row],[كد تفصيلي]],'مانده سوفاله'!A:A,0)),0)</f>
        <v>-2186</v>
      </c>
    </row>
    <row r="25" spans="1:7" ht="26.25" customHeight="1" x14ac:dyDescent="0.35">
      <c r="A25" s="26">
        <v>10027</v>
      </c>
      <c r="B25" s="56" t="s">
        <v>33</v>
      </c>
      <c r="C25" s="10">
        <f>IFERROR(INDEX('حسابهای دریافتنی'!H:H,MATCH(Table228[[#This Row],[كد تفصيلي]],'حسابهای دریافتنی'!A:A,0)),0)</f>
        <v>33078340</v>
      </c>
      <c r="D25" s="11">
        <f>IFERROR(INDEX('درجریان وصول'!F:F,MATCH(Table228[[#This Row],[كد تفصيلي]],'درجریان وصول'!A:A,0)),0)</f>
        <v>0</v>
      </c>
      <c r="E25" s="11">
        <f>IFERROR(INDEX('چکهای دریافتنی'!F:F,MATCH(Table228[[#This Row],[كد تفصيلي]],'چکهای دریافتنی'!A:A,0)),0)</f>
        <v>1588359160</v>
      </c>
      <c r="F25" s="11">
        <f>Table228[[#This Row],[حسابهای دریافتنی]]+Table228[[#This Row],[چکهای در جریان وصول]]+Table228[[#This Row],[چکهای نزد صندوق]]</f>
        <v>1621437500</v>
      </c>
      <c r="G25" s="12">
        <f>IFERROR(INDEX('مانده سوفاله'!F:F,MATCH(Table228[[#This Row],[كد تفصيلي]],'مانده سوفاله'!A:A,0)),0)</f>
        <v>-647</v>
      </c>
    </row>
    <row r="26" spans="1:7" ht="26.25" customHeight="1" x14ac:dyDescent="0.35">
      <c r="A26" s="27">
        <v>10127</v>
      </c>
      <c r="B26" s="55" t="s">
        <v>371</v>
      </c>
      <c r="C26" s="10">
        <f>IFERROR(INDEX('حسابهای دریافتنی'!H:H,MATCH(Table228[[#This Row],[كد تفصيلي]],'حسابهای دریافتنی'!A:A,0)),0)</f>
        <v>803728000</v>
      </c>
      <c r="D26" s="11">
        <f>IFERROR(INDEX('درجریان وصول'!F:F,MATCH(Table228[[#This Row],[كد تفصيلي]],'درجریان وصول'!A:A,0)),0)</f>
        <v>0</v>
      </c>
      <c r="E26" s="11">
        <f>IFERROR(INDEX('چکهای دریافتنی'!F:F,MATCH(Table228[[#This Row],[كد تفصيلي]],'چکهای دریافتنی'!A:A,0)),0)</f>
        <v>0</v>
      </c>
      <c r="F26" s="11">
        <f>Table228[[#This Row],[حسابهای دریافتنی]]+Table228[[#This Row],[چکهای در جریان وصول]]+Table228[[#This Row],[چکهای نزد صندوق]]</f>
        <v>803728000</v>
      </c>
      <c r="G26" s="12">
        <f>IFERROR(INDEX('مانده سوفاله'!F:F,MATCH(Table228[[#This Row],[كد تفصيلي]],'مانده سوفاله'!A:A,0)),0)</f>
        <v>-1469</v>
      </c>
    </row>
    <row r="27" spans="1:7" ht="26.25" customHeight="1" x14ac:dyDescent="0.35">
      <c r="A27" s="26">
        <v>50011</v>
      </c>
      <c r="B27" s="56" t="s">
        <v>147</v>
      </c>
      <c r="C27" s="10">
        <f>IFERROR(INDEX('حسابهای دریافتنی'!H:H,MATCH(Table228[[#This Row],[كد تفصيلي]],'حسابهای دریافتنی'!A:A,0)),0)</f>
        <v>832182413</v>
      </c>
      <c r="D27" s="11">
        <f>IFERROR(INDEX('درجریان وصول'!F:F,MATCH(Table228[[#This Row],[كد تفصيلي]],'درجریان وصول'!A:A,0)),0)</f>
        <v>0</v>
      </c>
      <c r="E27" s="11">
        <f>IFERROR(INDEX('چکهای دریافتنی'!F:F,MATCH(Table228[[#This Row],[كد تفصيلي]],'چکهای دریافتنی'!A:A,0)),0)</f>
        <v>0</v>
      </c>
      <c r="F27" s="11">
        <f>Table228[[#This Row],[حسابهای دریافتنی]]+Table228[[#This Row],[چکهای در جریان وصول]]+Table228[[#This Row],[چکهای نزد صندوق]]</f>
        <v>832182413</v>
      </c>
      <c r="G27" s="12">
        <f>IFERROR(INDEX('مانده سوفاله'!F:F,MATCH(Table228[[#This Row],[كد تفصيلي]],'مانده سوفاله'!A:A,0)),0)</f>
        <v>30</v>
      </c>
    </row>
    <row r="28" spans="1:7" ht="26.25" customHeight="1" x14ac:dyDescent="0.35">
      <c r="A28" s="27">
        <v>10072</v>
      </c>
      <c r="B28" s="55" t="s">
        <v>177</v>
      </c>
      <c r="C28" s="10">
        <f>IFERROR(INDEX('حسابهای دریافتنی'!H:H,MATCH(Table228[[#This Row],[كد تفصيلي]],'حسابهای دریافتنی'!A:A,0)),0)</f>
        <v>55880</v>
      </c>
      <c r="D28" s="11">
        <f>IFERROR(INDEX('درجریان وصول'!F:F,MATCH(Table228[[#This Row],[كد تفصيلي]],'درجریان وصول'!A:A,0)),0)</f>
        <v>0</v>
      </c>
      <c r="E28" s="11">
        <f>IFERROR(INDEX('چکهای دریافتنی'!F:F,MATCH(Table228[[#This Row],[كد تفصيلي]],'چکهای دریافتنی'!A:A,0)),0)</f>
        <v>427700000</v>
      </c>
      <c r="F28" s="11">
        <f>Table228[[#This Row],[حسابهای دریافتنی]]+Table228[[#This Row],[چکهای در جریان وصول]]+Table228[[#This Row],[چکهای نزد صندوق]]</f>
        <v>427755880</v>
      </c>
      <c r="G28" s="12">
        <f>IFERROR(INDEX('مانده سوفاله'!F:F,MATCH(Table228[[#This Row],[كد تفصيلي]],'مانده سوفاله'!A:A,0)),0)</f>
        <v>0</v>
      </c>
    </row>
    <row r="29" spans="1:7" ht="26.25" customHeight="1" x14ac:dyDescent="0.35">
      <c r="A29" s="27">
        <v>10008</v>
      </c>
      <c r="B29" s="55" t="s">
        <v>15</v>
      </c>
      <c r="C29" s="10">
        <f>IFERROR(INDEX('حسابهای دریافتنی'!H:H,MATCH(Table228[[#This Row],[كد تفصيلي]],'حسابهای دریافتنی'!A:A,0)),0)</f>
        <v>597342000</v>
      </c>
      <c r="D29" s="11">
        <f>IFERROR(INDEX('درجریان وصول'!F:F,MATCH(Table228[[#This Row],[كد تفصيلي]],'درجریان وصول'!A:A,0)),0)</f>
        <v>0</v>
      </c>
      <c r="E29" s="11">
        <f>IFERROR(INDEX('چکهای دریافتنی'!F:F,MATCH(Table228[[#This Row],[كد تفصيلي]],'چکهای دریافتنی'!A:A,0)),0)</f>
        <v>0</v>
      </c>
      <c r="F29" s="11">
        <f>Table228[[#This Row],[حسابهای دریافتنی]]+Table228[[#This Row],[چکهای در جریان وصول]]+Table228[[#This Row],[چکهای نزد صندوق]]</f>
        <v>597342000</v>
      </c>
      <c r="G29" s="12">
        <f>IFERROR(INDEX('مانده سوفاله'!F:F,MATCH(Table228[[#This Row],[كد تفصيلي]],'مانده سوفاله'!A:A,0)),0)</f>
        <v>-578</v>
      </c>
    </row>
    <row r="30" spans="1:7" ht="26.25" customHeight="1" x14ac:dyDescent="0.35">
      <c r="A30" s="27">
        <v>30187</v>
      </c>
      <c r="B30" s="55" t="s">
        <v>369</v>
      </c>
      <c r="C30" s="10">
        <f>IFERROR(INDEX('حسابهای دریافتنی'!H:H,MATCH(Table228[[#This Row],[كد تفصيلي]],'حسابهای دریافتنی'!A:A,0)),0)</f>
        <v>337825500</v>
      </c>
      <c r="D30" s="11">
        <f>IFERROR(INDEX('درجریان وصول'!F:F,MATCH(Table228[[#This Row],[كد تفصيلي]],'درجریان وصول'!A:A,0)),0)</f>
        <v>0</v>
      </c>
      <c r="E30" s="11">
        <f>IFERROR(INDEX('چکهای دریافتنی'!F:F,MATCH(Table228[[#This Row],[كد تفصيلي]],'چکهای دریافتنی'!A:A,0)),0)</f>
        <v>0</v>
      </c>
      <c r="F30" s="11">
        <f>Table228[[#This Row],[حسابهای دریافتنی]]+Table228[[#This Row],[چکهای در جریان وصول]]+Table228[[#This Row],[چکهای نزد صندوق]]</f>
        <v>337825500</v>
      </c>
      <c r="G30" s="12">
        <f>IFERROR(INDEX('مانده سوفاله'!F:F,MATCH(Table228[[#This Row],[كد تفصيلي]],'مانده سوفاله'!A:A,0)),0)</f>
        <v>-108</v>
      </c>
    </row>
    <row r="31" spans="1:7" ht="26.25" customHeight="1" x14ac:dyDescent="0.35">
      <c r="A31" s="26">
        <v>30003</v>
      </c>
      <c r="B31" s="56" t="s">
        <v>53</v>
      </c>
      <c r="C31" s="10">
        <f>IFERROR(INDEX('حسابهای دریافتنی'!H:H,MATCH(Table228[[#This Row],[كد تفصيلي]],'حسابهای دریافتنی'!A:A,0)),0)</f>
        <v>754765900</v>
      </c>
      <c r="D31" s="11">
        <f>IFERROR(INDEX('درجریان وصول'!F:F,MATCH(Table228[[#This Row],[كد تفصيلي]],'درجریان وصول'!A:A,0)),0)</f>
        <v>0</v>
      </c>
      <c r="E31" s="11">
        <f>IFERROR(INDEX('چکهای دریافتنی'!F:F,MATCH(Table228[[#This Row],[كد تفصيلي]],'چکهای دریافتنی'!A:A,0)),0)</f>
        <v>571000000</v>
      </c>
      <c r="F31" s="11">
        <f>Table228[[#This Row],[حسابهای دریافتنی]]+Table228[[#This Row],[چکهای در جریان وصول]]+Table228[[#This Row],[چکهای نزد صندوق]]</f>
        <v>1325765900</v>
      </c>
      <c r="G31" s="12">
        <f>IFERROR(INDEX('مانده سوفاله'!F:F,MATCH(Table228[[#This Row],[كد تفصيلي]],'مانده سوفاله'!A:A,0)),0)</f>
        <v>-3538</v>
      </c>
    </row>
    <row r="32" spans="1:7" ht="26.25" customHeight="1" x14ac:dyDescent="0.35">
      <c r="A32" s="26">
        <v>10029</v>
      </c>
      <c r="B32" s="56" t="s">
        <v>35</v>
      </c>
      <c r="C32" s="10">
        <f>IFERROR(INDEX('حسابهای دریافتنی'!H:H,MATCH(Table228[[#This Row],[كد تفصيلي]],'حسابهای دریافتنی'!A:A,0)),0)</f>
        <v>-1038298620</v>
      </c>
      <c r="D32" s="11">
        <f>IFERROR(INDEX('درجریان وصول'!F:F,MATCH(Table228[[#This Row],[كد تفصيلي]],'درجریان وصول'!A:A,0)),0)</f>
        <v>0</v>
      </c>
      <c r="E32" s="11">
        <f>IFERROR(INDEX('چکهای دریافتنی'!F:F,MATCH(Table228[[#This Row],[كد تفصيلي]],'چکهای دریافتنی'!A:A,0)),0)</f>
        <v>2019000000</v>
      </c>
      <c r="F32" s="11">
        <f>Table228[[#This Row],[حسابهای دریافتنی]]+Table228[[#This Row],[چکهای در جریان وصول]]+Table228[[#This Row],[چکهای نزد صندوق]]</f>
        <v>980701380</v>
      </c>
      <c r="G32" s="12">
        <f>IFERROR(INDEX('مانده سوفاله'!F:F,MATCH(Table228[[#This Row],[كد تفصيلي]],'مانده سوفاله'!A:A,0)),0)</f>
        <v>6603</v>
      </c>
    </row>
    <row r="33" spans="1:7" ht="26.25" customHeight="1" x14ac:dyDescent="0.35">
      <c r="A33" s="27">
        <v>30018</v>
      </c>
      <c r="B33" s="55" t="s">
        <v>66</v>
      </c>
      <c r="C33" s="10">
        <f>IFERROR(INDEX('حسابهای دریافتنی'!H:H,MATCH(Table228[[#This Row],[كد تفصيلي]],'حسابهای دریافتنی'!A:A,0)),0)</f>
        <v>1901077182</v>
      </c>
      <c r="D33" s="11">
        <f>IFERROR(INDEX('درجریان وصول'!F:F,MATCH(Table228[[#This Row],[كد تفصيلي]],'درجریان وصول'!A:A,0)),0)</f>
        <v>0</v>
      </c>
      <c r="E33" s="11">
        <f>IFERROR(INDEX('چکهای دریافتنی'!F:F,MATCH(Table228[[#This Row],[كد تفصيلي]],'چکهای دریافتنی'!A:A,0)),0)</f>
        <v>0</v>
      </c>
      <c r="F33" s="11">
        <f>Table228[[#This Row],[حسابهای دریافتنی]]+Table228[[#This Row],[چکهای در جریان وصول]]+Table228[[#This Row],[چکهای نزد صندوق]]</f>
        <v>1901077182</v>
      </c>
      <c r="G33" s="12">
        <f>IFERROR(INDEX('مانده سوفاله'!F:F,MATCH(Table228[[#This Row],[كد تفصيلي]],'مانده سوفاله'!A:A,0)),0)</f>
        <v>-3024</v>
      </c>
    </row>
    <row r="34" spans="1:7" ht="26.25" customHeight="1" x14ac:dyDescent="0.35">
      <c r="A34" s="27">
        <v>30191</v>
      </c>
      <c r="B34" s="55" t="s">
        <v>460</v>
      </c>
      <c r="C34" s="10">
        <f>IFERROR(INDEX('حسابهای دریافتنی'!H:H,MATCH(Table228[[#This Row],[كد تفصيلي]],'حسابهای دریافتنی'!A:A,0)),0)</f>
        <v>792933000</v>
      </c>
      <c r="D34" s="11">
        <f>IFERROR(INDEX('درجریان وصول'!F:F,MATCH(Table228[[#This Row],[كد تفصيلي]],'درجریان وصول'!A:A,0)),0)</f>
        <v>0</v>
      </c>
      <c r="E34" s="11">
        <f>IFERROR(INDEX('چکهای دریافتنی'!F:F,MATCH(Table228[[#This Row],[كد تفصيلي]],'چکهای دریافتنی'!A:A,0)),0)</f>
        <v>0</v>
      </c>
      <c r="F34" s="11">
        <f>Table228[[#This Row],[حسابهای دریافتنی]]+Table228[[#This Row],[چکهای در جریان وصول]]+Table228[[#This Row],[چکهای نزد صندوق]]</f>
        <v>792933000</v>
      </c>
      <c r="G34" s="12">
        <f>IFERROR(INDEX('مانده سوفاله'!F:F,MATCH(Table228[[#This Row],[كد تفصيلي]],'مانده سوفاله'!A:A,0)),0)</f>
        <v>134</v>
      </c>
    </row>
    <row r="35" spans="1:7" ht="26.25" customHeight="1" x14ac:dyDescent="0.35">
      <c r="A35" s="27">
        <v>30069</v>
      </c>
      <c r="B35" s="55" t="s">
        <v>114</v>
      </c>
      <c r="C35" s="10">
        <f>IFERROR(INDEX('حسابهای دریافتنی'!H:H,MATCH(Table228[[#This Row],[كد تفصيلي]],'حسابهای دریافتنی'!A:A,0)),0)</f>
        <v>377909400</v>
      </c>
      <c r="D35" s="11">
        <f>IFERROR(INDEX('درجریان وصول'!F:F,MATCH(Table228[[#This Row],[كد تفصيلي]],'درجریان وصول'!A:A,0)),0)</f>
        <v>0</v>
      </c>
      <c r="E35" s="11">
        <f>IFERROR(INDEX('چکهای دریافتنی'!F:F,MATCH(Table228[[#This Row],[كد تفصيلي]],'چکهای دریافتنی'!A:A,0)),0)</f>
        <v>0</v>
      </c>
      <c r="F35" s="11">
        <f>Table228[[#This Row],[حسابهای دریافتنی]]+Table228[[#This Row],[چکهای در جریان وصول]]+Table228[[#This Row],[چکهای نزد صندوق]]</f>
        <v>377909400</v>
      </c>
      <c r="G35" s="12">
        <f>IFERROR(INDEX('مانده سوفاله'!F:F,MATCH(Table228[[#This Row],[كد تفصيلي]],'مانده سوفاله'!A:A,0)),0)</f>
        <v>66</v>
      </c>
    </row>
    <row r="36" spans="1:7" ht="26.25" customHeight="1" x14ac:dyDescent="0.35">
      <c r="A36" s="26">
        <v>10069</v>
      </c>
      <c r="B36" s="56" t="s">
        <v>204</v>
      </c>
      <c r="C36" s="10">
        <f>IFERROR(INDEX('حسابهای دریافتنی'!H:H,MATCH(Table228[[#This Row],[كد تفصيلي]],'حسابهای دریافتنی'!A:A,0)),0)</f>
        <v>952500</v>
      </c>
      <c r="D36" s="11">
        <f>IFERROR(INDEX('درجریان وصول'!F:F,MATCH(Table228[[#This Row],[كد تفصيلي]],'درجریان وصول'!A:A,0)),0)</f>
        <v>0</v>
      </c>
      <c r="E36" s="11">
        <f>IFERROR(INDEX('چکهای دریافتنی'!F:F,MATCH(Table228[[#This Row],[كد تفصيلي]],'چکهای دریافتنی'!A:A,0)),0)</f>
        <v>73000000</v>
      </c>
      <c r="F36" s="11">
        <f>Table228[[#This Row],[حسابهای دریافتنی]]+Table228[[#This Row],[چکهای در جریان وصول]]+Table228[[#This Row],[چکهای نزد صندوق]]</f>
        <v>73952500</v>
      </c>
      <c r="G36" s="12">
        <f>IFERROR(INDEX('مانده سوفاله'!F:F,MATCH(Table228[[#This Row],[كد تفصيلي]],'مانده سوفاله'!A:A,0)),0)</f>
        <v>339</v>
      </c>
    </row>
    <row r="37" spans="1:7" ht="26.25" customHeight="1" x14ac:dyDescent="0.35">
      <c r="A37" s="27">
        <v>30190</v>
      </c>
      <c r="B37" s="55" t="s">
        <v>459</v>
      </c>
      <c r="C37" s="10">
        <f>IFERROR(INDEX('حسابهای دریافتنی'!H:H,MATCH(Table228[[#This Row],[كد تفصيلي]],'حسابهای دریافتنی'!A:A,0)),0)</f>
        <v>328477520</v>
      </c>
      <c r="D37" s="11">
        <f>IFERROR(INDEX('درجریان وصول'!F:F,MATCH(Table228[[#This Row],[كد تفصيلي]],'درجریان وصول'!A:A,0)),0)</f>
        <v>0</v>
      </c>
      <c r="E37" s="11">
        <f>IFERROR(INDEX('چکهای دریافتنی'!F:F,MATCH(Table228[[#This Row],[كد تفصيلي]],'چکهای دریافتنی'!A:A,0)),0)</f>
        <v>0</v>
      </c>
      <c r="F37" s="11">
        <f>Table228[[#This Row],[حسابهای دریافتنی]]+Table228[[#This Row],[چکهای در جریان وصول]]+Table228[[#This Row],[چکهای نزد صندوق]]</f>
        <v>328477520</v>
      </c>
      <c r="G37" s="12">
        <f>IFERROR(INDEX('مانده سوفاله'!F:F,MATCH(Table228[[#This Row],[كد تفصيلي]],'مانده سوفاله'!A:A,0)),0)</f>
        <v>1790</v>
      </c>
    </row>
    <row r="38" spans="1:7" ht="26.25" customHeight="1" x14ac:dyDescent="0.35">
      <c r="A38" s="27">
        <v>30012</v>
      </c>
      <c r="B38" s="55" t="s">
        <v>61</v>
      </c>
      <c r="C38" s="10">
        <f>IFERROR(INDEX('حسابهای دریافتنی'!H:H,MATCH(Table228[[#This Row],[كد تفصيلي]],'حسابهای دریافتنی'!A:A,0)),0)</f>
        <v>-46099000</v>
      </c>
      <c r="D38" s="11">
        <f>IFERROR(INDEX('درجریان وصول'!F:F,MATCH(Table228[[#This Row],[كد تفصيلي]],'درجریان وصول'!A:A,0)),0)</f>
        <v>0</v>
      </c>
      <c r="E38" s="11">
        <f>IFERROR(INDEX('چکهای دریافتنی'!F:F,MATCH(Table228[[#This Row],[كد تفصيلي]],'چکهای دریافتنی'!A:A,0)),0)</f>
        <v>348650000</v>
      </c>
      <c r="F38" s="11">
        <f>Table228[[#This Row],[حسابهای دریافتنی]]+Table228[[#This Row],[چکهای در جریان وصول]]+Table228[[#This Row],[چکهای نزد صندوق]]</f>
        <v>302551000</v>
      </c>
      <c r="G38" s="12">
        <f>IFERROR(INDEX('مانده سوفاله'!F:F,MATCH(Table228[[#This Row],[كد تفصيلي]],'مانده سوفاله'!A:A,0)),0)</f>
        <v>141</v>
      </c>
    </row>
    <row r="39" spans="1:7" ht="26.25" customHeight="1" x14ac:dyDescent="0.35">
      <c r="A39" s="26">
        <v>30070</v>
      </c>
      <c r="B39" s="56" t="s">
        <v>115</v>
      </c>
      <c r="C39" s="10">
        <f>IFERROR(INDEX('حسابهای دریافتنی'!H:H,MATCH(Table228[[#This Row],[كد تفصيلي]],'حسابهای دریافتنی'!A:A,0)),0)</f>
        <v>2651728820</v>
      </c>
      <c r="D39" s="11">
        <f>IFERROR(INDEX('درجریان وصول'!F:F,MATCH(Table228[[#This Row],[كد تفصيلي]],'درجریان وصول'!A:A,0)),0)</f>
        <v>0</v>
      </c>
      <c r="E39" s="11">
        <f>IFERROR(INDEX('چکهای دریافتنی'!F:F,MATCH(Table228[[#This Row],[كد تفصيلي]],'چکهای دریافتنی'!A:A,0)),0)</f>
        <v>3660000000</v>
      </c>
      <c r="F39" s="11">
        <f>Table228[[#This Row],[حسابهای دریافتنی]]+Table228[[#This Row],[چکهای در جریان وصول]]+Table228[[#This Row],[چکهای نزد صندوق]]</f>
        <v>6311728820</v>
      </c>
      <c r="G39" s="12">
        <f>IFERROR(INDEX('مانده سوفاله'!F:F,MATCH(Table228[[#This Row],[كد تفصيلي]],'مانده سوفاله'!A:A,0)),0)</f>
        <v>4378</v>
      </c>
    </row>
    <row r="40" spans="1:7" ht="26.25" customHeight="1" x14ac:dyDescent="0.35">
      <c r="A40" s="26">
        <v>30162</v>
      </c>
      <c r="B40" s="56" t="s">
        <v>301</v>
      </c>
      <c r="C40" s="10">
        <f>IFERROR(INDEX('حسابهای دریافتنی'!H:H,MATCH(Table228[[#This Row],[كد تفصيلي]],'حسابهای دریافتنی'!A:A,0)),0)</f>
        <v>204890235</v>
      </c>
      <c r="D40" s="11">
        <f>IFERROR(INDEX('درجریان وصول'!F:F,MATCH(Table228[[#This Row],[كد تفصيلي]],'درجریان وصول'!A:A,0)),0)</f>
        <v>0</v>
      </c>
      <c r="E40" s="11">
        <f>IFERROR(INDEX('چکهای دریافتنی'!F:F,MATCH(Table228[[#This Row],[كد تفصيلي]],'چکهای دریافتنی'!A:A,0)),0)</f>
        <v>0</v>
      </c>
      <c r="F40" s="11">
        <f>Table228[[#This Row],[حسابهای دریافتنی]]+Table228[[#This Row],[چکهای در جریان وصول]]+Table228[[#This Row],[چکهای نزد صندوق]]</f>
        <v>204890235</v>
      </c>
      <c r="G40" s="12">
        <f>IFERROR(INDEX('مانده سوفاله'!F:F,MATCH(Table228[[#This Row],[كد تفصيلي]],'مانده سوفاله'!A:A,0)),0)</f>
        <v>-251</v>
      </c>
    </row>
    <row r="41" spans="1:7" ht="26.25" customHeight="1" x14ac:dyDescent="0.35">
      <c r="A41" s="27">
        <v>30137</v>
      </c>
      <c r="B41" s="55" t="s">
        <v>218</v>
      </c>
      <c r="C41" s="10">
        <f>IFERROR(INDEX('حسابهای دریافتنی'!H:H,MATCH(Table228[[#This Row],[كد تفصيلي]],'حسابهای دریافتنی'!A:A,0)),0)</f>
        <v>0</v>
      </c>
      <c r="D41" s="11">
        <f>IFERROR(INDEX('درجریان وصول'!F:F,MATCH(Table228[[#This Row],[كد تفصيلي]],'درجریان وصول'!A:A,0)),0)</f>
        <v>0</v>
      </c>
      <c r="E41" s="11">
        <f>IFERROR(INDEX('چکهای دریافتنی'!F:F,MATCH(Table228[[#This Row],[كد تفصيلي]],'چکهای دریافتنی'!A:A,0)),0)</f>
        <v>213182200</v>
      </c>
      <c r="F41" s="11">
        <f>Table228[[#This Row],[حسابهای دریافتنی]]+Table228[[#This Row],[چکهای در جریان وصول]]+Table228[[#This Row],[چکهای نزد صندوق]]</f>
        <v>213182200</v>
      </c>
      <c r="G41" s="12">
        <f>IFERROR(INDEX('مانده سوفاله'!F:F,MATCH(Table228[[#This Row],[كد تفصيلي]],'مانده سوفاله'!A:A,0)),0)</f>
        <v>0</v>
      </c>
    </row>
    <row r="42" spans="1:7" ht="26.25" customHeight="1" x14ac:dyDescent="0.35">
      <c r="A42" s="26">
        <v>30124</v>
      </c>
      <c r="B42" s="56" t="s">
        <v>246</v>
      </c>
      <c r="C42" s="10">
        <f>IFERROR(INDEX('حسابهای دریافتنی'!H:H,MATCH(Table228[[#This Row],[كد تفصيلي]],'حسابهای دریافتنی'!A:A,0)),0)</f>
        <v>0</v>
      </c>
      <c r="D42" s="11">
        <f>IFERROR(INDEX('درجریان وصول'!F:F,MATCH(Table228[[#This Row],[كد تفصيلي]],'درجریان وصول'!A:A,0)),0)</f>
        <v>0</v>
      </c>
      <c r="E42" s="11">
        <f>IFERROR(INDEX('چکهای دریافتنی'!F:F,MATCH(Table228[[#This Row],[كد تفصيلي]],'چکهای دریافتنی'!A:A,0)),0)</f>
        <v>505676000</v>
      </c>
      <c r="F42" s="11">
        <f>Table228[[#This Row],[حسابهای دریافتنی]]+Table228[[#This Row],[چکهای در جریان وصول]]+Table228[[#This Row],[چکهای نزد صندوق]]</f>
        <v>505676000</v>
      </c>
      <c r="G42" s="12">
        <f>IFERROR(INDEX('مانده سوفاله'!F:F,MATCH(Table228[[#This Row],[كد تفصيلي]],'مانده سوفاله'!A:A,0)),0)</f>
        <v>1498</v>
      </c>
    </row>
    <row r="43" spans="1:7" ht="26.25" customHeight="1" x14ac:dyDescent="0.35">
      <c r="A43" s="26">
        <v>30086</v>
      </c>
      <c r="B43" s="56" t="s">
        <v>131</v>
      </c>
      <c r="C43" s="10">
        <f>IFERROR(INDEX('حسابهای دریافتنی'!H:H,MATCH(Table228[[#This Row],[كد تفصيلي]],'حسابهای دریافتنی'!A:A,0)),0)</f>
        <v>187376603</v>
      </c>
      <c r="D43" s="11">
        <f>IFERROR(INDEX('درجریان وصول'!F:F,MATCH(Table228[[#This Row],[كد تفصيلي]],'درجریان وصول'!A:A,0)),0)</f>
        <v>0</v>
      </c>
      <c r="E43" s="11">
        <f>IFERROR(INDEX('چکهای دریافتنی'!F:F,MATCH(Table228[[#This Row],[كد تفصيلي]],'چکهای دریافتنی'!A:A,0)),0)</f>
        <v>0</v>
      </c>
      <c r="F43" s="11">
        <f>Table228[[#This Row],[حسابهای دریافتنی]]+Table228[[#This Row],[چکهای در جریان وصول]]+Table228[[#This Row],[چکهای نزد صندوق]]</f>
        <v>187376603</v>
      </c>
      <c r="G43" s="12">
        <f>IFERROR(INDEX('مانده سوفاله'!F:F,MATCH(Table228[[#This Row],[كد تفصيلي]],'مانده سوفاله'!A:A,0)),0)</f>
        <v>1549</v>
      </c>
    </row>
    <row r="44" spans="1:7" ht="26.25" customHeight="1" x14ac:dyDescent="0.35">
      <c r="A44" s="26">
        <v>30001</v>
      </c>
      <c r="B44" s="56" t="s">
        <v>190</v>
      </c>
      <c r="C44" s="10">
        <f>IFERROR(INDEX('حسابهای دریافتنی'!H:H,MATCH(Table228[[#This Row],[كد تفصيلي]],'حسابهای دریافتنی'!A:A,0)),0)</f>
        <v>119647176</v>
      </c>
      <c r="D44" s="11">
        <f>IFERROR(INDEX('درجریان وصول'!F:F,MATCH(Table228[[#This Row],[كد تفصيلي]],'درجریان وصول'!A:A,0)),0)</f>
        <v>0</v>
      </c>
      <c r="E44" s="11">
        <f>IFERROR(INDEX('چکهای دریافتنی'!F:F,MATCH(Table228[[#This Row],[كد تفصيلي]],'چکهای دریافتنی'!A:A,0)),0)</f>
        <v>0</v>
      </c>
      <c r="F44" s="11">
        <f>Table228[[#This Row],[حسابهای دریافتنی]]+Table228[[#This Row],[چکهای در جریان وصول]]+Table228[[#This Row],[چکهای نزد صندوق]]</f>
        <v>119647176</v>
      </c>
      <c r="G44" s="12">
        <f>IFERROR(INDEX('مانده سوفاله'!F:F,MATCH(Table228[[#This Row],[كد تفصيلي]],'مانده سوفاله'!A:A,0)),0)</f>
        <v>123</v>
      </c>
    </row>
    <row r="45" spans="1:7" ht="26.25" customHeight="1" x14ac:dyDescent="0.35">
      <c r="A45" s="27">
        <v>30202</v>
      </c>
      <c r="B45" s="55" t="s">
        <v>525</v>
      </c>
      <c r="C45" s="10">
        <f>IFERROR(INDEX('حسابهای دریافتنی'!H:H,MATCH(Table228[[#This Row],[كد تفصيلي]],'حسابهای دریافتنی'!A:A,0)),0)</f>
        <v>0</v>
      </c>
      <c r="D45" s="11">
        <f>IFERROR(INDEX('درجریان وصول'!F:F,MATCH(Table228[[#This Row],[كد تفصيلي]],'درجریان وصول'!A:A,0)),0)</f>
        <v>0</v>
      </c>
      <c r="E45" s="11">
        <f>IFERROR(INDEX('چکهای دریافتنی'!F:F,MATCH(Table228[[#This Row],[كد تفصيلي]],'چکهای دریافتنی'!A:A,0)),0)</f>
        <v>0</v>
      </c>
      <c r="F45" s="11">
        <f>Table228[[#This Row],[حسابهای دریافتنی]]+Table228[[#This Row],[چکهای در جریان وصول]]+Table228[[#This Row],[چکهای نزد صندوق]]</f>
        <v>0</v>
      </c>
      <c r="G45" s="12">
        <f>IFERROR(INDEX('مانده سوفاله'!F:F,MATCH(Table228[[#This Row],[كد تفصيلي]],'مانده سوفاله'!A:A,0)),0)</f>
        <v>1</v>
      </c>
    </row>
    <row r="46" spans="1:7" ht="26.25" customHeight="1" x14ac:dyDescent="0.35">
      <c r="A46" s="27">
        <v>10096</v>
      </c>
      <c r="B46" s="55" t="s">
        <v>271</v>
      </c>
      <c r="C46" s="10">
        <f>IFERROR(INDEX('حسابهای دریافتنی'!H:H,MATCH(Table228[[#This Row],[كد تفصيلي]],'حسابهای دریافتنی'!A:A,0)),0)</f>
        <v>36455500</v>
      </c>
      <c r="D46" s="11">
        <f>IFERROR(INDEX('درجریان وصول'!F:F,MATCH(Table228[[#This Row],[كد تفصيلي]],'درجریان وصول'!A:A,0)),0)</f>
        <v>0</v>
      </c>
      <c r="E46" s="11">
        <f>IFERROR(INDEX('چکهای دریافتنی'!F:F,MATCH(Table228[[#This Row],[كد تفصيلي]],'چکهای دریافتنی'!A:A,0)),0)</f>
        <v>0</v>
      </c>
      <c r="F46" s="11">
        <f>Table228[[#This Row],[حسابهای دریافتنی]]+Table228[[#This Row],[چکهای در جریان وصول]]+Table228[[#This Row],[چکهای نزد صندوق]]</f>
        <v>36455500</v>
      </c>
      <c r="G46" s="12">
        <f>IFERROR(INDEX('مانده سوفاله'!F:F,MATCH(Table228[[#This Row],[كد تفصيلي]],'مانده سوفاله'!A:A,0)),0)</f>
        <v>0</v>
      </c>
    </row>
    <row r="47" spans="1:7" ht="26.25" customHeight="1" x14ac:dyDescent="0.35">
      <c r="A47" s="26">
        <v>30025</v>
      </c>
      <c r="B47" s="56" t="s">
        <v>73</v>
      </c>
      <c r="C47" s="10">
        <f>IFERROR(INDEX('حسابهای دریافتنی'!H:H,MATCH(Table228[[#This Row],[كد تفصيلي]],'حسابهای دریافتنی'!A:A,0)),0)</f>
        <v>35598920</v>
      </c>
      <c r="D47" s="11">
        <f>IFERROR(INDEX('درجریان وصول'!F:F,MATCH(Table228[[#This Row],[كد تفصيلي]],'درجریان وصول'!A:A,0)),0)</f>
        <v>0</v>
      </c>
      <c r="E47" s="11">
        <f>IFERROR(INDEX('چکهای دریافتنی'!F:F,MATCH(Table228[[#This Row],[كد تفصيلي]],'چکهای دریافتنی'!A:A,0)),0)</f>
        <v>0</v>
      </c>
      <c r="F47" s="11">
        <f>Table228[[#This Row],[حسابهای دریافتنی]]+Table228[[#This Row],[چکهای در جریان وصول]]+Table228[[#This Row],[چکهای نزد صندوق]]</f>
        <v>35598920</v>
      </c>
      <c r="G47" s="12">
        <f>IFERROR(INDEX('مانده سوفاله'!F:F,MATCH(Table228[[#This Row],[كد تفصيلي]],'مانده سوفاله'!A:A,0)),0)</f>
        <v>-165</v>
      </c>
    </row>
    <row r="48" spans="1:7" ht="26.25" customHeight="1" x14ac:dyDescent="0.35">
      <c r="A48" s="27">
        <v>30155</v>
      </c>
      <c r="B48" s="55" t="s">
        <v>289</v>
      </c>
      <c r="C48" s="10">
        <f>IFERROR(INDEX('حسابهای دریافتنی'!H:H,MATCH(Table228[[#This Row],[كد تفصيلي]],'حسابهای دریافتنی'!A:A,0)),0)</f>
        <v>-454985417</v>
      </c>
      <c r="D48" s="11">
        <f>IFERROR(INDEX('درجریان وصول'!F:F,MATCH(Table228[[#This Row],[كد تفصيلي]],'درجریان وصول'!A:A,0)),0)</f>
        <v>0</v>
      </c>
      <c r="E48" s="11">
        <f>IFERROR(INDEX('چکهای دریافتنی'!F:F,MATCH(Table228[[#This Row],[كد تفصيلي]],'چکهای دریافتنی'!A:A,0)),0)</f>
        <v>1379936267</v>
      </c>
      <c r="F48" s="11">
        <f>Table228[[#This Row],[حسابهای دریافتنی]]+Table228[[#This Row],[چکهای در جریان وصول]]+Table228[[#This Row],[چکهای نزد صندوق]]</f>
        <v>924950850</v>
      </c>
      <c r="G48" s="12">
        <f>IFERROR(INDEX('مانده سوفاله'!F:F,MATCH(Table228[[#This Row],[كد تفصيلي]],'مانده سوفاله'!A:A,0)),0)</f>
        <v>0</v>
      </c>
    </row>
    <row r="49" spans="1:7" ht="26.25" customHeight="1" x14ac:dyDescent="0.35">
      <c r="A49" s="26">
        <v>30005</v>
      </c>
      <c r="B49" s="56" t="s">
        <v>55</v>
      </c>
      <c r="C49" s="10">
        <f>IFERROR(INDEX('حسابهای دریافتنی'!H:H,MATCH(Table228[[#This Row],[كد تفصيلي]],'حسابهای دریافتنی'!A:A,0)),0)</f>
        <v>35368209</v>
      </c>
      <c r="D49" s="11">
        <f>IFERROR(INDEX('درجریان وصول'!F:F,MATCH(Table228[[#This Row],[كد تفصيلي]],'درجریان وصول'!A:A,0)),0)</f>
        <v>0</v>
      </c>
      <c r="E49" s="11">
        <f>IFERROR(INDEX('چکهای دریافتنی'!F:F,MATCH(Table228[[#This Row],[كد تفصيلي]],'چکهای دریافتنی'!A:A,0)),0)</f>
        <v>0</v>
      </c>
      <c r="F49" s="11">
        <f>Table228[[#This Row],[حسابهای دریافتنی]]+Table228[[#This Row],[چکهای در جریان وصول]]+Table228[[#This Row],[چکهای نزد صندوق]]</f>
        <v>35368209</v>
      </c>
      <c r="G49" s="12">
        <f>IFERROR(INDEX('مانده سوفاله'!F:F,MATCH(Table228[[#This Row],[كد تفصيلي]],'مانده سوفاله'!A:A,0)),0)</f>
        <v>61</v>
      </c>
    </row>
    <row r="50" spans="1:7" ht="26.25" customHeight="1" x14ac:dyDescent="0.35">
      <c r="A50" s="27">
        <v>30101</v>
      </c>
      <c r="B50" s="55" t="s">
        <v>196</v>
      </c>
      <c r="C50" s="10">
        <f>IFERROR(INDEX('حسابهای دریافتنی'!H:H,MATCH(Table228[[#This Row],[كد تفصيلي]],'حسابهای دریافتنی'!A:A,0)),0)</f>
        <v>203336095</v>
      </c>
      <c r="D50" s="11">
        <f>IFERROR(INDEX('درجریان وصول'!F:F,MATCH(Table228[[#This Row],[كد تفصيلي]],'درجریان وصول'!A:A,0)),0)</f>
        <v>0</v>
      </c>
      <c r="E50" s="11">
        <f>IFERROR(INDEX('چکهای دریافتنی'!F:F,MATCH(Table228[[#This Row],[كد تفصيلي]],'چکهای دریافتنی'!A:A,0)),0)</f>
        <v>0</v>
      </c>
      <c r="F50" s="11">
        <f>Table228[[#This Row],[حسابهای دریافتنی]]+Table228[[#This Row],[چکهای در جریان وصول]]+Table228[[#This Row],[چکهای نزد صندوق]]</f>
        <v>203336095</v>
      </c>
      <c r="G50" s="12">
        <f>IFERROR(INDEX('مانده سوفاله'!F:F,MATCH(Table228[[#This Row],[كد تفصيلي]],'مانده سوفاله'!A:A,0)),0)</f>
        <v>15</v>
      </c>
    </row>
    <row r="51" spans="1:7" ht="26.25" customHeight="1" x14ac:dyDescent="0.35">
      <c r="A51" s="27">
        <v>30024</v>
      </c>
      <c r="B51" s="55" t="s">
        <v>72</v>
      </c>
      <c r="C51" s="10">
        <f>IFERROR(INDEX('حسابهای دریافتنی'!H:H,MATCH(Table228[[#This Row],[كد تفصيلي]],'حسابهای دریافتنی'!A:A,0)),0)</f>
        <v>16135000</v>
      </c>
      <c r="D51" s="11">
        <f>IFERROR(INDEX('درجریان وصول'!F:F,MATCH(Table228[[#This Row],[كد تفصيلي]],'درجریان وصول'!A:A,0)),0)</f>
        <v>0</v>
      </c>
      <c r="E51" s="11">
        <f>IFERROR(INDEX('چکهای دریافتنی'!F:F,MATCH(Table228[[#This Row],[كد تفصيلي]],'چکهای دریافتنی'!A:A,0)),0)</f>
        <v>0</v>
      </c>
      <c r="F51" s="11">
        <f>Table228[[#This Row],[حسابهای دریافتنی]]+Table228[[#This Row],[چکهای در جریان وصول]]+Table228[[#This Row],[چکهای نزد صندوق]]</f>
        <v>16135000</v>
      </c>
      <c r="G51" s="12">
        <f>IFERROR(INDEX('مانده سوفاله'!F:F,MATCH(Table228[[#This Row],[كد تفصيلي]],'مانده سوفاله'!A:A,0)),0)</f>
        <v>0</v>
      </c>
    </row>
    <row r="52" spans="1:7" ht="26.25" customHeight="1" x14ac:dyDescent="0.35">
      <c r="A52" s="27">
        <v>30008</v>
      </c>
      <c r="B52" s="55" t="s">
        <v>58</v>
      </c>
      <c r="C52" s="10">
        <f>IFERROR(INDEX('حسابهای دریافتنی'!H:H,MATCH(Table228[[#This Row],[كد تفصيلي]],'حسابهای دریافتنی'!A:A,0)),0)</f>
        <v>15520000</v>
      </c>
      <c r="D52" s="11">
        <f>IFERROR(INDEX('درجریان وصول'!F:F,MATCH(Table228[[#This Row],[كد تفصيلي]],'درجریان وصول'!A:A,0)),0)</f>
        <v>0</v>
      </c>
      <c r="E52" s="11">
        <f>IFERROR(INDEX('چکهای دریافتنی'!F:F,MATCH(Table228[[#This Row],[كد تفصيلي]],'چکهای دریافتنی'!A:A,0)),0)</f>
        <v>0</v>
      </c>
      <c r="F52" s="11">
        <f>Table228[[#This Row],[حسابهای دریافتنی]]+Table228[[#This Row],[چکهای در جریان وصول]]+Table228[[#This Row],[چکهای نزد صندوق]]</f>
        <v>15520000</v>
      </c>
      <c r="G52" s="12">
        <f>IFERROR(INDEX('مانده سوفاله'!F:F,MATCH(Table228[[#This Row],[كد تفصيلي]],'مانده سوفاله'!A:A,0)),0)</f>
        <v>0</v>
      </c>
    </row>
    <row r="53" spans="1:7" ht="26.25" customHeight="1" x14ac:dyDescent="0.35">
      <c r="A53" s="26">
        <v>10007</v>
      </c>
      <c r="B53" s="56" t="s">
        <v>14</v>
      </c>
      <c r="C53" s="10">
        <f>IFERROR(INDEX('حسابهای دریافتنی'!H:H,MATCH(Table228[[#This Row],[كد تفصيلي]],'حسابهای دریافتنی'!A:A,0)),0)</f>
        <v>12770000</v>
      </c>
      <c r="D53" s="11">
        <f>IFERROR(INDEX('درجریان وصول'!F:F,MATCH(Table228[[#This Row],[كد تفصيلي]],'درجریان وصول'!A:A,0)),0)</f>
        <v>0</v>
      </c>
      <c r="E53" s="11">
        <f>IFERROR(INDEX('چکهای دریافتنی'!F:F,MATCH(Table228[[#This Row],[كد تفصيلي]],'چکهای دریافتنی'!A:A,0)),0)</f>
        <v>0</v>
      </c>
      <c r="F53" s="11">
        <f>Table228[[#This Row],[حسابهای دریافتنی]]+Table228[[#This Row],[چکهای در جریان وصول]]+Table228[[#This Row],[چکهای نزد صندوق]]</f>
        <v>12770000</v>
      </c>
      <c r="G53" s="12">
        <f>IFERROR(INDEX('مانده سوفاله'!F:F,MATCH(Table228[[#This Row],[كد تفصيلي]],'مانده سوفاله'!A:A,0)),0)</f>
        <v>-52.5</v>
      </c>
    </row>
    <row r="54" spans="1:7" ht="26.25" customHeight="1" x14ac:dyDescent="0.35">
      <c r="A54" s="27">
        <v>30145</v>
      </c>
      <c r="B54" s="55" t="s">
        <v>265</v>
      </c>
      <c r="C54" s="10">
        <f>IFERROR(INDEX('حسابهای دریافتنی'!H:H,MATCH(Table228[[#This Row],[كد تفصيلي]],'حسابهای دریافتنی'!A:A,0)),0)</f>
        <v>6442500</v>
      </c>
      <c r="D54" s="11">
        <f>IFERROR(INDEX('درجریان وصول'!F:F,MATCH(Table228[[#This Row],[كد تفصيلي]],'درجریان وصول'!A:A,0)),0)</f>
        <v>0</v>
      </c>
      <c r="E54" s="11">
        <f>IFERROR(INDEX('چکهای دریافتنی'!F:F,MATCH(Table228[[#This Row],[كد تفصيلي]],'چکهای دریافتنی'!A:A,0)),0)</f>
        <v>0</v>
      </c>
      <c r="F54" s="11">
        <f>Table228[[#This Row],[حسابهای دریافتنی]]+Table228[[#This Row],[چکهای در جریان وصول]]+Table228[[#This Row],[چکهای نزد صندوق]]</f>
        <v>6442500</v>
      </c>
      <c r="G54" s="12">
        <f>IFERROR(INDEX('مانده سوفاله'!F:F,MATCH(Table228[[#This Row],[كد تفصيلي]],'مانده سوفاله'!A:A,0)),0)</f>
        <v>0</v>
      </c>
    </row>
    <row r="55" spans="1:7" ht="26.25" customHeight="1" x14ac:dyDescent="0.35">
      <c r="A55" s="26">
        <v>30047</v>
      </c>
      <c r="B55" s="56" t="s">
        <v>94</v>
      </c>
      <c r="C55" s="10">
        <f>IFERROR(INDEX('حسابهای دریافتنی'!H:H,MATCH(Table228[[#This Row],[كد تفصيلي]],'حسابهای دریافتنی'!A:A,0)),0)</f>
        <v>5794900</v>
      </c>
      <c r="D55" s="11">
        <f>IFERROR(INDEX('درجریان وصول'!F:F,MATCH(Table228[[#This Row],[كد تفصيلي]],'درجریان وصول'!A:A,0)),0)</f>
        <v>0</v>
      </c>
      <c r="E55" s="11">
        <f>IFERROR(INDEX('چکهای دریافتنی'!F:F,MATCH(Table228[[#This Row],[كد تفصيلي]],'چکهای دریافتنی'!A:A,0)),0)</f>
        <v>0</v>
      </c>
      <c r="F55" s="11">
        <f>Table228[[#This Row],[حسابهای دریافتنی]]+Table228[[#This Row],[چکهای در جریان وصول]]+Table228[[#This Row],[چکهای نزد صندوق]]</f>
        <v>5794900</v>
      </c>
      <c r="G55" s="12">
        <f>IFERROR(INDEX('مانده سوفاله'!F:F,MATCH(Table228[[#This Row],[كد تفصيلي]],'مانده سوفاله'!A:A,0)),0)</f>
        <v>-630</v>
      </c>
    </row>
    <row r="56" spans="1:7" ht="26.25" customHeight="1" x14ac:dyDescent="0.35">
      <c r="A56" s="26">
        <v>30011</v>
      </c>
      <c r="B56" s="56" t="s">
        <v>60</v>
      </c>
      <c r="C56" s="10">
        <f>IFERROR(INDEX('حسابهای دریافتنی'!H:H,MATCH(Table228[[#This Row],[كد تفصيلي]],'حسابهای دریافتنی'!A:A,0)),0)</f>
        <v>5595200</v>
      </c>
      <c r="D56" s="11">
        <f>IFERROR(INDEX('درجریان وصول'!F:F,MATCH(Table228[[#This Row],[كد تفصيلي]],'درجریان وصول'!A:A,0)),0)</f>
        <v>0</v>
      </c>
      <c r="E56" s="11">
        <f>IFERROR(INDEX('چکهای دریافتنی'!F:F,MATCH(Table228[[#This Row],[كد تفصيلي]],'چکهای دریافتنی'!A:A,0)),0)</f>
        <v>0</v>
      </c>
      <c r="F56" s="11">
        <f>Table228[[#This Row],[حسابهای دریافتنی]]+Table228[[#This Row],[چکهای در جریان وصول]]+Table228[[#This Row],[چکهای نزد صندوق]]</f>
        <v>5595200</v>
      </c>
      <c r="G56" s="12">
        <f>IFERROR(INDEX('مانده سوفاله'!F:F,MATCH(Table228[[#This Row],[كد تفصيلي]],'مانده سوفاله'!A:A,0)),0)</f>
        <v>-5</v>
      </c>
    </row>
    <row r="57" spans="1:7" ht="26.25" customHeight="1" x14ac:dyDescent="0.35">
      <c r="A57" s="27">
        <v>10080</v>
      </c>
      <c r="B57" s="55" t="s">
        <v>214</v>
      </c>
      <c r="C57" s="10">
        <f>IFERROR(INDEX('حسابهای دریافتنی'!H:H,MATCH(Table228[[#This Row],[كد تفصيلي]],'حسابهای دریافتنی'!A:A,0)),0)</f>
        <v>5395000</v>
      </c>
      <c r="D57" s="11">
        <f>IFERROR(INDEX('درجریان وصول'!F:F,MATCH(Table228[[#This Row],[كد تفصيلي]],'درجریان وصول'!A:A,0)),0)</f>
        <v>0</v>
      </c>
      <c r="E57" s="11">
        <f>IFERROR(INDEX('چکهای دریافتنی'!F:F,MATCH(Table228[[#This Row],[كد تفصيلي]],'چکهای دریافتنی'!A:A,0)),0)</f>
        <v>0</v>
      </c>
      <c r="F57" s="11">
        <f>Table228[[#This Row],[حسابهای دریافتنی]]+Table228[[#This Row],[چکهای در جریان وصول]]+Table228[[#This Row],[چکهای نزد صندوق]]</f>
        <v>5395000</v>
      </c>
      <c r="G57" s="12">
        <f>IFERROR(INDEX('مانده سوفاله'!F:F,MATCH(Table228[[#This Row],[كد تفصيلي]],'مانده سوفاله'!A:A,0)),0)</f>
        <v>0</v>
      </c>
    </row>
    <row r="58" spans="1:7" ht="26.25" customHeight="1" x14ac:dyDescent="0.35">
      <c r="A58" s="26">
        <v>30114</v>
      </c>
      <c r="B58" s="56" t="s">
        <v>175</v>
      </c>
      <c r="C58" s="10">
        <f>IFERROR(INDEX('حسابهای دریافتنی'!H:H,MATCH(Table228[[#This Row],[كد تفصيلي]],'حسابهای دریافتنی'!A:A,0)),0)</f>
        <v>5385600</v>
      </c>
      <c r="D58" s="11">
        <f>IFERROR(INDEX('درجریان وصول'!F:F,MATCH(Table228[[#This Row],[كد تفصيلي]],'درجریان وصول'!A:A,0)),0)</f>
        <v>0</v>
      </c>
      <c r="E58" s="11">
        <f>IFERROR(INDEX('چکهای دریافتنی'!F:F,MATCH(Table228[[#This Row],[كد تفصيلي]],'چکهای دریافتنی'!A:A,0)),0)</f>
        <v>0</v>
      </c>
      <c r="F58" s="11">
        <f>Table228[[#This Row],[حسابهای دریافتنی]]+Table228[[#This Row],[چکهای در جریان وصول]]+Table228[[#This Row],[چکهای نزد صندوق]]</f>
        <v>5385600</v>
      </c>
      <c r="G58" s="12">
        <f>IFERROR(INDEX('مانده سوفاله'!F:F,MATCH(Table228[[#This Row],[كد تفصيلي]],'مانده سوفاله'!A:A,0)),0)</f>
        <v>0</v>
      </c>
    </row>
    <row r="59" spans="1:7" ht="26.25" customHeight="1" x14ac:dyDescent="0.35">
      <c r="A59" s="27">
        <v>30123</v>
      </c>
      <c r="B59" s="55" t="s">
        <v>208</v>
      </c>
      <c r="C59" s="10">
        <f>IFERROR(INDEX('حسابهای دریافتنی'!H:H,MATCH(Table228[[#This Row],[كد تفصيلي]],'حسابهای دریافتنی'!A:A,0)),0)</f>
        <v>4138250</v>
      </c>
      <c r="D59" s="11">
        <f>IFERROR(INDEX('درجریان وصول'!F:F,MATCH(Table228[[#This Row],[كد تفصيلي]],'درجریان وصول'!A:A,0)),0)</f>
        <v>0</v>
      </c>
      <c r="E59" s="11">
        <f>IFERROR(INDEX('چکهای دریافتنی'!F:F,MATCH(Table228[[#This Row],[كد تفصيلي]],'چکهای دریافتنی'!A:A,0)),0)</f>
        <v>0</v>
      </c>
      <c r="F59" s="11">
        <f>Table228[[#This Row],[حسابهای دریافتنی]]+Table228[[#This Row],[چکهای در جریان وصول]]+Table228[[#This Row],[چکهای نزد صندوق]]</f>
        <v>4138250</v>
      </c>
      <c r="G59" s="12">
        <f>IFERROR(INDEX('مانده سوفاله'!F:F,MATCH(Table228[[#This Row],[كد تفصيلي]],'مانده سوفاله'!A:A,0)),0)</f>
        <v>-20</v>
      </c>
    </row>
    <row r="60" spans="1:7" ht="26.25" customHeight="1" x14ac:dyDescent="0.35">
      <c r="A60" s="26">
        <v>10116</v>
      </c>
      <c r="B60" s="56" t="s">
        <v>321</v>
      </c>
      <c r="C60" s="10">
        <f>IFERROR(INDEX('حسابهای دریافتنی'!H:H,MATCH(Table228[[#This Row],[كد تفصيلي]],'حسابهای دریافتنی'!A:A,0)),0)</f>
        <v>3892500</v>
      </c>
      <c r="D60" s="11">
        <f>IFERROR(INDEX('درجریان وصول'!F:F,MATCH(Table228[[#This Row],[كد تفصيلي]],'درجریان وصول'!A:A,0)),0)</f>
        <v>0</v>
      </c>
      <c r="E60" s="11">
        <f>IFERROR(INDEX('چکهای دریافتنی'!F:F,MATCH(Table228[[#This Row],[كد تفصيلي]],'چکهای دریافتنی'!A:A,0)),0)</f>
        <v>0</v>
      </c>
      <c r="F60" s="11">
        <f>Table228[[#This Row],[حسابهای دریافتنی]]+Table228[[#This Row],[چکهای در جریان وصول]]+Table228[[#This Row],[چکهای نزد صندوق]]</f>
        <v>3892500</v>
      </c>
      <c r="G60" s="12">
        <f>IFERROR(INDEX('مانده سوفاله'!F:F,MATCH(Table228[[#This Row],[كد تفصيلي]],'مانده سوفاله'!A:A,0)),0)</f>
        <v>0</v>
      </c>
    </row>
    <row r="61" spans="1:7" ht="26.25" customHeight="1" x14ac:dyDescent="0.35">
      <c r="A61" s="26">
        <v>30184</v>
      </c>
      <c r="B61" s="56" t="s">
        <v>368</v>
      </c>
      <c r="C61" s="10">
        <f>IFERROR(INDEX('حسابهای دریافتنی'!H:H,MATCH(Table228[[#This Row],[كد تفصيلي]],'حسابهای دریافتنی'!A:A,0)),0)</f>
        <v>904890480</v>
      </c>
      <c r="D61" s="11">
        <f>IFERROR(INDEX('درجریان وصول'!F:F,MATCH(Table228[[#This Row],[كد تفصيلي]],'درجریان وصول'!A:A,0)),0)</f>
        <v>0</v>
      </c>
      <c r="E61" s="11">
        <f>IFERROR(INDEX('چکهای دریافتنی'!F:F,MATCH(Table228[[#This Row],[كد تفصيلي]],'چکهای دریافتنی'!A:A,0)),0)</f>
        <v>0</v>
      </c>
      <c r="F61" s="11">
        <f>Table228[[#This Row],[حسابهای دریافتنی]]+Table228[[#This Row],[چکهای در جریان وصول]]+Table228[[#This Row],[چکهای نزد صندوق]]</f>
        <v>904890480</v>
      </c>
      <c r="G61" s="12">
        <f>IFERROR(INDEX('مانده سوفاله'!F:F,MATCH(Table228[[#This Row],[كد تفصيلي]],'مانده سوفاله'!A:A,0)),0)</f>
        <v>-100</v>
      </c>
    </row>
    <row r="62" spans="1:7" ht="26.25" customHeight="1" x14ac:dyDescent="0.35">
      <c r="A62" s="27">
        <v>30189</v>
      </c>
      <c r="B62" s="55" t="s">
        <v>458</v>
      </c>
      <c r="C62" s="10">
        <f>IFERROR(INDEX('حسابهای دریافتنی'!H:H,MATCH(Table228[[#This Row],[كد تفصيلي]],'حسابهای دریافتنی'!A:A,0)),0)</f>
        <v>20776490</v>
      </c>
      <c r="D62" s="11">
        <f>IFERROR(INDEX('درجریان وصول'!F:F,MATCH(Table228[[#This Row],[كد تفصيلي]],'درجریان وصول'!A:A,0)),0)</f>
        <v>0</v>
      </c>
      <c r="E62" s="11">
        <f>IFERROR(INDEX('چکهای دریافتنی'!F:F,MATCH(Table228[[#This Row],[كد تفصيلي]],'چکهای دریافتنی'!A:A,0)),0)</f>
        <v>0</v>
      </c>
      <c r="F62" s="11">
        <f>Table228[[#This Row],[حسابهای دریافتنی]]+Table228[[#This Row],[چکهای در جریان وصول]]+Table228[[#This Row],[چکهای نزد صندوق]]</f>
        <v>20776490</v>
      </c>
      <c r="G62" s="12">
        <f>IFERROR(INDEX('مانده سوفاله'!F:F,MATCH(Table228[[#This Row],[كد تفصيلي]],'مانده سوفاله'!A:A,0)),0)</f>
        <v>0</v>
      </c>
    </row>
    <row r="63" spans="1:7" ht="26.25" customHeight="1" x14ac:dyDescent="0.35">
      <c r="A63" s="26">
        <v>10122</v>
      </c>
      <c r="B63" s="56" t="s">
        <v>339</v>
      </c>
      <c r="C63" s="10">
        <f>IFERROR(INDEX('حسابهای دریافتنی'!H:H,MATCH(Table228[[#This Row],[كد تفصيلي]],'حسابهای دریافتنی'!A:A,0)),0)</f>
        <v>3375000</v>
      </c>
      <c r="D63" s="11">
        <f>IFERROR(INDEX('درجریان وصول'!F:F,MATCH(Table228[[#This Row],[كد تفصيلي]],'درجریان وصول'!A:A,0)),0)</f>
        <v>0</v>
      </c>
      <c r="E63" s="11">
        <f>IFERROR(INDEX('چکهای دریافتنی'!F:F,MATCH(Table228[[#This Row],[كد تفصيلي]],'چکهای دریافتنی'!A:A,0)),0)</f>
        <v>0</v>
      </c>
      <c r="F63" s="11">
        <f>Table228[[#This Row],[حسابهای دریافتنی]]+Table228[[#This Row],[چکهای در جریان وصول]]+Table228[[#This Row],[چکهای نزد صندوق]]</f>
        <v>3375000</v>
      </c>
      <c r="G63" s="12">
        <f>IFERROR(INDEX('مانده سوفاله'!F:F,MATCH(Table228[[#This Row],[كد تفصيلي]],'مانده سوفاله'!A:A,0)),0)</f>
        <v>0</v>
      </c>
    </row>
    <row r="64" spans="1:7" ht="26.25" customHeight="1" x14ac:dyDescent="0.35">
      <c r="A64" s="27">
        <v>10030</v>
      </c>
      <c r="B64" s="55" t="s">
        <v>36</v>
      </c>
      <c r="C64" s="10">
        <f>IFERROR(INDEX('حسابهای دریافتنی'!H:H,MATCH(Table228[[#This Row],[كد تفصيلي]],'حسابهای دریافتنی'!A:A,0)),0)</f>
        <v>3272000</v>
      </c>
      <c r="D64" s="11">
        <f>IFERROR(INDEX('درجریان وصول'!F:F,MATCH(Table228[[#This Row],[كد تفصيلي]],'درجریان وصول'!A:A,0)),0)</f>
        <v>0</v>
      </c>
      <c r="E64" s="11">
        <f>IFERROR(INDEX('چکهای دریافتنی'!F:F,MATCH(Table228[[#This Row],[كد تفصيلي]],'چکهای دریافتنی'!A:A,0)),0)</f>
        <v>0</v>
      </c>
      <c r="F64" s="11">
        <f>Table228[[#This Row],[حسابهای دریافتنی]]+Table228[[#This Row],[چکهای در جریان وصول]]+Table228[[#This Row],[چکهای نزد صندوق]]</f>
        <v>3272000</v>
      </c>
      <c r="G64" s="12">
        <f>IFERROR(INDEX('مانده سوفاله'!F:F,MATCH(Table228[[#This Row],[كد تفصيلي]],'مانده سوفاله'!A:A,0)),0)</f>
        <v>-222</v>
      </c>
    </row>
    <row r="65" spans="1:7" ht="26.25" customHeight="1" x14ac:dyDescent="0.35">
      <c r="A65" s="26">
        <v>30178</v>
      </c>
      <c r="B65" s="56" t="s">
        <v>335</v>
      </c>
      <c r="C65" s="10">
        <f>IFERROR(INDEX('حسابهای دریافتنی'!H:H,MATCH(Table228[[#This Row],[كد تفصيلي]],'حسابهای دریافتنی'!A:A,0)),0)</f>
        <v>3040000</v>
      </c>
      <c r="D65" s="11">
        <f>IFERROR(INDEX('درجریان وصول'!F:F,MATCH(Table228[[#This Row],[كد تفصيلي]],'درجریان وصول'!A:A,0)),0)</f>
        <v>0</v>
      </c>
      <c r="E65" s="11">
        <f>IFERROR(INDEX('چکهای دریافتنی'!F:F,MATCH(Table228[[#This Row],[كد تفصيلي]],'چکهای دریافتنی'!A:A,0)),0)</f>
        <v>0</v>
      </c>
      <c r="F65" s="11">
        <f>Table228[[#This Row],[حسابهای دریافتنی]]+Table228[[#This Row],[چکهای در جریان وصول]]+Table228[[#This Row],[چکهای نزد صندوق]]</f>
        <v>3040000</v>
      </c>
      <c r="G65" s="12">
        <f>IFERROR(INDEX('مانده سوفاله'!F:F,MATCH(Table228[[#This Row],[كد تفصيلي]],'مانده سوفاله'!A:A,0)),0)</f>
        <v>0</v>
      </c>
    </row>
    <row r="66" spans="1:7" ht="26.25" customHeight="1" x14ac:dyDescent="0.35">
      <c r="A66" s="27">
        <v>30020</v>
      </c>
      <c r="B66" s="55" t="s">
        <v>68</v>
      </c>
      <c r="C66" s="10">
        <f>IFERROR(INDEX('حسابهای دریافتنی'!H:H,MATCH(Table228[[#This Row],[كد تفصيلي]],'حسابهای دریافتنی'!A:A,0)),0)</f>
        <v>2253500</v>
      </c>
      <c r="D66" s="11">
        <f>IFERROR(INDEX('درجریان وصول'!F:F,MATCH(Table228[[#This Row],[كد تفصيلي]],'درجریان وصول'!A:A,0)),0)</f>
        <v>0</v>
      </c>
      <c r="E66" s="11">
        <f>IFERROR(INDEX('چکهای دریافتنی'!F:F,MATCH(Table228[[#This Row],[كد تفصيلي]],'چکهای دریافتنی'!A:A,0)),0)</f>
        <v>0</v>
      </c>
      <c r="F66" s="11">
        <f>Table228[[#This Row],[حسابهای دریافتنی]]+Table228[[#This Row],[چکهای در جریان وصول]]+Table228[[#This Row],[چکهای نزد صندوق]]</f>
        <v>2253500</v>
      </c>
      <c r="G66" s="12">
        <f>IFERROR(INDEX('مانده سوفاله'!F:F,MATCH(Table228[[#This Row],[كد تفصيلي]],'مانده سوفاله'!A:A,0)),0)</f>
        <v>4</v>
      </c>
    </row>
    <row r="67" spans="1:7" ht="26.25" customHeight="1" x14ac:dyDescent="0.35">
      <c r="A67" s="27">
        <v>10084</v>
      </c>
      <c r="B67" s="55" t="s">
        <v>217</v>
      </c>
      <c r="C67" s="10">
        <f>IFERROR(INDEX('حسابهای دریافتنی'!H:H,MATCH(Table228[[#This Row],[كد تفصيلي]],'حسابهای دریافتنی'!A:A,0)),0)</f>
        <v>358092810</v>
      </c>
      <c r="D67" s="11">
        <f>IFERROR(INDEX('درجریان وصول'!F:F,MATCH(Table228[[#This Row],[كد تفصيلي]],'درجریان وصول'!A:A,0)),0)</f>
        <v>0</v>
      </c>
      <c r="E67" s="11">
        <f>IFERROR(INDEX('چکهای دریافتنی'!F:F,MATCH(Table228[[#This Row],[كد تفصيلي]],'چکهای دریافتنی'!A:A,0)),0)</f>
        <v>870000000</v>
      </c>
      <c r="F67" s="11">
        <f>Table228[[#This Row],[حسابهای دریافتنی]]+Table228[[#This Row],[چکهای در جریان وصول]]+Table228[[#This Row],[چکهای نزد صندوق]]</f>
        <v>1228092810</v>
      </c>
      <c r="G67" s="12">
        <f>IFERROR(INDEX('مانده سوفاله'!F:F,MATCH(Table228[[#This Row],[كد تفصيلي]],'مانده سوفاله'!A:A,0)),0)</f>
        <v>-1656</v>
      </c>
    </row>
    <row r="68" spans="1:7" ht="26.25" customHeight="1" x14ac:dyDescent="0.35">
      <c r="A68" s="26">
        <v>30084</v>
      </c>
      <c r="B68" s="56" t="s">
        <v>129</v>
      </c>
      <c r="C68" s="10">
        <f>IFERROR(INDEX('حسابهای دریافتنی'!H:H,MATCH(Table228[[#This Row],[كد تفصيلي]],'حسابهای دریافتنی'!A:A,0)),0)</f>
        <v>1220000</v>
      </c>
      <c r="D68" s="11">
        <f>IFERROR(INDEX('درجریان وصول'!F:F,MATCH(Table228[[#This Row],[كد تفصيلي]],'درجریان وصول'!A:A,0)),0)</f>
        <v>0</v>
      </c>
      <c r="E68" s="11">
        <f>IFERROR(INDEX('چکهای دریافتنی'!F:F,MATCH(Table228[[#This Row],[كد تفصيلي]],'چکهای دریافتنی'!A:A,0)),0)</f>
        <v>0</v>
      </c>
      <c r="F68" s="11">
        <f>Table228[[#This Row],[حسابهای دریافتنی]]+Table228[[#This Row],[چکهای در جریان وصول]]+Table228[[#This Row],[چکهای نزد صندوق]]</f>
        <v>1220000</v>
      </c>
      <c r="G68" s="12">
        <f>IFERROR(INDEX('مانده سوفاله'!F:F,MATCH(Table228[[#This Row],[كد تفصيلي]],'مانده سوفاله'!A:A,0)),0)</f>
        <v>0</v>
      </c>
    </row>
    <row r="69" spans="1:7" ht="26.25" customHeight="1" x14ac:dyDescent="0.35">
      <c r="A69" s="27">
        <v>79055</v>
      </c>
      <c r="B69" s="55" t="s">
        <v>297</v>
      </c>
      <c r="C69" s="10">
        <f>IFERROR(INDEX('حسابهای دریافتنی'!H:H,MATCH(Table228[[#This Row],[كد تفصيلي]],'حسابهای دریافتنی'!A:A,0)),0)</f>
        <v>896500</v>
      </c>
      <c r="D69" s="11">
        <f>IFERROR(INDEX('درجریان وصول'!F:F,MATCH(Table228[[#This Row],[كد تفصيلي]],'درجریان وصول'!A:A,0)),0)</f>
        <v>0</v>
      </c>
      <c r="E69" s="11">
        <f>IFERROR(INDEX('چکهای دریافتنی'!F:F,MATCH(Table228[[#This Row],[كد تفصيلي]],'چکهای دریافتنی'!A:A,0)),0)</f>
        <v>0</v>
      </c>
      <c r="F69" s="11">
        <f>Table228[[#This Row],[حسابهای دریافتنی]]+Table228[[#This Row],[چکهای در جریان وصول]]+Table228[[#This Row],[چکهای نزد صندوق]]</f>
        <v>896500</v>
      </c>
      <c r="G69" s="12">
        <f>IFERROR(INDEX('مانده سوفاله'!F:F,MATCH(Table228[[#This Row],[كد تفصيلي]],'مانده سوفاله'!A:A,0)),0)</f>
        <v>0</v>
      </c>
    </row>
    <row r="70" spans="1:7" ht="26.25" customHeight="1" x14ac:dyDescent="0.35">
      <c r="A70" s="27">
        <v>30030</v>
      </c>
      <c r="B70" s="55" t="s">
        <v>77</v>
      </c>
      <c r="C70" s="10">
        <f>IFERROR(INDEX('حسابهای دریافتنی'!H:H,MATCH(Table228[[#This Row],[كد تفصيلي]],'حسابهای دریافتنی'!A:A,0)),0)</f>
        <v>850500</v>
      </c>
      <c r="D70" s="11">
        <f>IFERROR(INDEX('درجریان وصول'!F:F,MATCH(Table228[[#This Row],[كد تفصيلي]],'درجریان وصول'!A:A,0)),0)</f>
        <v>0</v>
      </c>
      <c r="E70" s="11">
        <f>IFERROR(INDEX('چکهای دریافتنی'!F:F,MATCH(Table228[[#This Row],[كد تفصيلي]],'چکهای دریافتنی'!A:A,0)),0)</f>
        <v>0</v>
      </c>
      <c r="F70" s="11">
        <f>Table228[[#This Row],[حسابهای دریافتنی]]+Table228[[#This Row],[چکهای در جریان وصول]]+Table228[[#This Row],[چکهای نزد صندوق]]</f>
        <v>850500</v>
      </c>
      <c r="G70" s="12">
        <f>IFERROR(INDEX('مانده سوفاله'!F:F,MATCH(Table228[[#This Row],[كد تفصيلي]],'مانده سوفاله'!A:A,0)),0)</f>
        <v>-49</v>
      </c>
    </row>
    <row r="71" spans="1:7" ht="26.25" customHeight="1" x14ac:dyDescent="0.35">
      <c r="A71" s="27">
        <v>30129</v>
      </c>
      <c r="B71" s="55" t="s">
        <v>178</v>
      </c>
      <c r="C71" s="10">
        <f>IFERROR(INDEX('حسابهای دریافتنی'!H:H,MATCH(Table228[[#This Row],[كد تفصيلي]],'حسابهای دریافتنی'!A:A,0)),0)</f>
        <v>783000</v>
      </c>
      <c r="D71" s="11">
        <f>IFERROR(INDEX('درجریان وصول'!F:F,MATCH(Table228[[#This Row],[كد تفصيلي]],'درجریان وصول'!A:A,0)),0)</f>
        <v>0</v>
      </c>
      <c r="E71" s="11">
        <f>IFERROR(INDEX('چکهای دریافتنی'!F:F,MATCH(Table228[[#This Row],[كد تفصيلي]],'چکهای دریافتنی'!A:A,0)),0)</f>
        <v>0</v>
      </c>
      <c r="F71" s="11">
        <f>Table228[[#This Row],[حسابهای دریافتنی]]+Table228[[#This Row],[چکهای در جریان وصول]]+Table228[[#This Row],[چکهای نزد صندوق]]</f>
        <v>783000</v>
      </c>
      <c r="G71" s="12">
        <f>IFERROR(INDEX('مانده سوفاله'!F:F,MATCH(Table228[[#This Row],[كد تفصيلي]],'مانده سوفاله'!A:A,0)),0)</f>
        <v>0</v>
      </c>
    </row>
    <row r="72" spans="1:7" ht="26.25" customHeight="1" x14ac:dyDescent="0.35">
      <c r="A72" s="26">
        <v>30090</v>
      </c>
      <c r="B72" s="56" t="s">
        <v>144</v>
      </c>
      <c r="C72" s="10">
        <f>IFERROR(INDEX('حسابهای دریافتنی'!H:H,MATCH(Table228[[#This Row],[كد تفصيلي]],'حسابهای دریافتنی'!A:A,0)),0)</f>
        <v>640100</v>
      </c>
      <c r="D72" s="11">
        <f>IFERROR(INDEX('درجریان وصول'!F:F,MATCH(Table228[[#This Row],[كد تفصيلي]],'درجریان وصول'!A:A,0)),0)</f>
        <v>0</v>
      </c>
      <c r="E72" s="11">
        <f>IFERROR(INDEX('چکهای دریافتنی'!F:F,MATCH(Table228[[#This Row],[كد تفصيلي]],'چکهای دریافتنی'!A:A,0)),0)</f>
        <v>0</v>
      </c>
      <c r="F72" s="11">
        <f>Table228[[#This Row],[حسابهای دریافتنی]]+Table228[[#This Row],[چکهای در جریان وصول]]+Table228[[#This Row],[چکهای نزد صندوق]]</f>
        <v>640100</v>
      </c>
      <c r="G72" s="12">
        <f>IFERROR(INDEX('مانده سوفاله'!F:F,MATCH(Table228[[#This Row],[كد تفصيلي]],'مانده سوفاله'!A:A,0)),0)</f>
        <v>0</v>
      </c>
    </row>
    <row r="73" spans="1:7" ht="26.25" customHeight="1" x14ac:dyDescent="0.35">
      <c r="A73" s="27">
        <v>30109</v>
      </c>
      <c r="B73" s="55" t="s">
        <v>165</v>
      </c>
      <c r="C73" s="10">
        <f>IFERROR(INDEX('حسابهای دریافتنی'!H:H,MATCH(Table228[[#This Row],[كد تفصيلي]],'حسابهای دریافتنی'!A:A,0)),0)</f>
        <v>607300</v>
      </c>
      <c r="D73" s="11">
        <f>IFERROR(INDEX('درجریان وصول'!F:F,MATCH(Table228[[#This Row],[كد تفصيلي]],'درجریان وصول'!A:A,0)),0)</f>
        <v>0</v>
      </c>
      <c r="E73" s="11">
        <f>IFERROR(INDEX('چکهای دریافتنی'!F:F,MATCH(Table228[[#This Row],[كد تفصيلي]],'چکهای دریافتنی'!A:A,0)),0)</f>
        <v>0</v>
      </c>
      <c r="F73" s="11">
        <f>Table228[[#This Row],[حسابهای دریافتنی]]+Table228[[#This Row],[چکهای در جریان وصول]]+Table228[[#This Row],[چکهای نزد صندوق]]</f>
        <v>607300</v>
      </c>
      <c r="G73" s="12">
        <f>IFERROR(INDEX('مانده سوفاله'!F:F,MATCH(Table228[[#This Row],[كد تفصيلي]],'مانده سوفاله'!A:A,0)),0)</f>
        <v>0</v>
      </c>
    </row>
    <row r="74" spans="1:7" ht="26.25" customHeight="1" x14ac:dyDescent="0.35">
      <c r="A74" s="27">
        <v>30010</v>
      </c>
      <c r="B74" s="55" t="s">
        <v>59</v>
      </c>
      <c r="C74" s="10">
        <f>IFERROR(INDEX('حسابهای دریافتنی'!H:H,MATCH(Table228[[#This Row],[كد تفصيلي]],'حسابهای دریافتنی'!A:A,0)),0)</f>
        <v>366215</v>
      </c>
      <c r="D74" s="11">
        <f>IFERROR(INDEX('درجریان وصول'!F:F,MATCH(Table228[[#This Row],[كد تفصيلي]],'درجریان وصول'!A:A,0)),0)</f>
        <v>0</v>
      </c>
      <c r="E74" s="11">
        <f>IFERROR(INDEX('چکهای دریافتنی'!F:F,MATCH(Table228[[#This Row],[كد تفصيلي]],'چکهای دریافتنی'!A:A,0)),0)</f>
        <v>0</v>
      </c>
      <c r="F74" s="11">
        <f>Table228[[#This Row],[حسابهای دریافتنی]]+Table228[[#This Row],[چکهای در جریان وصول]]+Table228[[#This Row],[چکهای نزد صندوق]]</f>
        <v>366215</v>
      </c>
      <c r="G74" s="12">
        <f>IFERROR(INDEX('مانده سوفاله'!F:F,MATCH(Table228[[#This Row],[كد تفصيلي]],'مانده سوفاله'!A:A,0)),0)</f>
        <v>8</v>
      </c>
    </row>
    <row r="75" spans="1:7" ht="26.25" customHeight="1" x14ac:dyDescent="0.35">
      <c r="A75" s="27">
        <v>30077</v>
      </c>
      <c r="B75" s="55" t="s">
        <v>122</v>
      </c>
      <c r="C75" s="10">
        <f>IFERROR(INDEX('حسابهای دریافتنی'!H:H,MATCH(Table228[[#This Row],[كد تفصيلي]],'حسابهای دریافتنی'!A:A,0)),0)</f>
        <v>360000</v>
      </c>
      <c r="D75" s="11">
        <f>IFERROR(INDEX('درجریان وصول'!F:F,MATCH(Table228[[#This Row],[كد تفصيلي]],'درجریان وصول'!A:A,0)),0)</f>
        <v>0</v>
      </c>
      <c r="E75" s="11">
        <f>IFERROR(INDEX('چکهای دریافتنی'!F:F,MATCH(Table228[[#This Row],[كد تفصيلي]],'چکهای دریافتنی'!A:A,0)),0)</f>
        <v>0</v>
      </c>
      <c r="F75" s="11">
        <f>Table228[[#This Row],[حسابهای دریافتنی]]+Table228[[#This Row],[چکهای در جریان وصول]]+Table228[[#This Row],[چکهای نزد صندوق]]</f>
        <v>360000</v>
      </c>
      <c r="G75" s="12">
        <f>IFERROR(INDEX('مانده سوفاله'!F:F,MATCH(Table228[[#This Row],[كد تفصيلي]],'مانده سوفاله'!A:A,0)),0)</f>
        <v>-32</v>
      </c>
    </row>
    <row r="76" spans="1:7" ht="26.25" customHeight="1" x14ac:dyDescent="0.35">
      <c r="A76" s="26">
        <v>30027</v>
      </c>
      <c r="B76" s="56" t="s">
        <v>75</v>
      </c>
      <c r="C76" s="10">
        <f>IFERROR(INDEX('حسابهای دریافتنی'!H:H,MATCH(Table228[[#This Row],[كد تفصيلي]],'حسابهای دریافتنی'!A:A,0)),0)</f>
        <v>326950</v>
      </c>
      <c r="D76" s="11">
        <f>IFERROR(INDEX('درجریان وصول'!F:F,MATCH(Table228[[#This Row],[كد تفصيلي]],'درجریان وصول'!A:A,0)),0)</f>
        <v>0</v>
      </c>
      <c r="E76" s="11">
        <f>IFERROR(INDEX('چکهای دریافتنی'!F:F,MATCH(Table228[[#This Row],[كد تفصيلي]],'چکهای دریافتنی'!A:A,0)),0)</f>
        <v>0</v>
      </c>
      <c r="F76" s="11">
        <f>Table228[[#This Row],[حسابهای دریافتنی]]+Table228[[#This Row],[چکهای در جریان وصول]]+Table228[[#This Row],[چکهای نزد صندوق]]</f>
        <v>326950</v>
      </c>
      <c r="G76" s="12">
        <f>IFERROR(INDEX('مانده سوفاله'!F:F,MATCH(Table228[[#This Row],[كد تفصيلي]],'مانده سوفاله'!A:A,0)),0)</f>
        <v>0</v>
      </c>
    </row>
    <row r="77" spans="1:7" ht="26.25" customHeight="1" x14ac:dyDescent="0.35">
      <c r="A77" s="27">
        <v>30135</v>
      </c>
      <c r="B77" s="55" t="s">
        <v>179</v>
      </c>
      <c r="C77" s="10">
        <f>IFERROR(INDEX('حسابهای دریافتنی'!H:H,MATCH(Table228[[#This Row],[كد تفصيلي]],'حسابهای دریافتنی'!A:A,0)),0)</f>
        <v>195000</v>
      </c>
      <c r="D77" s="11">
        <f>IFERROR(INDEX('درجریان وصول'!F:F,MATCH(Table228[[#This Row],[كد تفصيلي]],'درجریان وصول'!A:A,0)),0)</f>
        <v>0</v>
      </c>
      <c r="E77" s="11">
        <f>IFERROR(INDEX('چکهای دریافتنی'!F:F,MATCH(Table228[[#This Row],[كد تفصيلي]],'چکهای دریافتنی'!A:A,0)),0)</f>
        <v>0</v>
      </c>
      <c r="F77" s="11">
        <f>Table228[[#This Row],[حسابهای دریافتنی]]+Table228[[#This Row],[چکهای در جریان وصول]]+Table228[[#This Row],[چکهای نزد صندوق]]</f>
        <v>195000</v>
      </c>
      <c r="G77" s="12">
        <f>IFERROR(INDEX('مانده سوفاله'!F:F,MATCH(Table228[[#This Row],[كد تفصيلي]],'مانده سوفاله'!A:A,0)),0)</f>
        <v>-5</v>
      </c>
    </row>
    <row r="78" spans="1:7" ht="26.25" customHeight="1" x14ac:dyDescent="0.35">
      <c r="A78" s="27">
        <v>10088</v>
      </c>
      <c r="B78" s="55" t="s">
        <v>254</v>
      </c>
      <c r="C78" s="10">
        <f>IFERROR(INDEX('حسابهای دریافتنی'!H:H,MATCH(Table228[[#This Row],[كد تفصيلي]],'حسابهای دریافتنی'!A:A,0)),0)</f>
        <v>113500</v>
      </c>
      <c r="D78" s="11">
        <f>IFERROR(INDEX('درجریان وصول'!F:F,MATCH(Table228[[#This Row],[كد تفصيلي]],'درجریان وصول'!A:A,0)),0)</f>
        <v>0</v>
      </c>
      <c r="E78" s="11">
        <f>IFERROR(INDEX('چکهای دریافتنی'!F:F,MATCH(Table228[[#This Row],[كد تفصيلي]],'چکهای دریافتنی'!A:A,0)),0)</f>
        <v>0</v>
      </c>
      <c r="F78" s="11">
        <f>Table228[[#This Row],[حسابهای دریافتنی]]+Table228[[#This Row],[چکهای در جریان وصول]]+Table228[[#This Row],[چکهای نزد صندوق]]</f>
        <v>113500</v>
      </c>
      <c r="G78" s="12">
        <f>IFERROR(INDEX('مانده سوفاله'!F:F,MATCH(Table228[[#This Row],[كد تفصيلي]],'مانده سوفاله'!A:A,0)),0)</f>
        <v>0</v>
      </c>
    </row>
    <row r="79" spans="1:7" ht="26.25" customHeight="1" x14ac:dyDescent="0.35">
      <c r="A79" s="26">
        <v>10105</v>
      </c>
      <c r="B79" s="56" t="s">
        <v>294</v>
      </c>
      <c r="C79" s="10">
        <f>IFERROR(INDEX('حسابهای دریافتنی'!H:H,MATCH(Table228[[#This Row],[كد تفصيلي]],'حسابهای دریافتنی'!A:A,0)),0)</f>
        <v>7630000</v>
      </c>
      <c r="D79" s="11">
        <f>IFERROR(INDEX('درجریان وصول'!F:F,MATCH(Table228[[#This Row],[كد تفصيلي]],'درجریان وصول'!A:A,0)),0)</f>
        <v>0</v>
      </c>
      <c r="E79" s="11">
        <f>IFERROR(INDEX('چکهای دریافتنی'!F:F,MATCH(Table228[[#This Row],[كد تفصيلي]],'چکهای دریافتنی'!A:A,0)),0)</f>
        <v>0</v>
      </c>
      <c r="F79" s="11">
        <f>Table228[[#This Row],[حسابهای دریافتنی]]+Table228[[#This Row],[چکهای در جریان وصول]]+Table228[[#This Row],[چکهای نزد صندوق]]</f>
        <v>7630000</v>
      </c>
      <c r="G79" s="12">
        <f>IFERROR(INDEX('مانده سوفاله'!F:F,MATCH(Table228[[#This Row],[كد تفصيلي]],'مانده سوفاله'!A:A,0)),0)</f>
        <v>0</v>
      </c>
    </row>
    <row r="80" spans="1:7" ht="26.25" customHeight="1" x14ac:dyDescent="0.35">
      <c r="A80" s="26">
        <v>10091</v>
      </c>
      <c r="B80" s="56" t="s">
        <v>258</v>
      </c>
      <c r="C80" s="10">
        <f>IFERROR(INDEX('حسابهای دریافتنی'!H:H,MATCH(Table228[[#This Row],[كد تفصيلي]],'حسابهای دریافتنی'!A:A,0)),0)</f>
        <v>59321500</v>
      </c>
      <c r="D80" s="11">
        <f>IFERROR(INDEX('درجریان وصول'!F:F,MATCH(Table228[[#This Row],[كد تفصيلي]],'درجریان وصول'!A:A,0)),0)</f>
        <v>0</v>
      </c>
      <c r="E80" s="11">
        <f>IFERROR(INDEX('چکهای دریافتنی'!F:F,MATCH(Table228[[#This Row],[كد تفصيلي]],'چکهای دریافتنی'!A:A,0)),0)</f>
        <v>0</v>
      </c>
      <c r="F80" s="11">
        <f>Table228[[#This Row],[حسابهای دریافتنی]]+Table228[[#This Row],[چکهای در جریان وصول]]+Table228[[#This Row],[چکهای نزد صندوق]]</f>
        <v>59321500</v>
      </c>
      <c r="G80" s="12">
        <f>IFERROR(INDEX('مانده سوفاله'!F:F,MATCH(Table228[[#This Row],[كد تفصيلي]],'مانده سوفاله'!A:A,0)),0)</f>
        <v>0</v>
      </c>
    </row>
    <row r="81" spans="1:7" ht="26.25" customHeight="1" x14ac:dyDescent="0.35">
      <c r="A81" s="27">
        <v>10119</v>
      </c>
      <c r="B81" s="55" t="s">
        <v>333</v>
      </c>
      <c r="C81" s="10">
        <f>IFERROR(INDEX('حسابهای دریافتنی'!H:H,MATCH(Table228[[#This Row],[كد تفصيلي]],'حسابهای دریافتنی'!A:A,0)),0)</f>
        <v>-2592000</v>
      </c>
      <c r="D81" s="11">
        <f>IFERROR(INDEX('درجریان وصول'!F:F,MATCH(Table228[[#This Row],[كد تفصيلي]],'درجریان وصول'!A:A,0)),0)</f>
        <v>0</v>
      </c>
      <c r="E81" s="11">
        <f>IFERROR(INDEX('چکهای دریافتنی'!F:F,MATCH(Table228[[#This Row],[كد تفصيلي]],'چکهای دریافتنی'!A:A,0)),0)</f>
        <v>0</v>
      </c>
      <c r="F81" s="11">
        <f>Table228[[#This Row],[حسابهای دریافتنی]]+Table228[[#This Row],[چکهای در جریان وصول]]+Table228[[#This Row],[چکهای نزد صندوق]]</f>
        <v>-2592000</v>
      </c>
      <c r="G81" s="12">
        <f>IFERROR(INDEX('مانده سوفاله'!F:F,MATCH(Table228[[#This Row],[كد تفصيلي]],'مانده سوفاله'!A:A,0)),0)</f>
        <v>353</v>
      </c>
    </row>
    <row r="82" spans="1:7" ht="26.25" customHeight="1" x14ac:dyDescent="0.35">
      <c r="A82" s="26">
        <v>10065</v>
      </c>
      <c r="B82" s="56" t="s">
        <v>228</v>
      </c>
      <c r="C82" s="10">
        <f>IFERROR(INDEX('حسابهای دریافتنی'!H:H,MATCH(Table228[[#This Row],[كد تفصيلي]],'حسابهای دریافتنی'!A:A,0)),0)</f>
        <v>0</v>
      </c>
      <c r="D82" s="11">
        <f>IFERROR(INDEX('درجریان وصول'!F:F,MATCH(Table228[[#This Row],[كد تفصيلي]],'درجریان وصول'!A:A,0)),0)</f>
        <v>0</v>
      </c>
      <c r="E82" s="11">
        <f>IFERROR(INDEX('چکهای دریافتنی'!F:F,MATCH(Table228[[#This Row],[كد تفصيلي]],'چکهای دریافتنی'!A:A,0)),0)</f>
        <v>0</v>
      </c>
      <c r="F82" s="11">
        <f>Table228[[#This Row],[حسابهای دریافتنی]]+Table228[[#This Row],[چکهای در جریان وصول]]+Table228[[#This Row],[چکهای نزد صندوق]]</f>
        <v>0</v>
      </c>
      <c r="G82" s="12">
        <f>IFERROR(INDEX('مانده سوفاله'!F:F,MATCH(Table228[[#This Row],[كد تفصيلي]],'مانده سوفاله'!A:A,0)),0)</f>
        <v>127</v>
      </c>
    </row>
    <row r="83" spans="1:7" ht="26.25" customHeight="1" x14ac:dyDescent="0.35">
      <c r="A83" s="27">
        <v>10046</v>
      </c>
      <c r="B83" s="55" t="s">
        <v>51</v>
      </c>
      <c r="C83" s="10">
        <f>IFERROR(INDEX('حسابهای دریافتنی'!H:H,MATCH(Table228[[#This Row],[كد تفصيلي]],'حسابهای دریافتنی'!A:A,0)),0)</f>
        <v>0</v>
      </c>
      <c r="D83" s="11">
        <f>IFERROR(INDEX('درجریان وصول'!F:F,MATCH(Table228[[#This Row],[كد تفصيلي]],'درجریان وصول'!A:A,0)),0)</f>
        <v>0</v>
      </c>
      <c r="E83" s="11">
        <f>IFERROR(INDEX('چکهای دریافتنی'!F:F,MATCH(Table228[[#This Row],[كد تفصيلي]],'چکهای دریافتنی'!A:A,0)),0)</f>
        <v>0</v>
      </c>
      <c r="F83" s="11">
        <f>Table228[[#This Row],[حسابهای دریافتنی]]+Table228[[#This Row],[چکهای در جریان وصول]]+Table228[[#This Row],[چکهای نزد صندوق]]</f>
        <v>0</v>
      </c>
      <c r="G83" s="12">
        <f>IFERROR(INDEX('مانده سوفاله'!F:F,MATCH(Table228[[#This Row],[كد تفصيلي]],'مانده سوفاله'!A:A,0)),0)</f>
        <v>118</v>
      </c>
    </row>
    <row r="84" spans="1:7" ht="26.25" customHeight="1" x14ac:dyDescent="0.35">
      <c r="A84" s="27">
        <v>30055</v>
      </c>
      <c r="B84" s="55" t="s">
        <v>100</v>
      </c>
      <c r="C84" s="10">
        <f>IFERROR(INDEX('حسابهای دریافتنی'!H:H,MATCH(Table228[[#This Row],[كد تفصيلي]],'حسابهای دریافتنی'!A:A,0)),0)</f>
        <v>0</v>
      </c>
      <c r="D84" s="11">
        <f>IFERROR(INDEX('درجریان وصول'!F:F,MATCH(Table228[[#This Row],[كد تفصيلي]],'درجریان وصول'!A:A,0)),0)</f>
        <v>0</v>
      </c>
      <c r="E84" s="11">
        <f>IFERROR(INDEX('چکهای دریافتنی'!F:F,MATCH(Table228[[#This Row],[كد تفصيلي]],'چکهای دریافتنی'!A:A,0)),0)</f>
        <v>0</v>
      </c>
      <c r="F84" s="11">
        <f>Table228[[#This Row],[حسابهای دریافتنی]]+Table228[[#This Row],[چکهای در جریان وصول]]+Table228[[#This Row],[چکهای نزد صندوق]]</f>
        <v>0</v>
      </c>
      <c r="G84" s="12">
        <f>IFERROR(INDEX('مانده سوفاله'!F:F,MATCH(Table228[[#This Row],[كد تفصيلي]],'مانده سوفاله'!A:A,0)),0)</f>
        <v>48</v>
      </c>
    </row>
    <row r="85" spans="1:7" ht="26.25" customHeight="1" x14ac:dyDescent="0.35">
      <c r="A85" s="27">
        <v>30065</v>
      </c>
      <c r="B85" s="55" t="s">
        <v>110</v>
      </c>
      <c r="C85" s="10">
        <f>IFERROR(INDEX('حسابهای دریافتنی'!H:H,MATCH(Table228[[#This Row],[كد تفصيلي]],'حسابهای دریافتنی'!A:A,0)),0)</f>
        <v>0</v>
      </c>
      <c r="D85" s="11">
        <f>IFERROR(INDEX('درجریان وصول'!F:F,MATCH(Table228[[#This Row],[كد تفصيلي]],'درجریان وصول'!A:A,0)),0)</f>
        <v>0</v>
      </c>
      <c r="E85" s="11">
        <f>IFERROR(INDEX('چکهای دریافتنی'!F:F,MATCH(Table228[[#This Row],[كد تفصيلي]],'چکهای دریافتنی'!A:A,0)),0)</f>
        <v>0</v>
      </c>
      <c r="F85" s="11">
        <f>Table228[[#This Row],[حسابهای دریافتنی]]+Table228[[#This Row],[چکهای در جریان وصول]]+Table228[[#This Row],[چکهای نزد صندوق]]</f>
        <v>0</v>
      </c>
      <c r="G85" s="12">
        <f>IFERROR(INDEX('مانده سوفاله'!F:F,MATCH(Table228[[#This Row],[كد تفصيلي]],'مانده سوفاله'!A:A,0)),0)</f>
        <v>33</v>
      </c>
    </row>
    <row r="86" spans="1:7" ht="26.25" customHeight="1" x14ac:dyDescent="0.35">
      <c r="A86" s="27">
        <v>10014</v>
      </c>
      <c r="B86" s="55" t="s">
        <v>21</v>
      </c>
      <c r="C86" s="10">
        <f>IFERROR(INDEX('حسابهای دریافتنی'!H:H,MATCH(Table228[[#This Row],[كد تفصيلي]],'حسابهای دریافتنی'!A:A,0)),0)</f>
        <v>0</v>
      </c>
      <c r="D86" s="11">
        <f>IFERROR(INDEX('درجریان وصول'!F:F,MATCH(Table228[[#This Row],[كد تفصيلي]],'درجریان وصول'!A:A,0)),0)</f>
        <v>0</v>
      </c>
      <c r="E86" s="11">
        <f>IFERROR(INDEX('چکهای دریافتنی'!F:F,MATCH(Table228[[#This Row],[كد تفصيلي]],'چکهای دریافتنی'!A:A,0)),0)</f>
        <v>0</v>
      </c>
      <c r="F86" s="11">
        <f>Table228[[#This Row],[حسابهای دریافتنی]]+Table228[[#This Row],[چکهای در جریان وصول]]+Table228[[#This Row],[چکهای نزد صندوق]]</f>
        <v>0</v>
      </c>
      <c r="G86" s="12">
        <f>IFERROR(INDEX('مانده سوفاله'!F:F,MATCH(Table228[[#This Row],[كد تفصيلي]],'مانده سوفاله'!A:A,0)),0)</f>
        <v>21</v>
      </c>
    </row>
    <row r="87" spans="1:7" ht="26.25" customHeight="1" x14ac:dyDescent="0.35">
      <c r="A87" s="26">
        <v>30142</v>
      </c>
      <c r="B87" s="56" t="s">
        <v>263</v>
      </c>
      <c r="C87" s="10">
        <f>IFERROR(INDEX('حسابهای دریافتنی'!H:H,MATCH(Table228[[#This Row],[كد تفصيلي]],'حسابهای دریافتنی'!A:A,0)),0)</f>
        <v>0</v>
      </c>
      <c r="D87" s="11">
        <f>IFERROR(INDEX('درجریان وصول'!F:F,MATCH(Table228[[#This Row],[كد تفصيلي]],'درجریان وصول'!A:A,0)),0)</f>
        <v>0</v>
      </c>
      <c r="E87" s="11">
        <f>IFERROR(INDEX('چکهای دریافتنی'!F:F,MATCH(Table228[[#This Row],[كد تفصيلي]],'چکهای دریافتنی'!A:A,0)),0)</f>
        <v>0</v>
      </c>
      <c r="F87" s="11">
        <f>Table228[[#This Row],[حسابهای دریافتنی]]+Table228[[#This Row],[چکهای در جریان وصول]]+Table228[[#This Row],[چکهای نزد صندوق]]</f>
        <v>0</v>
      </c>
      <c r="G87" s="12">
        <f>IFERROR(INDEX('مانده سوفاله'!F:F,MATCH(Table228[[#This Row],[كد تفصيلي]],'مانده سوفاله'!A:A,0)),0)</f>
        <v>13</v>
      </c>
    </row>
    <row r="88" spans="1:7" ht="26.25" customHeight="1" x14ac:dyDescent="0.35">
      <c r="A88" s="27">
        <v>10010</v>
      </c>
      <c r="B88" s="55" t="s">
        <v>17</v>
      </c>
      <c r="C88" s="10">
        <f>IFERROR(INDEX('حسابهای دریافتنی'!H:H,MATCH(Table228[[#This Row],[كد تفصيلي]],'حسابهای دریافتنی'!A:A,0)),0)</f>
        <v>0</v>
      </c>
      <c r="D88" s="11">
        <f>IFERROR(INDEX('درجریان وصول'!F:F,MATCH(Table228[[#This Row],[كد تفصيلي]],'درجریان وصول'!A:A,0)),0)</f>
        <v>0</v>
      </c>
      <c r="E88" s="11">
        <f>IFERROR(INDEX('چکهای دریافتنی'!F:F,MATCH(Table228[[#This Row],[كد تفصيلي]],'چکهای دریافتنی'!A:A,0)),0)</f>
        <v>0</v>
      </c>
      <c r="F88" s="11">
        <f>Table228[[#This Row],[حسابهای دریافتنی]]+Table228[[#This Row],[چکهای در جریان وصول]]+Table228[[#This Row],[چکهای نزد صندوق]]</f>
        <v>0</v>
      </c>
      <c r="G88" s="12">
        <f>IFERROR(INDEX('مانده سوفاله'!F:F,MATCH(Table228[[#This Row],[كد تفصيلي]],'مانده سوفاله'!A:A,0)),0)</f>
        <v>8</v>
      </c>
    </row>
    <row r="89" spans="1:7" ht="26.25" customHeight="1" x14ac:dyDescent="0.35">
      <c r="A89" s="26">
        <v>10023</v>
      </c>
      <c r="B89" s="56" t="s">
        <v>155</v>
      </c>
      <c r="C89" s="10">
        <f>IFERROR(INDEX('حسابهای دریافتنی'!H:H,MATCH(Table228[[#This Row],[كد تفصيلي]],'حسابهای دریافتنی'!A:A,0)),0)</f>
        <v>0</v>
      </c>
      <c r="D89" s="11">
        <f>IFERROR(INDEX('درجریان وصول'!F:F,MATCH(Table228[[#This Row],[كد تفصيلي]],'درجریان وصول'!A:A,0)),0)</f>
        <v>0</v>
      </c>
      <c r="E89" s="11">
        <f>IFERROR(INDEX('چکهای دریافتنی'!F:F,MATCH(Table228[[#This Row],[كد تفصيلي]],'چکهای دریافتنی'!A:A,0)),0)</f>
        <v>0</v>
      </c>
      <c r="F89" s="11">
        <f>Table228[[#This Row],[حسابهای دریافتنی]]+Table228[[#This Row],[چکهای در جریان وصول]]+Table228[[#This Row],[چکهای نزد صندوق]]</f>
        <v>0</v>
      </c>
      <c r="G89" s="12">
        <f>IFERROR(INDEX('مانده سوفاله'!F:F,MATCH(Table228[[#This Row],[كد تفصيلي]],'مانده سوفاله'!A:A,0)),0)</f>
        <v>6</v>
      </c>
    </row>
    <row r="90" spans="1:7" ht="26.25" customHeight="1" x14ac:dyDescent="0.35">
      <c r="A90" s="26">
        <v>10039</v>
      </c>
      <c r="B90" s="56" t="s">
        <v>45</v>
      </c>
      <c r="C90" s="10">
        <f>IFERROR(INDEX('حسابهای دریافتنی'!H:H,MATCH(Table228[[#This Row],[كد تفصيلي]],'حسابهای دریافتنی'!A:A,0)),0)</f>
        <v>0</v>
      </c>
      <c r="D90" s="11">
        <f>IFERROR(INDEX('درجریان وصول'!F:F,MATCH(Table228[[#This Row],[كد تفصيلي]],'درجریان وصول'!A:A,0)),0)</f>
        <v>0</v>
      </c>
      <c r="E90" s="11">
        <f>IFERROR(INDEX('چکهای دریافتنی'!F:F,MATCH(Table228[[#This Row],[كد تفصيلي]],'چکهای دریافتنی'!A:A,0)),0)</f>
        <v>0</v>
      </c>
      <c r="F90" s="11">
        <f>Table228[[#This Row],[حسابهای دریافتنی]]+Table228[[#This Row],[چکهای در جریان وصول]]+Table228[[#This Row],[چکهای نزد صندوق]]</f>
        <v>0</v>
      </c>
      <c r="G90" s="12">
        <f>IFERROR(INDEX('مانده سوفاله'!F:F,MATCH(Table228[[#This Row],[كد تفصيلي]],'مانده سوفاله'!A:A,0)),0)</f>
        <v>4</v>
      </c>
    </row>
    <row r="91" spans="1:7" ht="26.25" customHeight="1" x14ac:dyDescent="0.35">
      <c r="A91" s="27">
        <v>30071</v>
      </c>
      <c r="B91" s="55" t="s">
        <v>116</v>
      </c>
      <c r="C91" s="10">
        <f>IFERROR(INDEX('حسابهای دریافتنی'!H:H,MATCH(Table228[[#This Row],[كد تفصيلي]],'حسابهای دریافتنی'!A:A,0)),0)</f>
        <v>0</v>
      </c>
      <c r="D91" s="11">
        <f>IFERROR(INDEX('درجریان وصول'!F:F,MATCH(Table228[[#This Row],[كد تفصيلي]],'درجریان وصول'!A:A,0)),0)</f>
        <v>0</v>
      </c>
      <c r="E91" s="11">
        <f>IFERROR(INDEX('چکهای دریافتنی'!F:F,MATCH(Table228[[#This Row],[كد تفصيلي]],'چکهای دریافتنی'!A:A,0)),0)</f>
        <v>0</v>
      </c>
      <c r="F91" s="11">
        <f>Table228[[#This Row],[حسابهای دریافتنی]]+Table228[[#This Row],[چکهای در جریان وصول]]+Table228[[#This Row],[چکهای نزد صندوق]]</f>
        <v>0</v>
      </c>
      <c r="G91" s="12">
        <f>IFERROR(INDEX('مانده سوفاله'!F:F,MATCH(Table228[[#This Row],[كد تفصيلي]],'مانده سوفاله'!A:A,0)),0)</f>
        <v>3</v>
      </c>
    </row>
    <row r="92" spans="1:7" ht="26.25" customHeight="1" x14ac:dyDescent="0.35">
      <c r="A92" s="26">
        <v>30062</v>
      </c>
      <c r="B92" s="56" t="s">
        <v>107</v>
      </c>
      <c r="C92" s="10">
        <f>IFERROR(INDEX('حسابهای دریافتنی'!H:H,MATCH(Table228[[#This Row],[كد تفصيلي]],'حسابهای دریافتنی'!A:A,0)),0)</f>
        <v>0</v>
      </c>
      <c r="D92" s="11">
        <f>IFERROR(INDEX('درجریان وصول'!F:F,MATCH(Table228[[#This Row],[كد تفصيلي]],'درجریان وصول'!A:A,0)),0)</f>
        <v>0</v>
      </c>
      <c r="E92" s="11">
        <f>IFERROR(INDEX('چکهای دریافتنی'!F:F,MATCH(Table228[[#This Row],[كد تفصيلي]],'چکهای دریافتنی'!A:A,0)),0)</f>
        <v>0</v>
      </c>
      <c r="F92" s="11">
        <f>Table228[[#This Row],[حسابهای دریافتنی]]+Table228[[#This Row],[چکهای در جریان وصول]]+Table228[[#This Row],[چکهای نزد صندوق]]</f>
        <v>0</v>
      </c>
      <c r="G92" s="12">
        <f>IFERROR(INDEX('مانده سوفاله'!F:F,MATCH(Table228[[#This Row],[كد تفصيلي]],'مانده سوفاله'!A:A,0)),0)</f>
        <v>1</v>
      </c>
    </row>
    <row r="93" spans="1:7" ht="26.25" customHeight="1" x14ac:dyDescent="0.35">
      <c r="A93" s="26">
        <v>30031</v>
      </c>
      <c r="B93" s="56" t="s">
        <v>78</v>
      </c>
      <c r="C93" s="10">
        <f>IFERROR(INDEX('حسابهای دریافتنی'!H:H,MATCH(Table228[[#This Row],[كد تفصيلي]],'حسابهای دریافتنی'!A:A,0)),0)</f>
        <v>0</v>
      </c>
      <c r="D93" s="11">
        <f>IFERROR(INDEX('درجریان وصول'!F:F,MATCH(Table228[[#This Row],[كد تفصيلي]],'درجریان وصول'!A:A,0)),0)</f>
        <v>0</v>
      </c>
      <c r="E93" s="11">
        <f>IFERROR(INDEX('چکهای دریافتنی'!F:F,MATCH(Table228[[#This Row],[كد تفصيلي]],'چکهای دریافتنی'!A:A,0)),0)</f>
        <v>0</v>
      </c>
      <c r="F93" s="11">
        <f>Table228[[#This Row],[حسابهای دریافتنی]]+Table228[[#This Row],[چکهای در جریان وصول]]+Table228[[#This Row],[چکهای نزد صندوق]]</f>
        <v>0</v>
      </c>
      <c r="G93" s="12">
        <f>IFERROR(INDEX('مانده سوفاله'!F:F,MATCH(Table228[[#This Row],[كد تفصيلي]],'مانده سوفاله'!A:A,0)),0)</f>
        <v>-1</v>
      </c>
    </row>
    <row r="94" spans="1:7" ht="26.25" customHeight="1" x14ac:dyDescent="0.35">
      <c r="A94" s="27">
        <v>10076</v>
      </c>
      <c r="B94" s="55" t="s">
        <v>182</v>
      </c>
      <c r="C94" s="10">
        <f>IFERROR(INDEX('حسابهای دریافتنی'!H:H,MATCH(Table228[[#This Row],[كد تفصيلي]],'حسابهای دریافتنی'!A:A,0)),0)</f>
        <v>0</v>
      </c>
      <c r="D94" s="11">
        <f>IFERROR(INDEX('درجریان وصول'!F:F,MATCH(Table228[[#This Row],[كد تفصيلي]],'درجریان وصول'!A:A,0)),0)</f>
        <v>0</v>
      </c>
      <c r="E94" s="11">
        <f>IFERROR(INDEX('چکهای دریافتنی'!F:F,MATCH(Table228[[#This Row],[كد تفصيلي]],'چکهای دریافتنی'!A:A,0)),0)</f>
        <v>0</v>
      </c>
      <c r="F94" s="11">
        <f>Table228[[#This Row],[حسابهای دریافتنی]]+Table228[[#This Row],[چکهای در جریان وصول]]+Table228[[#This Row],[چکهای نزد صندوق]]</f>
        <v>0</v>
      </c>
      <c r="G94" s="12">
        <f>IFERROR(INDEX('مانده سوفاله'!F:F,MATCH(Table228[[#This Row],[كد تفصيلي]],'مانده سوفاله'!A:A,0)),0)</f>
        <v>-13</v>
      </c>
    </row>
    <row r="95" spans="1:7" ht="26.25" customHeight="1" x14ac:dyDescent="0.35">
      <c r="A95" s="26">
        <v>30118</v>
      </c>
      <c r="B95" s="56" t="s">
        <v>205</v>
      </c>
      <c r="C95" s="10">
        <f>IFERROR(INDEX('حسابهای دریافتنی'!H:H,MATCH(Table228[[#This Row],[كد تفصيلي]],'حسابهای دریافتنی'!A:A,0)),0)</f>
        <v>0</v>
      </c>
      <c r="D95" s="11">
        <f>IFERROR(INDEX('درجریان وصول'!F:F,MATCH(Table228[[#This Row],[كد تفصيلي]],'درجریان وصول'!A:A,0)),0)</f>
        <v>0</v>
      </c>
      <c r="E95" s="11">
        <f>IFERROR(INDEX('چکهای دریافتنی'!F:F,MATCH(Table228[[#This Row],[كد تفصيلي]],'چکهای دریافتنی'!A:A,0)),0)</f>
        <v>0</v>
      </c>
      <c r="F95" s="11">
        <f>Table228[[#This Row],[حسابهای دریافتنی]]+Table228[[#This Row],[چکهای در جریان وصول]]+Table228[[#This Row],[چکهای نزد صندوق]]</f>
        <v>0</v>
      </c>
      <c r="G95" s="12">
        <f>IFERROR(INDEX('مانده سوفاله'!F:F,MATCH(Table228[[#This Row],[كد تفصيلي]],'مانده سوفاله'!A:A,0)),0)</f>
        <v>-20</v>
      </c>
    </row>
    <row r="96" spans="1:7" ht="26.25" customHeight="1" x14ac:dyDescent="0.35">
      <c r="A96" s="27">
        <v>30141</v>
      </c>
      <c r="B96" s="55" t="s">
        <v>261</v>
      </c>
      <c r="C96" s="10">
        <f>IFERROR(INDEX('حسابهای دریافتنی'!H:H,MATCH(Table228[[#This Row],[كد تفصيلي]],'حسابهای دریافتنی'!A:A,0)),0)</f>
        <v>0</v>
      </c>
      <c r="D96" s="11">
        <f>IFERROR(INDEX('درجریان وصول'!F:F,MATCH(Table228[[#This Row],[كد تفصيلي]],'درجریان وصول'!A:A,0)),0)</f>
        <v>0</v>
      </c>
      <c r="E96" s="11">
        <f>IFERROR(INDEX('چکهای دریافتنی'!F:F,MATCH(Table228[[#This Row],[كد تفصيلي]],'چکهای دریافتنی'!A:A,0)),0)</f>
        <v>0</v>
      </c>
      <c r="F96" s="11">
        <f>Table228[[#This Row],[حسابهای دریافتنی]]+Table228[[#This Row],[چکهای در جریان وصول]]+Table228[[#This Row],[چکهای نزد صندوق]]</f>
        <v>0</v>
      </c>
      <c r="G96" s="12">
        <f>IFERROR(INDEX('مانده سوفاله'!F:F,MATCH(Table228[[#This Row],[كد تفصيلي]],'مانده سوفاله'!A:A,0)),0)</f>
        <v>-42</v>
      </c>
    </row>
    <row r="97" spans="1:7" ht="26.25" customHeight="1" x14ac:dyDescent="0.35">
      <c r="A97" s="27">
        <v>30097</v>
      </c>
      <c r="B97" s="55" t="s">
        <v>188</v>
      </c>
      <c r="C97" s="10">
        <f>IFERROR(INDEX('حسابهای دریافتنی'!H:H,MATCH(Table228[[#This Row],[كد تفصيلي]],'حسابهای دریافتنی'!A:A,0)),0)</f>
        <v>0</v>
      </c>
      <c r="D97" s="11">
        <f>IFERROR(INDEX('درجریان وصول'!F:F,MATCH(Table228[[#This Row],[كد تفصيلي]],'درجریان وصول'!A:A,0)),0)</f>
        <v>0</v>
      </c>
      <c r="E97" s="11">
        <f>IFERROR(INDEX('چکهای دریافتنی'!F:F,MATCH(Table228[[#This Row],[كد تفصيلي]],'چکهای دریافتنی'!A:A,0)),0)</f>
        <v>0</v>
      </c>
      <c r="F97" s="11">
        <f>Table228[[#This Row],[حسابهای دریافتنی]]+Table228[[#This Row],[چکهای در جریان وصول]]+Table228[[#This Row],[چکهای نزد صندوق]]</f>
        <v>0</v>
      </c>
      <c r="G97" s="12">
        <f>IFERROR(INDEX('مانده سوفاله'!F:F,MATCH(Table228[[#This Row],[كد تفصيلي]],'مانده سوفاله'!A:A,0)),0)</f>
        <v>-82</v>
      </c>
    </row>
    <row r="98" spans="1:7" ht="26.25" customHeight="1" x14ac:dyDescent="0.35">
      <c r="A98" s="27">
        <v>30079</v>
      </c>
      <c r="B98" s="55" t="s">
        <v>124</v>
      </c>
      <c r="C98" s="10">
        <f>IFERROR(INDEX('حسابهای دریافتنی'!H:H,MATCH(Table228[[#This Row],[كد تفصيلي]],'حسابهای دریافتنی'!A:A,0)),0)</f>
        <v>0</v>
      </c>
      <c r="D98" s="11">
        <f>IFERROR(INDEX('درجریان وصول'!F:F,MATCH(Table228[[#This Row],[كد تفصيلي]],'درجریان وصول'!A:A,0)),0)</f>
        <v>0</v>
      </c>
      <c r="E98" s="11">
        <f>IFERROR(INDEX('چکهای دریافتنی'!F:F,MATCH(Table228[[#This Row],[كد تفصيلي]],'چکهای دریافتنی'!A:A,0)),0)</f>
        <v>0</v>
      </c>
      <c r="F98" s="11">
        <f>Table228[[#This Row],[حسابهای دریافتنی]]+Table228[[#This Row],[چکهای در جریان وصول]]+Table228[[#This Row],[چکهای نزد صندوق]]</f>
        <v>0</v>
      </c>
      <c r="G98" s="12">
        <f>IFERROR(INDEX('مانده سوفاله'!F:F,MATCH(Table228[[#This Row],[كد تفصيلي]],'مانده سوفاله'!A:A,0)),0)</f>
        <v>-85</v>
      </c>
    </row>
    <row r="99" spans="1:7" ht="26.25" customHeight="1" x14ac:dyDescent="0.35">
      <c r="A99" s="27">
        <v>79010</v>
      </c>
      <c r="B99" s="55" t="s">
        <v>176</v>
      </c>
      <c r="C99" s="10">
        <f>IFERROR(INDEX('حسابهای دریافتنی'!H:H,MATCH(Table228[[#This Row],[كد تفصيلي]],'حسابهای دریافتنی'!A:A,0)),0)</f>
        <v>0</v>
      </c>
      <c r="D99" s="11">
        <f>IFERROR(INDEX('درجریان وصول'!F:F,MATCH(Table228[[#This Row],[كد تفصيلي]],'درجریان وصول'!A:A,0)),0)</f>
        <v>0</v>
      </c>
      <c r="E99" s="11">
        <f>IFERROR(INDEX('چکهای دریافتنی'!F:F,MATCH(Table228[[#This Row],[كد تفصيلي]],'چکهای دریافتنی'!A:A,0)),0)</f>
        <v>0</v>
      </c>
      <c r="F99" s="11">
        <f>Table228[[#This Row],[حسابهای دریافتنی]]+Table228[[#This Row],[چکهای در جریان وصول]]+Table228[[#This Row],[چکهای نزد صندوق]]</f>
        <v>0</v>
      </c>
      <c r="G99" s="12">
        <f>IFERROR(INDEX('مانده سوفاله'!F:F,MATCH(Table228[[#This Row],[كد تفصيلي]],'مانده سوفاله'!A:A,0)),0)</f>
        <v>-110</v>
      </c>
    </row>
    <row r="100" spans="1:7" ht="26.25" customHeight="1" x14ac:dyDescent="0.35">
      <c r="A100" s="26">
        <v>30160</v>
      </c>
      <c r="B100" s="56" t="s">
        <v>296</v>
      </c>
      <c r="C100" s="10">
        <f>IFERROR(INDEX('حسابهای دریافتنی'!H:H,MATCH(Table228[[#This Row],[كد تفصيلي]],'حسابهای دریافتنی'!A:A,0)),0)</f>
        <v>0</v>
      </c>
      <c r="D100" s="11">
        <f>IFERROR(INDEX('درجریان وصول'!F:F,MATCH(Table228[[#This Row],[كد تفصيلي]],'درجریان وصول'!A:A,0)),0)</f>
        <v>0</v>
      </c>
      <c r="E100" s="11">
        <f>IFERROR(INDEX('چکهای دریافتنی'!F:F,MATCH(Table228[[#This Row],[كد تفصيلي]],'چکهای دریافتنی'!A:A,0)),0)</f>
        <v>0</v>
      </c>
      <c r="F100" s="11">
        <f>Table228[[#This Row],[حسابهای دریافتنی]]+Table228[[#This Row],[چکهای در جریان وصول]]+Table228[[#This Row],[چکهای نزد صندوق]]</f>
        <v>0</v>
      </c>
      <c r="G100" s="12">
        <f>IFERROR(INDEX('مانده سوفاله'!F:F,MATCH(Table228[[#This Row],[كد تفصيلي]],'مانده سوفاله'!A:A,0)),0)</f>
        <v>-425</v>
      </c>
    </row>
    <row r="101" spans="1:7" ht="26.25" customHeight="1" x14ac:dyDescent="0.35">
      <c r="A101" s="26">
        <v>30174</v>
      </c>
      <c r="B101" s="56" t="s">
        <v>327</v>
      </c>
      <c r="C101" s="10">
        <f>IFERROR(INDEX('حسابهای دریافتنی'!H:H,MATCH(Table228[[#This Row],[كد تفصيلي]],'حسابهای دریافتنی'!A:A,0)),0)</f>
        <v>-5000</v>
      </c>
      <c r="D101" s="11">
        <f>IFERROR(INDEX('درجریان وصول'!F:F,MATCH(Table228[[#This Row],[كد تفصيلي]],'درجریان وصول'!A:A,0)),0)</f>
        <v>0</v>
      </c>
      <c r="E101" s="11">
        <f>IFERROR(INDEX('چکهای دریافتنی'!F:F,MATCH(Table228[[#This Row],[كد تفصيلي]],'چکهای دریافتنی'!A:A,0)),0)</f>
        <v>0</v>
      </c>
      <c r="F101" s="11">
        <f>Table228[[#This Row],[حسابهای دریافتنی]]+Table228[[#This Row],[چکهای در جریان وصول]]+Table228[[#This Row],[چکهای نزد صندوق]]</f>
        <v>-5000</v>
      </c>
      <c r="G101" s="12">
        <f>IFERROR(INDEX('مانده سوفاله'!F:F,MATCH(Table228[[#This Row],[كد تفصيلي]],'مانده سوفاله'!A:A,0)),0)</f>
        <v>0</v>
      </c>
    </row>
    <row r="102" spans="1:7" ht="26.25" customHeight="1" x14ac:dyDescent="0.35">
      <c r="A102" s="26">
        <v>30195</v>
      </c>
      <c r="B102" s="56" t="s">
        <v>477</v>
      </c>
      <c r="C102" s="10">
        <f>IFERROR(INDEX('حسابهای دریافتنی'!H:H,MATCH(Table228[[#This Row],[كد تفصيلي]],'حسابهای دریافتنی'!A:A,0)),0)</f>
        <v>-1861000</v>
      </c>
      <c r="D102" s="11">
        <f>IFERROR(INDEX('درجریان وصول'!F:F,MATCH(Table228[[#This Row],[كد تفصيلي]],'درجریان وصول'!A:A,0)),0)</f>
        <v>0</v>
      </c>
      <c r="E102" s="11">
        <f>IFERROR(INDEX('چکهای دریافتنی'!F:F,MATCH(Table228[[#This Row],[كد تفصيلي]],'چکهای دریافتنی'!A:A,0)),0)</f>
        <v>0</v>
      </c>
      <c r="F102" s="11">
        <f>Table228[[#This Row],[حسابهای دریافتنی]]+Table228[[#This Row],[چکهای در جریان وصول]]+Table228[[#This Row],[چکهای نزد صندوق]]</f>
        <v>-1861000</v>
      </c>
      <c r="G102" s="12">
        <f>IFERROR(INDEX('مانده سوفاله'!F:F,MATCH(Table228[[#This Row],[كد تفصيلي]],'مانده سوفاله'!A:A,0)),0)</f>
        <v>0</v>
      </c>
    </row>
    <row r="103" spans="1:7" ht="26.25" customHeight="1" x14ac:dyDescent="0.35">
      <c r="A103" s="27">
        <v>30026</v>
      </c>
      <c r="B103" s="55" t="s">
        <v>74</v>
      </c>
      <c r="C103" s="10">
        <f>IFERROR(INDEX('حسابهای دریافتنی'!H:H,MATCH(Table228[[#This Row],[كد تفصيلي]],'حسابهای دریافتنی'!A:A,0)),0)</f>
        <v>5689439</v>
      </c>
      <c r="D103" s="11">
        <f>IFERROR(INDEX('درجریان وصول'!F:F,MATCH(Table228[[#This Row],[كد تفصيلي]],'درجریان وصول'!A:A,0)),0)</f>
        <v>0</v>
      </c>
      <c r="E103" s="11">
        <f>IFERROR(INDEX('چکهای دریافتنی'!F:F,MATCH(Table228[[#This Row],[كد تفصيلي]],'چکهای دریافتنی'!A:A,0)),0)</f>
        <v>0</v>
      </c>
      <c r="F103" s="11">
        <f>Table228[[#This Row],[حسابهای دریافتنی]]+Table228[[#This Row],[چکهای در جریان وصول]]+Table228[[#This Row],[چکهای نزد صندوق]]</f>
        <v>5689439</v>
      </c>
      <c r="G103" s="12">
        <f>IFERROR(INDEX('مانده سوفاله'!F:F,MATCH(Table228[[#This Row],[كد تفصيلي]],'مانده سوفاله'!A:A,0)),0)</f>
        <v>764</v>
      </c>
    </row>
    <row r="104" spans="1:7" ht="26.25" customHeight="1" x14ac:dyDescent="0.35">
      <c r="A104" s="26">
        <v>10128</v>
      </c>
      <c r="B104" s="56" t="s">
        <v>372</v>
      </c>
      <c r="C104" s="10">
        <f>IFERROR(INDEX('حسابهای دریافتنی'!H:H,MATCH(Table228[[#This Row],[كد تفصيلي]],'حسابهای دریافتنی'!A:A,0)),0)</f>
        <v>-45000</v>
      </c>
      <c r="D104" s="11">
        <f>IFERROR(INDEX('درجریان وصول'!F:F,MATCH(Table228[[#This Row],[كد تفصيلي]],'درجریان وصول'!A:A,0)),0)</f>
        <v>0</v>
      </c>
      <c r="E104" s="11">
        <f>IFERROR(INDEX('چکهای دریافتنی'!F:F,MATCH(Table228[[#This Row],[كد تفصيلي]],'چکهای دریافتنی'!A:A,0)),0)</f>
        <v>0</v>
      </c>
      <c r="F104" s="11">
        <f>Table228[[#This Row],[حسابهای دریافتنی]]+Table228[[#This Row],[چکهای در جریان وصول]]+Table228[[#This Row],[چکهای نزد صندوق]]</f>
        <v>-45000</v>
      </c>
      <c r="G104" s="12">
        <f>IFERROR(INDEX('مانده سوفاله'!F:F,MATCH(Table228[[#This Row],[كد تفصيلي]],'مانده سوفاله'!A:A,0)),0)</f>
        <v>6</v>
      </c>
    </row>
    <row r="105" spans="1:7" ht="26.25" customHeight="1" x14ac:dyDescent="0.35">
      <c r="A105" s="26">
        <v>30021</v>
      </c>
      <c r="B105" s="56" t="s">
        <v>69</v>
      </c>
      <c r="C105" s="10">
        <f>IFERROR(INDEX('حسابهای دریافتنی'!H:H,MATCH(Table228[[#This Row],[كد تفصيلي]],'حسابهای دریافتنی'!A:A,0)),0)</f>
        <v>-122000</v>
      </c>
      <c r="D105" s="11">
        <f>IFERROR(INDEX('درجریان وصول'!F:F,MATCH(Table228[[#This Row],[كد تفصيلي]],'درجریان وصول'!A:A,0)),0)</f>
        <v>0</v>
      </c>
      <c r="E105" s="11">
        <f>IFERROR(INDEX('چکهای دریافتنی'!F:F,MATCH(Table228[[#This Row],[كد تفصيلي]],'چکهای دریافتنی'!A:A,0)),0)</f>
        <v>0</v>
      </c>
      <c r="F105" s="11">
        <f>Table228[[#This Row],[حسابهای دریافتنی]]+Table228[[#This Row],[چکهای در جریان وصول]]+Table228[[#This Row],[چکهای نزد صندوق]]</f>
        <v>-122000</v>
      </c>
      <c r="G105" s="12">
        <f>IFERROR(INDEX('مانده سوفاله'!F:F,MATCH(Table228[[#This Row],[كد تفصيلي]],'مانده سوفاله'!A:A,0)),0)</f>
        <v>0</v>
      </c>
    </row>
    <row r="106" spans="1:7" ht="26.25" customHeight="1" x14ac:dyDescent="0.35">
      <c r="A106" s="27">
        <v>10066</v>
      </c>
      <c r="B106" s="55" t="s">
        <v>262</v>
      </c>
      <c r="C106" s="10">
        <f>IFERROR(INDEX('حسابهای دریافتنی'!H:H,MATCH(Table228[[#This Row],[كد تفصيلي]],'حسابهای دریافتنی'!A:A,0)),0)</f>
        <v>-191500</v>
      </c>
      <c r="D106" s="11">
        <f>IFERROR(INDEX('درجریان وصول'!F:F,MATCH(Table228[[#This Row],[كد تفصيلي]],'درجریان وصول'!A:A,0)),0)</f>
        <v>0</v>
      </c>
      <c r="E106" s="11">
        <f>IFERROR(INDEX('چکهای دریافتنی'!F:F,MATCH(Table228[[#This Row],[كد تفصيلي]],'چکهای دریافتنی'!A:A,0)),0)</f>
        <v>0</v>
      </c>
      <c r="F106" s="11">
        <f>Table228[[#This Row],[حسابهای دریافتنی]]+Table228[[#This Row],[چکهای در جریان وصول]]+Table228[[#This Row],[چکهای نزد صندوق]]</f>
        <v>-191500</v>
      </c>
      <c r="G106" s="12">
        <f>IFERROR(INDEX('مانده سوفاله'!F:F,MATCH(Table228[[#This Row],[كد تفصيلي]],'مانده سوفاله'!A:A,0)),0)</f>
        <v>2</v>
      </c>
    </row>
    <row r="107" spans="1:7" ht="26.25" customHeight="1" x14ac:dyDescent="0.35">
      <c r="A107" s="27">
        <v>30167</v>
      </c>
      <c r="B107" s="55" t="s">
        <v>311</v>
      </c>
      <c r="C107" s="10">
        <f>IFERROR(INDEX('حسابهای دریافتنی'!H:H,MATCH(Table228[[#This Row],[كد تفصيلي]],'حسابهای دریافتنی'!A:A,0)),0)</f>
        <v>-221000</v>
      </c>
      <c r="D107" s="11">
        <f>IFERROR(INDEX('درجریان وصول'!F:F,MATCH(Table228[[#This Row],[كد تفصيلي]],'درجریان وصول'!A:A,0)),0)</f>
        <v>0</v>
      </c>
      <c r="E107" s="11">
        <f>IFERROR(INDEX('چکهای دریافتنی'!F:F,MATCH(Table228[[#This Row],[كد تفصيلي]],'چکهای دریافتنی'!A:A,0)),0)</f>
        <v>0</v>
      </c>
      <c r="F107" s="11">
        <f>Table228[[#This Row],[حسابهای دریافتنی]]+Table228[[#This Row],[چکهای در جریان وصول]]+Table228[[#This Row],[چکهای نزد صندوق]]</f>
        <v>-221000</v>
      </c>
      <c r="G107" s="12">
        <f>IFERROR(INDEX('مانده سوفاله'!F:F,MATCH(Table228[[#This Row],[كد تفصيلي]],'مانده سوفاله'!A:A,0)),0)</f>
        <v>6</v>
      </c>
    </row>
    <row r="108" spans="1:7" ht="26.25" customHeight="1" x14ac:dyDescent="0.35">
      <c r="A108" s="26">
        <v>10077</v>
      </c>
      <c r="B108" s="56" t="s">
        <v>210</v>
      </c>
      <c r="C108" s="10">
        <f>IFERROR(INDEX('حسابهای دریافتنی'!H:H,MATCH(Table228[[#This Row],[كد تفصيلي]],'حسابهای دریافتنی'!A:A,0)),0)</f>
        <v>-238500</v>
      </c>
      <c r="D108" s="11">
        <f>IFERROR(INDEX('درجریان وصول'!F:F,MATCH(Table228[[#This Row],[كد تفصيلي]],'درجریان وصول'!A:A,0)),0)</f>
        <v>0</v>
      </c>
      <c r="E108" s="11">
        <f>IFERROR(INDEX('چکهای دریافتنی'!F:F,MATCH(Table228[[#This Row],[كد تفصيلي]],'چکهای دریافتنی'!A:A,0)),0)</f>
        <v>0</v>
      </c>
      <c r="F108" s="11">
        <f>Table228[[#This Row],[حسابهای دریافتنی]]+Table228[[#This Row],[چکهای در جریان وصول]]+Table228[[#This Row],[چکهای نزد صندوق]]</f>
        <v>-238500</v>
      </c>
      <c r="G108" s="12">
        <f>IFERROR(INDEX('مانده سوفاله'!F:F,MATCH(Table228[[#This Row],[كد تفصيلي]],'مانده سوفاله'!A:A,0)),0)</f>
        <v>0</v>
      </c>
    </row>
    <row r="109" spans="1:7" ht="26.25" customHeight="1" x14ac:dyDescent="0.35">
      <c r="A109" s="27">
        <v>10012</v>
      </c>
      <c r="B109" s="55" t="s">
        <v>19</v>
      </c>
      <c r="C109" s="10">
        <f>IFERROR(INDEX('حسابهای دریافتنی'!H:H,MATCH(Table228[[#This Row],[كد تفصيلي]],'حسابهای دریافتنی'!A:A,0)),0)</f>
        <v>-244000</v>
      </c>
      <c r="D109" s="11">
        <f>IFERROR(INDEX('درجریان وصول'!F:F,MATCH(Table228[[#This Row],[كد تفصيلي]],'درجریان وصول'!A:A,0)),0)</f>
        <v>0</v>
      </c>
      <c r="E109" s="11">
        <f>IFERROR(INDEX('چکهای دریافتنی'!F:F,MATCH(Table228[[#This Row],[كد تفصيلي]],'چکهای دریافتنی'!A:A,0)),0)</f>
        <v>0</v>
      </c>
      <c r="F109" s="11">
        <f>Table228[[#This Row],[حسابهای دریافتنی]]+Table228[[#This Row],[چکهای در جریان وصول]]+Table228[[#This Row],[چکهای نزد صندوق]]</f>
        <v>-244000</v>
      </c>
      <c r="G109" s="12">
        <f>IFERROR(INDEX('مانده سوفاله'!F:F,MATCH(Table228[[#This Row],[كد تفصيلي]],'مانده سوفاله'!A:A,0)),0)</f>
        <v>0</v>
      </c>
    </row>
    <row r="110" spans="1:7" ht="26.25" customHeight="1" x14ac:dyDescent="0.35">
      <c r="A110" s="26">
        <v>30088</v>
      </c>
      <c r="B110" s="56" t="s">
        <v>142</v>
      </c>
      <c r="C110" s="10">
        <f>IFERROR(INDEX('حسابهای دریافتنی'!H:H,MATCH(Table228[[#This Row],[كد تفصيلي]],'حسابهای دریافتنی'!A:A,0)),0)</f>
        <v>-252000</v>
      </c>
      <c r="D110" s="11">
        <f>IFERROR(INDEX('درجریان وصول'!F:F,MATCH(Table228[[#This Row],[كد تفصيلي]],'درجریان وصول'!A:A,0)),0)</f>
        <v>0</v>
      </c>
      <c r="E110" s="11">
        <f>IFERROR(INDEX('چکهای دریافتنی'!F:F,MATCH(Table228[[#This Row],[كد تفصيلي]],'چکهای دریافتنی'!A:A,0)),0)</f>
        <v>0</v>
      </c>
      <c r="F110" s="11">
        <f>Table228[[#This Row],[حسابهای دریافتنی]]+Table228[[#This Row],[چکهای در جریان وصول]]+Table228[[#This Row],[چکهای نزد صندوق]]</f>
        <v>-252000</v>
      </c>
      <c r="G110" s="12">
        <f>IFERROR(INDEX('مانده سوفاله'!F:F,MATCH(Table228[[#This Row],[كد تفصيلي]],'مانده سوفاله'!A:A,0)),0)</f>
        <v>0</v>
      </c>
    </row>
    <row r="111" spans="1:7" ht="26.25" customHeight="1" x14ac:dyDescent="0.35">
      <c r="A111" s="26">
        <v>10045</v>
      </c>
      <c r="B111" s="56" t="s">
        <v>50</v>
      </c>
      <c r="C111" s="10">
        <f>IFERROR(INDEX('حسابهای دریافتنی'!H:H,MATCH(Table228[[#This Row],[كد تفصيلي]],'حسابهای دریافتنی'!A:A,0)),0)</f>
        <v>-383000</v>
      </c>
      <c r="D111" s="11">
        <f>IFERROR(INDEX('درجریان وصول'!F:F,MATCH(Table228[[#This Row],[كد تفصيلي]],'درجریان وصول'!A:A,0)),0)</f>
        <v>0</v>
      </c>
      <c r="E111" s="11">
        <f>IFERROR(INDEX('چکهای دریافتنی'!F:F,MATCH(Table228[[#This Row],[كد تفصيلي]],'چکهای دریافتنی'!A:A,0)),0)</f>
        <v>0</v>
      </c>
      <c r="F111" s="11">
        <f>Table228[[#This Row],[حسابهای دریافتنی]]+Table228[[#This Row],[چکهای در جریان وصول]]+Table228[[#This Row],[چکهای نزد صندوق]]</f>
        <v>-383000</v>
      </c>
      <c r="G111" s="12">
        <f>IFERROR(INDEX('مانده سوفاله'!F:F,MATCH(Table228[[#This Row],[كد تفصيلي]],'مانده سوفاله'!A:A,0)),0)</f>
        <v>-30</v>
      </c>
    </row>
    <row r="112" spans="1:7" ht="26.25" customHeight="1" x14ac:dyDescent="0.35">
      <c r="A112" s="26">
        <v>30051</v>
      </c>
      <c r="B112" s="56" t="s">
        <v>98</v>
      </c>
      <c r="C112" s="10">
        <f>IFERROR(INDEX('حسابهای دریافتنی'!H:H,MATCH(Table228[[#This Row],[كد تفصيلي]],'حسابهای دریافتنی'!A:A,0)),0)</f>
        <v>-384000</v>
      </c>
      <c r="D112" s="11">
        <f>IFERROR(INDEX('درجریان وصول'!F:F,MATCH(Table228[[#This Row],[كد تفصيلي]],'درجریان وصول'!A:A,0)),0)</f>
        <v>0</v>
      </c>
      <c r="E112" s="11">
        <f>IFERROR(INDEX('چکهای دریافتنی'!F:F,MATCH(Table228[[#This Row],[كد تفصيلي]],'چکهای دریافتنی'!A:A,0)),0)</f>
        <v>0</v>
      </c>
      <c r="F112" s="11">
        <f>Table228[[#This Row],[حسابهای دریافتنی]]+Table228[[#This Row],[چکهای در جریان وصول]]+Table228[[#This Row],[چکهای نزد صندوق]]</f>
        <v>-384000</v>
      </c>
      <c r="G112" s="12">
        <f>IFERROR(INDEX('مانده سوفاله'!F:F,MATCH(Table228[[#This Row],[كد تفصيلي]],'مانده سوفاله'!A:A,0)),0)</f>
        <v>0</v>
      </c>
    </row>
    <row r="113" spans="1:7" ht="26.25" customHeight="1" x14ac:dyDescent="0.35">
      <c r="A113" s="27">
        <v>10048</v>
      </c>
      <c r="B113" s="55" t="s">
        <v>191</v>
      </c>
      <c r="C113" s="10">
        <f>IFERROR(INDEX('حسابهای دریافتنی'!H:H,MATCH(Table228[[#This Row],[كد تفصيلي]],'حسابهای دریافتنی'!A:A,0)),0)</f>
        <v>0</v>
      </c>
      <c r="D113" s="11">
        <f>IFERROR(INDEX('درجریان وصول'!F:F,MATCH(Table228[[#This Row],[كد تفصيلي]],'درجریان وصول'!A:A,0)),0)</f>
        <v>0</v>
      </c>
      <c r="E113" s="11">
        <f>IFERROR(INDEX('چکهای دریافتنی'!F:F,MATCH(Table228[[#This Row],[كد تفصيلي]],'چکهای دریافتنی'!A:A,0)),0)</f>
        <v>0</v>
      </c>
      <c r="F113" s="11">
        <f>Table228[[#This Row],[حسابهای دریافتنی]]+Table228[[#This Row],[چکهای در جریان وصول]]+Table228[[#This Row],[چکهای نزد صندوق]]</f>
        <v>0</v>
      </c>
      <c r="G113" s="12">
        <f>IFERROR(INDEX('مانده سوفاله'!F:F,MATCH(Table228[[#This Row],[كد تفصيلي]],'مانده سوفاله'!A:A,0)),0)</f>
        <v>-1097</v>
      </c>
    </row>
    <row r="114" spans="1:7" ht="26.25" customHeight="1" x14ac:dyDescent="0.35">
      <c r="A114" s="27">
        <v>30044</v>
      </c>
      <c r="B114" s="55" t="s">
        <v>91</v>
      </c>
      <c r="C114" s="10">
        <f>IFERROR(INDEX('حسابهای دریافتنی'!H:H,MATCH(Table228[[#This Row],[كد تفصيلي]],'حسابهای دریافتنی'!A:A,0)),0)</f>
        <v>-492500</v>
      </c>
      <c r="D114" s="11">
        <f>IFERROR(INDEX('درجریان وصول'!F:F,MATCH(Table228[[#This Row],[كد تفصيلي]],'درجریان وصول'!A:A,0)),0)</f>
        <v>0</v>
      </c>
      <c r="E114" s="11">
        <f>IFERROR(INDEX('چکهای دریافتنی'!F:F,MATCH(Table228[[#This Row],[كد تفصيلي]],'چکهای دریافتنی'!A:A,0)),0)</f>
        <v>0</v>
      </c>
      <c r="F114" s="11">
        <f>Table228[[#This Row],[حسابهای دریافتنی]]+Table228[[#This Row],[چکهای در جریان وصول]]+Table228[[#This Row],[چکهای نزد صندوق]]</f>
        <v>-492500</v>
      </c>
      <c r="G114" s="12">
        <f>IFERROR(INDEX('مانده سوفاله'!F:F,MATCH(Table228[[#This Row],[كد تفصيلي]],'مانده سوفاله'!A:A,0)),0)</f>
        <v>2</v>
      </c>
    </row>
    <row r="115" spans="1:7" ht="26.25" customHeight="1" x14ac:dyDescent="0.35">
      <c r="A115" s="26">
        <v>10095</v>
      </c>
      <c r="B115" s="56" t="s">
        <v>268</v>
      </c>
      <c r="C115" s="10">
        <f>IFERROR(INDEX('حسابهای دریافتنی'!H:H,MATCH(Table228[[#This Row],[كد تفصيلي]],'حسابهای دریافتنی'!A:A,0)),0)</f>
        <v>-496500</v>
      </c>
      <c r="D115" s="11">
        <f>IFERROR(INDEX('درجریان وصول'!F:F,MATCH(Table228[[#This Row],[كد تفصيلي]],'درجریان وصول'!A:A,0)),0)</f>
        <v>0</v>
      </c>
      <c r="E115" s="11">
        <f>IFERROR(INDEX('چکهای دریافتنی'!F:F,MATCH(Table228[[#This Row],[كد تفصيلي]],'چکهای دریافتنی'!A:A,0)),0)</f>
        <v>0</v>
      </c>
      <c r="F115" s="11">
        <f>Table228[[#This Row],[حسابهای دریافتنی]]+Table228[[#This Row],[چکهای در جریان وصول]]+Table228[[#This Row],[چکهای نزد صندوق]]</f>
        <v>-496500</v>
      </c>
      <c r="G115" s="12">
        <f>IFERROR(INDEX('مانده سوفاله'!F:F,MATCH(Table228[[#This Row],[كد تفصيلي]],'مانده سوفاله'!A:A,0)),0)</f>
        <v>0</v>
      </c>
    </row>
    <row r="116" spans="1:7" ht="26.25" customHeight="1" x14ac:dyDescent="0.35">
      <c r="A116" s="27">
        <v>30052</v>
      </c>
      <c r="B116" s="55" t="s">
        <v>149</v>
      </c>
      <c r="C116" s="10">
        <f>IFERROR(INDEX('حسابهای دریافتنی'!H:H,MATCH(Table228[[#This Row],[كد تفصيلي]],'حسابهای دریافتنی'!A:A,0)),0)</f>
        <v>-539000</v>
      </c>
      <c r="D116" s="11">
        <f>IFERROR(INDEX('درجریان وصول'!F:F,MATCH(Table228[[#This Row],[كد تفصيلي]],'درجریان وصول'!A:A,0)),0)</f>
        <v>0</v>
      </c>
      <c r="E116" s="11">
        <f>IFERROR(INDEX('چکهای دریافتنی'!F:F,MATCH(Table228[[#This Row],[كد تفصيلي]],'چکهای دریافتنی'!A:A,0)),0)</f>
        <v>0</v>
      </c>
      <c r="F116" s="11">
        <f>Table228[[#This Row],[حسابهای دریافتنی]]+Table228[[#This Row],[چکهای در جریان وصول]]+Table228[[#This Row],[چکهای نزد صندوق]]</f>
        <v>-539000</v>
      </c>
      <c r="G116" s="12">
        <f>IFERROR(INDEX('مانده سوفاله'!F:F,MATCH(Table228[[#This Row],[كد تفصيلي]],'مانده سوفاله'!A:A,0)),0)</f>
        <v>0</v>
      </c>
    </row>
    <row r="117" spans="1:7" ht="26.25" customHeight="1" x14ac:dyDescent="0.35">
      <c r="A117" s="26">
        <v>10061</v>
      </c>
      <c r="B117" s="56" t="s">
        <v>194</v>
      </c>
      <c r="C117" s="10">
        <f>IFERROR(INDEX('حسابهای دریافتنی'!H:H,MATCH(Table228[[#This Row],[كد تفصيلي]],'حسابهای دریافتنی'!A:A,0)),0)</f>
        <v>-565500</v>
      </c>
      <c r="D117" s="11">
        <f>IFERROR(INDEX('درجریان وصول'!F:F,MATCH(Table228[[#This Row],[كد تفصيلي]],'درجریان وصول'!A:A,0)),0)</f>
        <v>0</v>
      </c>
      <c r="E117" s="11">
        <f>IFERROR(INDEX('چکهای دریافتنی'!F:F,MATCH(Table228[[#This Row],[كد تفصيلي]],'چکهای دریافتنی'!A:A,0)),0)</f>
        <v>0</v>
      </c>
      <c r="F117" s="11">
        <f>Table228[[#This Row],[حسابهای دریافتنی]]+Table228[[#This Row],[چکهای در جریان وصول]]+Table228[[#This Row],[چکهای نزد صندوق]]</f>
        <v>-565500</v>
      </c>
      <c r="G117" s="12">
        <f>IFERROR(INDEX('مانده سوفاله'!F:F,MATCH(Table228[[#This Row],[كد تفصيلي]],'مانده سوفاله'!A:A,0)),0)</f>
        <v>0</v>
      </c>
    </row>
    <row r="118" spans="1:7" ht="26.25" customHeight="1" x14ac:dyDescent="0.35">
      <c r="A118" s="26">
        <v>10118</v>
      </c>
      <c r="B118" s="56" t="s">
        <v>334</v>
      </c>
      <c r="C118" s="10">
        <f>IFERROR(INDEX('حسابهای دریافتنی'!H:H,MATCH(Table228[[#This Row],[كد تفصيلي]],'حسابهای دریافتنی'!A:A,0)),0)</f>
        <v>-587500</v>
      </c>
      <c r="D118" s="11">
        <f>IFERROR(INDEX('درجریان وصول'!F:F,MATCH(Table228[[#This Row],[كد تفصيلي]],'درجریان وصول'!A:A,0)),0)</f>
        <v>0</v>
      </c>
      <c r="E118" s="11">
        <f>IFERROR(INDEX('چکهای دریافتنی'!F:F,MATCH(Table228[[#This Row],[كد تفصيلي]],'چکهای دریافتنی'!A:A,0)),0)</f>
        <v>0</v>
      </c>
      <c r="F118" s="11">
        <f>Table228[[#This Row],[حسابهای دریافتنی]]+Table228[[#This Row],[چکهای در جریان وصول]]+Table228[[#This Row],[چکهای نزد صندوق]]</f>
        <v>-587500</v>
      </c>
      <c r="G118" s="12">
        <f>IFERROR(INDEX('مانده سوفاله'!F:F,MATCH(Table228[[#This Row],[كد تفصيلي]],'مانده سوفاله'!A:A,0)),0)</f>
        <v>0</v>
      </c>
    </row>
    <row r="119" spans="1:7" ht="26.25" customHeight="1" x14ac:dyDescent="0.35">
      <c r="A119" s="26">
        <v>10131</v>
      </c>
      <c r="B119" s="56" t="s">
        <v>457</v>
      </c>
      <c r="C119" s="10">
        <f>IFERROR(INDEX('حسابهای دریافتنی'!H:H,MATCH(Table228[[#This Row],[كد تفصيلي]],'حسابهای دریافتنی'!A:A,0)),0)</f>
        <v>-1194000</v>
      </c>
      <c r="D119" s="11">
        <f>IFERROR(INDEX('درجریان وصول'!F:F,MATCH(Table228[[#This Row],[كد تفصيلي]],'درجریان وصول'!A:A,0)),0)</f>
        <v>0</v>
      </c>
      <c r="E119" s="11">
        <f>IFERROR(INDEX('چکهای دریافتنی'!F:F,MATCH(Table228[[#This Row],[كد تفصيلي]],'چکهای دریافتنی'!A:A,0)),0)</f>
        <v>0</v>
      </c>
      <c r="F119" s="11">
        <f>Table228[[#This Row],[حسابهای دریافتنی]]+Table228[[#This Row],[چکهای در جریان وصول]]+Table228[[#This Row],[چکهای نزد صندوق]]</f>
        <v>-1194000</v>
      </c>
      <c r="G119" s="12">
        <f>IFERROR(INDEX('مانده سوفاله'!F:F,MATCH(Table228[[#This Row],[كد تفصيلي]],'مانده سوفاله'!A:A,0)),0)</f>
        <v>1</v>
      </c>
    </row>
    <row r="120" spans="1:7" ht="26.25" customHeight="1" x14ac:dyDescent="0.35">
      <c r="A120" s="26">
        <v>30112</v>
      </c>
      <c r="B120" s="56" t="s">
        <v>201</v>
      </c>
      <c r="C120" s="10">
        <f>IFERROR(INDEX('حسابهای دریافتنی'!H:H,MATCH(Table228[[#This Row],[كد تفصيلي]],'حسابهای دریافتنی'!A:A,0)),0)</f>
        <v>-720500</v>
      </c>
      <c r="D120" s="11">
        <f>IFERROR(INDEX('درجریان وصول'!F:F,MATCH(Table228[[#This Row],[كد تفصيلي]],'درجریان وصول'!A:A,0)),0)</f>
        <v>0</v>
      </c>
      <c r="E120" s="11">
        <f>IFERROR(INDEX('چکهای دریافتنی'!F:F,MATCH(Table228[[#This Row],[كد تفصيلي]],'چکهای دریافتنی'!A:A,0)),0)</f>
        <v>0</v>
      </c>
      <c r="F120" s="11">
        <f>Table228[[#This Row],[حسابهای دریافتنی]]+Table228[[#This Row],[چکهای در جریان وصول]]+Table228[[#This Row],[چکهای نزد صندوق]]</f>
        <v>-720500</v>
      </c>
      <c r="G120" s="12">
        <f>IFERROR(INDEX('مانده سوفاله'!F:F,MATCH(Table228[[#This Row],[كد تفصيلي]],'مانده سوفاله'!A:A,0)),0)</f>
        <v>36</v>
      </c>
    </row>
    <row r="121" spans="1:7" ht="26.25" customHeight="1" x14ac:dyDescent="0.35">
      <c r="A121" s="26">
        <v>10013</v>
      </c>
      <c r="B121" s="56" t="s">
        <v>20</v>
      </c>
      <c r="C121" s="10">
        <f>IFERROR(INDEX('حسابهای دریافتنی'!H:H,MATCH(Table228[[#This Row],[كد تفصيلي]],'حسابهای دریافتنی'!A:A,0)),0)</f>
        <v>-915000</v>
      </c>
      <c r="D121" s="11">
        <f>IFERROR(INDEX('درجریان وصول'!F:F,MATCH(Table228[[#This Row],[كد تفصيلي]],'درجریان وصول'!A:A,0)),0)</f>
        <v>0</v>
      </c>
      <c r="E121" s="11">
        <f>IFERROR(INDEX('چکهای دریافتنی'!F:F,MATCH(Table228[[#This Row],[كد تفصيلي]],'چکهای دریافتنی'!A:A,0)),0)</f>
        <v>0</v>
      </c>
      <c r="F121" s="11">
        <f>Table228[[#This Row],[حسابهای دریافتنی]]+Table228[[#This Row],[چکهای در جریان وصول]]+Table228[[#This Row],[چکهای نزد صندوق]]</f>
        <v>-915000</v>
      </c>
      <c r="G121" s="12">
        <f>IFERROR(INDEX('مانده سوفاله'!F:F,MATCH(Table228[[#This Row],[كد تفصيلي]],'مانده سوفاله'!A:A,0)),0)</f>
        <v>0</v>
      </c>
    </row>
    <row r="122" spans="1:7" ht="26.25" customHeight="1" x14ac:dyDescent="0.35">
      <c r="A122" s="27">
        <v>10042</v>
      </c>
      <c r="B122" s="55" t="s">
        <v>47</v>
      </c>
      <c r="C122" s="10">
        <f>IFERROR(INDEX('حسابهای دریافتنی'!H:H,MATCH(Table228[[#This Row],[كد تفصيلي]],'حسابهای دریافتنی'!A:A,0)),0)</f>
        <v>-1120000</v>
      </c>
      <c r="D122" s="11">
        <f>IFERROR(INDEX('درجریان وصول'!F:F,MATCH(Table228[[#This Row],[كد تفصيلي]],'درجریان وصول'!A:A,0)),0)</f>
        <v>0</v>
      </c>
      <c r="E122" s="11">
        <f>IFERROR(INDEX('چکهای دریافتنی'!F:F,MATCH(Table228[[#This Row],[كد تفصيلي]],'چکهای دریافتنی'!A:A,0)),0)</f>
        <v>0</v>
      </c>
      <c r="F122" s="11">
        <f>Table228[[#This Row],[حسابهای دریافتنی]]+Table228[[#This Row],[چکهای در جریان وصول]]+Table228[[#This Row],[چکهای نزد صندوق]]</f>
        <v>-1120000</v>
      </c>
      <c r="G122" s="12">
        <f>IFERROR(INDEX('مانده سوفاله'!F:F,MATCH(Table228[[#This Row],[كد تفصيلي]],'مانده سوفاله'!A:A,0)),0)</f>
        <v>2</v>
      </c>
    </row>
    <row r="123" spans="1:7" ht="26.25" customHeight="1" x14ac:dyDescent="0.35">
      <c r="A123" s="27">
        <v>30032</v>
      </c>
      <c r="B123" s="55" t="s">
        <v>79</v>
      </c>
      <c r="C123" s="10">
        <f>IFERROR(INDEX('حسابهای دریافتنی'!H:H,MATCH(Table228[[#This Row],[كد تفصيلي]],'حسابهای دریافتنی'!A:A,0)),0)</f>
        <v>-1347000</v>
      </c>
      <c r="D123" s="11">
        <f>IFERROR(INDEX('درجریان وصول'!F:F,MATCH(Table228[[#This Row],[كد تفصيلي]],'درجریان وصول'!A:A,0)),0)</f>
        <v>0</v>
      </c>
      <c r="E123" s="11">
        <f>IFERROR(INDEX('چکهای دریافتنی'!F:F,MATCH(Table228[[#This Row],[كد تفصيلي]],'چکهای دریافتنی'!A:A,0)),0)</f>
        <v>0</v>
      </c>
      <c r="F123" s="11">
        <f>Table228[[#This Row],[حسابهای دریافتنی]]+Table228[[#This Row],[چکهای در جریان وصول]]+Table228[[#This Row],[چکهای نزد صندوق]]</f>
        <v>-1347000</v>
      </c>
      <c r="G123" s="12">
        <f>IFERROR(INDEX('مانده سوفاله'!F:F,MATCH(Table228[[#This Row],[كد تفصيلي]],'مانده سوفاله'!A:A,0)),0)</f>
        <v>0</v>
      </c>
    </row>
    <row r="124" spans="1:7" ht="26.25" customHeight="1" x14ac:dyDescent="0.35">
      <c r="A124" s="27">
        <v>30171</v>
      </c>
      <c r="B124" s="55" t="s">
        <v>322</v>
      </c>
      <c r="C124" s="10">
        <f>IFERROR(INDEX('حسابهای دریافتنی'!H:H,MATCH(Table228[[#This Row],[كد تفصيلي]],'حسابهای دریافتنی'!A:A,0)),0)</f>
        <v>-1500000</v>
      </c>
      <c r="D124" s="11">
        <f>IFERROR(INDEX('درجریان وصول'!F:F,MATCH(Table228[[#This Row],[كد تفصيلي]],'درجریان وصول'!A:A,0)),0)</f>
        <v>0</v>
      </c>
      <c r="E124" s="11">
        <f>IFERROR(INDEX('چکهای دریافتنی'!F:F,MATCH(Table228[[#This Row],[كد تفصيلي]],'چکهای دریافتنی'!A:A,0)),0)</f>
        <v>0</v>
      </c>
      <c r="F124" s="11">
        <f>Table228[[#This Row],[حسابهای دریافتنی]]+Table228[[#This Row],[چکهای در جریان وصول]]+Table228[[#This Row],[چکهای نزد صندوق]]</f>
        <v>-1500000</v>
      </c>
      <c r="G124" s="12">
        <f>IFERROR(INDEX('مانده سوفاله'!F:F,MATCH(Table228[[#This Row],[كد تفصيلي]],'مانده سوفاله'!A:A,0)),0)</f>
        <v>0</v>
      </c>
    </row>
    <row r="125" spans="1:7" ht="26.25" customHeight="1" x14ac:dyDescent="0.35">
      <c r="A125" s="26">
        <v>10103</v>
      </c>
      <c r="B125" s="56" t="s">
        <v>283</v>
      </c>
      <c r="C125" s="10">
        <f>IFERROR(INDEX('حسابهای دریافتنی'!H:H,MATCH(Table228[[#This Row],[كد تفصيلي]],'حسابهای دریافتنی'!A:A,0)),0)</f>
        <v>-1580000</v>
      </c>
      <c r="D125" s="11">
        <f>IFERROR(INDEX('درجریان وصول'!F:F,MATCH(Table228[[#This Row],[كد تفصيلي]],'درجریان وصول'!A:A,0)),0)</f>
        <v>0</v>
      </c>
      <c r="E125" s="11">
        <f>IFERROR(INDEX('چکهای دریافتنی'!F:F,MATCH(Table228[[#This Row],[كد تفصيلي]],'چکهای دریافتنی'!A:A,0)),0)</f>
        <v>0</v>
      </c>
      <c r="F125" s="11">
        <f>Table228[[#This Row],[حسابهای دریافتنی]]+Table228[[#This Row],[چکهای در جریان وصول]]+Table228[[#This Row],[چکهای نزد صندوق]]</f>
        <v>-1580000</v>
      </c>
      <c r="G125" s="12">
        <f>IFERROR(INDEX('مانده سوفاله'!F:F,MATCH(Table228[[#This Row],[كد تفصيلي]],'مانده سوفاله'!A:A,0)),0)</f>
        <v>0</v>
      </c>
    </row>
    <row r="126" spans="1:7" ht="26.25" customHeight="1" x14ac:dyDescent="0.35">
      <c r="A126" s="27">
        <v>10125</v>
      </c>
      <c r="B126" s="55" t="s">
        <v>345</v>
      </c>
      <c r="C126" s="10">
        <f>IFERROR(INDEX('حسابهای دریافتنی'!H:H,MATCH(Table228[[#This Row],[كد تفصيلي]],'حسابهای دریافتنی'!A:A,0)),0)</f>
        <v>-1650000</v>
      </c>
      <c r="D126" s="11">
        <f>IFERROR(INDEX('درجریان وصول'!F:F,MATCH(Table228[[#This Row],[كد تفصيلي]],'درجریان وصول'!A:A,0)),0)</f>
        <v>0</v>
      </c>
      <c r="E126" s="11">
        <f>IFERROR(INDEX('چکهای دریافتنی'!F:F,MATCH(Table228[[#This Row],[كد تفصيلي]],'چکهای دریافتنی'!A:A,0)),0)</f>
        <v>0</v>
      </c>
      <c r="F126" s="11">
        <f>Table228[[#This Row],[حسابهای دریافتنی]]+Table228[[#This Row],[چکهای در جریان وصول]]+Table228[[#This Row],[چکهای نزد صندوق]]</f>
        <v>-1650000</v>
      </c>
      <c r="G126" s="12">
        <f>IFERROR(INDEX('مانده سوفاله'!F:F,MATCH(Table228[[#This Row],[كد تفصيلي]],'مانده سوفاله'!A:A,0)),0)</f>
        <v>0</v>
      </c>
    </row>
    <row r="127" spans="1:7" ht="26.25" customHeight="1" x14ac:dyDescent="0.35">
      <c r="A127" s="26">
        <v>10110</v>
      </c>
      <c r="B127" s="56" t="s">
        <v>306</v>
      </c>
      <c r="C127" s="10">
        <f>IFERROR(INDEX('حسابهای دریافتنی'!H:H,MATCH(Table228[[#This Row],[كد تفصيلي]],'حسابهای دریافتنی'!A:A,0)),0)</f>
        <v>-1817500</v>
      </c>
      <c r="D127" s="11">
        <f>IFERROR(INDEX('درجریان وصول'!F:F,MATCH(Table228[[#This Row],[كد تفصيلي]],'درجریان وصول'!A:A,0)),0)</f>
        <v>0</v>
      </c>
      <c r="E127" s="11">
        <f>IFERROR(INDEX('چکهای دریافتنی'!F:F,MATCH(Table228[[#This Row],[كد تفصيلي]],'چکهای دریافتنی'!A:A,0)),0)</f>
        <v>0</v>
      </c>
      <c r="F127" s="11">
        <f>Table228[[#This Row],[حسابهای دریافتنی]]+Table228[[#This Row],[چکهای در جریان وصول]]+Table228[[#This Row],[چکهای نزد صندوق]]</f>
        <v>-1817500</v>
      </c>
      <c r="G127" s="12">
        <f>IFERROR(INDEX('مانده سوفاله'!F:F,MATCH(Table228[[#This Row],[كد تفصيلي]],'مانده سوفاله'!A:A,0)),0)</f>
        <v>7</v>
      </c>
    </row>
    <row r="128" spans="1:7" ht="26.25" customHeight="1" x14ac:dyDescent="0.35">
      <c r="A128" s="27">
        <v>30103</v>
      </c>
      <c r="B128" s="55" t="s">
        <v>240</v>
      </c>
      <c r="C128" s="10">
        <f>IFERROR(INDEX('حسابهای دریافتنی'!H:H,MATCH(Table228[[#This Row],[كد تفصيلي]],'حسابهای دریافتنی'!A:A,0)),0)</f>
        <v>-1820000</v>
      </c>
      <c r="D128" s="11">
        <f>IFERROR(INDEX('درجریان وصول'!F:F,MATCH(Table228[[#This Row],[كد تفصيلي]],'درجریان وصول'!A:A,0)),0)</f>
        <v>0</v>
      </c>
      <c r="E128" s="11">
        <f>IFERROR(INDEX('چکهای دریافتنی'!F:F,MATCH(Table228[[#This Row],[كد تفصيلي]],'چکهای دریافتنی'!A:A,0)),0)</f>
        <v>0</v>
      </c>
      <c r="F128" s="11">
        <f>Table228[[#This Row],[حسابهای دریافتنی]]+Table228[[#This Row],[چکهای در جریان وصول]]+Table228[[#This Row],[چکهای نزد صندوق]]</f>
        <v>-1820000</v>
      </c>
      <c r="G128" s="12">
        <f>IFERROR(INDEX('مانده سوفاله'!F:F,MATCH(Table228[[#This Row],[كد تفصيلي]],'مانده سوفاله'!A:A,0)),0)</f>
        <v>0</v>
      </c>
    </row>
    <row r="129" spans="1:7" ht="26.25" customHeight="1" x14ac:dyDescent="0.35">
      <c r="A129" s="26">
        <v>30128</v>
      </c>
      <c r="B129" s="56" t="s">
        <v>212</v>
      </c>
      <c r="C129" s="10">
        <f>IFERROR(INDEX('حسابهای دریافتنی'!H:H,MATCH(Table228[[#This Row],[كد تفصيلي]],'حسابهای دریافتنی'!A:A,0)),0)</f>
        <v>-2451320</v>
      </c>
      <c r="D129" s="11">
        <f>IFERROR(INDEX('درجریان وصول'!F:F,MATCH(Table228[[#This Row],[كد تفصيلي]],'درجریان وصول'!A:A,0)),0)</f>
        <v>0</v>
      </c>
      <c r="E129" s="11">
        <f>IFERROR(INDEX('چکهای دریافتنی'!F:F,MATCH(Table228[[#This Row],[كد تفصيلي]],'چکهای دریافتنی'!A:A,0)),0)</f>
        <v>0</v>
      </c>
      <c r="F129" s="11">
        <f>Table228[[#This Row],[حسابهای دریافتنی]]+Table228[[#This Row],[چکهای در جریان وصول]]+Table228[[#This Row],[چکهای نزد صندوق]]</f>
        <v>-2451320</v>
      </c>
      <c r="G129" s="12">
        <f>IFERROR(INDEX('مانده سوفاله'!F:F,MATCH(Table228[[#This Row],[كد تفصيلي]],'مانده سوفاله'!A:A,0)),0)</f>
        <v>0</v>
      </c>
    </row>
    <row r="130" spans="1:7" ht="26.25" customHeight="1" x14ac:dyDescent="0.35">
      <c r="A130" s="26">
        <v>30013</v>
      </c>
      <c r="B130" s="56" t="s">
        <v>62</v>
      </c>
      <c r="C130" s="10">
        <f>IFERROR(INDEX('حسابهای دریافتنی'!H:H,MATCH(Table228[[#This Row],[كد تفصيلي]],'حسابهای دریافتنی'!A:A,0)),0)</f>
        <v>-2744620</v>
      </c>
      <c r="D130" s="11">
        <f>IFERROR(INDEX('درجریان وصول'!F:F,MATCH(Table228[[#This Row],[كد تفصيلي]],'درجریان وصول'!A:A,0)),0)</f>
        <v>0</v>
      </c>
      <c r="E130" s="11">
        <f>IFERROR(INDEX('چکهای دریافتنی'!F:F,MATCH(Table228[[#This Row],[كد تفصيلي]],'چکهای دریافتنی'!A:A,0)),0)</f>
        <v>0</v>
      </c>
      <c r="F130" s="11">
        <f>Table228[[#This Row],[حسابهای دریافتنی]]+Table228[[#This Row],[چکهای در جریان وصول]]+Table228[[#This Row],[چکهای نزد صندوق]]</f>
        <v>-2744620</v>
      </c>
      <c r="G130" s="12">
        <f>IFERROR(INDEX('مانده سوفاله'!F:F,MATCH(Table228[[#This Row],[كد تفصيلي]],'مانده سوفاله'!A:A,0)),0)</f>
        <v>0</v>
      </c>
    </row>
    <row r="131" spans="1:7" ht="26.25" customHeight="1" x14ac:dyDescent="0.35">
      <c r="A131" s="26">
        <v>30015</v>
      </c>
      <c r="B131" s="56" t="s">
        <v>64</v>
      </c>
      <c r="C131" s="10">
        <f>IFERROR(INDEX('حسابهای دریافتنی'!H:H,MATCH(Table228[[#This Row],[كد تفصيلي]],'حسابهای دریافتنی'!A:A,0)),0)</f>
        <v>-3105895</v>
      </c>
      <c r="D131" s="11">
        <f>IFERROR(INDEX('درجریان وصول'!F:F,MATCH(Table228[[#This Row],[كد تفصيلي]],'درجریان وصول'!A:A,0)),0)</f>
        <v>0</v>
      </c>
      <c r="E131" s="11">
        <f>IFERROR(INDEX('چکهای دریافتنی'!F:F,MATCH(Table228[[#This Row],[كد تفصيلي]],'چکهای دریافتنی'!A:A,0)),0)</f>
        <v>0</v>
      </c>
      <c r="F131" s="11">
        <f>Table228[[#This Row],[حسابهای دریافتنی]]+Table228[[#This Row],[چکهای در جریان وصول]]+Table228[[#This Row],[چکهای نزد صندوق]]</f>
        <v>-3105895</v>
      </c>
      <c r="G131" s="12">
        <f>IFERROR(INDEX('مانده سوفاله'!F:F,MATCH(Table228[[#This Row],[كد تفصيلي]],'مانده سوفاله'!A:A,0)),0)</f>
        <v>0</v>
      </c>
    </row>
    <row r="132" spans="1:7" ht="26.25" customHeight="1" x14ac:dyDescent="0.35">
      <c r="A132" s="26">
        <v>50032</v>
      </c>
      <c r="B132" s="56" t="s">
        <v>499</v>
      </c>
      <c r="C132" s="10">
        <f>IFERROR(INDEX('حسابهای دریافتنی'!H:H,MATCH(Table228[[#This Row],[كد تفصيلي]],'حسابهای دریافتنی'!A:A,0)),0)</f>
        <v>-3300000</v>
      </c>
      <c r="D132" s="11">
        <f>IFERROR(INDEX('درجریان وصول'!F:F,MATCH(Table228[[#This Row],[كد تفصيلي]],'درجریان وصول'!A:A,0)),0)</f>
        <v>0</v>
      </c>
      <c r="E132" s="11">
        <f>IFERROR(INDEX('چکهای دریافتنی'!F:F,MATCH(Table228[[#This Row],[كد تفصيلي]],'چکهای دریافتنی'!A:A,0)),0)</f>
        <v>0</v>
      </c>
      <c r="F132" s="11">
        <f>Table228[[#This Row],[حسابهای دریافتنی]]+Table228[[#This Row],[چکهای در جریان وصول]]+Table228[[#This Row],[چکهای نزد صندوق]]</f>
        <v>-3300000</v>
      </c>
      <c r="G132" s="12">
        <f>IFERROR(INDEX('مانده سوفاله'!F:F,MATCH(Table228[[#This Row],[كد تفصيلي]],'مانده سوفاله'!A:A,0)),0)</f>
        <v>0</v>
      </c>
    </row>
    <row r="133" spans="1:7" ht="26.25" customHeight="1" x14ac:dyDescent="0.35">
      <c r="A133" s="26">
        <v>30110</v>
      </c>
      <c r="B133" s="56" t="s">
        <v>200</v>
      </c>
      <c r="C133" s="10">
        <f>IFERROR(INDEX('حسابهای دریافتنی'!H:H,MATCH(Table228[[#This Row],[كد تفصيلي]],'حسابهای دریافتنی'!A:A,0)),0)</f>
        <v>-3492360</v>
      </c>
      <c r="D133" s="11">
        <f>IFERROR(INDEX('درجریان وصول'!F:F,MATCH(Table228[[#This Row],[كد تفصيلي]],'درجریان وصول'!A:A,0)),0)</f>
        <v>0</v>
      </c>
      <c r="E133" s="11">
        <f>IFERROR(INDEX('چکهای دریافتنی'!F:F,MATCH(Table228[[#This Row],[كد تفصيلي]],'چکهای دریافتنی'!A:A,0)),0)</f>
        <v>0</v>
      </c>
      <c r="F133" s="11">
        <f>Table228[[#This Row],[حسابهای دریافتنی]]+Table228[[#This Row],[چکهای در جریان وصول]]+Table228[[#This Row],[چکهای نزد صندوق]]</f>
        <v>-3492360</v>
      </c>
      <c r="G133" s="12">
        <f>IFERROR(INDEX('مانده سوفاله'!F:F,MATCH(Table228[[#This Row],[كد تفصيلي]],'مانده سوفاله'!A:A,0)),0)</f>
        <v>0</v>
      </c>
    </row>
    <row r="134" spans="1:7" ht="26.25" customHeight="1" x14ac:dyDescent="0.35">
      <c r="A134" s="26">
        <v>10049</v>
      </c>
      <c r="B134" s="56" t="s">
        <v>157</v>
      </c>
      <c r="C134" s="10">
        <f>IFERROR(INDEX('حسابهای دریافتنی'!H:H,MATCH(Table228[[#This Row],[كد تفصيلي]],'حسابهای دریافتنی'!A:A,0)),0)</f>
        <v>-32909500</v>
      </c>
      <c r="D134" s="11">
        <f>IFERROR(INDEX('درجریان وصول'!F:F,MATCH(Table228[[#This Row],[كد تفصيلي]],'درجریان وصول'!A:A,0)),0)</f>
        <v>0</v>
      </c>
      <c r="E134" s="11">
        <f>IFERROR(INDEX('چکهای دریافتنی'!F:F,MATCH(Table228[[#This Row],[كد تفصيلي]],'چکهای دریافتنی'!A:A,0)),0)</f>
        <v>0</v>
      </c>
      <c r="F134" s="11">
        <f>Table228[[#This Row],[حسابهای دریافتنی]]+Table228[[#This Row],[چکهای در جریان وصول]]+Table228[[#This Row],[چکهای نزد صندوق]]</f>
        <v>-32909500</v>
      </c>
      <c r="G134" s="12">
        <f>IFERROR(INDEX('مانده سوفاله'!F:F,MATCH(Table228[[#This Row],[كد تفصيلي]],'مانده سوفاله'!A:A,0)),0)</f>
        <v>0</v>
      </c>
    </row>
    <row r="135" spans="1:7" ht="26.25" customHeight="1" x14ac:dyDescent="0.35">
      <c r="A135" s="27">
        <v>10004</v>
      </c>
      <c r="B135" s="55" t="s">
        <v>11</v>
      </c>
      <c r="C135" s="10">
        <f>IFERROR(INDEX('حسابهای دریافتنی'!H:H,MATCH(Table228[[#This Row],[كد تفصيلي]],'حسابهای دریافتنی'!A:A,0)),0)</f>
        <v>853000</v>
      </c>
      <c r="D135" s="11">
        <f>IFERROR(INDEX('درجریان وصول'!F:F,MATCH(Table228[[#This Row],[كد تفصيلي]],'درجریان وصول'!A:A,0)),0)</f>
        <v>0</v>
      </c>
      <c r="E135" s="11">
        <f>IFERROR(INDEX('چکهای دریافتنی'!F:F,MATCH(Table228[[#This Row],[كد تفصيلي]],'چکهای دریافتنی'!A:A,0)),0)</f>
        <v>341000000</v>
      </c>
      <c r="F135" s="11">
        <f>Table228[[#This Row],[حسابهای دریافتنی]]+Table228[[#This Row],[چکهای در جریان وصول]]+Table228[[#This Row],[چکهای نزد صندوق]]</f>
        <v>341853000</v>
      </c>
      <c r="G135" s="12">
        <f>IFERROR(INDEX('مانده سوفاله'!F:F,MATCH(Table228[[#This Row],[كد تفصيلي]],'مانده سوفاله'!A:A,0)),0)</f>
        <v>-12</v>
      </c>
    </row>
    <row r="136" spans="1:7" ht="26.25" customHeight="1" x14ac:dyDescent="0.35">
      <c r="A136" s="26">
        <v>10015</v>
      </c>
      <c r="B136" s="56" t="s">
        <v>22</v>
      </c>
      <c r="C136" s="10">
        <f>IFERROR(INDEX('حسابهای دریافتنی'!H:H,MATCH(Table228[[#This Row],[كد تفصيلي]],'حسابهای دریافتنی'!A:A,0)),0)</f>
        <v>-4735000</v>
      </c>
      <c r="D136" s="11">
        <f>IFERROR(INDEX('درجریان وصول'!F:F,MATCH(Table228[[#This Row],[كد تفصيلي]],'درجریان وصول'!A:A,0)),0)</f>
        <v>0</v>
      </c>
      <c r="E136" s="11">
        <f>IFERROR(INDEX('چکهای دریافتنی'!F:F,MATCH(Table228[[#This Row],[كد تفصيلي]],'چکهای دریافتنی'!A:A,0)),0)</f>
        <v>0</v>
      </c>
      <c r="F136" s="11">
        <f>Table228[[#This Row],[حسابهای دریافتنی]]+Table228[[#This Row],[چکهای در جریان وصول]]+Table228[[#This Row],[چکهای نزد صندوق]]</f>
        <v>-4735000</v>
      </c>
      <c r="G136" s="12">
        <f>IFERROR(INDEX('مانده سوفاله'!F:F,MATCH(Table228[[#This Row],[كد تفصيلي]],'مانده سوفاله'!A:A,0)),0)</f>
        <v>12</v>
      </c>
    </row>
    <row r="137" spans="1:7" ht="26.25" customHeight="1" x14ac:dyDescent="0.35">
      <c r="A137" s="27">
        <v>30153</v>
      </c>
      <c r="B137" s="55" t="s">
        <v>279</v>
      </c>
      <c r="C137" s="10">
        <f>IFERROR(INDEX('حسابهای دریافتنی'!H:H,MATCH(Table228[[#This Row],[كد تفصيلي]],'حسابهای دریافتنی'!A:A,0)),0)</f>
        <v>-4818000</v>
      </c>
      <c r="D137" s="11">
        <f>IFERROR(INDEX('درجریان وصول'!F:F,MATCH(Table228[[#This Row],[كد تفصيلي]],'درجریان وصول'!A:A,0)),0)</f>
        <v>0</v>
      </c>
      <c r="E137" s="11">
        <f>IFERROR(INDEX('چکهای دریافتنی'!F:F,MATCH(Table228[[#This Row],[كد تفصيلي]],'چکهای دریافتنی'!A:A,0)),0)</f>
        <v>0</v>
      </c>
      <c r="F137" s="11">
        <f>Table228[[#This Row],[حسابهای دریافتنی]]+Table228[[#This Row],[چکهای در جریان وصول]]+Table228[[#This Row],[چکهای نزد صندوق]]</f>
        <v>-4818000</v>
      </c>
      <c r="G137" s="12">
        <f>IFERROR(INDEX('مانده سوفاله'!F:F,MATCH(Table228[[#This Row],[كد تفصيلي]],'مانده سوفاله'!A:A,0)),0)</f>
        <v>0</v>
      </c>
    </row>
    <row r="138" spans="1:7" ht="26.25" customHeight="1" x14ac:dyDescent="0.35">
      <c r="A138" s="26">
        <v>30023</v>
      </c>
      <c r="B138" s="56" t="s">
        <v>71</v>
      </c>
      <c r="C138" s="10">
        <f>IFERROR(INDEX('حسابهای دریافتنی'!H:H,MATCH(Table228[[#This Row],[كد تفصيلي]],'حسابهای دریافتنی'!A:A,0)),0)</f>
        <v>-5793600</v>
      </c>
      <c r="D138" s="11">
        <f>IFERROR(INDEX('درجریان وصول'!F:F,MATCH(Table228[[#This Row],[كد تفصيلي]],'درجریان وصول'!A:A,0)),0)</f>
        <v>0</v>
      </c>
      <c r="E138" s="11">
        <f>IFERROR(INDEX('چکهای دریافتنی'!F:F,MATCH(Table228[[#This Row],[كد تفصيلي]],'چکهای دریافتنی'!A:A,0)),0)</f>
        <v>0</v>
      </c>
      <c r="F138" s="11">
        <f>Table228[[#This Row],[حسابهای دریافتنی]]+Table228[[#This Row],[چکهای در جریان وصول]]+Table228[[#This Row],[چکهای نزد صندوق]]</f>
        <v>-5793600</v>
      </c>
      <c r="G138" s="12">
        <f>IFERROR(INDEX('مانده سوفاله'!F:F,MATCH(Table228[[#This Row],[كد تفصيلي]],'مانده سوفاله'!A:A,0)),0)</f>
        <v>0</v>
      </c>
    </row>
    <row r="139" spans="1:7" ht="26.25" customHeight="1" x14ac:dyDescent="0.35">
      <c r="A139" s="26">
        <v>30176</v>
      </c>
      <c r="B139" s="56" t="s">
        <v>332</v>
      </c>
      <c r="C139" s="10">
        <f>IFERROR(INDEX('حسابهای دریافتنی'!H:H,MATCH(Table228[[#This Row],[كد تفصيلي]],'حسابهای دریافتنی'!A:A,0)),0)</f>
        <v>-7540075</v>
      </c>
      <c r="D139" s="11">
        <f>IFERROR(INDEX('درجریان وصول'!F:F,MATCH(Table228[[#This Row],[كد تفصيلي]],'درجریان وصول'!A:A,0)),0)</f>
        <v>0</v>
      </c>
      <c r="E139" s="11">
        <f>IFERROR(INDEX('چکهای دریافتنی'!F:F,MATCH(Table228[[#This Row],[كد تفصيلي]],'چکهای دریافتنی'!A:A,0)),0)</f>
        <v>0</v>
      </c>
      <c r="F139" s="11">
        <f>Table228[[#This Row],[حسابهای دریافتنی]]+Table228[[#This Row],[چکهای در جریان وصول]]+Table228[[#This Row],[چکهای نزد صندوق]]</f>
        <v>-7540075</v>
      </c>
      <c r="G139" s="12">
        <f>IFERROR(INDEX('مانده سوفاله'!F:F,MATCH(Table228[[#This Row],[كد تفصيلي]],'مانده سوفاله'!A:A,0)),0)</f>
        <v>0</v>
      </c>
    </row>
    <row r="140" spans="1:7" ht="26.25" customHeight="1" x14ac:dyDescent="0.35">
      <c r="A140" s="26">
        <v>10106</v>
      </c>
      <c r="B140" s="56" t="s">
        <v>298</v>
      </c>
      <c r="C140" s="10">
        <f>IFERROR(INDEX('حسابهای دریافتنی'!H:H,MATCH(Table228[[#This Row],[كد تفصيلي]],'حسابهای دریافتنی'!A:A,0)),0)</f>
        <v>-9134000</v>
      </c>
      <c r="D140" s="11">
        <f>IFERROR(INDEX('درجریان وصول'!F:F,MATCH(Table228[[#This Row],[كد تفصيلي]],'درجریان وصول'!A:A,0)),0)</f>
        <v>0</v>
      </c>
      <c r="E140" s="11">
        <f>IFERROR(INDEX('چکهای دریافتنی'!F:F,MATCH(Table228[[#This Row],[كد تفصيلي]],'چکهای دریافتنی'!A:A,0)),0)</f>
        <v>0</v>
      </c>
      <c r="F140" s="11">
        <f>Table228[[#This Row],[حسابهای دریافتنی]]+Table228[[#This Row],[چکهای در جریان وصول]]+Table228[[#This Row],[چکهای نزد صندوق]]</f>
        <v>-9134000</v>
      </c>
      <c r="G140" s="12">
        <f>IFERROR(INDEX('مانده سوفاله'!F:F,MATCH(Table228[[#This Row],[كد تفصيلي]],'مانده سوفاله'!A:A,0)),0)</f>
        <v>0</v>
      </c>
    </row>
    <row r="141" spans="1:7" customFormat="1" ht="26.25" customHeight="1" x14ac:dyDescent="0.35">
      <c r="A141" s="54">
        <v>10102</v>
      </c>
      <c r="B141" s="55" t="s">
        <v>282</v>
      </c>
      <c r="C141" s="10">
        <f>IFERROR(INDEX('حسابهای دریافتنی'!H:H,MATCH(Table228[[#This Row],[كد تفصيلي]],'حسابهای دریافتنی'!A:A,0)),0)</f>
        <v>-10374000</v>
      </c>
      <c r="D141" s="11">
        <f>IFERROR(INDEX('درجریان وصول'!F:F,MATCH(Table228[[#This Row],[كد تفصيلي]],'درجریان وصول'!A:A,0)),0)</f>
        <v>0</v>
      </c>
      <c r="E141" s="11">
        <f>IFERROR(INDEX('چکهای دریافتنی'!F:F,MATCH(Table228[[#This Row],[كد تفصيلي]],'چکهای دریافتنی'!A:A,0)),0)</f>
        <v>0</v>
      </c>
      <c r="F141" s="11">
        <f>Table228[[#This Row],[حسابهای دریافتنی]]+Table228[[#This Row],[چکهای در جریان وصول]]+Table228[[#This Row],[چکهای نزد صندوق]]</f>
        <v>-10374000</v>
      </c>
      <c r="G141" s="12">
        <f>IFERROR(INDEX('مانده سوفاله'!F:F,MATCH(Table228[[#This Row],[كد تفصيلي]],'مانده سوفاله'!A:A,0)),0)</f>
        <v>0</v>
      </c>
    </row>
    <row r="142" spans="1:7" customFormat="1" ht="26.25" customHeight="1" x14ac:dyDescent="0.35">
      <c r="A142" s="54">
        <v>10058</v>
      </c>
      <c r="B142" s="55" t="s">
        <v>173</v>
      </c>
      <c r="C142" s="10">
        <f>IFERROR(INDEX('حسابهای دریافتنی'!H:H,MATCH(Table228[[#This Row],[كد تفصيلي]],'حسابهای دریافتنی'!A:A,0)),0)</f>
        <v>-13650000</v>
      </c>
      <c r="D142" s="11">
        <f>IFERROR(INDEX('درجریان وصول'!F:F,MATCH(Table228[[#This Row],[كد تفصيلي]],'درجریان وصول'!A:A,0)),0)</f>
        <v>0</v>
      </c>
      <c r="E142" s="11">
        <f>IFERROR(INDEX('چکهای دریافتنی'!F:F,MATCH(Table228[[#This Row],[كد تفصيلي]],'چکهای دریافتنی'!A:A,0)),0)</f>
        <v>0</v>
      </c>
      <c r="F142" s="11">
        <f>Table228[[#This Row],[حسابهای دریافتنی]]+Table228[[#This Row],[چکهای در جریان وصول]]+Table228[[#This Row],[چکهای نزد صندوق]]</f>
        <v>-13650000</v>
      </c>
      <c r="G142" s="12">
        <f>IFERROR(INDEX('مانده سوفاله'!F:F,MATCH(Table228[[#This Row],[كد تفصيلي]],'مانده سوفاله'!A:A,0)),0)</f>
        <v>0</v>
      </c>
    </row>
    <row r="143" spans="1:7" customFormat="1" ht="26.25" customHeight="1" x14ac:dyDescent="0.35">
      <c r="A143" s="53">
        <v>10126</v>
      </c>
      <c r="B143" s="56" t="s">
        <v>370</v>
      </c>
      <c r="C143" s="10">
        <f>IFERROR(INDEX('حسابهای دریافتنی'!H:H,MATCH(Table228[[#This Row],[كد تفصيلي]],'حسابهای دریافتنی'!A:A,0)),0)</f>
        <v>12165000</v>
      </c>
      <c r="D143" s="11">
        <f>IFERROR(INDEX('درجریان وصول'!F:F,MATCH(Table228[[#This Row],[كد تفصيلي]],'درجریان وصول'!A:A,0)),0)</f>
        <v>0</v>
      </c>
      <c r="E143" s="11">
        <f>IFERROR(INDEX('چکهای دریافتنی'!F:F,MATCH(Table228[[#This Row],[كد تفصيلي]],'چکهای دریافتنی'!A:A,0)),0)</f>
        <v>0</v>
      </c>
      <c r="F143" s="11">
        <f>Table228[[#This Row],[حسابهای دریافتنی]]+Table228[[#This Row],[چکهای در جریان وصول]]+Table228[[#This Row],[چکهای نزد صندوق]]</f>
        <v>12165000</v>
      </c>
      <c r="G143" s="12">
        <f>IFERROR(INDEX('مانده سوفاله'!F:F,MATCH(Table228[[#This Row],[كد تفصيلي]],'مانده سوفاله'!A:A,0)),0)</f>
        <v>0</v>
      </c>
    </row>
    <row r="144" spans="1:7" customFormat="1" ht="26.25" customHeight="1" x14ac:dyDescent="0.35">
      <c r="A144" s="53">
        <v>30082</v>
      </c>
      <c r="B144" s="56" t="s">
        <v>127</v>
      </c>
      <c r="C144" s="10">
        <f>IFERROR(INDEX('حسابهای دریافتنی'!H:H,MATCH(Table228[[#This Row],[كد تفصيلي]],'حسابهای دریافتنی'!A:A,0)),0)</f>
        <v>-15037000</v>
      </c>
      <c r="D144" s="11">
        <f>IFERROR(INDEX('درجریان وصول'!F:F,MATCH(Table228[[#This Row],[كد تفصيلي]],'درجریان وصول'!A:A,0)),0)</f>
        <v>0</v>
      </c>
      <c r="E144" s="11">
        <f>IFERROR(INDEX('چکهای دریافتنی'!F:F,MATCH(Table228[[#This Row],[كد تفصيلي]],'چکهای دریافتنی'!A:A,0)),0)</f>
        <v>0</v>
      </c>
      <c r="F144" s="11">
        <f>Table228[[#This Row],[حسابهای دریافتنی]]+Table228[[#This Row],[چکهای در جریان وصول]]+Table228[[#This Row],[چکهای نزد صندوق]]</f>
        <v>-15037000</v>
      </c>
      <c r="G144" s="12">
        <f>IFERROR(INDEX('مانده سوفاله'!F:F,MATCH(Table228[[#This Row],[كد تفصيلي]],'مانده سوفاله'!A:A,0)),0)</f>
        <v>-16</v>
      </c>
    </row>
    <row r="145" spans="1:7" customFormat="1" ht="26.25" customHeight="1" x14ac:dyDescent="0.35">
      <c r="A145" s="54">
        <v>30034</v>
      </c>
      <c r="B145" s="55" t="s">
        <v>81</v>
      </c>
      <c r="C145" s="10">
        <f>IFERROR(INDEX('حسابهای دریافتنی'!H:H,MATCH(Table228[[#This Row],[كد تفصيلي]],'حسابهای دریافتنی'!A:A,0)),0)</f>
        <v>388329200</v>
      </c>
      <c r="D145" s="11">
        <f>IFERROR(INDEX('درجریان وصول'!F:F,MATCH(Table228[[#This Row],[كد تفصيلي]],'درجریان وصول'!A:A,0)),0)</f>
        <v>0</v>
      </c>
      <c r="E145" s="11">
        <f>IFERROR(INDEX('چکهای دریافتنی'!F:F,MATCH(Table228[[#This Row],[كد تفصيلي]],'چکهای دریافتنی'!A:A,0)),0)</f>
        <v>0</v>
      </c>
      <c r="F145" s="11">
        <f>Table228[[#This Row],[حسابهای دریافتنی]]+Table228[[#This Row],[چکهای در جریان وصول]]+Table228[[#This Row],[چکهای نزد صندوق]]</f>
        <v>388329200</v>
      </c>
      <c r="G145" s="12">
        <f>IFERROR(INDEX('مانده سوفاله'!F:F,MATCH(Table228[[#This Row],[كد تفصيلي]],'مانده سوفاله'!A:A,0)),0)</f>
        <v>2886</v>
      </c>
    </row>
    <row r="146" spans="1:7" customFormat="1" ht="26.25" customHeight="1" x14ac:dyDescent="0.35">
      <c r="A146" s="54">
        <v>30042</v>
      </c>
      <c r="B146" s="55" t="s">
        <v>89</v>
      </c>
      <c r="C146" s="10">
        <f>IFERROR(INDEX('حسابهای دریافتنی'!H:H,MATCH(Table228[[#This Row],[كد تفصيلي]],'حسابهای دریافتنی'!A:A,0)),0)</f>
        <v>-18303540</v>
      </c>
      <c r="D146" s="11">
        <f>IFERROR(INDEX('درجریان وصول'!F:F,MATCH(Table228[[#This Row],[كد تفصيلي]],'درجریان وصول'!A:A,0)),0)</f>
        <v>0</v>
      </c>
      <c r="E146" s="11">
        <f>IFERROR(INDEX('چکهای دریافتنی'!F:F,MATCH(Table228[[#This Row],[كد تفصيلي]],'چکهای دریافتنی'!A:A,0)),0)</f>
        <v>0</v>
      </c>
      <c r="F146" s="11">
        <f>Table228[[#This Row],[حسابهای دریافتنی]]+Table228[[#This Row],[چکهای در جریان وصول]]+Table228[[#This Row],[چکهای نزد صندوق]]</f>
        <v>-18303540</v>
      </c>
      <c r="G146" s="12">
        <f>IFERROR(INDEX('مانده سوفاله'!F:F,MATCH(Table228[[#This Row],[كد تفصيلي]],'مانده سوفاله'!A:A,0)),0)</f>
        <v>0</v>
      </c>
    </row>
    <row r="147" spans="1:7" customFormat="1" ht="26.25" customHeight="1" x14ac:dyDescent="0.35">
      <c r="A147" s="54">
        <v>30028</v>
      </c>
      <c r="B147" s="55" t="s">
        <v>76</v>
      </c>
      <c r="C147" s="10">
        <f>IFERROR(INDEX('حسابهای دریافتنی'!H:H,MATCH(Table228[[#This Row],[كد تفصيلي]],'حسابهای دریافتنی'!A:A,0)),0)</f>
        <v>-23665000</v>
      </c>
      <c r="D147" s="11">
        <f>IFERROR(INDEX('درجریان وصول'!F:F,MATCH(Table228[[#This Row],[كد تفصيلي]],'درجریان وصول'!A:A,0)),0)</f>
        <v>0</v>
      </c>
      <c r="E147" s="11">
        <f>IFERROR(INDEX('چکهای دریافتنی'!F:F,MATCH(Table228[[#This Row],[كد تفصيلي]],'چکهای دریافتنی'!A:A,0)),0)</f>
        <v>0</v>
      </c>
      <c r="F147" s="11">
        <f>Table228[[#This Row],[حسابهای دریافتنی]]+Table228[[#This Row],[چکهای در جریان وصول]]+Table228[[#This Row],[چکهای نزد صندوق]]</f>
        <v>-23665000</v>
      </c>
      <c r="G147" s="12">
        <f>IFERROR(INDEX('مانده سوفاله'!F:F,MATCH(Table228[[#This Row],[كد تفصيلي]],'مانده سوفاله'!A:A,0)),0)</f>
        <v>0</v>
      </c>
    </row>
    <row r="148" spans="1:7" customFormat="1" ht="26.25" customHeight="1" x14ac:dyDescent="0.35">
      <c r="A148" s="53">
        <v>30072</v>
      </c>
      <c r="B148" s="56" t="s">
        <v>117</v>
      </c>
      <c r="C148" s="10">
        <f>IFERROR(INDEX('حسابهای دریافتنی'!H:H,MATCH(Table228[[#This Row],[كد تفصيلي]],'حسابهای دریافتنی'!A:A,0)),0)</f>
        <v>-30178900</v>
      </c>
      <c r="D148" s="11">
        <f>IFERROR(INDEX('درجریان وصول'!F:F,MATCH(Table228[[#This Row],[كد تفصيلي]],'درجریان وصول'!A:A,0)),0)</f>
        <v>0</v>
      </c>
      <c r="E148" s="11">
        <f>IFERROR(INDEX('چکهای دریافتنی'!F:F,MATCH(Table228[[#This Row],[كد تفصيلي]],'چکهای دریافتنی'!A:A,0)),0)</f>
        <v>0</v>
      </c>
      <c r="F148" s="11">
        <f>Table228[[#This Row],[حسابهای دریافتنی]]+Table228[[#This Row],[چکهای در جریان وصول]]+Table228[[#This Row],[چکهای نزد صندوق]]</f>
        <v>-30178900</v>
      </c>
      <c r="G148" s="12">
        <f>IFERROR(INDEX('مانده سوفاله'!F:F,MATCH(Table228[[#This Row],[كد تفصيلي]],'مانده سوفاله'!A:A,0)),0)</f>
        <v>-79</v>
      </c>
    </row>
    <row r="149" spans="1:7" customFormat="1" ht="26.25" customHeight="1" x14ac:dyDescent="0.35">
      <c r="A149" s="53">
        <v>30098</v>
      </c>
      <c r="B149" s="56" t="s">
        <v>238</v>
      </c>
      <c r="C149" s="10">
        <f>IFERROR(INDEX('حسابهای دریافتنی'!H:H,MATCH(Table228[[#This Row],[كد تفصيلي]],'حسابهای دریافتنی'!A:A,0)),0)</f>
        <v>-45125000</v>
      </c>
      <c r="D149" s="11">
        <f>IFERROR(INDEX('درجریان وصول'!F:F,MATCH(Table228[[#This Row],[كد تفصيلي]],'درجریان وصول'!A:A,0)),0)</f>
        <v>0</v>
      </c>
      <c r="E149" s="11">
        <f>IFERROR(INDEX('چکهای دریافتنی'!F:F,MATCH(Table228[[#This Row],[كد تفصيلي]],'چکهای دریافتنی'!A:A,0)),0)</f>
        <v>0</v>
      </c>
      <c r="F149" s="11">
        <f>Table228[[#This Row],[حسابهای دریافتنی]]+Table228[[#This Row],[چکهای در جریان وصول]]+Table228[[#This Row],[چکهای نزد صندوق]]</f>
        <v>-45125000</v>
      </c>
      <c r="G149" s="12">
        <f>IFERROR(INDEX('مانده سوفاله'!F:F,MATCH(Table228[[#This Row],[كد تفصيلي]],'مانده سوفاله'!A:A,0)),0)</f>
        <v>0</v>
      </c>
    </row>
    <row r="150" spans="1:7" customFormat="1" ht="26.25" customHeight="1" x14ac:dyDescent="0.35">
      <c r="A150" s="53">
        <v>30064</v>
      </c>
      <c r="B150" s="56" t="s">
        <v>109</v>
      </c>
      <c r="C150" s="10">
        <f>IFERROR(INDEX('حسابهای دریافتنی'!H:H,MATCH(Table228[[#This Row],[كد تفصيلي]],'حسابهای دریافتنی'!A:A,0)),0)</f>
        <v>-49679500</v>
      </c>
      <c r="D150" s="11">
        <f>IFERROR(INDEX('درجریان وصول'!F:F,MATCH(Table228[[#This Row],[كد تفصيلي]],'درجریان وصول'!A:A,0)),0)</f>
        <v>0</v>
      </c>
      <c r="E150" s="11">
        <f>IFERROR(INDEX('چکهای دریافتنی'!F:F,MATCH(Table228[[#This Row],[كد تفصيلي]],'چکهای دریافتنی'!A:A,0)),0)</f>
        <v>0</v>
      </c>
      <c r="F150" s="11">
        <f>Table228[[#This Row],[حسابهای دریافتنی]]+Table228[[#This Row],[چکهای در جریان وصول]]+Table228[[#This Row],[چکهای نزد صندوق]]</f>
        <v>-49679500</v>
      </c>
      <c r="G150" s="12">
        <f>IFERROR(INDEX('مانده سوفاله'!F:F,MATCH(Table228[[#This Row],[كد تفصيلي]],'مانده سوفاله'!A:A,0)),0)</f>
        <v>0</v>
      </c>
    </row>
    <row r="151" spans="1:7" customFormat="1" ht="26.25" customHeight="1" x14ac:dyDescent="0.35">
      <c r="A151" s="54">
        <v>10123</v>
      </c>
      <c r="B151" s="55" t="s">
        <v>340</v>
      </c>
      <c r="C151" s="10">
        <f>IFERROR(INDEX('حسابهای دریافتنی'!H:H,MATCH(Table228[[#This Row],[كد تفصيلي]],'حسابهای دریافتنی'!A:A,0)),0)</f>
        <v>-50813000</v>
      </c>
      <c r="D151" s="11">
        <f>IFERROR(INDEX('درجریان وصول'!F:F,MATCH(Table228[[#This Row],[كد تفصيلي]],'درجریان وصول'!A:A,0)),0)</f>
        <v>0</v>
      </c>
      <c r="E151" s="11">
        <f>IFERROR(INDEX('چکهای دریافتنی'!F:F,MATCH(Table228[[#This Row],[كد تفصيلي]],'چکهای دریافتنی'!A:A,0)),0)</f>
        <v>0</v>
      </c>
      <c r="F151" s="11">
        <f>Table228[[#This Row],[حسابهای دریافتنی]]+Table228[[#This Row],[چکهای در جریان وصول]]+Table228[[#This Row],[چکهای نزد صندوق]]</f>
        <v>-50813000</v>
      </c>
      <c r="G151" s="12">
        <f>IFERROR(INDEX('مانده سوفاله'!F:F,MATCH(Table228[[#This Row],[كد تفصيلي]],'مانده سوفاله'!A:A,0)),0)</f>
        <v>0</v>
      </c>
    </row>
    <row r="152" spans="1:7" customFormat="1" ht="26.25" customHeight="1" x14ac:dyDescent="0.35">
      <c r="A152" s="54">
        <v>30000</v>
      </c>
      <c r="B152" s="55" t="s">
        <v>189</v>
      </c>
      <c r="C152" s="10">
        <f>IFERROR(INDEX('حسابهای دریافتنی'!H:H,MATCH(Table228[[#This Row],[كد تفصيلي]],'حسابهای دریافتنی'!A:A,0)),0)</f>
        <v>-55440000</v>
      </c>
      <c r="D152" s="11">
        <f>IFERROR(INDEX('درجریان وصول'!F:F,MATCH(Table228[[#This Row],[كد تفصيلي]],'درجریان وصول'!A:A,0)),0)</f>
        <v>0</v>
      </c>
      <c r="E152" s="11">
        <f>IFERROR(INDEX('چکهای دریافتنی'!F:F,MATCH(Table228[[#This Row],[كد تفصيلي]],'چکهای دریافتنی'!A:A,0)),0)</f>
        <v>0</v>
      </c>
      <c r="F152" s="11">
        <f>Table228[[#This Row],[حسابهای دریافتنی]]+Table228[[#This Row],[چکهای در جریان وصول]]+Table228[[#This Row],[چکهای نزد صندوق]]</f>
        <v>-55440000</v>
      </c>
      <c r="G152" s="12">
        <f>IFERROR(INDEX('مانده سوفاله'!F:F,MATCH(Table228[[#This Row],[كد تفصيلي]],'مانده سوفاله'!A:A,0)),0)</f>
        <v>0</v>
      </c>
    </row>
    <row r="153" spans="1:7" customFormat="1" ht="26.25" customHeight="1" x14ac:dyDescent="0.35">
      <c r="A153" s="54">
        <v>30133</v>
      </c>
      <c r="B153" s="55" t="s">
        <v>251</v>
      </c>
      <c r="C153" s="10">
        <f>IFERROR(INDEX('حسابهای دریافتنی'!H:H,MATCH(Table228[[#This Row],[كد تفصيلي]],'حسابهای دریافتنی'!A:A,0)),0)</f>
        <v>-66889500</v>
      </c>
      <c r="D153" s="11">
        <f>IFERROR(INDEX('درجریان وصول'!F:F,MATCH(Table228[[#This Row],[كد تفصيلي]],'درجریان وصول'!A:A,0)),0)</f>
        <v>0</v>
      </c>
      <c r="E153" s="11">
        <f>IFERROR(INDEX('چکهای دریافتنی'!F:F,MATCH(Table228[[#This Row],[كد تفصيلي]],'چکهای دریافتنی'!A:A,0)),0)</f>
        <v>0</v>
      </c>
      <c r="F153" s="11">
        <f>Table228[[#This Row],[حسابهای دریافتنی]]+Table228[[#This Row],[چکهای در جریان وصول]]+Table228[[#This Row],[چکهای نزد صندوق]]</f>
        <v>-66889500</v>
      </c>
      <c r="G153" s="12">
        <f>IFERROR(INDEX('مانده سوفاله'!F:F,MATCH(Table228[[#This Row],[كد تفصيلي]],'مانده سوفاله'!A:A,0)),0)</f>
        <v>0</v>
      </c>
    </row>
    <row r="154" spans="1:7" customFormat="1" ht="26.25" customHeight="1" x14ac:dyDescent="0.35">
      <c r="A154" s="53">
        <v>30168</v>
      </c>
      <c r="B154" s="56" t="s">
        <v>313</v>
      </c>
      <c r="C154" s="10">
        <f>IFERROR(INDEX('حسابهای دریافتنی'!H:H,MATCH(Table228[[#This Row],[كد تفصيلي]],'حسابهای دریافتنی'!A:A,0)),0)</f>
        <v>-104220000</v>
      </c>
      <c r="D154" s="11">
        <f>IFERROR(INDEX('درجریان وصول'!F:F,MATCH(Table228[[#This Row],[كد تفصيلي]],'درجریان وصول'!A:A,0)),0)</f>
        <v>0</v>
      </c>
      <c r="E154" s="11">
        <f>IFERROR(INDEX('چکهای دریافتنی'!F:F,MATCH(Table228[[#This Row],[كد تفصيلي]],'چکهای دریافتنی'!A:A,0)),0)</f>
        <v>0</v>
      </c>
      <c r="F154" s="11">
        <f>Table228[[#This Row],[حسابهای دریافتنی]]+Table228[[#This Row],[چکهای در جریان وصول]]+Table228[[#This Row],[چکهای نزد صندوق]]</f>
        <v>-104220000</v>
      </c>
      <c r="G154" s="12">
        <f>IFERROR(INDEX('مانده سوفاله'!F:F,MATCH(Table228[[#This Row],[كد تفصيلي]],'مانده سوفاله'!A:A,0)),0)</f>
        <v>0</v>
      </c>
    </row>
    <row r="155" spans="1:7" customFormat="1" ht="26.25" customHeight="1" x14ac:dyDescent="0.35">
      <c r="A155" s="53">
        <v>30164</v>
      </c>
      <c r="B155" s="56" t="s">
        <v>304</v>
      </c>
      <c r="C155" s="10">
        <f>IFERROR(INDEX('حسابهای دریافتنی'!H:H,MATCH(Table228[[#This Row],[كد تفصيلي]],'حسابهای دریافتنی'!A:A,0)),0)</f>
        <v>184944000</v>
      </c>
      <c r="D155" s="11">
        <f>IFERROR(INDEX('درجریان وصول'!F:F,MATCH(Table228[[#This Row],[كد تفصيلي]],'درجریان وصول'!A:A,0)),0)</f>
        <v>0</v>
      </c>
      <c r="E155" s="11">
        <f>IFERROR(INDEX('چکهای دریافتنی'!F:F,MATCH(Table228[[#This Row],[كد تفصيلي]],'چکهای دریافتنی'!A:A,0)),0)</f>
        <v>0</v>
      </c>
      <c r="F155" s="11">
        <f>Table228[[#This Row],[حسابهای دریافتنی]]+Table228[[#This Row],[چکهای در جریان وصول]]+Table228[[#This Row],[چکهای نزد صندوق]]</f>
        <v>184944000</v>
      </c>
      <c r="G155" s="12">
        <f>IFERROR(INDEX('مانده سوفاله'!F:F,MATCH(Table228[[#This Row],[كد تفصيلي]],'مانده سوفاله'!A:A,0)),0)</f>
        <v>561</v>
      </c>
    </row>
    <row r="156" spans="1:7" customFormat="1" ht="26.25" customHeight="1" x14ac:dyDescent="0.35">
      <c r="A156" s="53">
        <v>10089</v>
      </c>
      <c r="B156" s="56" t="s">
        <v>255</v>
      </c>
      <c r="C156" s="10">
        <f>IFERROR(INDEX('حسابهای دریافتنی'!H:H,MATCH(Table228[[#This Row],[كد تفصيلي]],'حسابهای دریافتنی'!A:A,0)),0)</f>
        <v>-143944000</v>
      </c>
      <c r="D156" s="11">
        <f>IFERROR(INDEX('درجریان وصول'!F:F,MATCH(Table228[[#This Row],[كد تفصيلي]],'درجریان وصول'!A:A,0)),0)</f>
        <v>0</v>
      </c>
      <c r="E156" s="11">
        <f>IFERROR(INDEX('چکهای دریافتنی'!F:F,MATCH(Table228[[#This Row],[كد تفصيلي]],'چکهای دریافتنی'!A:A,0)),0)</f>
        <v>0</v>
      </c>
      <c r="F156" s="11">
        <f>Table228[[#This Row],[حسابهای دریافتنی]]+Table228[[#This Row],[چکهای در جریان وصول]]+Table228[[#This Row],[چکهای نزد صندوق]]</f>
        <v>-143944000</v>
      </c>
      <c r="G156" s="12">
        <f>IFERROR(INDEX('مانده سوفاله'!F:F,MATCH(Table228[[#This Row],[كد تفصيلي]],'مانده سوفاله'!A:A,0)),0)</f>
        <v>-948</v>
      </c>
    </row>
    <row r="157" spans="1:7" customFormat="1" ht="26.25" customHeight="1" x14ac:dyDescent="0.35">
      <c r="A157" s="53">
        <v>10093</v>
      </c>
      <c r="B157" s="56" t="s">
        <v>264</v>
      </c>
      <c r="C157" s="10">
        <f>IFERROR(INDEX('حسابهای دریافتنی'!H:H,MATCH(Table228[[#This Row],[كد تفصيلي]],'حسابهای دریافتنی'!A:A,0)),0)</f>
        <v>-2214000</v>
      </c>
      <c r="D157" s="11">
        <f>IFERROR(INDEX('درجریان وصول'!F:F,MATCH(Table228[[#This Row],[كد تفصيلي]],'درجریان وصول'!A:A,0)),0)</f>
        <v>0</v>
      </c>
      <c r="E157" s="11">
        <f>IFERROR(INDEX('چکهای دریافتنی'!F:F,MATCH(Table228[[#This Row],[كد تفصيلي]],'چکهای دریافتنی'!A:A,0)),0)</f>
        <v>0</v>
      </c>
      <c r="F157" s="11">
        <f>Table228[[#This Row],[حسابهای دریافتنی]]+Table228[[#This Row],[چکهای در جریان وصول]]+Table228[[#This Row],[چکهای نزد صندوق]]</f>
        <v>-2214000</v>
      </c>
      <c r="G157" s="12">
        <f>IFERROR(INDEX('مانده سوفاله'!F:F,MATCH(Table228[[#This Row],[كد تفصيلي]],'مانده سوفاله'!A:A,0)),0)</f>
        <v>0</v>
      </c>
    </row>
    <row r="158" spans="1:7" customFormat="1" ht="26.25" customHeight="1" x14ac:dyDescent="0.35">
      <c r="A158" s="53">
        <v>30156</v>
      </c>
      <c r="B158" s="56" t="s">
        <v>290</v>
      </c>
      <c r="C158" s="10">
        <f>IFERROR(INDEX('حسابهای دریافتنی'!H:H,MATCH(Table228[[#This Row],[كد تفصيلي]],'حسابهای دریافتنی'!A:A,0)),0)</f>
        <v>-180917500</v>
      </c>
      <c r="D158" s="11">
        <f>IFERROR(INDEX('درجریان وصول'!F:F,MATCH(Table228[[#This Row],[كد تفصيلي]],'درجریان وصول'!A:A,0)),0)</f>
        <v>0</v>
      </c>
      <c r="E158" s="11">
        <f>IFERROR(INDEX('چکهای دریافتنی'!F:F,MATCH(Table228[[#This Row],[كد تفصيلي]],'چکهای دریافتنی'!A:A,0)),0)</f>
        <v>0</v>
      </c>
      <c r="F158" s="11">
        <f>Table228[[#This Row],[حسابهای دریافتنی]]+Table228[[#This Row],[چکهای در جریان وصول]]+Table228[[#This Row],[چکهای نزد صندوق]]</f>
        <v>-180917500</v>
      </c>
      <c r="G158" s="12">
        <f>IFERROR(INDEX('مانده سوفاله'!F:F,MATCH(Table228[[#This Row],[كد تفصيلي]],'مانده سوفاله'!A:A,0)),0)</f>
        <v>0</v>
      </c>
    </row>
    <row r="159" spans="1:7" customFormat="1" ht="26.25" customHeight="1" x14ac:dyDescent="0.35">
      <c r="A159" s="53">
        <v>10139</v>
      </c>
      <c r="B159" s="56" t="s">
        <v>518</v>
      </c>
      <c r="C159" s="10">
        <f>IFERROR(INDEX('حسابهای دریافتنی'!H:H,MATCH(Table228[[#This Row],[كد تفصيلي]],'حسابهای دریافتنی'!A:A,0)),0)</f>
        <v>-267193000</v>
      </c>
      <c r="D159" s="11">
        <f>IFERROR(INDEX('درجریان وصول'!F:F,MATCH(Table228[[#This Row],[كد تفصيلي]],'درجریان وصول'!A:A,0)),0)</f>
        <v>0</v>
      </c>
      <c r="E159" s="11">
        <f>IFERROR(INDEX('چکهای دریافتنی'!F:F,MATCH(Table228[[#This Row],[كد تفصيلي]],'چکهای دریافتنی'!A:A,0)),0)</f>
        <v>0</v>
      </c>
      <c r="F159" s="11">
        <f>Table228[[#This Row],[حسابهای دریافتنی]]+Table228[[#This Row],[چکهای در جریان وصول]]+Table228[[#This Row],[چکهای نزد صندوق]]</f>
        <v>-267193000</v>
      </c>
      <c r="G159" s="12">
        <f>IFERROR(INDEX('مانده سوفاله'!F:F,MATCH(Table228[[#This Row],[كد تفصيلي]],'مانده سوفاله'!A:A,0)),0)</f>
        <v>0</v>
      </c>
    </row>
    <row r="160" spans="1:7" customFormat="1" ht="26.25" customHeight="1" x14ac:dyDescent="0.35">
      <c r="A160" s="53">
        <v>10079</v>
      </c>
      <c r="B160" s="56" t="s">
        <v>174</v>
      </c>
      <c r="C160" s="10">
        <f>IFERROR(INDEX('حسابهای دریافتنی'!H:H,MATCH(Table228[[#This Row],[كد تفصيلي]],'حسابهای دریافتنی'!A:A,0)),0)</f>
        <v>-226593500</v>
      </c>
      <c r="D160" s="11">
        <f>IFERROR(INDEX('درجریان وصول'!F:F,MATCH(Table228[[#This Row],[كد تفصيلي]],'درجریان وصول'!A:A,0)),0)</f>
        <v>0</v>
      </c>
      <c r="E160" s="11">
        <f>IFERROR(INDEX('چکهای دریافتنی'!F:F,MATCH(Table228[[#This Row],[كد تفصيلي]],'چکهای دریافتنی'!A:A,0)),0)</f>
        <v>0</v>
      </c>
      <c r="F160" s="11">
        <f>Table228[[#This Row],[حسابهای دریافتنی]]+Table228[[#This Row],[چکهای در جریان وصول]]+Table228[[#This Row],[چکهای نزد صندوق]]</f>
        <v>-226593500</v>
      </c>
      <c r="G160" s="12">
        <f>IFERROR(INDEX('مانده سوفاله'!F:F,MATCH(Table228[[#This Row],[كد تفصيلي]],'مانده سوفاله'!A:A,0)),0)</f>
        <v>0</v>
      </c>
    </row>
    <row r="161" spans="1:7" customFormat="1" ht="26.25" customHeight="1" x14ac:dyDescent="0.35">
      <c r="A161" s="53">
        <v>30146</v>
      </c>
      <c r="B161" s="56" t="s">
        <v>266</v>
      </c>
      <c r="C161" s="10">
        <f>IFERROR(INDEX('حسابهای دریافتنی'!H:H,MATCH(Table228[[#This Row],[كد تفصيلي]],'حسابهای دریافتنی'!A:A,0)),0)</f>
        <v>-4146512500</v>
      </c>
      <c r="D161" s="11">
        <f>IFERROR(INDEX('درجریان وصول'!F:F,MATCH(Table228[[#This Row],[كد تفصيلي]],'درجریان وصول'!A:A,0)),0)</f>
        <v>0</v>
      </c>
      <c r="E161" s="11">
        <f>IFERROR(INDEX('چکهای دریافتنی'!F:F,MATCH(Table228[[#This Row],[كد تفصيلي]],'چکهای دریافتنی'!A:A,0)),0)</f>
        <v>0</v>
      </c>
      <c r="F161" s="11">
        <f>Table228[[#This Row],[حسابهای دریافتنی]]+Table228[[#This Row],[چکهای در جریان وصول]]+Table228[[#This Row],[چکهای نزد صندوق]]</f>
        <v>-4146512500</v>
      </c>
      <c r="G161" s="12">
        <f>IFERROR(INDEX('مانده سوفاله'!F:F,MATCH(Table228[[#This Row],[كد تفصيلي]],'مانده سوفاله'!A:A,0)),0)</f>
        <v>2823</v>
      </c>
    </row>
    <row r="162" spans="1:7" customFormat="1" ht="26.25" customHeight="1" x14ac:dyDescent="0.35">
      <c r="A162" s="54">
        <v>10018</v>
      </c>
      <c r="B162" s="55" t="s">
        <v>25</v>
      </c>
      <c r="C162" s="10">
        <f>IFERROR(INDEX('حسابهای دریافتنی'!H:H,MATCH(Table228[[#This Row],[كد تفصيلي]],'حسابهای دریافتنی'!A:A,0)),0)</f>
        <v>95282000</v>
      </c>
      <c r="D162" s="11">
        <f>IFERROR(INDEX('درجریان وصول'!F:F,MATCH(Table228[[#This Row],[كد تفصيلي]],'درجریان وصول'!A:A,0)),0)</f>
        <v>0</v>
      </c>
      <c r="E162" s="11">
        <f>IFERROR(INDEX('چکهای دریافتنی'!F:F,MATCH(Table228[[#This Row],[كد تفصيلي]],'چکهای دریافتنی'!A:A,0)),0)</f>
        <v>0</v>
      </c>
      <c r="F162" s="11">
        <f>Table228[[#This Row],[حسابهای دریافتنی]]+Table228[[#This Row],[چکهای در جریان وصول]]+Table228[[#This Row],[چکهای نزد صندوق]]</f>
        <v>95282000</v>
      </c>
      <c r="G162" s="12">
        <f>IFERROR(INDEX('مانده سوفاله'!F:F,MATCH(Table228[[#This Row],[كد تفصيلي]],'مانده سوفاله'!A:A,0)),0)</f>
        <v>-32</v>
      </c>
    </row>
    <row r="163" spans="1:7" customFormat="1" ht="26.25" customHeight="1" x14ac:dyDescent="0.35">
      <c r="A163" s="54">
        <v>50008</v>
      </c>
      <c r="B163" s="55" t="s">
        <v>146</v>
      </c>
      <c r="C163" s="10">
        <f>IFERROR(INDEX('حسابهای دریافتنی'!H:H,MATCH(Table228[[#This Row],[كد تفصيلي]],'حسابهای دریافتنی'!A:A,0)),0)</f>
        <v>-406230000</v>
      </c>
      <c r="D163" s="11">
        <f>IFERROR(INDEX('درجریان وصول'!F:F,MATCH(Table228[[#This Row],[كد تفصيلي]],'درجریان وصول'!A:A,0)),0)</f>
        <v>0</v>
      </c>
      <c r="E163" s="11">
        <f>IFERROR(INDEX('چکهای دریافتنی'!F:F,MATCH(Table228[[#This Row],[كد تفصيلي]],'چکهای دریافتنی'!A:A,0)),0)</f>
        <v>0</v>
      </c>
      <c r="F163" s="11">
        <f>Table228[[#This Row],[حسابهای دریافتنی]]+Table228[[#This Row],[چکهای در جریان وصول]]+Table228[[#This Row],[چکهای نزد صندوق]]</f>
        <v>-406230000</v>
      </c>
      <c r="G163" s="12">
        <f>IFERROR(INDEX('مانده سوفاله'!F:F,MATCH(Table228[[#This Row],[كد تفصيلي]],'مانده سوفاله'!A:A,0)),0)</f>
        <v>0</v>
      </c>
    </row>
    <row r="164" spans="1:7" customFormat="1" ht="26.25" customHeight="1" x14ac:dyDescent="0.35">
      <c r="A164" s="54">
        <v>10104</v>
      </c>
      <c r="B164" s="55" t="s">
        <v>293</v>
      </c>
      <c r="C164" s="10">
        <f>IFERROR(INDEX('حسابهای دریافتنی'!H:H,MATCH(Table228[[#This Row],[كد تفصيلي]],'حسابهای دریافتنی'!A:A,0)),0)</f>
        <v>0</v>
      </c>
      <c r="D164" s="11">
        <f>IFERROR(INDEX('درجریان وصول'!F:F,MATCH(Table228[[#This Row],[كد تفصيلي]],'درجریان وصول'!A:A,0)),0)</f>
        <v>0</v>
      </c>
      <c r="E164" s="11">
        <f>IFERROR(INDEX('چکهای دریافتنی'!F:F,MATCH(Table228[[#This Row],[كد تفصيلي]],'چکهای دریافتنی'!A:A,0)),0)</f>
        <v>0</v>
      </c>
      <c r="F164" s="11">
        <f>Table228[[#This Row],[حسابهای دریافتنی]]+Table228[[#This Row],[چکهای در جریان وصول]]+Table228[[#This Row],[چکهای نزد صندوق]]</f>
        <v>0</v>
      </c>
      <c r="G164" s="12">
        <f>IFERROR(INDEX('مانده سوفاله'!F:F,MATCH(Table228[[#This Row],[كد تفصيلي]],'مانده سوفاله'!A:A,0)),0)</f>
        <v>4065</v>
      </c>
    </row>
    <row r="165" spans="1:7" customFormat="1" ht="26.25" customHeight="1" x14ac:dyDescent="0.35">
      <c r="A165" s="53">
        <v>30182</v>
      </c>
      <c r="B165" s="56" t="s">
        <v>342</v>
      </c>
      <c r="C165" s="10">
        <f>IFERROR(INDEX('حسابهای دریافتنی'!H:H,MATCH(Table228[[#This Row],[كد تفصيلي]],'حسابهای دریافتنی'!A:A,0)),0)</f>
        <v>-528256400</v>
      </c>
      <c r="D165" s="11">
        <f>IFERROR(INDEX('درجریان وصول'!F:F,MATCH(Table228[[#This Row],[كد تفصيلي]],'درجریان وصول'!A:A,0)),0)</f>
        <v>0</v>
      </c>
      <c r="E165" s="11">
        <f>IFERROR(INDEX('چکهای دریافتنی'!F:F,MATCH(Table228[[#This Row],[كد تفصيلي]],'چکهای دریافتنی'!A:A,0)),0)</f>
        <v>0</v>
      </c>
      <c r="F165" s="11">
        <f>Table228[[#This Row],[حسابهای دریافتنی]]+Table228[[#This Row],[چکهای در جریان وصول]]+Table228[[#This Row],[چکهای نزد صندوق]]</f>
        <v>-528256400</v>
      </c>
      <c r="G165" s="12">
        <f>IFERROR(INDEX('مانده سوفاله'!F:F,MATCH(Table228[[#This Row],[كد تفصيلي]],'مانده سوفاله'!A:A,0)),0)</f>
        <v>0</v>
      </c>
    </row>
    <row r="166" spans="1:7" customFormat="1" ht="26.25" customHeight="1" x14ac:dyDescent="0.35">
      <c r="A166" s="54">
        <v>30006</v>
      </c>
      <c r="B166" s="55" t="s">
        <v>56</v>
      </c>
      <c r="C166" s="10">
        <f>IFERROR(INDEX('حسابهای دریافتنی'!H:H,MATCH(Table228[[#This Row],[كد تفصيلي]],'حسابهای دریافتنی'!A:A,0)),0)</f>
        <v>-162677545</v>
      </c>
      <c r="D166" s="11">
        <f>IFERROR(INDEX('درجریان وصول'!F:F,MATCH(Table228[[#This Row],[كد تفصيلي]],'درجریان وصول'!A:A,0)),0)</f>
        <v>0</v>
      </c>
      <c r="E166" s="11">
        <f>IFERROR(INDEX('چکهای دریافتنی'!F:F,MATCH(Table228[[#This Row],[كد تفصيلي]],'چکهای دریافتنی'!A:A,0)),0)</f>
        <v>0</v>
      </c>
      <c r="F166" s="11">
        <f>Table228[[#This Row],[حسابهای دریافتنی]]+Table228[[#This Row],[چکهای در جریان وصول]]+Table228[[#This Row],[چکهای نزد صندوق]]</f>
        <v>-162677545</v>
      </c>
      <c r="G166" s="12">
        <f>IFERROR(INDEX('مانده سوفاله'!F:F,MATCH(Table228[[#This Row],[كد تفصيلي]],'مانده سوفاله'!A:A,0)),0)</f>
        <v>-6</v>
      </c>
    </row>
    <row r="167" spans="1:7" ht="26.25" customHeight="1" x14ac:dyDescent="0.35">
      <c r="A167" s="26">
        <v>10133</v>
      </c>
      <c r="B167" s="56" t="s">
        <v>465</v>
      </c>
      <c r="C167" s="10">
        <f>IFERROR(INDEX('حسابهای دریافتنی'!H:H,MATCH(Table228[[#This Row],[كد تفصيلي]],'حسابهای دریافتنی'!A:A,0)),0)</f>
        <v>-1249039000</v>
      </c>
      <c r="D167" s="11">
        <f>IFERROR(INDEX('درجریان وصول'!F:F,MATCH(Table228[[#This Row],[كد تفصيلي]],'درجریان وصول'!A:A,0)),0)</f>
        <v>0</v>
      </c>
      <c r="E167" s="11">
        <f>IFERROR(INDEX('چکهای دریافتنی'!F:F,MATCH(Table228[[#This Row],[كد تفصيلي]],'چکهای دریافتنی'!A:A,0)),0)</f>
        <v>0</v>
      </c>
      <c r="F167" s="11">
        <f>Table228[[#This Row],[حسابهای دریافتنی]]+Table228[[#This Row],[چکهای در جریان وصول]]+Table228[[#This Row],[چکهای نزد صندوق]]</f>
        <v>-1249039000</v>
      </c>
      <c r="G167" s="12">
        <f>IFERROR(INDEX('مانده سوفاله'!F:F,MATCH(Table228[[#This Row],[كد تفصيلي]],'مانده سوفاله'!A:A,0)),0)</f>
        <v>0</v>
      </c>
    </row>
    <row r="168" spans="1:7" ht="26.25" customHeight="1" x14ac:dyDescent="0.35">
      <c r="A168" s="27">
        <v>30040</v>
      </c>
      <c r="B168" s="55" t="s">
        <v>87</v>
      </c>
      <c r="C168" s="10">
        <f>IFERROR(INDEX('حسابهای دریافتنی'!H:H,MATCH(Table228[[#This Row],[كد تفصيلي]],'حسابهای دریافتنی'!A:A,0)),0)</f>
        <v>0</v>
      </c>
      <c r="D168" s="11">
        <f>IFERROR(INDEX('درجریان وصول'!F:F,MATCH(Table228[[#This Row],[كد تفصيلي]],'درجریان وصول'!A:A,0)),0)</f>
        <v>0</v>
      </c>
      <c r="E168" s="11">
        <f>IFERROR(INDEX('چکهای دریافتنی'!F:F,MATCH(Table228[[#This Row],[كد تفصيلي]],'چکهای دریافتنی'!A:A,0)),0)</f>
        <v>0</v>
      </c>
      <c r="F168" s="11">
        <f>Table228[[#This Row],[حسابهای دریافتنی]]+Table228[[#This Row],[چکهای در جریان وصول]]+Table228[[#This Row],[چکهای نزد صندوق]]</f>
        <v>0</v>
      </c>
      <c r="G168" s="12">
        <f>IFERROR(INDEX('مانده سوفاله'!F:F,MATCH(Table228[[#This Row],[كد تفصيلي]],'مانده سوفاله'!A:A,0)),0)</f>
        <v>0</v>
      </c>
    </row>
    <row r="169" spans="1:7" ht="26.25" customHeight="1" x14ac:dyDescent="0.35">
      <c r="A169" s="27">
        <v>10092</v>
      </c>
      <c r="B169" s="55" t="s">
        <v>260</v>
      </c>
      <c r="C169" s="10">
        <f>IFERROR(INDEX('حسابهای دریافتنی'!H:H,MATCH(Table228[[#This Row],[كد تفصيلي]],'حسابهای دریافتنی'!A:A,0)),0)</f>
        <v>-1749946500</v>
      </c>
      <c r="D169" s="11">
        <f>IFERROR(INDEX('درجریان وصول'!F:F,MATCH(Table228[[#This Row],[كد تفصيلي]],'درجریان وصول'!A:A,0)),0)</f>
        <v>0</v>
      </c>
      <c r="E169" s="11">
        <f>IFERROR(INDEX('چکهای دریافتنی'!F:F,MATCH(Table228[[#This Row],[كد تفصيلي]],'چکهای دریافتنی'!A:A,0)),0)</f>
        <v>300000000</v>
      </c>
      <c r="F169" s="11">
        <f>Table228[[#This Row],[حسابهای دریافتنی]]+Table228[[#This Row],[چکهای در جریان وصول]]+Table228[[#This Row],[چکهای نزد صندوق]]</f>
        <v>-1449946500</v>
      </c>
      <c r="G169" s="12">
        <f>IFERROR(INDEX('مانده سوفاله'!F:F,MATCH(Table228[[#This Row],[كد تفصيلي]],'مانده سوفاله'!A:A,0)),0)</f>
        <v>0</v>
      </c>
    </row>
    <row r="170" spans="1:7" ht="26.25" customHeight="1" x14ac:dyDescent="0.35">
      <c r="A170" s="26">
        <v>10140</v>
      </c>
      <c r="B170" s="56" t="s">
        <v>524</v>
      </c>
      <c r="C170" s="10">
        <f>IFERROR(INDEX('حسابهای دریافتنی'!H:H,MATCH(Table228[[#This Row],[كد تفصيلي]],'حسابهای دریافتنی'!A:A,0)),0)</f>
        <v>0</v>
      </c>
      <c r="D170" s="11">
        <f>IFERROR(INDEX('درجریان وصول'!F:F,MATCH(Table228[[#This Row],[كد تفصيلي]],'درجریان وصول'!A:A,0)),0)</f>
        <v>0</v>
      </c>
      <c r="E170" s="11">
        <f>IFERROR(INDEX('چکهای دریافتنی'!F:F,MATCH(Table228[[#This Row],[كد تفصيلي]],'چکهای دریافتنی'!A:A,0)),0)</f>
        <v>0</v>
      </c>
      <c r="F170" s="11">
        <f>Table228[[#This Row],[حسابهای دریافتنی]]+Table228[[#This Row],[چکهای در جریان وصول]]+Table228[[#This Row],[چکهای نزد صندوق]]</f>
        <v>0</v>
      </c>
      <c r="G170" s="12">
        <f>IFERROR(INDEX('مانده سوفاله'!F:F,MATCH(Table228[[#This Row],[كد تفصيلي]],'مانده سوفاله'!A:A,0)),0)</f>
        <v>0</v>
      </c>
    </row>
    <row r="171" spans="1:7" ht="26.25" customHeight="1" x14ac:dyDescent="0.35">
      <c r="A171" s="27">
        <v>30165</v>
      </c>
      <c r="B171" s="55" t="s">
        <v>310</v>
      </c>
      <c r="C171" s="10">
        <f>IFERROR(INDEX('حسابهای دریافتنی'!H:H,MATCH(Table228[[#This Row],[كد تفصيلي]],'حسابهای دریافتنی'!A:A,0)),0)</f>
        <v>-1139268000</v>
      </c>
      <c r="D171" s="11">
        <f>IFERROR(INDEX('درجریان وصول'!F:F,MATCH(Table228[[#This Row],[كد تفصيلي]],'درجریان وصول'!A:A,0)),0)</f>
        <v>0</v>
      </c>
      <c r="E171" s="11">
        <f>IFERROR(INDEX('چکهای دریافتنی'!F:F,MATCH(Table228[[#This Row],[كد تفصيلي]],'چکهای دریافتنی'!A:A,0)),0)</f>
        <v>0</v>
      </c>
      <c r="F171" s="11">
        <f>Table228[[#This Row],[حسابهای دریافتنی]]+Table228[[#This Row],[چکهای در جریان وصول]]+Table228[[#This Row],[چکهای نزد صندوق]]</f>
        <v>-1139268000</v>
      </c>
      <c r="G171" s="12">
        <f>IFERROR(INDEX('مانده سوفاله'!F:F,MATCH(Table228[[#This Row],[كد تفصيلي]],'مانده سوفاله'!A:A,0)),0)</f>
        <v>0</v>
      </c>
    </row>
    <row r="172" spans="1:7" ht="26.25" customHeight="1" x14ac:dyDescent="0.35">
      <c r="A172" s="27">
        <v>30169</v>
      </c>
      <c r="B172" s="55" t="s">
        <v>318</v>
      </c>
      <c r="C172" s="10">
        <f>IFERROR(INDEX('حسابهای دریافتنی'!H:H,MATCH(Table228[[#This Row],[كد تفصيلي]],'حسابهای دریافتنی'!A:A,0)),0)</f>
        <v>-658993316</v>
      </c>
      <c r="D172" s="11">
        <f>IFERROR(INDEX('درجریان وصول'!F:F,MATCH(Table228[[#This Row],[كد تفصيلي]],'درجریان وصول'!A:A,0)),0)</f>
        <v>0</v>
      </c>
      <c r="E172" s="11">
        <f>IFERROR(INDEX('چکهای دریافتنی'!F:F,MATCH(Table228[[#This Row],[كد تفصيلي]],'چکهای دریافتنی'!A:A,0)),0)</f>
        <v>2085000000</v>
      </c>
      <c r="F172" s="11">
        <f>Table228[[#This Row],[حسابهای دریافتنی]]+Table228[[#This Row],[چکهای در جریان وصول]]+Table228[[#This Row],[چکهای نزد صندوق]]</f>
        <v>1426006684</v>
      </c>
      <c r="G172" s="12">
        <f>IFERROR(INDEX('مانده سوفاله'!F:F,MATCH(Table228[[#This Row],[كد تفصيلي]],'مانده سوفاله'!A:A,0)),0)</f>
        <v>0</v>
      </c>
    </row>
    <row r="173" spans="1:7" ht="26.25" customHeight="1" x14ac:dyDescent="0.35">
      <c r="A173" s="26">
        <v>10019</v>
      </c>
      <c r="B173" s="56" t="s">
        <v>26</v>
      </c>
      <c r="C173" s="10">
        <f>IFERROR(INDEX('حسابهای دریافتنی'!H:H,MATCH(Table228[[#This Row],[كد تفصيلي]],'حسابهای دریافتنی'!A:A,0)),0)</f>
        <v>0</v>
      </c>
      <c r="D173" s="11">
        <f>IFERROR(INDEX('درجریان وصول'!F:F,MATCH(Table228[[#This Row],[كد تفصيلي]],'درجریان وصول'!A:A,0)),0)</f>
        <v>0</v>
      </c>
      <c r="E173" s="11">
        <f>IFERROR(INDEX('چکهای دریافتنی'!F:F,MATCH(Table228[[#This Row],[كد تفصيلي]],'چکهای دریافتنی'!A:A,0)),0)</f>
        <v>0</v>
      </c>
      <c r="F173" s="11">
        <f>Table228[[#This Row],[حسابهای دریافتنی]]+Table228[[#This Row],[چکهای در جریان وصول]]+Table228[[#This Row],[چکهای نزد صندوق]]</f>
        <v>0</v>
      </c>
      <c r="G173" s="12">
        <f>IFERROR(INDEX('مانده سوفاله'!F:F,MATCH(Table228[[#This Row],[كد تفصيلي]],'مانده سوفاله'!A:A,0)),0)</f>
        <v>285</v>
      </c>
    </row>
    <row r="174" spans="1:7" ht="26.25" customHeight="1" x14ac:dyDescent="0.35">
      <c r="A174" s="27">
        <v>10109</v>
      </c>
      <c r="B174" s="55" t="s">
        <v>303</v>
      </c>
      <c r="C174" s="10">
        <f>IFERROR(INDEX('حسابهای دریافتنی'!H:H,MATCH(Table228[[#This Row],[كد تفصيلي]],'حسابهای دریافتنی'!A:A,0)),0)</f>
        <v>-1124737000</v>
      </c>
      <c r="D174" s="11">
        <f>IFERROR(INDEX('درجریان وصول'!F:F,MATCH(Table228[[#This Row],[كد تفصيلي]],'درجریان وصول'!A:A,0)),0)</f>
        <v>0</v>
      </c>
      <c r="E174" s="11">
        <f>IFERROR(INDEX('چکهای دریافتنی'!F:F,MATCH(Table228[[#This Row],[كد تفصيلي]],'چکهای دریافتنی'!A:A,0)),0)</f>
        <v>0</v>
      </c>
      <c r="F174" s="11">
        <f>Table228[[#This Row],[حسابهای دریافتنی]]+Table228[[#This Row],[چکهای در جریان وصول]]+Table228[[#This Row],[چکهای نزد صندوق]]</f>
        <v>-1124737000</v>
      </c>
      <c r="G174" s="12">
        <f>IFERROR(INDEX('مانده سوفاله'!F:F,MATCH(Table228[[#This Row],[كد تفصيلي]],'مانده سوفاله'!A:A,0)),0)</f>
        <v>-241</v>
      </c>
    </row>
    <row r="175" spans="1:7" ht="26.25" customHeight="1" x14ac:dyDescent="0.35">
      <c r="A175" s="26">
        <v>30019</v>
      </c>
      <c r="B175" s="56" t="s">
        <v>67</v>
      </c>
      <c r="C175" s="10">
        <f>IFERROR(INDEX('حسابهای دریافتنی'!H:H,MATCH(Table228[[#This Row],[كد تفصيلي]],'حسابهای دریافتنی'!A:A,0)),0)</f>
        <v>823484840</v>
      </c>
      <c r="D175" s="11">
        <f>IFERROR(INDEX('درجریان وصول'!F:F,MATCH(Table228[[#This Row],[كد تفصيلي]],'درجریان وصول'!A:A,0)),0)</f>
        <v>0</v>
      </c>
      <c r="E175" s="11">
        <f>IFERROR(INDEX('چکهای دریافتنی'!F:F,MATCH(Table228[[#This Row],[كد تفصيلي]],'چکهای دریافتنی'!A:A,0)),0)</f>
        <v>0</v>
      </c>
      <c r="F175" s="11">
        <f>Table228[[#This Row],[حسابهای دریافتنی]]+Table228[[#This Row],[چکهای در جریان وصول]]+Table228[[#This Row],[چکهای نزد صندوق]]</f>
        <v>823484840</v>
      </c>
      <c r="G175" s="12">
        <f>IFERROR(INDEX('مانده سوفاله'!F:F,MATCH(Table228[[#This Row],[كد تفصيلي]],'مانده سوفاله'!A:A,0)),0)</f>
        <v>612</v>
      </c>
    </row>
    <row r="176" spans="1:7" ht="26.25" customHeight="1" x14ac:dyDescent="0.35">
      <c r="A176" s="27">
        <v>30093</v>
      </c>
      <c r="B176" s="55" t="s">
        <v>151</v>
      </c>
      <c r="C176" s="10">
        <f>IFERROR(INDEX('حسابهای دریافتنی'!H:H,MATCH(Table228[[#This Row],[كد تفصيلي]],'حسابهای دریافتنی'!A:A,0)),0)</f>
        <v>0</v>
      </c>
      <c r="D176" s="11">
        <f>IFERROR(INDEX('درجریان وصول'!F:F,MATCH(Table228[[#This Row],[كد تفصيلي]],'درجریان وصول'!A:A,0)),0)</f>
        <v>0</v>
      </c>
      <c r="E176" s="11">
        <f>IFERROR(INDEX('چکهای دریافتنی'!F:F,MATCH(Table228[[#This Row],[كد تفصيلي]],'چکهای دریافتنی'!A:A,0)),0)</f>
        <v>0</v>
      </c>
      <c r="F176" s="11">
        <f>Table228[[#This Row],[حسابهای دریافتنی]]+Table228[[#This Row],[چکهای در جریان وصول]]+Table228[[#This Row],[چکهای نزد صندوق]]</f>
        <v>0</v>
      </c>
      <c r="G176" s="12">
        <f>IFERROR(INDEX('مانده سوفاله'!F:F,MATCH(Table228[[#This Row],[كد تفصيلي]],'مانده سوفاله'!A:A,0)),0)</f>
        <v>0</v>
      </c>
    </row>
    <row r="177" spans="1:7" ht="26.25" customHeight="1" x14ac:dyDescent="0.35">
      <c r="A177" s="26">
        <v>10009</v>
      </c>
      <c r="B177" s="56" t="s">
        <v>16</v>
      </c>
      <c r="C177" s="10">
        <f>IFERROR(INDEX('حسابهای دریافتنی'!H:H,MATCH(Table228[[#This Row],[كد تفصيلي]],'حسابهای دریافتنی'!A:A,0)),0)</f>
        <v>-4260580000</v>
      </c>
      <c r="D177" s="11">
        <f>IFERROR(INDEX('درجریان وصول'!F:F,MATCH(Table228[[#This Row],[كد تفصيلي]],'درجریان وصول'!A:A,0)),0)</f>
        <v>0</v>
      </c>
      <c r="E177" s="11">
        <f>IFERROR(INDEX('چکهای دریافتنی'!F:F,MATCH(Table228[[#This Row],[كد تفصيلي]],'چکهای دریافتنی'!A:A,0)),0)</f>
        <v>1600000000</v>
      </c>
      <c r="F177" s="11">
        <f>Table228[[#This Row],[حسابهای دریافتنی]]+Table228[[#This Row],[چکهای در جریان وصول]]+Table228[[#This Row],[چکهای نزد صندوق]]</f>
        <v>-2660580000</v>
      </c>
      <c r="G177" s="12">
        <f>IFERROR(INDEX('مانده سوفاله'!F:F,MATCH(Table228[[#This Row],[كد تفصيلي]],'مانده سوفاله'!A:A,0)),0)</f>
        <v>9952</v>
      </c>
    </row>
    <row r="178" spans="1:7" ht="26.25" customHeight="1" x14ac:dyDescent="0.35">
      <c r="A178" s="27">
        <v>30131</v>
      </c>
      <c r="B178" s="55" t="s">
        <v>213</v>
      </c>
      <c r="C178" s="10">
        <f>IFERROR(INDEX('حسابهای دریافتنی'!H:H,MATCH(Table228[[#This Row],[كد تفصيلي]],'حسابهای دریافتنی'!A:A,0)),0)</f>
        <v>-6228486500</v>
      </c>
      <c r="D178" s="11">
        <f>IFERROR(INDEX('درجریان وصول'!F:F,MATCH(Table228[[#This Row],[كد تفصيلي]],'درجریان وصول'!A:A,0)),0)</f>
        <v>0</v>
      </c>
      <c r="E178" s="11">
        <f>IFERROR(INDEX('چکهای دریافتنی'!F:F,MATCH(Table228[[#This Row],[كد تفصيلي]],'چکهای دریافتنی'!A:A,0)),0)</f>
        <v>0</v>
      </c>
      <c r="F178" s="11">
        <f>Table228[[#This Row],[حسابهای دریافتنی]]+Table228[[#This Row],[چکهای در جریان وصول]]+Table228[[#This Row],[چکهای نزد صندوق]]</f>
        <v>-6228486500</v>
      </c>
      <c r="G178" s="12">
        <f>IFERROR(INDEX('مانده سوفاله'!F:F,MATCH(Table228[[#This Row],[كد تفصيلي]],'مانده سوفاله'!A:A,0)),0)</f>
        <v>222</v>
      </c>
    </row>
    <row r="179" spans="1:7" ht="26.25" customHeight="1" x14ac:dyDescent="0.35">
      <c r="A179" s="27">
        <v>79043</v>
      </c>
      <c r="B179" s="55" t="s">
        <v>156</v>
      </c>
      <c r="C179" s="10">
        <f>IFERROR(INDEX('حسابهای دریافتنی'!H:H,MATCH(Table228[[#This Row],[كد تفصيلي]],'حسابهای دریافتنی'!A:A,0)),0)</f>
        <v>-16110730000</v>
      </c>
      <c r="D179" s="11">
        <f>IFERROR(INDEX('درجریان وصول'!F:F,MATCH(Table228[[#This Row],[كد تفصيلي]],'درجریان وصول'!A:A,0)),0)</f>
        <v>0</v>
      </c>
      <c r="E179" s="11">
        <f>IFERROR(INDEX('چکهای دریافتنی'!F:F,MATCH(Table228[[#This Row],[كد تفصيلي]],'چکهای دریافتنی'!A:A,0)),0)</f>
        <v>0</v>
      </c>
      <c r="F179" s="11">
        <f>Table228[[#This Row],[حسابهای دریافتنی]]+Table228[[#This Row],[چکهای در جریان وصول]]+Table228[[#This Row],[چکهای نزد صندوق]]</f>
        <v>-16110730000</v>
      </c>
      <c r="G179" s="12">
        <f>IFERROR(INDEX('مانده سوفاله'!F:F,MATCH(Table228[[#This Row],[كد تفصيلي]],'مانده سوفاله'!A:A,0)),0)</f>
        <v>0</v>
      </c>
    </row>
    <row r="180" spans="1:7" ht="26.25" customHeight="1" x14ac:dyDescent="0.35">
      <c r="A180" s="26">
        <v>79120</v>
      </c>
      <c r="B180" s="56" t="s">
        <v>195</v>
      </c>
      <c r="C180" s="10">
        <f>IFERROR(INDEX('حسابهای دریافتنی'!H:H,MATCH(Table228[[#This Row],[كد تفصيلي]],'حسابهای دریافتنی'!A:A,0)),0)</f>
        <v>-15776160000</v>
      </c>
      <c r="D180" s="11">
        <f>IFERROR(INDEX('درجریان وصول'!F:F,MATCH(Table228[[#This Row],[كد تفصيلي]],'درجریان وصول'!A:A,0)),0)</f>
        <v>0</v>
      </c>
      <c r="E180" s="11">
        <f>IFERROR(INDEX('چکهای دریافتنی'!F:F,MATCH(Table228[[#This Row],[كد تفصيلي]],'چکهای دریافتنی'!A:A,0)),0)</f>
        <v>0</v>
      </c>
      <c r="F180" s="11">
        <f>Table228[[#This Row],[حسابهای دریافتنی]]+Table228[[#This Row],[چکهای در جریان وصول]]+Table228[[#This Row],[چکهای نزد صندوق]]</f>
        <v>-15776160000</v>
      </c>
      <c r="G180" s="12">
        <f>IFERROR(INDEX('مانده سوفاله'!F:F,MATCH(Table228[[#This Row],[كد تفصيلي]],'مانده سوفاله'!A:A,0)),0)</f>
        <v>0</v>
      </c>
    </row>
    <row r="181" spans="1:7" ht="26.25" customHeight="1" x14ac:dyDescent="0.35">
      <c r="A181" s="36"/>
      <c r="B181" s="37"/>
      <c r="C181" s="38">
        <f>SUBTOTAL(109,Table228[حسابهای دریافتنی])</f>
        <v>56276531479</v>
      </c>
      <c r="D181" s="38">
        <f>SUBTOTAL(109,Table228[چکهای در جریان وصول])</f>
        <v>0</v>
      </c>
      <c r="E181" s="38">
        <f>SUBTOTAL(109,Table228[چکهای نزد صندوق])</f>
        <v>62507828942</v>
      </c>
      <c r="F181" s="38"/>
      <c r="G181" s="39">
        <f>SUBTOTAL(109,Table228[مانده سوفاله])</f>
        <v>-123232.5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80"/>
  <sheetViews>
    <sheetView rightToLeft="1" topLeftCell="A73" workbookViewId="0">
      <selection activeCell="A172" sqref="A172:XFD172"/>
    </sheetView>
  </sheetViews>
  <sheetFormatPr defaultColWidth="9.08984375" defaultRowHeight="24.75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7.75" customHeight="1" thickBot="1" x14ac:dyDescent="0.4">
      <c r="A1" s="97" t="s">
        <v>533</v>
      </c>
      <c r="B1" s="98"/>
      <c r="C1" s="98"/>
      <c r="D1" s="98"/>
      <c r="E1" s="98"/>
      <c r="F1" s="98"/>
      <c r="G1" s="99"/>
    </row>
    <row r="2" spans="1:7" s="2" customFormat="1" ht="51.7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4.75" customHeight="1" x14ac:dyDescent="0.35">
      <c r="A3" s="74">
        <v>30004</v>
      </c>
      <c r="B3" s="73" t="s">
        <v>54</v>
      </c>
      <c r="C3" s="10">
        <f>IFERROR(INDEX('حسابهای دریافتنی'!H:H,MATCH(Table229[[#This Row],[كد تفصيلي]],'حسابهای دریافتنی'!A:A,0)),0)</f>
        <v>7598548260</v>
      </c>
      <c r="D3" s="11">
        <f>IFERROR(INDEX('درجریان وصول'!F:F,MATCH(Table229[[#This Row],[كد تفصيلي]],'درجریان وصول'!A:A,0)),0)</f>
        <v>0</v>
      </c>
      <c r="E3" s="11">
        <f>IFERROR(INDEX('چکهای دریافتنی'!F:F,MATCH(Table229[[#This Row],[كد تفصيلي]],'چکهای دریافتنی'!A:A,0)),0)</f>
        <v>11698760000</v>
      </c>
      <c r="F3" s="11">
        <f>Table229[[#This Row],[حسابهای دریافتنی]]+Table229[[#This Row],[چکهای در جریان وصول]]+Table229[[#This Row],[چکهای نزد صندوق]]</f>
        <v>19297308260</v>
      </c>
      <c r="G3" s="12">
        <f>IFERROR(INDEX('مانده سوفاله'!F:F,MATCH(Table229[[#This Row],[كد تفصيلي]],'مانده سوفاله'!A:A,0)),0)</f>
        <v>-4237</v>
      </c>
    </row>
    <row r="4" spans="1:7" ht="24.75" customHeight="1" x14ac:dyDescent="0.35">
      <c r="A4" s="74">
        <v>30127</v>
      </c>
      <c r="B4" s="73" t="s">
        <v>163</v>
      </c>
      <c r="C4" s="10">
        <f>IFERROR(INDEX('حسابهای دریافتنی'!H:H,MATCH(Table229[[#This Row],[كد تفصيلي]],'حسابهای دریافتنی'!A:A,0)),0)</f>
        <v>31800110000</v>
      </c>
      <c r="D4" s="11">
        <f>IFERROR(INDEX('درجریان وصول'!F:F,MATCH(Table229[[#This Row],[كد تفصيلي]],'درجریان وصول'!A:A,0)),0)</f>
        <v>0</v>
      </c>
      <c r="E4" s="11">
        <f>IFERROR(INDEX('چکهای دریافتنی'!F:F,MATCH(Table229[[#This Row],[كد تفصيلي]],'چکهای دریافتنی'!A:A,0)),0)</f>
        <v>0</v>
      </c>
      <c r="F4" s="11">
        <f>Table229[[#This Row],[حسابهای دریافتنی]]+Table229[[#This Row],[چکهای در جریان وصول]]+Table229[[#This Row],[چکهای نزد صندوق]]</f>
        <v>31800110000</v>
      </c>
      <c r="G4" s="12">
        <f>IFERROR(INDEX('مانده سوفاله'!F:F,MATCH(Table229[[#This Row],[كد تفصيلي]],'مانده سوفاله'!A:A,0)),0)</f>
        <v>-18472</v>
      </c>
    </row>
    <row r="5" spans="1:7" ht="24.75" customHeight="1" x14ac:dyDescent="0.35">
      <c r="A5" s="75">
        <v>10003</v>
      </c>
      <c r="B5" s="72" t="s">
        <v>10</v>
      </c>
      <c r="C5" s="10">
        <f>IFERROR(INDEX('حسابهای دریافتنی'!H:H,MATCH(Table229[[#This Row],[كد تفصيلي]],'حسابهای دریافتنی'!A:A,0)),0)</f>
        <v>10804267992</v>
      </c>
      <c r="D5" s="11">
        <f>IFERROR(INDEX('درجریان وصول'!F:F,MATCH(Table229[[#This Row],[كد تفصيلي]],'درجریان وصول'!A:A,0)),0)</f>
        <v>0</v>
      </c>
      <c r="E5" s="11">
        <f>IFERROR(INDEX('چکهای دریافتنی'!F:F,MATCH(Table229[[#This Row],[كد تفصيلي]],'چکهای دریافتنی'!A:A,0)),0)</f>
        <v>13698001280</v>
      </c>
      <c r="F5" s="11">
        <f>Table229[[#This Row],[حسابهای دریافتنی]]+Table229[[#This Row],[چکهای در جریان وصول]]+Table229[[#This Row],[چکهای نزد صندوق]]</f>
        <v>24502269272</v>
      </c>
      <c r="G5" s="12">
        <f>IFERROR(INDEX('مانده سوفاله'!F:F,MATCH(Table229[[#This Row],[كد تفصيلي]],'مانده سوفاله'!A:A,0)),0)</f>
        <v>-39886</v>
      </c>
    </row>
    <row r="6" spans="1:7" ht="24.75" customHeight="1" x14ac:dyDescent="0.35">
      <c r="A6" s="74">
        <v>10026</v>
      </c>
      <c r="B6" s="73" t="s">
        <v>32</v>
      </c>
      <c r="C6" s="10">
        <f>IFERROR(INDEX('حسابهای دریافتنی'!H:H,MATCH(Table229[[#This Row],[كد تفصيلي]],'حسابهای دریافتنی'!A:A,0)),0)</f>
        <v>3795031844</v>
      </c>
      <c r="D6" s="11">
        <f>IFERROR(INDEX('درجریان وصول'!F:F,MATCH(Table229[[#This Row],[كد تفصيلي]],'درجریان وصول'!A:A,0)),0)</f>
        <v>0</v>
      </c>
      <c r="E6" s="11">
        <f>IFERROR(INDEX('چکهای دریافتنی'!F:F,MATCH(Table229[[#This Row],[كد تفصيلي]],'چکهای دریافتنی'!A:A,0)),0)</f>
        <v>2690000000</v>
      </c>
      <c r="F6" s="11">
        <f>Table229[[#This Row],[حسابهای دریافتنی]]+Table229[[#This Row],[چکهای در جریان وصول]]+Table229[[#This Row],[چکهای نزد صندوق]]</f>
        <v>6485031844</v>
      </c>
      <c r="G6" s="12">
        <f>IFERROR(INDEX('مانده سوفاله'!F:F,MATCH(Table229[[#This Row],[كد تفصيلي]],'مانده سوفاله'!A:A,0)),0)</f>
        <v>-12543</v>
      </c>
    </row>
    <row r="7" spans="1:7" ht="24.75" customHeight="1" x14ac:dyDescent="0.35">
      <c r="A7" s="75">
        <v>30066</v>
      </c>
      <c r="B7" s="72" t="s">
        <v>111</v>
      </c>
      <c r="C7" s="10">
        <f>IFERROR(INDEX('حسابهای دریافتنی'!H:H,MATCH(Table229[[#This Row],[كد تفصيلي]],'حسابهای دریافتنی'!A:A,0)),0)</f>
        <v>6484147500</v>
      </c>
      <c r="D7" s="11">
        <f>IFERROR(INDEX('درجریان وصول'!F:F,MATCH(Table229[[#This Row],[كد تفصيلي]],'درجریان وصول'!A:A,0)),0)</f>
        <v>0</v>
      </c>
      <c r="E7" s="11">
        <f>IFERROR(INDEX('چکهای دریافتنی'!F:F,MATCH(Table229[[#This Row],[كد تفصيلي]],'چکهای دریافتنی'!A:A,0)),0)</f>
        <v>0</v>
      </c>
      <c r="F7" s="11">
        <f>Table229[[#This Row],[حسابهای دریافتنی]]+Table229[[#This Row],[چکهای در جریان وصول]]+Table229[[#This Row],[چکهای نزد صندوق]]</f>
        <v>6484147500</v>
      </c>
      <c r="G7" s="12">
        <f>IFERROR(INDEX('مانده سوفاله'!F:F,MATCH(Table229[[#This Row],[كد تفصيلي]],'مانده سوفاله'!A:A,0)),0)</f>
        <v>-1320</v>
      </c>
    </row>
    <row r="8" spans="1:7" ht="24.75" customHeight="1" x14ac:dyDescent="0.35">
      <c r="A8" s="75">
        <v>10055</v>
      </c>
      <c r="B8" s="72" t="s">
        <v>162</v>
      </c>
      <c r="C8" s="10">
        <f>IFERROR(INDEX('حسابهای دریافتنی'!H:H,MATCH(Table229[[#This Row],[كد تفصيلي]],'حسابهای دریافتنی'!A:A,0)),0)</f>
        <v>10460111325</v>
      </c>
      <c r="D8" s="11">
        <f>IFERROR(INDEX('درجریان وصول'!F:F,MATCH(Table229[[#This Row],[كد تفصيلي]],'درجریان وصول'!A:A,0)),0)</f>
        <v>0</v>
      </c>
      <c r="E8" s="11">
        <f>IFERROR(INDEX('چکهای دریافتنی'!F:F,MATCH(Table229[[#This Row],[كد تفصيلي]],'چکهای دریافتنی'!A:A,0)),0)</f>
        <v>2783298655</v>
      </c>
      <c r="F8" s="11">
        <f>Table229[[#This Row],[حسابهای دریافتنی]]+Table229[[#This Row],[چکهای در جریان وصول]]+Table229[[#This Row],[چکهای نزد صندوق]]</f>
        <v>13243409980</v>
      </c>
      <c r="G8" s="12">
        <f>IFERROR(INDEX('مانده سوفاله'!F:F,MATCH(Table229[[#This Row],[كد تفصيلي]],'مانده سوفاله'!A:A,0)),0)</f>
        <v>-12714</v>
      </c>
    </row>
    <row r="9" spans="1:7" ht="24.75" customHeight="1" x14ac:dyDescent="0.35">
      <c r="A9" s="74">
        <v>50016</v>
      </c>
      <c r="B9" s="73" t="s">
        <v>160</v>
      </c>
      <c r="C9" s="10">
        <f>IFERROR(INDEX('حسابهای دریافتنی'!H:H,MATCH(Table229[[#This Row],[كد تفصيلي]],'حسابهای دریافتنی'!A:A,0)),0)</f>
        <v>6344545550</v>
      </c>
      <c r="D9" s="11">
        <f>IFERROR(INDEX('درجریان وصول'!F:F,MATCH(Table229[[#This Row],[كد تفصيلي]],'درجریان وصول'!A:A,0)),0)</f>
        <v>0</v>
      </c>
      <c r="E9" s="11">
        <f>IFERROR(INDEX('چکهای دریافتنی'!F:F,MATCH(Table229[[#This Row],[كد تفصيلي]],'چکهای دریافتنی'!A:A,0)),0)</f>
        <v>0</v>
      </c>
      <c r="F9" s="11">
        <f>Table229[[#This Row],[حسابهای دریافتنی]]+Table229[[#This Row],[چکهای در جریان وصول]]+Table229[[#This Row],[چکهای نزد صندوق]]</f>
        <v>6344545550</v>
      </c>
      <c r="G9" s="12">
        <f>IFERROR(INDEX('مانده سوفاله'!F:F,MATCH(Table229[[#This Row],[كد تفصيلي]],'مانده سوفاله'!A:A,0)),0)</f>
        <v>5508</v>
      </c>
    </row>
    <row r="10" spans="1:7" ht="24.75" customHeight="1" x14ac:dyDescent="0.35">
      <c r="A10" s="75">
        <v>30009</v>
      </c>
      <c r="B10" s="72" t="s">
        <v>164</v>
      </c>
      <c r="C10" s="10">
        <f>IFERROR(INDEX('حسابهای دریافتنی'!H:H,MATCH(Table229[[#This Row],[كد تفصيلي]],'حسابهای دریافتنی'!A:A,0)),0)</f>
        <v>7853844277</v>
      </c>
      <c r="D10" s="11">
        <f>IFERROR(INDEX('درجریان وصول'!F:F,MATCH(Table229[[#This Row],[كد تفصيلي]],'درجریان وصول'!A:A,0)),0)</f>
        <v>0</v>
      </c>
      <c r="E10" s="11">
        <f>IFERROR(INDEX('چکهای دریافتنی'!F:F,MATCH(Table229[[#This Row],[كد تفصيلي]],'چکهای دریافتنی'!A:A,0)),0)</f>
        <v>6474835380</v>
      </c>
      <c r="F10" s="11">
        <f>Table229[[#This Row],[حسابهای دریافتنی]]+Table229[[#This Row],[چکهای در جریان وصول]]+Table229[[#This Row],[چکهای نزد صندوق]]</f>
        <v>14328679657</v>
      </c>
      <c r="G10" s="12">
        <f>IFERROR(INDEX('مانده سوفاله'!F:F,MATCH(Table229[[#This Row],[كد تفصيلي]],'مانده سوفاله'!A:A,0)),0)</f>
        <v>-11452</v>
      </c>
    </row>
    <row r="11" spans="1:7" ht="24.75" customHeight="1" x14ac:dyDescent="0.35">
      <c r="A11" s="75">
        <v>10097</v>
      </c>
      <c r="B11" s="72" t="s">
        <v>270</v>
      </c>
      <c r="C11" s="10">
        <f>IFERROR(INDEX('حسابهای دریافتنی'!H:H,MATCH(Table229[[#This Row],[كد تفصيلي]],'حسابهای دریافتنی'!A:A,0)),0)</f>
        <v>270642500</v>
      </c>
      <c r="D11" s="11">
        <f>IFERROR(INDEX('درجریان وصول'!F:F,MATCH(Table229[[#This Row],[كد تفصيلي]],'درجریان وصول'!A:A,0)),0)</f>
        <v>0</v>
      </c>
      <c r="E11" s="11">
        <f>IFERROR(INDEX('چکهای دریافتنی'!F:F,MATCH(Table229[[#This Row],[كد تفصيلي]],'چکهای دریافتنی'!A:A,0)),0)</f>
        <v>287000000</v>
      </c>
      <c r="F11" s="11">
        <f>Table229[[#This Row],[حسابهای دریافتنی]]+Table229[[#This Row],[چکهای در جریان وصول]]+Table229[[#This Row],[چکهای نزد صندوق]]</f>
        <v>557642500</v>
      </c>
      <c r="G11" s="12">
        <f>IFERROR(INDEX('مانده سوفاله'!F:F,MATCH(Table229[[#This Row],[كد تفصيلي]],'مانده سوفاله'!A:A,0)),0)</f>
        <v>0</v>
      </c>
    </row>
    <row r="12" spans="1:7" ht="24.75" customHeight="1" x14ac:dyDescent="0.35">
      <c r="A12" s="75">
        <v>30186</v>
      </c>
      <c r="B12" s="72" t="s">
        <v>367</v>
      </c>
      <c r="C12" s="10">
        <f>IFERROR(INDEX('حسابهای دریافتنی'!H:H,MATCH(Table229[[#This Row],[كد تفصيلي]],'حسابهای دریافتنی'!A:A,0)),0)</f>
        <v>986425000</v>
      </c>
      <c r="D12" s="11">
        <f>IFERROR(INDEX('درجریان وصول'!F:F,MATCH(Table229[[#This Row],[كد تفصيلي]],'درجریان وصول'!A:A,0)),0)</f>
        <v>0</v>
      </c>
      <c r="E12" s="11">
        <f>IFERROR(INDEX('چکهای دریافتنی'!F:F,MATCH(Table229[[#This Row],[كد تفصيلي]],'چکهای دریافتنی'!A:A,0)),0)</f>
        <v>5982430000</v>
      </c>
      <c r="F12" s="11">
        <f>Table229[[#This Row],[حسابهای دریافتنی]]+Table229[[#This Row],[چکهای در جریان وصول]]+Table229[[#This Row],[چکهای نزد صندوق]]</f>
        <v>6968855000</v>
      </c>
      <c r="G12" s="12">
        <f>IFERROR(INDEX('مانده سوفاله'!F:F,MATCH(Table229[[#This Row],[كد تفصيلي]],'مانده سوفاله'!A:A,0)),0)</f>
        <v>-7388</v>
      </c>
    </row>
    <row r="13" spans="1:7" ht="24.75" customHeight="1" x14ac:dyDescent="0.35">
      <c r="A13" s="74">
        <v>30131</v>
      </c>
      <c r="B13" s="73" t="s">
        <v>213</v>
      </c>
      <c r="C13" s="10">
        <f>IFERROR(INDEX('حسابهای دریافتنی'!H:H,MATCH(Table229[[#This Row],[كد تفصيلي]],'حسابهای دریافتنی'!A:A,0)),0)</f>
        <v>-6228486500</v>
      </c>
      <c r="D13" s="11">
        <f>IFERROR(INDEX('درجریان وصول'!F:F,MATCH(Table229[[#This Row],[كد تفصيلي]],'درجریان وصول'!A:A,0)),0)</f>
        <v>0</v>
      </c>
      <c r="E13" s="11">
        <f>IFERROR(INDEX('چکهای دریافتنی'!F:F,MATCH(Table229[[#This Row],[كد تفصيلي]],'چکهای دریافتنی'!A:A,0)),0)</f>
        <v>0</v>
      </c>
      <c r="F13" s="11">
        <f>Table229[[#This Row],[حسابهای دریافتنی]]+Table229[[#This Row],[چکهای در جریان وصول]]+Table229[[#This Row],[چکهای نزد صندوق]]</f>
        <v>-6228486500</v>
      </c>
      <c r="G13" s="12">
        <f>IFERROR(INDEX('مانده سوفاله'!F:F,MATCH(Table229[[#This Row],[كد تفصيلي]],'مانده سوفاله'!A:A,0)),0)</f>
        <v>222</v>
      </c>
    </row>
    <row r="14" spans="1:7" ht="24.75" customHeight="1" x14ac:dyDescent="0.35">
      <c r="A14" s="75">
        <v>30140</v>
      </c>
      <c r="B14" s="72" t="s">
        <v>259</v>
      </c>
      <c r="C14" s="10">
        <f>IFERROR(INDEX('حسابهای دریافتنی'!H:H,MATCH(Table229[[#This Row],[كد تفصيلي]],'حسابهای دریافتنی'!A:A,0)),0)</f>
        <v>553728200</v>
      </c>
      <c r="D14" s="11">
        <f>IFERROR(INDEX('درجریان وصول'!F:F,MATCH(Table229[[#This Row],[كد تفصيلي]],'درجریان وصول'!A:A,0)),0)</f>
        <v>0</v>
      </c>
      <c r="E14" s="11">
        <f>IFERROR(INDEX('چکهای دریافتنی'!F:F,MATCH(Table229[[#This Row],[كد تفصيلي]],'چکهای دریافتنی'!A:A,0)),0)</f>
        <v>1030000000</v>
      </c>
      <c r="F14" s="11">
        <f>Table229[[#This Row],[حسابهای دریافتنی]]+Table229[[#This Row],[چکهای در جریان وصول]]+Table229[[#This Row],[چکهای نزد صندوق]]</f>
        <v>1583728200</v>
      </c>
      <c r="G14" s="12">
        <f>IFERROR(INDEX('مانده سوفاله'!F:F,MATCH(Table229[[#This Row],[كد تفصيلي]],'مانده سوفاله'!A:A,0)),0)</f>
        <v>-12630</v>
      </c>
    </row>
    <row r="15" spans="1:7" ht="24.75" customHeight="1" x14ac:dyDescent="0.35">
      <c r="A15" s="74">
        <v>30081</v>
      </c>
      <c r="B15" s="73" t="s">
        <v>126</v>
      </c>
      <c r="C15" s="10">
        <f>IFERROR(INDEX('حسابهای دریافتنی'!H:H,MATCH(Table229[[#This Row],[كد تفصيلي]],'حسابهای دریافتنی'!A:A,0)),0)</f>
        <v>1148992373</v>
      </c>
      <c r="D15" s="11">
        <f>IFERROR(INDEX('درجریان وصول'!F:F,MATCH(Table229[[#This Row],[كد تفصيلي]],'درجریان وصول'!A:A,0)),0)</f>
        <v>0</v>
      </c>
      <c r="E15" s="11">
        <f>IFERROR(INDEX('چکهای دریافتنی'!F:F,MATCH(Table229[[#This Row],[كد تفصيلي]],'چکهای دریافتنی'!A:A,0)),0)</f>
        <v>0</v>
      </c>
      <c r="F15" s="11">
        <f>Table229[[#This Row],[حسابهای دریافتنی]]+Table229[[#This Row],[چکهای در جریان وصول]]+Table229[[#This Row],[چکهای نزد صندوق]]</f>
        <v>1148992373</v>
      </c>
      <c r="G15" s="12">
        <f>IFERROR(INDEX('مانده سوفاله'!F:F,MATCH(Table229[[#This Row],[كد تفصيلي]],'مانده سوفاله'!A:A,0)),0)</f>
        <v>-6924</v>
      </c>
    </row>
    <row r="16" spans="1:7" ht="24.75" customHeight="1" x14ac:dyDescent="0.35">
      <c r="A16" s="74">
        <v>30099</v>
      </c>
      <c r="B16" s="73" t="s">
        <v>167</v>
      </c>
      <c r="C16" s="10">
        <f>IFERROR(INDEX('حسابهای دریافتنی'!H:H,MATCH(Table229[[#This Row],[كد تفصيلي]],'حسابهای دریافتنی'!A:A,0)),0)</f>
        <v>1398393484</v>
      </c>
      <c r="D16" s="11">
        <f>IFERROR(INDEX('درجریان وصول'!F:F,MATCH(Table229[[#This Row],[كد تفصيلي]],'درجریان وصول'!A:A,0)),0)</f>
        <v>0</v>
      </c>
      <c r="E16" s="11">
        <f>IFERROR(INDEX('چکهای دریافتنی'!F:F,MATCH(Table229[[#This Row],[كد تفصيلي]],'چکهای دریافتنی'!A:A,0)),0)</f>
        <v>583000000</v>
      </c>
      <c r="F16" s="11">
        <f>Table229[[#This Row],[حسابهای دریافتنی]]+Table229[[#This Row],[چکهای در جریان وصول]]+Table229[[#This Row],[چکهای نزد صندوق]]</f>
        <v>1981393484</v>
      </c>
      <c r="G16" s="12">
        <f>IFERROR(INDEX('مانده سوفاله'!F:F,MATCH(Table229[[#This Row],[كد تفصيلي]],'مانده سوفاله'!A:A,0)),0)</f>
        <v>-332</v>
      </c>
    </row>
    <row r="17" spans="1:7" ht="24.75" customHeight="1" x14ac:dyDescent="0.35">
      <c r="A17" s="75">
        <v>10027</v>
      </c>
      <c r="B17" s="72" t="s">
        <v>33</v>
      </c>
      <c r="C17" s="10">
        <f>IFERROR(INDEX('حسابهای دریافتنی'!H:H,MATCH(Table229[[#This Row],[كد تفصيلي]],'حسابهای دریافتنی'!A:A,0)),0)</f>
        <v>33078340</v>
      </c>
      <c r="D17" s="11">
        <f>IFERROR(INDEX('درجریان وصول'!F:F,MATCH(Table229[[#This Row],[كد تفصيلي]],'درجریان وصول'!A:A,0)),0)</f>
        <v>0</v>
      </c>
      <c r="E17" s="11">
        <f>IFERROR(INDEX('چکهای دریافتنی'!F:F,MATCH(Table229[[#This Row],[كد تفصيلي]],'چکهای دریافتنی'!A:A,0)),0)</f>
        <v>1588359160</v>
      </c>
      <c r="F17" s="11">
        <f>Table229[[#This Row],[حسابهای دریافتنی]]+Table229[[#This Row],[چکهای در جریان وصول]]+Table229[[#This Row],[چکهای نزد صندوق]]</f>
        <v>1621437500</v>
      </c>
      <c r="G17" s="12">
        <f>IFERROR(INDEX('مانده سوفاله'!F:F,MATCH(Table229[[#This Row],[كد تفصيلي]],'مانده سوفاله'!A:A,0)),0)</f>
        <v>-647</v>
      </c>
    </row>
    <row r="18" spans="1:7" ht="24.75" customHeight="1" x14ac:dyDescent="0.35">
      <c r="A18" s="74">
        <v>10070</v>
      </c>
      <c r="B18" s="73" t="s">
        <v>230</v>
      </c>
      <c r="C18" s="10">
        <f>IFERROR(INDEX('حسابهای دریافتنی'!H:H,MATCH(Table229[[#This Row],[كد تفصيلي]],'حسابهای دریافتنی'!A:A,0)),0)</f>
        <v>508152500</v>
      </c>
      <c r="D18" s="11">
        <f>IFERROR(INDEX('درجریان وصول'!F:F,MATCH(Table229[[#This Row],[كد تفصيلي]],'درجریان وصول'!A:A,0)),0)</f>
        <v>0</v>
      </c>
      <c r="E18" s="11">
        <f>IFERROR(INDEX('چکهای دریافتنی'!F:F,MATCH(Table229[[#This Row],[كد تفصيلي]],'چکهای دریافتنی'!A:A,0)),0)</f>
        <v>570000000</v>
      </c>
      <c r="F18" s="11">
        <f>Table229[[#This Row],[حسابهای دریافتنی]]+Table229[[#This Row],[چکهای در جریان وصول]]+Table229[[#This Row],[چکهای نزد صندوق]]</f>
        <v>1078152500</v>
      </c>
      <c r="G18" s="12">
        <f>IFERROR(INDEX('مانده سوفاله'!F:F,MATCH(Table229[[#This Row],[كد تفصيلي]],'مانده سوفاله'!A:A,0)),0)</f>
        <v>-3170</v>
      </c>
    </row>
    <row r="19" spans="1:7" ht="24.75" customHeight="1" x14ac:dyDescent="0.35">
      <c r="A19" s="74">
        <v>10056</v>
      </c>
      <c r="B19" s="73" t="s">
        <v>166</v>
      </c>
      <c r="C19" s="10">
        <f>IFERROR(INDEX('حسابهای دریافتنی'!H:H,MATCH(Table229[[#This Row],[كد تفصيلي]],'حسابهای دریافتنی'!A:A,0)),0)</f>
        <v>812653500</v>
      </c>
      <c r="D19" s="11">
        <f>IFERROR(INDEX('درجریان وصول'!F:F,MATCH(Table229[[#This Row],[كد تفصيلي]],'درجریان وصول'!A:A,0)),0)</f>
        <v>0</v>
      </c>
      <c r="E19" s="11">
        <f>IFERROR(INDEX('چکهای دریافتنی'!F:F,MATCH(Table229[[#This Row],[كد تفصيلي]],'چکهای دریافتنی'!A:A,0)),0)</f>
        <v>0</v>
      </c>
      <c r="F19" s="11">
        <f>Table229[[#This Row],[حسابهای دریافتنی]]+Table229[[#This Row],[چکهای در جریان وصول]]+Table229[[#This Row],[چکهای نزد صندوق]]</f>
        <v>812653500</v>
      </c>
      <c r="G19" s="12">
        <f>IFERROR(INDEX('مانده سوفاله'!F:F,MATCH(Table229[[#This Row],[كد تفصيلي]],'مانده سوفاله'!A:A,0)),0)</f>
        <v>0</v>
      </c>
    </row>
    <row r="20" spans="1:7" ht="24.75" customHeight="1" x14ac:dyDescent="0.35">
      <c r="A20" s="75">
        <v>10057</v>
      </c>
      <c r="B20" s="72" t="s">
        <v>225</v>
      </c>
      <c r="C20" s="10">
        <f>IFERROR(INDEX('حسابهای دریافتنی'!H:H,MATCH(Table229[[#This Row],[كد تفصيلي]],'حسابهای دریافتنی'!A:A,0)),0)</f>
        <v>1390485500</v>
      </c>
      <c r="D20" s="11">
        <f>IFERROR(INDEX('درجریان وصول'!F:F,MATCH(Table229[[#This Row],[كد تفصيلي]],'درجریان وصول'!A:A,0)),0)</f>
        <v>0</v>
      </c>
      <c r="E20" s="11">
        <f>IFERROR(INDEX('چکهای دریافتنی'!F:F,MATCH(Table229[[#This Row],[كد تفصيلي]],'چکهای دریافتنی'!A:A,0)),0)</f>
        <v>0</v>
      </c>
      <c r="F20" s="11">
        <f>Table229[[#This Row],[حسابهای دریافتنی]]+Table229[[#This Row],[چکهای در جریان وصول]]+Table229[[#This Row],[چکهای نزد صندوق]]</f>
        <v>1390485500</v>
      </c>
      <c r="G20" s="12">
        <f>IFERROR(INDEX('مانده سوفاله'!F:F,MATCH(Table229[[#This Row],[كد تفصيلي]],'مانده سوفاله'!A:A,0)),0)</f>
        <v>-2044</v>
      </c>
    </row>
    <row r="21" spans="1:7" ht="24.75" customHeight="1" x14ac:dyDescent="0.35">
      <c r="A21" s="75">
        <v>30058</v>
      </c>
      <c r="B21" s="72" t="s">
        <v>103</v>
      </c>
      <c r="C21" s="10">
        <f>IFERROR(INDEX('حسابهای دریافتنی'!H:H,MATCH(Table229[[#This Row],[كد تفصيلي]],'حسابهای دریافتنی'!A:A,0)),0)</f>
        <v>1700045560</v>
      </c>
      <c r="D21" s="11">
        <f>IFERROR(INDEX('درجریان وصول'!F:F,MATCH(Table229[[#This Row],[كد تفصيلي]],'درجریان وصول'!A:A,0)),0)</f>
        <v>0</v>
      </c>
      <c r="E21" s="11">
        <f>IFERROR(INDEX('چکهای دریافتنی'!F:F,MATCH(Table229[[#This Row],[كد تفصيلي]],'چکهای دریافتنی'!A:A,0)),0)</f>
        <v>0</v>
      </c>
      <c r="F21" s="11">
        <f>Table229[[#This Row],[حسابهای دریافتنی]]+Table229[[#This Row],[چکهای در جریان وصول]]+Table229[[#This Row],[چکهای نزد صندوق]]</f>
        <v>1700045560</v>
      </c>
      <c r="G21" s="12">
        <f>IFERROR(INDEX('مانده سوفاله'!F:F,MATCH(Table229[[#This Row],[كد تفصيلي]],'مانده سوفاله'!A:A,0)),0)</f>
        <v>-225</v>
      </c>
    </row>
    <row r="22" spans="1:7" ht="24.75" customHeight="1" x14ac:dyDescent="0.35">
      <c r="A22" s="74">
        <v>30196</v>
      </c>
      <c r="B22" s="73" t="s">
        <v>481</v>
      </c>
      <c r="C22" s="10">
        <f>IFERROR(INDEX('حسابهای دریافتنی'!H:H,MATCH(Table229[[#This Row],[كد تفصيلي]],'حسابهای دریافتنی'!A:A,0)),0)</f>
        <v>3592950000</v>
      </c>
      <c r="D22" s="11">
        <f>IFERROR(INDEX('درجریان وصول'!F:F,MATCH(Table229[[#This Row],[كد تفصيلي]],'درجریان وصول'!A:A,0)),0)</f>
        <v>0</v>
      </c>
      <c r="E22" s="11">
        <f>IFERROR(INDEX('چکهای دریافتنی'!F:F,MATCH(Table229[[#This Row],[كد تفصيلي]],'چکهای دریافتنی'!A:A,0)),0)</f>
        <v>0</v>
      </c>
      <c r="F22" s="11">
        <f>Table229[[#This Row],[حسابهای دریافتنی]]+Table229[[#This Row],[چکهای در جریان وصول]]+Table229[[#This Row],[چکهای نزد صندوق]]</f>
        <v>3592950000</v>
      </c>
      <c r="G22" s="12">
        <f>IFERROR(INDEX('مانده سوفاله'!F:F,MATCH(Table229[[#This Row],[كد تفصيلي]],'مانده سوفاله'!A:A,0)),0)</f>
        <v>-8965</v>
      </c>
    </row>
    <row r="23" spans="1:7" ht="24.75" customHeight="1" x14ac:dyDescent="0.35">
      <c r="A23" s="74">
        <v>30014</v>
      </c>
      <c r="B23" s="73" t="s">
        <v>63</v>
      </c>
      <c r="C23" s="10">
        <f>IFERROR(INDEX('حسابهای دریافتنی'!H:H,MATCH(Table229[[#This Row],[كد تفصيلي]],'حسابهای دریافتنی'!A:A,0)),0)</f>
        <v>1762223932</v>
      </c>
      <c r="D23" s="11">
        <f>IFERROR(INDEX('درجریان وصول'!F:F,MATCH(Table229[[#This Row],[كد تفصيلي]],'درجریان وصول'!A:A,0)),0)</f>
        <v>0</v>
      </c>
      <c r="E23" s="11">
        <f>IFERROR(INDEX('چکهای دریافتنی'!F:F,MATCH(Table229[[#This Row],[كد تفصيلي]],'چکهای دریافتنی'!A:A,0)),0)</f>
        <v>0</v>
      </c>
      <c r="F23" s="11">
        <f>Table229[[#This Row],[حسابهای دریافتنی]]+Table229[[#This Row],[چکهای در جریان وصول]]+Table229[[#This Row],[چکهای نزد صندوق]]</f>
        <v>1762223932</v>
      </c>
      <c r="G23" s="12">
        <f>IFERROR(INDEX('مانده سوفاله'!F:F,MATCH(Table229[[#This Row],[كد تفصيلي]],'مانده سوفاله'!A:A,0)),0)</f>
        <v>-1368</v>
      </c>
    </row>
    <row r="24" spans="1:7" ht="24.75" customHeight="1" x14ac:dyDescent="0.35">
      <c r="A24" s="75">
        <v>30017</v>
      </c>
      <c r="B24" s="72" t="s">
        <v>65</v>
      </c>
      <c r="C24" s="10">
        <f>IFERROR(INDEX('حسابهای دریافتنی'!H:H,MATCH(Table229[[#This Row],[كد تفصيلي]],'حسابهای دریافتنی'!A:A,0)),0)</f>
        <v>905000830</v>
      </c>
      <c r="D24" s="11">
        <f>IFERROR(INDEX('درجریان وصول'!F:F,MATCH(Table229[[#This Row],[كد تفصيلي]],'درجریان وصول'!A:A,0)),0)</f>
        <v>0</v>
      </c>
      <c r="E24" s="11">
        <f>IFERROR(INDEX('چکهای دریافتنی'!F:F,MATCH(Table229[[#This Row],[كد تفصيلي]],'چکهای دریافتنی'!A:A,0)),0)</f>
        <v>0</v>
      </c>
      <c r="F24" s="11">
        <f>Table229[[#This Row],[حسابهای دریافتنی]]+Table229[[#This Row],[چکهای در جریان وصول]]+Table229[[#This Row],[چکهای نزد صندوق]]</f>
        <v>905000830</v>
      </c>
      <c r="G24" s="12">
        <f>IFERROR(INDEX('مانده سوفاله'!F:F,MATCH(Table229[[#This Row],[كد تفصيلي]],'مانده سوفاله'!A:A,0)),0)</f>
        <v>-2186</v>
      </c>
    </row>
    <row r="25" spans="1:7" ht="24.75" customHeight="1" x14ac:dyDescent="0.35">
      <c r="A25" s="74">
        <v>10127</v>
      </c>
      <c r="B25" s="73" t="s">
        <v>371</v>
      </c>
      <c r="C25" s="10">
        <f>IFERROR(INDEX('حسابهای دریافتنی'!H:H,MATCH(Table229[[#This Row],[كد تفصيلي]],'حسابهای دریافتنی'!A:A,0)),0)</f>
        <v>803728000</v>
      </c>
      <c r="D25" s="11">
        <f>IFERROR(INDEX('درجریان وصول'!F:F,MATCH(Table229[[#This Row],[كد تفصيلي]],'درجریان وصول'!A:A,0)),0)</f>
        <v>0</v>
      </c>
      <c r="E25" s="11">
        <f>IFERROR(INDEX('چکهای دریافتنی'!F:F,MATCH(Table229[[#This Row],[كد تفصيلي]],'چکهای دریافتنی'!A:A,0)),0)</f>
        <v>0</v>
      </c>
      <c r="F25" s="11">
        <f>Table229[[#This Row],[حسابهای دریافتنی]]+Table229[[#This Row],[چکهای در جریان وصول]]+Table229[[#This Row],[چکهای نزد صندوق]]</f>
        <v>803728000</v>
      </c>
      <c r="G25" s="12">
        <f>IFERROR(INDEX('مانده سوفاله'!F:F,MATCH(Table229[[#This Row],[كد تفصيلي]],'مانده سوفاله'!A:A,0)),0)</f>
        <v>-1469</v>
      </c>
    </row>
    <row r="26" spans="1:7" ht="24.75" customHeight="1" x14ac:dyDescent="0.35">
      <c r="A26" s="74">
        <v>30022</v>
      </c>
      <c r="B26" s="73" t="s">
        <v>70</v>
      </c>
      <c r="C26" s="10">
        <f>IFERROR(INDEX('حسابهای دریافتنی'!H:H,MATCH(Table229[[#This Row],[كد تفصيلي]],'حسابهای دریافتنی'!A:A,0)),0)</f>
        <v>2933770530</v>
      </c>
      <c r="D26" s="11">
        <f>IFERROR(INDEX('درجریان وصول'!F:F,MATCH(Table229[[#This Row],[كد تفصيلي]],'درجریان وصول'!A:A,0)),0)</f>
        <v>0</v>
      </c>
      <c r="E26" s="11">
        <f>IFERROR(INDEX('چکهای دریافتنی'!F:F,MATCH(Table229[[#This Row],[كد تفصيلي]],'چکهای دریافتنی'!A:A,0)),0)</f>
        <v>0</v>
      </c>
      <c r="F26" s="11">
        <f>Table229[[#This Row],[حسابهای دریافتنی]]+Table229[[#This Row],[چکهای در جریان وصول]]+Table229[[#This Row],[چکهای نزد صندوق]]</f>
        <v>2933770530</v>
      </c>
      <c r="G26" s="12">
        <f>IFERROR(INDEX('مانده سوفاله'!F:F,MATCH(Table229[[#This Row],[كد تفصيلي]],'مانده سوفاله'!A:A,0)),0)</f>
        <v>-14747</v>
      </c>
    </row>
    <row r="27" spans="1:7" ht="24.75" customHeight="1" x14ac:dyDescent="0.35">
      <c r="A27" s="74">
        <v>30018</v>
      </c>
      <c r="B27" s="73" t="s">
        <v>66</v>
      </c>
      <c r="C27" s="10">
        <f>IFERROR(INDEX('حسابهای دریافتنی'!H:H,MATCH(Table229[[#This Row],[كد تفصيلي]],'حسابهای دریافتنی'!A:A,0)),0)</f>
        <v>1901077182</v>
      </c>
      <c r="D27" s="11">
        <f>IFERROR(INDEX('درجریان وصول'!F:F,MATCH(Table229[[#This Row],[كد تفصيلي]],'درجریان وصول'!A:A,0)),0)</f>
        <v>0</v>
      </c>
      <c r="E27" s="11">
        <f>IFERROR(INDEX('چکهای دریافتنی'!F:F,MATCH(Table229[[#This Row],[كد تفصيلي]],'چکهای دریافتنی'!A:A,0)),0)</f>
        <v>0</v>
      </c>
      <c r="F27" s="11">
        <f>Table229[[#This Row],[حسابهای دریافتنی]]+Table229[[#This Row],[چکهای در جریان وصول]]+Table229[[#This Row],[چکهای نزد صندوق]]</f>
        <v>1901077182</v>
      </c>
      <c r="G27" s="12">
        <f>IFERROR(INDEX('مانده سوفاله'!F:F,MATCH(Table229[[#This Row],[كد تفصيلي]],'مانده سوفاله'!A:A,0)),0)</f>
        <v>-3024</v>
      </c>
    </row>
    <row r="28" spans="1:7" ht="24.75" customHeight="1" x14ac:dyDescent="0.35">
      <c r="A28" s="75">
        <v>50011</v>
      </c>
      <c r="B28" s="72" t="s">
        <v>147</v>
      </c>
      <c r="C28" s="10">
        <f>IFERROR(INDEX('حسابهای دریافتنی'!H:H,MATCH(Table229[[#This Row],[كد تفصيلي]],'حسابهای دریافتنی'!A:A,0)),0)</f>
        <v>832182413</v>
      </c>
      <c r="D28" s="11">
        <f>IFERROR(INDEX('درجریان وصول'!F:F,MATCH(Table229[[#This Row],[كد تفصيلي]],'درجریان وصول'!A:A,0)),0)</f>
        <v>0</v>
      </c>
      <c r="E28" s="11">
        <f>IFERROR(INDEX('چکهای دریافتنی'!F:F,MATCH(Table229[[#This Row],[كد تفصيلي]],'چکهای دریافتنی'!A:A,0)),0)</f>
        <v>0</v>
      </c>
      <c r="F28" s="11">
        <f>Table229[[#This Row],[حسابهای دریافتنی]]+Table229[[#This Row],[چکهای در جریان وصول]]+Table229[[#This Row],[چکهای نزد صندوق]]</f>
        <v>832182413</v>
      </c>
      <c r="G28" s="12">
        <f>IFERROR(INDEX('مانده سوفاله'!F:F,MATCH(Table229[[#This Row],[كد تفصيلي]],'مانده سوفاله'!A:A,0)),0)</f>
        <v>30</v>
      </c>
    </row>
    <row r="29" spans="1:7" ht="24.75" customHeight="1" x14ac:dyDescent="0.35">
      <c r="A29" s="75">
        <v>30003</v>
      </c>
      <c r="B29" s="72" t="s">
        <v>53</v>
      </c>
      <c r="C29" s="10">
        <f>IFERROR(INDEX('حسابهای دریافتنی'!H:H,MATCH(Table229[[#This Row],[كد تفصيلي]],'حسابهای دریافتنی'!A:A,0)),0)</f>
        <v>754765900</v>
      </c>
      <c r="D29" s="11">
        <f>IFERROR(INDEX('درجریان وصول'!F:F,MATCH(Table229[[#This Row],[كد تفصيلي]],'درجریان وصول'!A:A,0)),0)</f>
        <v>0</v>
      </c>
      <c r="E29" s="11">
        <f>IFERROR(INDEX('چکهای دریافتنی'!F:F,MATCH(Table229[[#This Row],[كد تفصيلي]],'چکهای دریافتنی'!A:A,0)),0)</f>
        <v>571000000</v>
      </c>
      <c r="F29" s="11">
        <f>Table229[[#This Row],[حسابهای دریافتنی]]+Table229[[#This Row],[چکهای در جریان وصول]]+Table229[[#This Row],[چکهای نزد صندوق]]</f>
        <v>1325765900</v>
      </c>
      <c r="G29" s="12">
        <f>IFERROR(INDEX('مانده سوفاله'!F:F,MATCH(Table229[[#This Row],[كد تفصيلي]],'مانده سوفاله'!A:A,0)),0)</f>
        <v>-3538</v>
      </c>
    </row>
    <row r="30" spans="1:7" ht="24.75" customHeight="1" x14ac:dyDescent="0.35">
      <c r="A30" s="75">
        <v>30019</v>
      </c>
      <c r="B30" s="72" t="s">
        <v>67</v>
      </c>
      <c r="C30" s="10">
        <f>IFERROR(INDEX('حسابهای دریافتنی'!H:H,MATCH(Table229[[#This Row],[كد تفصيلي]],'حسابهای دریافتنی'!A:A,0)),0)</f>
        <v>823484840</v>
      </c>
      <c r="D30" s="11">
        <f>IFERROR(INDEX('درجریان وصول'!F:F,MATCH(Table229[[#This Row],[كد تفصيلي]],'درجریان وصول'!A:A,0)),0)</f>
        <v>0</v>
      </c>
      <c r="E30" s="11">
        <f>IFERROR(INDEX('چکهای دریافتنی'!F:F,MATCH(Table229[[#This Row],[كد تفصيلي]],'چکهای دریافتنی'!A:A,0)),0)</f>
        <v>0</v>
      </c>
      <c r="F30" s="11">
        <f>Table229[[#This Row],[حسابهای دریافتنی]]+Table229[[#This Row],[چکهای در جریان وصول]]+Table229[[#This Row],[چکهای نزد صندوق]]</f>
        <v>823484840</v>
      </c>
      <c r="G30" s="12">
        <f>IFERROR(INDEX('مانده سوفاله'!F:F,MATCH(Table229[[#This Row],[كد تفصيلي]],'مانده سوفاله'!A:A,0)),0)</f>
        <v>612</v>
      </c>
    </row>
    <row r="31" spans="1:7" ht="24.75" customHeight="1" x14ac:dyDescent="0.35">
      <c r="A31" s="74">
        <v>30205</v>
      </c>
      <c r="B31" s="73" t="s">
        <v>531</v>
      </c>
      <c r="C31" s="10">
        <f>IFERROR(INDEX('حسابهای دریافتنی'!H:H,MATCH(Table229[[#This Row],[كد تفصيلي]],'حسابهای دریافتنی'!A:A,0)),0)</f>
        <v>-66014320</v>
      </c>
      <c r="D31" s="11">
        <f>IFERROR(INDEX('درجریان وصول'!F:F,MATCH(Table229[[#This Row],[كد تفصيلي]],'درجریان وصول'!A:A,0)),0)</f>
        <v>0</v>
      </c>
      <c r="E31" s="11">
        <f>IFERROR(INDEX('چکهای دریافتنی'!F:F,MATCH(Table229[[#This Row],[كد تفصيلي]],'چکهای دریافتنی'!A:A,0)),0)</f>
        <v>0</v>
      </c>
      <c r="F31" s="11">
        <f>Table229[[#This Row],[حسابهای دریافتنی]]+Table229[[#This Row],[چکهای در جریان وصول]]+Table229[[#This Row],[چکهای نزد صندوق]]</f>
        <v>-66014320</v>
      </c>
      <c r="G31" s="12">
        <f>IFERROR(INDEX('مانده سوفاله'!F:F,MATCH(Table229[[#This Row],[كد تفصيلي]],'مانده سوفاله'!A:A,0)),0)</f>
        <v>0</v>
      </c>
    </row>
    <row r="32" spans="1:7" ht="24.75" customHeight="1" x14ac:dyDescent="0.35">
      <c r="A32" s="74">
        <v>10008</v>
      </c>
      <c r="B32" s="73" t="s">
        <v>15</v>
      </c>
      <c r="C32" s="10">
        <f>IFERROR(INDEX('حسابهای دریافتنی'!H:H,MATCH(Table229[[#This Row],[كد تفصيلي]],'حسابهای دریافتنی'!A:A,0)),0)</f>
        <v>597342000</v>
      </c>
      <c r="D32" s="11">
        <f>IFERROR(INDEX('درجریان وصول'!F:F,MATCH(Table229[[#This Row],[كد تفصيلي]],'درجریان وصول'!A:A,0)),0)</f>
        <v>0</v>
      </c>
      <c r="E32" s="11">
        <f>IFERROR(INDEX('چکهای دریافتنی'!F:F,MATCH(Table229[[#This Row],[كد تفصيلي]],'چکهای دریافتنی'!A:A,0)),0)</f>
        <v>0</v>
      </c>
      <c r="F32" s="11">
        <f>Table229[[#This Row],[حسابهای دریافتنی]]+Table229[[#This Row],[چکهای در جریان وصول]]+Table229[[#This Row],[چکهای نزد صندوق]]</f>
        <v>597342000</v>
      </c>
      <c r="G32" s="12">
        <f>IFERROR(INDEX('مانده سوفاله'!F:F,MATCH(Table229[[#This Row],[كد تفصيلي]],'مانده سوفاله'!A:A,0)),0)</f>
        <v>-578</v>
      </c>
    </row>
    <row r="33" spans="1:7" ht="24.75" customHeight="1" x14ac:dyDescent="0.35">
      <c r="A33" s="74">
        <v>30187</v>
      </c>
      <c r="B33" s="73" t="s">
        <v>369</v>
      </c>
      <c r="C33" s="10">
        <f>IFERROR(INDEX('حسابهای دریافتنی'!H:H,MATCH(Table229[[#This Row],[كد تفصيلي]],'حسابهای دریافتنی'!A:A,0)),0)</f>
        <v>337825500</v>
      </c>
      <c r="D33" s="11">
        <f>IFERROR(INDEX('درجریان وصول'!F:F,MATCH(Table229[[#This Row],[كد تفصيلي]],'درجریان وصول'!A:A,0)),0)</f>
        <v>0</v>
      </c>
      <c r="E33" s="11">
        <f>IFERROR(INDEX('چکهای دریافتنی'!F:F,MATCH(Table229[[#This Row],[كد تفصيلي]],'چکهای دریافتنی'!A:A,0)),0)</f>
        <v>0</v>
      </c>
      <c r="F33" s="11">
        <f>Table229[[#This Row],[حسابهای دریافتنی]]+Table229[[#This Row],[چکهای در جریان وصول]]+Table229[[#This Row],[چکهای نزد صندوق]]</f>
        <v>337825500</v>
      </c>
      <c r="G33" s="12">
        <f>IFERROR(INDEX('مانده سوفاله'!F:F,MATCH(Table229[[#This Row],[كد تفصيلي]],'مانده سوفاله'!A:A,0)),0)</f>
        <v>-108</v>
      </c>
    </row>
    <row r="34" spans="1:7" ht="24.75" customHeight="1" x14ac:dyDescent="0.35">
      <c r="A34" s="74">
        <v>10084</v>
      </c>
      <c r="B34" s="73" t="s">
        <v>217</v>
      </c>
      <c r="C34" s="10">
        <f>IFERROR(INDEX('حسابهای دریافتنی'!H:H,MATCH(Table229[[#This Row],[كد تفصيلي]],'حسابهای دریافتنی'!A:A,0)),0)</f>
        <v>358092810</v>
      </c>
      <c r="D34" s="11">
        <f>IFERROR(INDEX('درجریان وصول'!F:F,MATCH(Table229[[#This Row],[كد تفصيلي]],'درجریان وصول'!A:A,0)),0)</f>
        <v>0</v>
      </c>
      <c r="E34" s="11">
        <f>IFERROR(INDEX('چکهای دریافتنی'!F:F,MATCH(Table229[[#This Row],[كد تفصيلي]],'چکهای دریافتنی'!A:A,0)),0)</f>
        <v>870000000</v>
      </c>
      <c r="F34" s="11">
        <f>Table229[[#This Row],[حسابهای دریافتنی]]+Table229[[#This Row],[چکهای در جریان وصول]]+Table229[[#This Row],[چکهای نزد صندوق]]</f>
        <v>1228092810</v>
      </c>
      <c r="G34" s="12">
        <f>IFERROR(INDEX('مانده سوفاله'!F:F,MATCH(Table229[[#This Row],[كد تفصيلي]],'مانده سوفاله'!A:A,0)),0)</f>
        <v>-1656</v>
      </c>
    </row>
    <row r="35" spans="1:7" ht="24.75" customHeight="1" x14ac:dyDescent="0.35">
      <c r="A35" s="75">
        <v>30191</v>
      </c>
      <c r="B35" s="72" t="s">
        <v>460</v>
      </c>
      <c r="C35" s="10">
        <f>IFERROR(INDEX('حسابهای دریافتنی'!H:H,MATCH(Table229[[#This Row],[كد تفصيلي]],'حسابهای دریافتنی'!A:A,0)),0)</f>
        <v>792933000</v>
      </c>
      <c r="D35" s="11">
        <f>IFERROR(INDEX('درجریان وصول'!F:F,MATCH(Table229[[#This Row],[كد تفصيلي]],'درجریان وصول'!A:A,0)),0)</f>
        <v>0</v>
      </c>
      <c r="E35" s="11">
        <f>IFERROR(INDEX('چکهای دریافتنی'!F:F,MATCH(Table229[[#This Row],[كد تفصيلي]],'چکهای دریافتنی'!A:A,0)),0)</f>
        <v>0</v>
      </c>
      <c r="F35" s="11">
        <f>Table229[[#This Row],[حسابهای دریافتنی]]+Table229[[#This Row],[چکهای در جریان وصول]]+Table229[[#This Row],[چکهای نزد صندوق]]</f>
        <v>792933000</v>
      </c>
      <c r="G35" s="12">
        <f>IFERROR(INDEX('مانده سوفاله'!F:F,MATCH(Table229[[#This Row],[كد تفصيلي]],'مانده سوفاله'!A:A,0)),0)</f>
        <v>134</v>
      </c>
    </row>
    <row r="36" spans="1:7" ht="24.75" customHeight="1" x14ac:dyDescent="0.35">
      <c r="A36" s="74">
        <v>30155</v>
      </c>
      <c r="B36" s="73" t="s">
        <v>289</v>
      </c>
      <c r="C36" s="10">
        <f>IFERROR(INDEX('حسابهای دریافتنی'!H:H,MATCH(Table229[[#This Row],[كد تفصيلي]],'حسابهای دریافتنی'!A:A,0)),0)</f>
        <v>-454985417</v>
      </c>
      <c r="D36" s="11">
        <f>IFERROR(INDEX('درجریان وصول'!F:F,MATCH(Table229[[#This Row],[كد تفصيلي]],'درجریان وصول'!A:A,0)),0)</f>
        <v>0</v>
      </c>
      <c r="E36" s="11">
        <f>IFERROR(INDEX('چکهای دریافتنی'!F:F,MATCH(Table229[[#This Row],[كد تفصيلي]],'چکهای دریافتنی'!A:A,0)),0)</f>
        <v>1379936267</v>
      </c>
      <c r="F36" s="11">
        <f>Table229[[#This Row],[حسابهای دریافتنی]]+Table229[[#This Row],[چکهای در جریان وصول]]+Table229[[#This Row],[چکهای نزد صندوق]]</f>
        <v>924950850</v>
      </c>
      <c r="G36" s="12">
        <f>IFERROR(INDEX('مانده سوفاله'!F:F,MATCH(Table229[[#This Row],[كد تفصيلي]],'مانده سوفاله'!A:A,0)),0)</f>
        <v>0</v>
      </c>
    </row>
    <row r="37" spans="1:7" ht="24.75" customHeight="1" x14ac:dyDescent="0.35">
      <c r="A37" s="74">
        <v>30069</v>
      </c>
      <c r="B37" s="73" t="s">
        <v>114</v>
      </c>
      <c r="C37" s="10">
        <f>IFERROR(INDEX('حسابهای دریافتنی'!H:H,MATCH(Table229[[#This Row],[كد تفصيلي]],'حسابهای دریافتنی'!A:A,0)),0)</f>
        <v>377909400</v>
      </c>
      <c r="D37" s="11">
        <f>IFERROR(INDEX('درجریان وصول'!F:F,MATCH(Table229[[#This Row],[كد تفصيلي]],'درجریان وصول'!A:A,0)),0)</f>
        <v>0</v>
      </c>
      <c r="E37" s="11">
        <f>IFERROR(INDEX('چکهای دریافتنی'!F:F,MATCH(Table229[[#This Row],[كد تفصيلي]],'چکهای دریافتنی'!A:A,0)),0)</f>
        <v>0</v>
      </c>
      <c r="F37" s="11">
        <f>Table229[[#This Row],[حسابهای دریافتنی]]+Table229[[#This Row],[چکهای در جریان وصول]]+Table229[[#This Row],[چکهای نزد صندوق]]</f>
        <v>377909400</v>
      </c>
      <c r="G37" s="12">
        <f>IFERROR(INDEX('مانده سوفاله'!F:F,MATCH(Table229[[#This Row],[كد تفصيلي]],'مانده سوفاله'!A:A,0)),0)</f>
        <v>66</v>
      </c>
    </row>
    <row r="38" spans="1:7" ht="24.75" customHeight="1" x14ac:dyDescent="0.35">
      <c r="A38" s="74">
        <v>30190</v>
      </c>
      <c r="B38" s="73" t="s">
        <v>459</v>
      </c>
      <c r="C38" s="10">
        <f>IFERROR(INDEX('حسابهای دریافتنی'!H:H,MATCH(Table229[[#This Row],[كد تفصيلي]],'حسابهای دریافتنی'!A:A,0)),0)</f>
        <v>328477520</v>
      </c>
      <c r="D38" s="11">
        <f>IFERROR(INDEX('درجریان وصول'!F:F,MATCH(Table229[[#This Row],[كد تفصيلي]],'درجریان وصول'!A:A,0)),0)</f>
        <v>0</v>
      </c>
      <c r="E38" s="11">
        <f>IFERROR(INDEX('چکهای دریافتنی'!F:F,MATCH(Table229[[#This Row],[كد تفصيلي]],'چکهای دریافتنی'!A:A,0)),0)</f>
        <v>0</v>
      </c>
      <c r="F38" s="11">
        <f>Table229[[#This Row],[حسابهای دریافتنی]]+Table229[[#This Row],[چکهای در جریان وصول]]+Table229[[#This Row],[چکهای نزد صندوق]]</f>
        <v>328477520</v>
      </c>
      <c r="G38" s="12">
        <f>IFERROR(INDEX('مانده سوفاله'!F:F,MATCH(Table229[[#This Row],[كد تفصيلي]],'مانده سوفاله'!A:A,0)),0)</f>
        <v>1790</v>
      </c>
    </row>
    <row r="39" spans="1:7" ht="24.75" customHeight="1" x14ac:dyDescent="0.35">
      <c r="A39" s="74">
        <v>10020</v>
      </c>
      <c r="B39" s="73" t="s">
        <v>27</v>
      </c>
      <c r="C39" s="10">
        <f>IFERROR(INDEX('حسابهای دریافتنی'!H:H,MATCH(Table229[[#This Row],[كد تفصيلي]],'حسابهای دریافتنی'!A:A,0)),0)</f>
        <v>57999963</v>
      </c>
      <c r="D39" s="11">
        <f>IFERROR(INDEX('درجریان وصول'!F:F,MATCH(Table229[[#This Row],[كد تفصيلي]],'درجریان وصول'!A:A,0)),0)</f>
        <v>0</v>
      </c>
      <c r="E39" s="11">
        <f>IFERROR(INDEX('چکهای دریافتنی'!F:F,MATCH(Table229[[#This Row],[كد تفصيلي]],'چکهای دریافتنی'!A:A,0)),0)</f>
        <v>728000000</v>
      </c>
      <c r="F39" s="11">
        <f>Table229[[#This Row],[حسابهای دریافتنی]]+Table229[[#This Row],[چکهای در جریان وصول]]+Table229[[#This Row],[چکهای نزد صندوق]]</f>
        <v>785999963</v>
      </c>
      <c r="G39" s="12">
        <f>IFERROR(INDEX('مانده سوفاله'!F:F,MATCH(Table229[[#This Row],[كد تفصيلي]],'مانده سوفاله'!A:A,0)),0)</f>
        <v>-1031</v>
      </c>
    </row>
    <row r="40" spans="1:7" ht="24.75" customHeight="1" x14ac:dyDescent="0.35">
      <c r="A40" s="74">
        <v>30012</v>
      </c>
      <c r="B40" s="73" t="s">
        <v>61</v>
      </c>
      <c r="C40" s="10">
        <f>IFERROR(INDEX('حسابهای دریافتنی'!H:H,MATCH(Table229[[#This Row],[كد تفصيلي]],'حسابهای دریافتنی'!A:A,0)),0)</f>
        <v>-46099000</v>
      </c>
      <c r="D40" s="11">
        <f>IFERROR(INDEX('درجریان وصول'!F:F,MATCH(Table229[[#This Row],[كد تفصيلي]],'درجریان وصول'!A:A,0)),0)</f>
        <v>0</v>
      </c>
      <c r="E40" s="11">
        <f>IFERROR(INDEX('چکهای دریافتنی'!F:F,MATCH(Table229[[#This Row],[كد تفصيلي]],'چکهای دریافتنی'!A:A,0)),0)</f>
        <v>348650000</v>
      </c>
      <c r="F40" s="11">
        <f>Table229[[#This Row],[حسابهای دریافتنی]]+Table229[[#This Row],[چکهای در جریان وصول]]+Table229[[#This Row],[چکهای نزد صندوق]]</f>
        <v>302551000</v>
      </c>
      <c r="G40" s="12">
        <f>IFERROR(INDEX('مانده سوفاله'!F:F,MATCH(Table229[[#This Row],[كد تفصيلي]],'مانده سوفاله'!A:A,0)),0)</f>
        <v>141</v>
      </c>
    </row>
    <row r="41" spans="1:7" ht="24.75" customHeight="1" x14ac:dyDescent="0.35">
      <c r="A41" s="75">
        <v>30070</v>
      </c>
      <c r="B41" s="72" t="s">
        <v>115</v>
      </c>
      <c r="C41" s="10">
        <f>IFERROR(INDEX('حسابهای دریافتنی'!H:H,MATCH(Table229[[#This Row],[كد تفصيلي]],'حسابهای دریافتنی'!A:A,0)),0)</f>
        <v>2651728820</v>
      </c>
      <c r="D41" s="11">
        <f>IFERROR(INDEX('درجریان وصول'!F:F,MATCH(Table229[[#This Row],[كد تفصيلي]],'درجریان وصول'!A:A,0)),0)</f>
        <v>0</v>
      </c>
      <c r="E41" s="11">
        <f>IFERROR(INDEX('چکهای دریافتنی'!F:F,MATCH(Table229[[#This Row],[كد تفصيلي]],'چکهای دریافتنی'!A:A,0)),0)</f>
        <v>3660000000</v>
      </c>
      <c r="F41" s="11">
        <f>Table229[[#This Row],[حسابهای دریافتنی]]+Table229[[#This Row],[چکهای در جریان وصول]]+Table229[[#This Row],[چکهای نزد صندوق]]</f>
        <v>6311728820</v>
      </c>
      <c r="G41" s="12">
        <f>IFERROR(INDEX('مانده سوفاله'!F:F,MATCH(Table229[[#This Row],[كد تفصيلي]],'مانده سوفاله'!A:A,0)),0)</f>
        <v>4378</v>
      </c>
    </row>
    <row r="42" spans="1:7" ht="24.75" customHeight="1" x14ac:dyDescent="0.35">
      <c r="A42" s="75">
        <v>30162</v>
      </c>
      <c r="B42" s="72" t="s">
        <v>301</v>
      </c>
      <c r="C42" s="10">
        <f>IFERROR(INDEX('حسابهای دریافتنی'!H:H,MATCH(Table229[[#This Row],[كد تفصيلي]],'حسابهای دریافتنی'!A:A,0)),0)</f>
        <v>204890235</v>
      </c>
      <c r="D42" s="11">
        <f>IFERROR(INDEX('درجریان وصول'!F:F,MATCH(Table229[[#This Row],[كد تفصيلي]],'درجریان وصول'!A:A,0)),0)</f>
        <v>0</v>
      </c>
      <c r="E42" s="11">
        <f>IFERROR(INDEX('چکهای دریافتنی'!F:F,MATCH(Table229[[#This Row],[كد تفصيلي]],'چکهای دریافتنی'!A:A,0)),0)</f>
        <v>0</v>
      </c>
      <c r="F42" s="11">
        <f>Table229[[#This Row],[حسابهای دریافتنی]]+Table229[[#This Row],[چکهای در جریان وصول]]+Table229[[#This Row],[چکهای نزد صندوق]]</f>
        <v>204890235</v>
      </c>
      <c r="G42" s="12">
        <f>IFERROR(INDEX('مانده سوفاله'!F:F,MATCH(Table229[[#This Row],[كد تفصيلي]],'مانده سوفاله'!A:A,0)),0)</f>
        <v>-251</v>
      </c>
    </row>
    <row r="43" spans="1:7" ht="24.75" customHeight="1" x14ac:dyDescent="0.35">
      <c r="A43" s="74">
        <v>30137</v>
      </c>
      <c r="B43" s="73" t="s">
        <v>218</v>
      </c>
      <c r="C43" s="10">
        <f>IFERROR(INDEX('حسابهای دریافتنی'!H:H,MATCH(Table229[[#This Row],[كد تفصيلي]],'حسابهای دریافتنی'!A:A,0)),0)</f>
        <v>0</v>
      </c>
      <c r="D43" s="11">
        <f>IFERROR(INDEX('درجریان وصول'!F:F,MATCH(Table229[[#This Row],[كد تفصيلي]],'درجریان وصول'!A:A,0)),0)</f>
        <v>0</v>
      </c>
      <c r="E43" s="11">
        <f>IFERROR(INDEX('چکهای دریافتنی'!F:F,MATCH(Table229[[#This Row],[كد تفصيلي]],'چکهای دریافتنی'!A:A,0)),0)</f>
        <v>213182200</v>
      </c>
      <c r="F43" s="11">
        <f>Table229[[#This Row],[حسابهای دریافتنی]]+Table229[[#This Row],[چکهای در جریان وصول]]+Table229[[#This Row],[چکهای نزد صندوق]]</f>
        <v>213182200</v>
      </c>
      <c r="G43" s="12">
        <f>IFERROR(INDEX('مانده سوفاله'!F:F,MATCH(Table229[[#This Row],[كد تفصيلي]],'مانده سوفاله'!A:A,0)),0)</f>
        <v>0</v>
      </c>
    </row>
    <row r="44" spans="1:7" ht="24.75" customHeight="1" x14ac:dyDescent="0.35">
      <c r="A44" s="75">
        <v>30124</v>
      </c>
      <c r="B44" s="72" t="s">
        <v>246</v>
      </c>
      <c r="C44" s="10">
        <f>IFERROR(INDEX('حسابهای دریافتنی'!H:H,MATCH(Table229[[#This Row],[كد تفصيلي]],'حسابهای دریافتنی'!A:A,0)),0)</f>
        <v>0</v>
      </c>
      <c r="D44" s="11">
        <f>IFERROR(INDEX('درجریان وصول'!F:F,MATCH(Table229[[#This Row],[كد تفصيلي]],'درجریان وصول'!A:A,0)),0)</f>
        <v>0</v>
      </c>
      <c r="E44" s="11">
        <f>IFERROR(INDEX('چکهای دریافتنی'!F:F,MATCH(Table229[[#This Row],[كد تفصيلي]],'چکهای دریافتنی'!A:A,0)),0)</f>
        <v>505676000</v>
      </c>
      <c r="F44" s="11">
        <f>Table229[[#This Row],[حسابهای دریافتنی]]+Table229[[#This Row],[چکهای در جریان وصول]]+Table229[[#This Row],[چکهای نزد صندوق]]</f>
        <v>505676000</v>
      </c>
      <c r="G44" s="12">
        <f>IFERROR(INDEX('مانده سوفاله'!F:F,MATCH(Table229[[#This Row],[كد تفصيلي]],'مانده سوفاله'!A:A,0)),0)</f>
        <v>1498</v>
      </c>
    </row>
    <row r="45" spans="1:7" ht="24.75" customHeight="1" x14ac:dyDescent="0.35">
      <c r="A45" s="75">
        <v>30086</v>
      </c>
      <c r="B45" s="72" t="s">
        <v>131</v>
      </c>
      <c r="C45" s="10">
        <f>IFERROR(INDEX('حسابهای دریافتنی'!H:H,MATCH(Table229[[#This Row],[كد تفصيلي]],'حسابهای دریافتنی'!A:A,0)),0)</f>
        <v>187376603</v>
      </c>
      <c r="D45" s="11">
        <f>IFERROR(INDEX('درجریان وصول'!F:F,MATCH(Table229[[#This Row],[كد تفصيلي]],'درجریان وصول'!A:A,0)),0)</f>
        <v>0</v>
      </c>
      <c r="E45" s="11">
        <f>IFERROR(INDEX('چکهای دریافتنی'!F:F,MATCH(Table229[[#This Row],[كد تفصيلي]],'چکهای دریافتنی'!A:A,0)),0)</f>
        <v>0</v>
      </c>
      <c r="F45" s="11">
        <f>Table229[[#This Row],[حسابهای دریافتنی]]+Table229[[#This Row],[چکهای در جریان وصول]]+Table229[[#This Row],[چکهای نزد صندوق]]</f>
        <v>187376603</v>
      </c>
      <c r="G45" s="12">
        <f>IFERROR(INDEX('مانده سوفاله'!F:F,MATCH(Table229[[#This Row],[كد تفصيلي]],'مانده سوفاله'!A:A,0)),0)</f>
        <v>1549</v>
      </c>
    </row>
    <row r="46" spans="1:7" ht="24.75" customHeight="1" x14ac:dyDescent="0.35">
      <c r="A46" s="75">
        <v>30146</v>
      </c>
      <c r="B46" s="72" t="s">
        <v>266</v>
      </c>
      <c r="C46" s="10">
        <f>IFERROR(INDEX('حسابهای دریافتنی'!H:H,MATCH(Table229[[#This Row],[كد تفصيلي]],'حسابهای دریافتنی'!A:A,0)),0)</f>
        <v>-4146512500</v>
      </c>
      <c r="D46" s="11">
        <f>IFERROR(INDEX('درجریان وصول'!F:F,MATCH(Table229[[#This Row],[كد تفصيلي]],'درجریان وصول'!A:A,0)),0)</f>
        <v>0</v>
      </c>
      <c r="E46" s="11">
        <f>IFERROR(INDEX('چکهای دریافتنی'!F:F,MATCH(Table229[[#This Row],[كد تفصيلي]],'چکهای دریافتنی'!A:A,0)),0)</f>
        <v>0</v>
      </c>
      <c r="F46" s="11">
        <f>Table229[[#This Row],[حسابهای دریافتنی]]+Table229[[#This Row],[چکهای در جریان وصول]]+Table229[[#This Row],[چکهای نزد صندوق]]</f>
        <v>-4146512500</v>
      </c>
      <c r="G46" s="12">
        <f>IFERROR(INDEX('مانده سوفاله'!F:F,MATCH(Table229[[#This Row],[كد تفصيلي]],'مانده سوفاله'!A:A,0)),0)</f>
        <v>2823</v>
      </c>
    </row>
    <row r="47" spans="1:7" ht="24.75" customHeight="1" x14ac:dyDescent="0.35">
      <c r="A47" s="75">
        <v>30001</v>
      </c>
      <c r="B47" s="72" t="s">
        <v>190</v>
      </c>
      <c r="C47" s="10">
        <f>IFERROR(INDEX('حسابهای دریافتنی'!H:H,MATCH(Table229[[#This Row],[كد تفصيلي]],'حسابهای دریافتنی'!A:A,0)),0)</f>
        <v>119647176</v>
      </c>
      <c r="D47" s="11">
        <f>IFERROR(INDEX('درجریان وصول'!F:F,MATCH(Table229[[#This Row],[كد تفصيلي]],'درجریان وصول'!A:A,0)),0)</f>
        <v>0</v>
      </c>
      <c r="E47" s="11">
        <f>IFERROR(INDEX('چکهای دریافتنی'!F:F,MATCH(Table229[[#This Row],[كد تفصيلي]],'چکهای دریافتنی'!A:A,0)),0)</f>
        <v>0</v>
      </c>
      <c r="F47" s="11">
        <f>Table229[[#This Row],[حسابهای دریافتنی]]+Table229[[#This Row],[چکهای در جریان وصول]]+Table229[[#This Row],[چکهای نزد صندوق]]</f>
        <v>119647176</v>
      </c>
      <c r="G47" s="12">
        <f>IFERROR(INDEX('مانده سوفاله'!F:F,MATCH(Table229[[#This Row],[كد تفصيلي]],'مانده سوفاله'!A:A,0)),0)</f>
        <v>123</v>
      </c>
    </row>
    <row r="48" spans="1:7" ht="24.75" customHeight="1" x14ac:dyDescent="0.35">
      <c r="A48" s="74">
        <v>30101</v>
      </c>
      <c r="B48" s="73" t="s">
        <v>196</v>
      </c>
      <c r="C48" s="10">
        <f>IFERROR(INDEX('حسابهای دریافتنی'!H:H,MATCH(Table229[[#This Row],[كد تفصيلي]],'حسابهای دریافتنی'!A:A,0)),0)</f>
        <v>203336095</v>
      </c>
      <c r="D48" s="11">
        <f>IFERROR(INDEX('درجریان وصول'!F:F,MATCH(Table229[[#This Row],[كد تفصيلي]],'درجریان وصول'!A:A,0)),0)</f>
        <v>0</v>
      </c>
      <c r="E48" s="11">
        <f>IFERROR(INDEX('چکهای دریافتنی'!F:F,MATCH(Table229[[#This Row],[كد تفصيلي]],'چکهای دریافتنی'!A:A,0)),0)</f>
        <v>0</v>
      </c>
      <c r="F48" s="11">
        <f>Table229[[#This Row],[حسابهای دریافتنی]]+Table229[[#This Row],[چکهای در جریان وصول]]+Table229[[#This Row],[چکهای نزد صندوق]]</f>
        <v>203336095</v>
      </c>
      <c r="G48" s="12">
        <f>IFERROR(INDEX('مانده سوفاله'!F:F,MATCH(Table229[[#This Row],[كد تفصيلي]],'مانده سوفاله'!A:A,0)),0)</f>
        <v>15</v>
      </c>
    </row>
    <row r="49" spans="1:7" ht="24.75" customHeight="1" x14ac:dyDescent="0.35">
      <c r="A49" s="75">
        <v>30204</v>
      </c>
      <c r="B49" s="72" t="s">
        <v>530</v>
      </c>
      <c r="C49" s="10">
        <f>IFERROR(INDEX('حسابهای دریافتنی'!H:H,MATCH(Table229[[#This Row],[كد تفصيلي]],'حسابهای دریافتنی'!A:A,0)),0)</f>
        <v>-1354830000</v>
      </c>
      <c r="D49" s="11">
        <f>IFERROR(INDEX('درجریان وصول'!F:F,MATCH(Table229[[#This Row],[كد تفصيلي]],'درجریان وصول'!A:A,0)),0)</f>
        <v>0</v>
      </c>
      <c r="E49" s="11">
        <f>IFERROR(INDEX('چکهای دریافتنی'!F:F,MATCH(Table229[[#This Row],[كد تفصيلي]],'چکهای دریافتنی'!A:A,0)),0)</f>
        <v>0</v>
      </c>
      <c r="F49" s="11">
        <f>Table229[[#This Row],[حسابهای دریافتنی]]+Table229[[#This Row],[چکهای در جریان وصول]]+Table229[[#This Row],[چکهای نزد صندوق]]</f>
        <v>-1354830000</v>
      </c>
      <c r="G49" s="12">
        <f>IFERROR(INDEX('مانده سوفاله'!F:F,MATCH(Table229[[#This Row],[كد تفصيلي]],'مانده سوفاله'!A:A,0)),0)</f>
        <v>0</v>
      </c>
    </row>
    <row r="50" spans="1:7" ht="24.75" customHeight="1" x14ac:dyDescent="0.35">
      <c r="A50" s="74">
        <v>30202</v>
      </c>
      <c r="B50" s="73" t="s">
        <v>529</v>
      </c>
      <c r="C50" s="10">
        <f>IFERROR(INDEX('حسابهای دریافتنی'!H:H,MATCH(Table229[[#This Row],[كد تفصيلي]],'حسابهای دریافتنی'!A:A,0)),0)</f>
        <v>0</v>
      </c>
      <c r="D50" s="11">
        <f>IFERROR(INDEX('درجریان وصول'!F:F,MATCH(Table229[[#This Row],[كد تفصيلي]],'درجریان وصول'!A:A,0)),0)</f>
        <v>0</v>
      </c>
      <c r="E50" s="11">
        <f>IFERROR(INDEX('چکهای دریافتنی'!F:F,MATCH(Table229[[#This Row],[كد تفصيلي]],'چکهای دریافتنی'!A:A,0)),0)</f>
        <v>0</v>
      </c>
      <c r="F50" s="11">
        <f>Table229[[#This Row],[حسابهای دریافتنی]]+Table229[[#This Row],[چکهای در جریان وصول]]+Table229[[#This Row],[چکهای نزد صندوق]]</f>
        <v>0</v>
      </c>
      <c r="G50" s="12">
        <f>IFERROR(INDEX('مانده سوفاله'!F:F,MATCH(Table229[[#This Row],[كد تفصيلي]],'مانده سوفاله'!A:A,0)),0)</f>
        <v>1</v>
      </c>
    </row>
    <row r="51" spans="1:7" ht="24.75" customHeight="1" x14ac:dyDescent="0.35">
      <c r="A51" s="74">
        <v>10096</v>
      </c>
      <c r="B51" s="73" t="s">
        <v>271</v>
      </c>
      <c r="C51" s="10">
        <f>IFERROR(INDEX('حسابهای دریافتنی'!H:H,MATCH(Table229[[#This Row],[كد تفصيلي]],'حسابهای دریافتنی'!A:A,0)),0)</f>
        <v>36455500</v>
      </c>
      <c r="D51" s="11">
        <f>IFERROR(INDEX('درجریان وصول'!F:F,MATCH(Table229[[#This Row],[كد تفصيلي]],'درجریان وصول'!A:A,0)),0)</f>
        <v>0</v>
      </c>
      <c r="E51" s="11">
        <f>IFERROR(INDEX('چکهای دریافتنی'!F:F,MATCH(Table229[[#This Row],[كد تفصيلي]],'چکهای دریافتنی'!A:A,0)),0)</f>
        <v>0</v>
      </c>
      <c r="F51" s="11">
        <f>Table229[[#This Row],[حسابهای دریافتنی]]+Table229[[#This Row],[چکهای در جریان وصول]]+Table229[[#This Row],[چکهای نزد صندوق]]</f>
        <v>36455500</v>
      </c>
      <c r="G51" s="12">
        <f>IFERROR(INDEX('مانده سوفاله'!F:F,MATCH(Table229[[#This Row],[كد تفصيلي]],'مانده سوفاله'!A:A,0)),0)</f>
        <v>0</v>
      </c>
    </row>
    <row r="52" spans="1:7" ht="24.75" customHeight="1" x14ac:dyDescent="0.35">
      <c r="A52" s="75">
        <v>30025</v>
      </c>
      <c r="B52" s="72" t="s">
        <v>73</v>
      </c>
      <c r="C52" s="10">
        <f>IFERROR(INDEX('حسابهای دریافتنی'!H:H,MATCH(Table229[[#This Row],[كد تفصيلي]],'حسابهای دریافتنی'!A:A,0)),0)</f>
        <v>35598920</v>
      </c>
      <c r="D52" s="11">
        <f>IFERROR(INDEX('درجریان وصول'!F:F,MATCH(Table229[[#This Row],[كد تفصيلي]],'درجریان وصول'!A:A,0)),0)</f>
        <v>0</v>
      </c>
      <c r="E52" s="11">
        <f>IFERROR(INDEX('چکهای دریافتنی'!F:F,MATCH(Table229[[#This Row],[كد تفصيلي]],'چکهای دریافتنی'!A:A,0)),0)</f>
        <v>0</v>
      </c>
      <c r="F52" s="11">
        <f>Table229[[#This Row],[حسابهای دریافتنی]]+Table229[[#This Row],[چکهای در جریان وصول]]+Table229[[#This Row],[چکهای نزد صندوق]]</f>
        <v>35598920</v>
      </c>
      <c r="G52" s="12">
        <f>IFERROR(INDEX('مانده سوفاله'!F:F,MATCH(Table229[[#This Row],[كد تفصيلي]],'مانده سوفاله'!A:A,0)),0)</f>
        <v>-165</v>
      </c>
    </row>
    <row r="53" spans="1:7" ht="24.75" customHeight="1" x14ac:dyDescent="0.35">
      <c r="A53" s="75">
        <v>30005</v>
      </c>
      <c r="B53" s="72" t="s">
        <v>55</v>
      </c>
      <c r="C53" s="10">
        <f>IFERROR(INDEX('حسابهای دریافتنی'!H:H,MATCH(Table229[[#This Row],[كد تفصيلي]],'حسابهای دریافتنی'!A:A,0)),0)</f>
        <v>35368209</v>
      </c>
      <c r="D53" s="11">
        <f>IFERROR(INDEX('درجریان وصول'!F:F,MATCH(Table229[[#This Row],[كد تفصيلي]],'درجریان وصول'!A:A,0)),0)</f>
        <v>0</v>
      </c>
      <c r="E53" s="11">
        <f>IFERROR(INDEX('چکهای دریافتنی'!F:F,MATCH(Table229[[#This Row],[كد تفصيلي]],'چکهای دریافتنی'!A:A,0)),0)</f>
        <v>0</v>
      </c>
      <c r="F53" s="11">
        <f>Table229[[#This Row],[حسابهای دریافتنی]]+Table229[[#This Row],[چکهای در جریان وصول]]+Table229[[#This Row],[چکهای نزد صندوق]]</f>
        <v>35368209</v>
      </c>
      <c r="G53" s="12">
        <f>IFERROR(INDEX('مانده سوفاله'!F:F,MATCH(Table229[[#This Row],[كد تفصيلي]],'مانده سوفاله'!A:A,0)),0)</f>
        <v>61</v>
      </c>
    </row>
    <row r="54" spans="1:7" ht="24.75" customHeight="1" x14ac:dyDescent="0.35">
      <c r="A54" s="74">
        <v>10018</v>
      </c>
      <c r="B54" s="73" t="s">
        <v>25</v>
      </c>
      <c r="C54" s="10">
        <f>IFERROR(INDEX('حسابهای دریافتنی'!H:H,MATCH(Table229[[#This Row],[كد تفصيلي]],'حسابهای دریافتنی'!A:A,0)),0)</f>
        <v>95282000</v>
      </c>
      <c r="D54" s="11">
        <f>IFERROR(INDEX('درجریان وصول'!F:F,MATCH(Table229[[#This Row],[كد تفصيلي]],'درجریان وصول'!A:A,0)),0)</f>
        <v>0</v>
      </c>
      <c r="E54" s="11">
        <f>IFERROR(INDEX('چکهای دریافتنی'!F:F,MATCH(Table229[[#This Row],[كد تفصيلي]],'چکهای دریافتنی'!A:A,0)),0)</f>
        <v>0</v>
      </c>
      <c r="F54" s="11">
        <f>Table229[[#This Row],[حسابهای دریافتنی]]+Table229[[#This Row],[چکهای در جریان وصول]]+Table229[[#This Row],[چکهای نزد صندوق]]</f>
        <v>95282000</v>
      </c>
      <c r="G54" s="12">
        <f>IFERROR(INDEX('مانده سوفاله'!F:F,MATCH(Table229[[#This Row],[كد تفصيلي]],'مانده سوفاله'!A:A,0)),0)</f>
        <v>-32</v>
      </c>
    </row>
    <row r="55" spans="1:7" ht="24.75" customHeight="1" x14ac:dyDescent="0.35">
      <c r="A55" s="74">
        <v>30024</v>
      </c>
      <c r="B55" s="73" t="s">
        <v>72</v>
      </c>
      <c r="C55" s="10">
        <f>IFERROR(INDEX('حسابهای دریافتنی'!H:H,MATCH(Table229[[#This Row],[كد تفصيلي]],'حسابهای دریافتنی'!A:A,0)),0)</f>
        <v>16135000</v>
      </c>
      <c r="D55" s="11">
        <f>IFERROR(INDEX('درجریان وصول'!F:F,MATCH(Table229[[#This Row],[كد تفصيلي]],'درجریان وصول'!A:A,0)),0)</f>
        <v>0</v>
      </c>
      <c r="E55" s="11">
        <f>IFERROR(INDEX('چکهای دریافتنی'!F:F,MATCH(Table229[[#This Row],[كد تفصيلي]],'چکهای دریافتنی'!A:A,0)),0)</f>
        <v>0</v>
      </c>
      <c r="F55" s="11">
        <f>Table229[[#This Row],[حسابهای دریافتنی]]+Table229[[#This Row],[چکهای در جریان وصول]]+Table229[[#This Row],[چکهای نزد صندوق]]</f>
        <v>16135000</v>
      </c>
      <c r="G55" s="12">
        <f>IFERROR(INDEX('مانده سوفاله'!F:F,MATCH(Table229[[#This Row],[كد تفصيلي]],'مانده سوفاله'!A:A,0)),0)</f>
        <v>0</v>
      </c>
    </row>
    <row r="56" spans="1:7" ht="24.75" customHeight="1" x14ac:dyDescent="0.35">
      <c r="A56" s="74">
        <v>30008</v>
      </c>
      <c r="B56" s="73" t="s">
        <v>58</v>
      </c>
      <c r="C56" s="10">
        <f>IFERROR(INDEX('حسابهای دریافتنی'!H:H,MATCH(Table229[[#This Row],[كد تفصيلي]],'حسابهای دریافتنی'!A:A,0)),0)</f>
        <v>15520000</v>
      </c>
      <c r="D56" s="11">
        <f>IFERROR(INDEX('درجریان وصول'!F:F,MATCH(Table229[[#This Row],[كد تفصيلي]],'درجریان وصول'!A:A,0)),0)</f>
        <v>0</v>
      </c>
      <c r="E56" s="11">
        <f>IFERROR(INDEX('چکهای دریافتنی'!F:F,MATCH(Table229[[#This Row],[كد تفصيلي]],'چکهای دریافتنی'!A:A,0)),0)</f>
        <v>0</v>
      </c>
      <c r="F56" s="11">
        <f>Table229[[#This Row],[حسابهای دریافتنی]]+Table229[[#This Row],[چکهای در جریان وصول]]+Table229[[#This Row],[چکهای نزد صندوق]]</f>
        <v>15520000</v>
      </c>
      <c r="G56" s="12">
        <f>IFERROR(INDEX('مانده سوفاله'!F:F,MATCH(Table229[[#This Row],[كد تفصيلي]],'مانده سوفاله'!A:A,0)),0)</f>
        <v>0</v>
      </c>
    </row>
    <row r="57" spans="1:7" ht="24.75" customHeight="1" x14ac:dyDescent="0.35">
      <c r="A57" s="75">
        <v>10007</v>
      </c>
      <c r="B57" s="72" t="s">
        <v>14</v>
      </c>
      <c r="C57" s="10">
        <f>IFERROR(INDEX('حسابهای دریافتنی'!H:H,MATCH(Table229[[#This Row],[كد تفصيلي]],'حسابهای دریافتنی'!A:A,0)),0)</f>
        <v>12770000</v>
      </c>
      <c r="D57" s="11">
        <f>IFERROR(INDEX('درجریان وصول'!F:F,MATCH(Table229[[#This Row],[كد تفصيلي]],'درجریان وصول'!A:A,0)),0)</f>
        <v>0</v>
      </c>
      <c r="E57" s="11">
        <f>IFERROR(INDEX('چکهای دریافتنی'!F:F,MATCH(Table229[[#This Row],[كد تفصيلي]],'چکهای دریافتنی'!A:A,0)),0)</f>
        <v>0</v>
      </c>
      <c r="F57" s="11">
        <f>Table229[[#This Row],[حسابهای دریافتنی]]+Table229[[#This Row],[چکهای در جریان وصول]]+Table229[[#This Row],[چکهای نزد صندوق]]</f>
        <v>12770000</v>
      </c>
      <c r="G57" s="12">
        <f>IFERROR(INDEX('مانده سوفاله'!F:F,MATCH(Table229[[#This Row],[كد تفصيلي]],'مانده سوفاله'!A:A,0)),0)</f>
        <v>-52.5</v>
      </c>
    </row>
    <row r="58" spans="1:7" ht="24.75" customHeight="1" x14ac:dyDescent="0.35">
      <c r="A58" s="74">
        <v>30093</v>
      </c>
      <c r="B58" s="73" t="s">
        <v>151</v>
      </c>
      <c r="C58" s="10">
        <f>IFERROR(INDEX('حسابهای دریافتنی'!H:H,MATCH(Table229[[#This Row],[كد تفصيلي]],'حسابهای دریافتنی'!A:A,0)),0)</f>
        <v>0</v>
      </c>
      <c r="D58" s="11">
        <f>IFERROR(INDEX('درجریان وصول'!F:F,MATCH(Table229[[#This Row],[كد تفصيلي]],'درجریان وصول'!A:A,0)),0)</f>
        <v>0</v>
      </c>
      <c r="E58" s="11">
        <f>IFERROR(INDEX('چکهای دریافتنی'!F:F,MATCH(Table229[[#This Row],[كد تفصيلي]],'چکهای دریافتنی'!A:A,0)),0)</f>
        <v>0</v>
      </c>
      <c r="F58" s="11">
        <f>Table229[[#This Row],[حسابهای دریافتنی]]+Table229[[#This Row],[چکهای در جریان وصول]]+Table229[[#This Row],[چکهای نزد صندوق]]</f>
        <v>0</v>
      </c>
      <c r="G58" s="12">
        <f>IFERROR(INDEX('مانده سوفاله'!F:F,MATCH(Table229[[#This Row],[كد تفصيلي]],'مانده سوفاله'!A:A,0)),0)</f>
        <v>0</v>
      </c>
    </row>
    <row r="59" spans="1:7" ht="24.75" customHeight="1" x14ac:dyDescent="0.35">
      <c r="A59" s="74">
        <v>30145</v>
      </c>
      <c r="B59" s="73" t="s">
        <v>265</v>
      </c>
      <c r="C59" s="10">
        <f>IFERROR(INDEX('حسابهای دریافتنی'!H:H,MATCH(Table229[[#This Row],[كد تفصيلي]],'حسابهای دریافتنی'!A:A,0)),0)</f>
        <v>6442500</v>
      </c>
      <c r="D59" s="11">
        <f>IFERROR(INDEX('درجریان وصول'!F:F,MATCH(Table229[[#This Row],[كد تفصيلي]],'درجریان وصول'!A:A,0)),0)</f>
        <v>0</v>
      </c>
      <c r="E59" s="11">
        <f>IFERROR(INDEX('چکهای دریافتنی'!F:F,MATCH(Table229[[#This Row],[كد تفصيلي]],'چکهای دریافتنی'!A:A,0)),0)</f>
        <v>0</v>
      </c>
      <c r="F59" s="11">
        <f>Table229[[#This Row],[حسابهای دریافتنی]]+Table229[[#This Row],[چکهای در جریان وصول]]+Table229[[#This Row],[چکهای نزد صندوق]]</f>
        <v>6442500</v>
      </c>
      <c r="G59" s="12">
        <f>IFERROR(INDEX('مانده سوفاله'!F:F,MATCH(Table229[[#This Row],[كد تفصيلي]],'مانده سوفاله'!A:A,0)),0)</f>
        <v>0</v>
      </c>
    </row>
    <row r="60" spans="1:7" ht="24.75" customHeight="1" x14ac:dyDescent="0.35">
      <c r="A60" s="75">
        <v>30047</v>
      </c>
      <c r="B60" s="72" t="s">
        <v>94</v>
      </c>
      <c r="C60" s="10">
        <f>IFERROR(INDEX('حسابهای دریافتنی'!H:H,MATCH(Table229[[#This Row],[كد تفصيلي]],'حسابهای دریافتنی'!A:A,0)),0)</f>
        <v>5794900</v>
      </c>
      <c r="D60" s="11">
        <f>IFERROR(INDEX('درجریان وصول'!F:F,MATCH(Table229[[#This Row],[كد تفصيلي]],'درجریان وصول'!A:A,0)),0)</f>
        <v>0</v>
      </c>
      <c r="E60" s="11">
        <f>IFERROR(INDEX('چکهای دریافتنی'!F:F,MATCH(Table229[[#This Row],[كد تفصيلي]],'چکهای دریافتنی'!A:A,0)),0)</f>
        <v>0</v>
      </c>
      <c r="F60" s="11">
        <f>Table229[[#This Row],[حسابهای دریافتنی]]+Table229[[#This Row],[چکهای در جریان وصول]]+Table229[[#This Row],[چکهای نزد صندوق]]</f>
        <v>5794900</v>
      </c>
      <c r="G60" s="12">
        <f>IFERROR(INDEX('مانده سوفاله'!F:F,MATCH(Table229[[#This Row],[كد تفصيلي]],'مانده سوفاله'!A:A,0)),0)</f>
        <v>-630</v>
      </c>
    </row>
    <row r="61" spans="1:7" ht="24.75" customHeight="1" x14ac:dyDescent="0.35">
      <c r="A61" s="75">
        <v>30011</v>
      </c>
      <c r="B61" s="72" t="s">
        <v>60</v>
      </c>
      <c r="C61" s="10">
        <f>IFERROR(INDEX('حسابهای دریافتنی'!H:H,MATCH(Table229[[#This Row],[كد تفصيلي]],'حسابهای دریافتنی'!A:A,0)),0)</f>
        <v>5595200</v>
      </c>
      <c r="D61" s="11">
        <f>IFERROR(INDEX('درجریان وصول'!F:F,MATCH(Table229[[#This Row],[كد تفصيلي]],'درجریان وصول'!A:A,0)),0)</f>
        <v>0</v>
      </c>
      <c r="E61" s="11">
        <f>IFERROR(INDEX('چکهای دریافتنی'!F:F,MATCH(Table229[[#This Row],[كد تفصيلي]],'چکهای دریافتنی'!A:A,0)),0)</f>
        <v>0</v>
      </c>
      <c r="F61" s="11">
        <f>Table229[[#This Row],[حسابهای دریافتنی]]+Table229[[#This Row],[چکهای در جریان وصول]]+Table229[[#This Row],[چکهای نزد صندوق]]</f>
        <v>5595200</v>
      </c>
      <c r="G61" s="12">
        <f>IFERROR(INDEX('مانده سوفاله'!F:F,MATCH(Table229[[#This Row],[كد تفصيلي]],'مانده سوفاله'!A:A,0)),0)</f>
        <v>-5</v>
      </c>
    </row>
    <row r="62" spans="1:7" ht="24.75" customHeight="1" x14ac:dyDescent="0.35">
      <c r="A62" s="74">
        <v>10080</v>
      </c>
      <c r="B62" s="73" t="s">
        <v>214</v>
      </c>
      <c r="C62" s="10">
        <f>IFERROR(INDEX('حسابهای دریافتنی'!H:H,MATCH(Table229[[#This Row],[كد تفصيلي]],'حسابهای دریافتنی'!A:A,0)),0)</f>
        <v>5395000</v>
      </c>
      <c r="D62" s="11">
        <f>IFERROR(INDEX('درجریان وصول'!F:F,MATCH(Table229[[#This Row],[كد تفصيلي]],'درجریان وصول'!A:A,0)),0)</f>
        <v>0</v>
      </c>
      <c r="E62" s="11">
        <f>IFERROR(INDEX('چکهای دریافتنی'!F:F,MATCH(Table229[[#This Row],[كد تفصيلي]],'چکهای دریافتنی'!A:A,0)),0)</f>
        <v>0</v>
      </c>
      <c r="F62" s="11">
        <f>Table229[[#This Row],[حسابهای دریافتنی]]+Table229[[#This Row],[چکهای در جریان وصول]]+Table229[[#This Row],[چکهای نزد صندوق]]</f>
        <v>5395000</v>
      </c>
      <c r="G62" s="12">
        <f>IFERROR(INDEX('مانده سوفاله'!F:F,MATCH(Table229[[#This Row],[كد تفصيلي]],'مانده سوفاله'!A:A,0)),0)</f>
        <v>0</v>
      </c>
    </row>
    <row r="63" spans="1:7" ht="24.75" customHeight="1" x14ac:dyDescent="0.35">
      <c r="A63" s="75">
        <v>30114</v>
      </c>
      <c r="B63" s="72" t="s">
        <v>175</v>
      </c>
      <c r="C63" s="10">
        <f>IFERROR(INDEX('حسابهای دریافتنی'!H:H,MATCH(Table229[[#This Row],[كد تفصيلي]],'حسابهای دریافتنی'!A:A,0)),0)</f>
        <v>5385600</v>
      </c>
      <c r="D63" s="11">
        <f>IFERROR(INDEX('درجریان وصول'!F:F,MATCH(Table229[[#This Row],[كد تفصيلي]],'درجریان وصول'!A:A,0)),0)</f>
        <v>0</v>
      </c>
      <c r="E63" s="11">
        <f>IFERROR(INDEX('چکهای دریافتنی'!F:F,MATCH(Table229[[#This Row],[كد تفصيلي]],'چکهای دریافتنی'!A:A,0)),0)</f>
        <v>0</v>
      </c>
      <c r="F63" s="11">
        <f>Table229[[#This Row],[حسابهای دریافتنی]]+Table229[[#This Row],[چکهای در جریان وصول]]+Table229[[#This Row],[چکهای نزد صندوق]]</f>
        <v>5385600</v>
      </c>
      <c r="G63" s="12">
        <f>IFERROR(INDEX('مانده سوفاله'!F:F,MATCH(Table229[[#This Row],[كد تفصيلي]],'مانده سوفاله'!A:A,0)),0)</f>
        <v>0</v>
      </c>
    </row>
    <row r="64" spans="1:7" ht="24.75" customHeight="1" x14ac:dyDescent="0.35">
      <c r="A64" s="74">
        <v>30123</v>
      </c>
      <c r="B64" s="73" t="s">
        <v>208</v>
      </c>
      <c r="C64" s="10">
        <f>IFERROR(INDEX('حسابهای دریافتنی'!H:H,MATCH(Table229[[#This Row],[كد تفصيلي]],'حسابهای دریافتنی'!A:A,0)),0)</f>
        <v>4138250</v>
      </c>
      <c r="D64" s="11">
        <f>IFERROR(INDEX('درجریان وصول'!F:F,MATCH(Table229[[#This Row],[كد تفصيلي]],'درجریان وصول'!A:A,0)),0)</f>
        <v>0</v>
      </c>
      <c r="E64" s="11">
        <f>IFERROR(INDEX('چکهای دریافتنی'!F:F,MATCH(Table229[[#This Row],[كد تفصيلي]],'چکهای دریافتنی'!A:A,0)),0)</f>
        <v>0</v>
      </c>
      <c r="F64" s="11">
        <f>Table229[[#This Row],[حسابهای دریافتنی]]+Table229[[#This Row],[چکهای در جریان وصول]]+Table229[[#This Row],[چکهای نزد صندوق]]</f>
        <v>4138250</v>
      </c>
      <c r="G64" s="12">
        <f>IFERROR(INDEX('مانده سوفاله'!F:F,MATCH(Table229[[#This Row],[كد تفصيلي]],'مانده سوفاله'!A:A,0)),0)</f>
        <v>-20</v>
      </c>
    </row>
    <row r="65" spans="1:7" ht="24.75" customHeight="1" x14ac:dyDescent="0.35">
      <c r="A65" s="75">
        <v>10116</v>
      </c>
      <c r="B65" s="72" t="s">
        <v>321</v>
      </c>
      <c r="C65" s="10">
        <f>IFERROR(INDEX('حسابهای دریافتنی'!H:H,MATCH(Table229[[#This Row],[كد تفصيلي]],'حسابهای دریافتنی'!A:A,0)),0)</f>
        <v>3892500</v>
      </c>
      <c r="D65" s="11">
        <f>IFERROR(INDEX('درجریان وصول'!F:F,MATCH(Table229[[#This Row],[كد تفصيلي]],'درجریان وصول'!A:A,0)),0)</f>
        <v>0</v>
      </c>
      <c r="E65" s="11">
        <f>IFERROR(INDEX('چکهای دریافتنی'!F:F,MATCH(Table229[[#This Row],[كد تفصيلي]],'چکهای دریافتنی'!A:A,0)),0)</f>
        <v>0</v>
      </c>
      <c r="F65" s="11">
        <f>Table229[[#This Row],[حسابهای دریافتنی]]+Table229[[#This Row],[چکهای در جریان وصول]]+Table229[[#This Row],[چکهای نزد صندوق]]</f>
        <v>3892500</v>
      </c>
      <c r="G65" s="12">
        <f>IFERROR(INDEX('مانده سوفاله'!F:F,MATCH(Table229[[#This Row],[كد تفصيلي]],'مانده سوفاله'!A:A,0)),0)</f>
        <v>0</v>
      </c>
    </row>
    <row r="66" spans="1:7" ht="24.75" customHeight="1" x14ac:dyDescent="0.35">
      <c r="A66" s="75">
        <v>10122</v>
      </c>
      <c r="B66" s="72" t="s">
        <v>339</v>
      </c>
      <c r="C66" s="10">
        <f>IFERROR(INDEX('حسابهای دریافتنی'!H:H,MATCH(Table229[[#This Row],[كد تفصيلي]],'حسابهای دریافتنی'!A:A,0)),0)</f>
        <v>3375000</v>
      </c>
      <c r="D66" s="11">
        <f>IFERROR(INDEX('درجریان وصول'!F:F,MATCH(Table229[[#This Row],[كد تفصيلي]],'درجریان وصول'!A:A,0)),0)</f>
        <v>0</v>
      </c>
      <c r="E66" s="11">
        <f>IFERROR(INDEX('چکهای دریافتنی'!F:F,MATCH(Table229[[#This Row],[كد تفصيلي]],'چکهای دریافتنی'!A:A,0)),0)</f>
        <v>0</v>
      </c>
      <c r="F66" s="11">
        <f>Table229[[#This Row],[حسابهای دریافتنی]]+Table229[[#This Row],[چکهای در جریان وصول]]+Table229[[#This Row],[چکهای نزد صندوق]]</f>
        <v>3375000</v>
      </c>
      <c r="G66" s="12">
        <f>IFERROR(INDEX('مانده سوفاله'!F:F,MATCH(Table229[[#This Row],[كد تفصيلي]],'مانده سوفاله'!A:A,0)),0)</f>
        <v>0</v>
      </c>
    </row>
    <row r="67" spans="1:7" ht="24.75" customHeight="1" x14ac:dyDescent="0.35">
      <c r="A67" s="74">
        <v>10030</v>
      </c>
      <c r="B67" s="73" t="s">
        <v>36</v>
      </c>
      <c r="C67" s="10">
        <f>IFERROR(INDEX('حسابهای دریافتنی'!H:H,MATCH(Table229[[#This Row],[كد تفصيلي]],'حسابهای دریافتنی'!A:A,0)),0)</f>
        <v>3272000</v>
      </c>
      <c r="D67" s="11">
        <f>IFERROR(INDEX('درجریان وصول'!F:F,MATCH(Table229[[#This Row],[كد تفصيلي]],'درجریان وصول'!A:A,0)),0)</f>
        <v>0</v>
      </c>
      <c r="E67" s="11">
        <f>IFERROR(INDEX('چکهای دریافتنی'!F:F,MATCH(Table229[[#This Row],[كد تفصيلي]],'چکهای دریافتنی'!A:A,0)),0)</f>
        <v>0</v>
      </c>
      <c r="F67" s="11">
        <f>Table229[[#This Row],[حسابهای دریافتنی]]+Table229[[#This Row],[چکهای در جریان وصول]]+Table229[[#This Row],[چکهای نزد صندوق]]</f>
        <v>3272000</v>
      </c>
      <c r="G67" s="12">
        <f>IFERROR(INDEX('مانده سوفاله'!F:F,MATCH(Table229[[#This Row],[كد تفصيلي]],'مانده سوفاله'!A:A,0)),0)</f>
        <v>-222</v>
      </c>
    </row>
    <row r="68" spans="1:7" ht="24.75" customHeight="1" x14ac:dyDescent="0.35">
      <c r="A68" s="75">
        <v>30178</v>
      </c>
      <c r="B68" s="72" t="s">
        <v>335</v>
      </c>
      <c r="C68" s="10">
        <f>IFERROR(INDEX('حسابهای دریافتنی'!H:H,MATCH(Table229[[#This Row],[كد تفصيلي]],'حسابهای دریافتنی'!A:A,0)),0)</f>
        <v>3040000</v>
      </c>
      <c r="D68" s="11">
        <f>IFERROR(INDEX('درجریان وصول'!F:F,MATCH(Table229[[#This Row],[كد تفصيلي]],'درجریان وصول'!A:A,0)),0)</f>
        <v>0</v>
      </c>
      <c r="E68" s="11">
        <f>IFERROR(INDEX('چکهای دریافتنی'!F:F,MATCH(Table229[[#This Row],[كد تفصيلي]],'چکهای دریافتنی'!A:A,0)),0)</f>
        <v>0</v>
      </c>
      <c r="F68" s="11">
        <f>Table229[[#This Row],[حسابهای دریافتنی]]+Table229[[#This Row],[چکهای در جریان وصول]]+Table229[[#This Row],[چکهای نزد صندوق]]</f>
        <v>3040000</v>
      </c>
      <c r="G68" s="12">
        <f>IFERROR(INDEX('مانده سوفاله'!F:F,MATCH(Table229[[#This Row],[كد تفصيلي]],'مانده سوفاله'!A:A,0)),0)</f>
        <v>0</v>
      </c>
    </row>
    <row r="69" spans="1:7" ht="24.75" customHeight="1" x14ac:dyDescent="0.35">
      <c r="A69" s="74">
        <v>30020</v>
      </c>
      <c r="B69" s="73" t="s">
        <v>68</v>
      </c>
      <c r="C69" s="10">
        <f>IFERROR(INDEX('حسابهای دریافتنی'!H:H,MATCH(Table229[[#This Row],[كد تفصيلي]],'حسابهای دریافتنی'!A:A,0)),0)</f>
        <v>2253500</v>
      </c>
      <c r="D69" s="11">
        <f>IFERROR(INDEX('درجریان وصول'!F:F,MATCH(Table229[[#This Row],[كد تفصيلي]],'درجریان وصول'!A:A,0)),0)</f>
        <v>0</v>
      </c>
      <c r="E69" s="11">
        <f>IFERROR(INDEX('چکهای دریافتنی'!F:F,MATCH(Table229[[#This Row],[كد تفصيلي]],'چکهای دریافتنی'!A:A,0)),0)</f>
        <v>0</v>
      </c>
      <c r="F69" s="11">
        <f>Table229[[#This Row],[حسابهای دریافتنی]]+Table229[[#This Row],[چکهای در جریان وصول]]+Table229[[#This Row],[چکهای نزد صندوق]]</f>
        <v>2253500</v>
      </c>
      <c r="G69" s="12">
        <f>IFERROR(INDEX('مانده سوفاله'!F:F,MATCH(Table229[[#This Row],[كد تفصيلي]],'مانده سوفاله'!A:A,0)),0)</f>
        <v>4</v>
      </c>
    </row>
    <row r="70" spans="1:7" ht="24.75" customHeight="1" x14ac:dyDescent="0.35">
      <c r="A70" s="75">
        <v>30084</v>
      </c>
      <c r="B70" s="72" t="s">
        <v>129</v>
      </c>
      <c r="C70" s="10">
        <f>IFERROR(INDEX('حسابهای دریافتنی'!H:H,MATCH(Table229[[#This Row],[كد تفصيلي]],'حسابهای دریافتنی'!A:A,0)),0)</f>
        <v>1220000</v>
      </c>
      <c r="D70" s="11">
        <f>IFERROR(INDEX('درجریان وصول'!F:F,MATCH(Table229[[#This Row],[كد تفصيلي]],'درجریان وصول'!A:A,0)),0)</f>
        <v>0</v>
      </c>
      <c r="E70" s="11">
        <f>IFERROR(INDEX('چکهای دریافتنی'!F:F,MATCH(Table229[[#This Row],[كد تفصيلي]],'چکهای دریافتنی'!A:A,0)),0)</f>
        <v>0</v>
      </c>
      <c r="F70" s="11">
        <f>Table229[[#This Row],[حسابهای دریافتنی]]+Table229[[#This Row],[چکهای در جریان وصول]]+Table229[[#This Row],[چکهای نزد صندوق]]</f>
        <v>1220000</v>
      </c>
      <c r="G70" s="12">
        <f>IFERROR(INDEX('مانده سوفاله'!F:F,MATCH(Table229[[#This Row],[كد تفصيلي]],'مانده سوفاله'!A:A,0)),0)</f>
        <v>0</v>
      </c>
    </row>
    <row r="71" spans="1:7" ht="24.75" customHeight="1" x14ac:dyDescent="0.35">
      <c r="A71" s="74">
        <v>79055</v>
      </c>
      <c r="B71" s="73" t="s">
        <v>297</v>
      </c>
      <c r="C71" s="10">
        <f>IFERROR(INDEX('حسابهای دریافتنی'!H:H,MATCH(Table229[[#This Row],[كد تفصيلي]],'حسابهای دریافتنی'!A:A,0)),0)</f>
        <v>896500</v>
      </c>
      <c r="D71" s="11">
        <f>IFERROR(INDEX('درجریان وصول'!F:F,MATCH(Table229[[#This Row],[كد تفصيلي]],'درجریان وصول'!A:A,0)),0)</f>
        <v>0</v>
      </c>
      <c r="E71" s="11">
        <f>IFERROR(INDEX('چکهای دریافتنی'!F:F,MATCH(Table229[[#This Row],[كد تفصيلي]],'چکهای دریافتنی'!A:A,0)),0)</f>
        <v>0</v>
      </c>
      <c r="F71" s="11">
        <f>Table229[[#This Row],[حسابهای دریافتنی]]+Table229[[#This Row],[چکهای در جریان وصول]]+Table229[[#This Row],[چکهای نزد صندوق]]</f>
        <v>896500</v>
      </c>
      <c r="G71" s="12">
        <f>IFERROR(INDEX('مانده سوفاله'!F:F,MATCH(Table229[[#This Row],[كد تفصيلي]],'مانده سوفاله'!A:A,0)),0)</f>
        <v>0</v>
      </c>
    </row>
    <row r="72" spans="1:7" ht="24.75" customHeight="1" x14ac:dyDescent="0.35">
      <c r="A72" s="74">
        <v>30030</v>
      </c>
      <c r="B72" s="73" t="s">
        <v>77</v>
      </c>
      <c r="C72" s="10">
        <f>IFERROR(INDEX('حسابهای دریافتنی'!H:H,MATCH(Table229[[#This Row],[كد تفصيلي]],'حسابهای دریافتنی'!A:A,0)),0)</f>
        <v>850500</v>
      </c>
      <c r="D72" s="11">
        <f>IFERROR(INDEX('درجریان وصول'!F:F,MATCH(Table229[[#This Row],[كد تفصيلي]],'درجریان وصول'!A:A,0)),0)</f>
        <v>0</v>
      </c>
      <c r="E72" s="11">
        <f>IFERROR(INDEX('چکهای دریافتنی'!F:F,MATCH(Table229[[#This Row],[كد تفصيلي]],'چکهای دریافتنی'!A:A,0)),0)</f>
        <v>0</v>
      </c>
      <c r="F72" s="11">
        <f>Table229[[#This Row],[حسابهای دریافتنی]]+Table229[[#This Row],[چکهای در جریان وصول]]+Table229[[#This Row],[چکهای نزد صندوق]]</f>
        <v>850500</v>
      </c>
      <c r="G72" s="12">
        <f>IFERROR(INDEX('مانده سوفاله'!F:F,MATCH(Table229[[#This Row],[كد تفصيلي]],'مانده سوفاله'!A:A,0)),0)</f>
        <v>-49</v>
      </c>
    </row>
    <row r="73" spans="1:7" ht="24.75" customHeight="1" x14ac:dyDescent="0.35">
      <c r="A73" s="74">
        <v>30129</v>
      </c>
      <c r="B73" s="73" t="s">
        <v>178</v>
      </c>
      <c r="C73" s="10">
        <f>IFERROR(INDEX('حسابهای دریافتنی'!H:H,MATCH(Table229[[#This Row],[كد تفصيلي]],'حسابهای دریافتنی'!A:A,0)),0)</f>
        <v>783000</v>
      </c>
      <c r="D73" s="11">
        <f>IFERROR(INDEX('درجریان وصول'!F:F,MATCH(Table229[[#This Row],[كد تفصيلي]],'درجریان وصول'!A:A,0)),0)</f>
        <v>0</v>
      </c>
      <c r="E73" s="11">
        <f>IFERROR(INDEX('چکهای دریافتنی'!F:F,MATCH(Table229[[#This Row],[كد تفصيلي]],'چکهای دریافتنی'!A:A,0)),0)</f>
        <v>0</v>
      </c>
      <c r="F73" s="11">
        <f>Table229[[#This Row],[حسابهای دریافتنی]]+Table229[[#This Row],[چکهای در جریان وصول]]+Table229[[#This Row],[چکهای نزد صندوق]]</f>
        <v>783000</v>
      </c>
      <c r="G73" s="12">
        <f>IFERROR(INDEX('مانده سوفاله'!F:F,MATCH(Table229[[#This Row],[كد تفصيلي]],'مانده سوفاله'!A:A,0)),0)</f>
        <v>0</v>
      </c>
    </row>
    <row r="74" spans="1:7" ht="24.75" customHeight="1" x14ac:dyDescent="0.35">
      <c r="A74" s="75">
        <v>30090</v>
      </c>
      <c r="B74" s="72" t="s">
        <v>144</v>
      </c>
      <c r="C74" s="10">
        <f>IFERROR(INDEX('حسابهای دریافتنی'!H:H,MATCH(Table229[[#This Row],[كد تفصيلي]],'حسابهای دریافتنی'!A:A,0)),0)</f>
        <v>640100</v>
      </c>
      <c r="D74" s="11">
        <f>IFERROR(INDEX('درجریان وصول'!F:F,MATCH(Table229[[#This Row],[كد تفصيلي]],'درجریان وصول'!A:A,0)),0)</f>
        <v>0</v>
      </c>
      <c r="E74" s="11">
        <f>IFERROR(INDEX('چکهای دریافتنی'!F:F,MATCH(Table229[[#This Row],[كد تفصيلي]],'چکهای دریافتنی'!A:A,0)),0)</f>
        <v>0</v>
      </c>
      <c r="F74" s="11">
        <f>Table229[[#This Row],[حسابهای دریافتنی]]+Table229[[#This Row],[چکهای در جریان وصول]]+Table229[[#This Row],[چکهای نزد صندوق]]</f>
        <v>640100</v>
      </c>
      <c r="G74" s="12">
        <f>IFERROR(INDEX('مانده سوفاله'!F:F,MATCH(Table229[[#This Row],[كد تفصيلي]],'مانده سوفاله'!A:A,0)),0)</f>
        <v>0</v>
      </c>
    </row>
    <row r="75" spans="1:7" ht="24.75" customHeight="1" x14ac:dyDescent="0.35">
      <c r="A75" s="74">
        <v>30109</v>
      </c>
      <c r="B75" s="73" t="s">
        <v>165</v>
      </c>
      <c r="C75" s="10">
        <f>IFERROR(INDEX('حسابهای دریافتنی'!H:H,MATCH(Table229[[#This Row],[كد تفصيلي]],'حسابهای دریافتنی'!A:A,0)),0)</f>
        <v>607300</v>
      </c>
      <c r="D75" s="11">
        <f>IFERROR(INDEX('درجریان وصول'!F:F,MATCH(Table229[[#This Row],[كد تفصيلي]],'درجریان وصول'!A:A,0)),0)</f>
        <v>0</v>
      </c>
      <c r="E75" s="11">
        <f>IFERROR(INDEX('چکهای دریافتنی'!F:F,MATCH(Table229[[#This Row],[كد تفصيلي]],'چکهای دریافتنی'!A:A,0)),0)</f>
        <v>0</v>
      </c>
      <c r="F75" s="11">
        <f>Table229[[#This Row],[حسابهای دریافتنی]]+Table229[[#This Row],[چکهای در جریان وصول]]+Table229[[#This Row],[چکهای نزد صندوق]]</f>
        <v>607300</v>
      </c>
      <c r="G75" s="12">
        <f>IFERROR(INDEX('مانده سوفاله'!F:F,MATCH(Table229[[#This Row],[كد تفصيلي]],'مانده سوفاله'!A:A,0)),0)</f>
        <v>0</v>
      </c>
    </row>
    <row r="76" spans="1:7" ht="24.75" customHeight="1" x14ac:dyDescent="0.35">
      <c r="A76" s="74">
        <v>30010</v>
      </c>
      <c r="B76" s="73" t="s">
        <v>59</v>
      </c>
      <c r="C76" s="10">
        <f>IFERROR(INDEX('حسابهای دریافتنی'!H:H,MATCH(Table229[[#This Row],[كد تفصيلي]],'حسابهای دریافتنی'!A:A,0)),0)</f>
        <v>366215</v>
      </c>
      <c r="D76" s="11">
        <f>IFERROR(INDEX('درجریان وصول'!F:F,MATCH(Table229[[#This Row],[كد تفصيلي]],'درجریان وصول'!A:A,0)),0)</f>
        <v>0</v>
      </c>
      <c r="E76" s="11">
        <f>IFERROR(INDEX('چکهای دریافتنی'!F:F,MATCH(Table229[[#This Row],[كد تفصيلي]],'چکهای دریافتنی'!A:A,0)),0)</f>
        <v>0</v>
      </c>
      <c r="F76" s="11">
        <f>Table229[[#This Row],[حسابهای دریافتنی]]+Table229[[#This Row],[چکهای در جریان وصول]]+Table229[[#This Row],[چکهای نزد صندوق]]</f>
        <v>366215</v>
      </c>
      <c r="G76" s="12">
        <f>IFERROR(INDEX('مانده سوفاله'!F:F,MATCH(Table229[[#This Row],[كد تفصيلي]],'مانده سوفاله'!A:A,0)),0)</f>
        <v>8</v>
      </c>
    </row>
    <row r="77" spans="1:7" ht="24.75" customHeight="1" x14ac:dyDescent="0.35">
      <c r="A77" s="74">
        <v>30077</v>
      </c>
      <c r="B77" s="73" t="s">
        <v>122</v>
      </c>
      <c r="C77" s="10">
        <f>IFERROR(INDEX('حسابهای دریافتنی'!H:H,MATCH(Table229[[#This Row],[كد تفصيلي]],'حسابهای دریافتنی'!A:A,0)),0)</f>
        <v>360000</v>
      </c>
      <c r="D77" s="11">
        <f>IFERROR(INDEX('درجریان وصول'!F:F,MATCH(Table229[[#This Row],[كد تفصيلي]],'درجریان وصول'!A:A,0)),0)</f>
        <v>0</v>
      </c>
      <c r="E77" s="11">
        <f>IFERROR(INDEX('چکهای دریافتنی'!F:F,MATCH(Table229[[#This Row],[كد تفصيلي]],'چکهای دریافتنی'!A:A,0)),0)</f>
        <v>0</v>
      </c>
      <c r="F77" s="11">
        <f>Table229[[#This Row],[حسابهای دریافتنی]]+Table229[[#This Row],[چکهای در جریان وصول]]+Table229[[#This Row],[چکهای نزد صندوق]]</f>
        <v>360000</v>
      </c>
      <c r="G77" s="12">
        <f>IFERROR(INDEX('مانده سوفاله'!F:F,MATCH(Table229[[#This Row],[كد تفصيلي]],'مانده سوفاله'!A:A,0)),0)</f>
        <v>-32</v>
      </c>
    </row>
    <row r="78" spans="1:7" ht="24.75" customHeight="1" x14ac:dyDescent="0.35">
      <c r="A78" s="75">
        <v>30027</v>
      </c>
      <c r="B78" s="72" t="s">
        <v>75</v>
      </c>
      <c r="C78" s="10">
        <f>IFERROR(INDEX('حسابهای دریافتنی'!H:H,MATCH(Table229[[#This Row],[كد تفصيلي]],'حسابهای دریافتنی'!A:A,0)),0)</f>
        <v>326950</v>
      </c>
      <c r="D78" s="11">
        <f>IFERROR(INDEX('درجریان وصول'!F:F,MATCH(Table229[[#This Row],[كد تفصيلي]],'درجریان وصول'!A:A,0)),0)</f>
        <v>0</v>
      </c>
      <c r="E78" s="11">
        <f>IFERROR(INDEX('چکهای دریافتنی'!F:F,MATCH(Table229[[#This Row],[كد تفصيلي]],'چکهای دریافتنی'!A:A,0)),0)</f>
        <v>0</v>
      </c>
      <c r="F78" s="11">
        <f>Table229[[#This Row],[حسابهای دریافتنی]]+Table229[[#This Row],[چکهای در جریان وصول]]+Table229[[#This Row],[چکهای نزد صندوق]]</f>
        <v>326950</v>
      </c>
      <c r="G78" s="12">
        <f>IFERROR(INDEX('مانده سوفاله'!F:F,MATCH(Table229[[#This Row],[كد تفصيلي]],'مانده سوفاله'!A:A,0)),0)</f>
        <v>0</v>
      </c>
    </row>
    <row r="79" spans="1:7" ht="24.75" customHeight="1" x14ac:dyDescent="0.35">
      <c r="A79" s="74">
        <v>30135</v>
      </c>
      <c r="B79" s="73" t="s">
        <v>179</v>
      </c>
      <c r="C79" s="10">
        <f>IFERROR(INDEX('حسابهای دریافتنی'!H:H,MATCH(Table229[[#This Row],[كد تفصيلي]],'حسابهای دریافتنی'!A:A,0)),0)</f>
        <v>195000</v>
      </c>
      <c r="D79" s="11">
        <f>IFERROR(INDEX('درجریان وصول'!F:F,MATCH(Table229[[#This Row],[كد تفصيلي]],'درجریان وصول'!A:A,0)),0)</f>
        <v>0</v>
      </c>
      <c r="E79" s="11">
        <f>IFERROR(INDEX('چکهای دریافتنی'!F:F,MATCH(Table229[[#This Row],[كد تفصيلي]],'چکهای دریافتنی'!A:A,0)),0)</f>
        <v>0</v>
      </c>
      <c r="F79" s="11">
        <f>Table229[[#This Row],[حسابهای دریافتنی]]+Table229[[#This Row],[چکهای در جریان وصول]]+Table229[[#This Row],[چکهای نزد صندوق]]</f>
        <v>195000</v>
      </c>
      <c r="G79" s="12">
        <f>IFERROR(INDEX('مانده سوفاله'!F:F,MATCH(Table229[[#This Row],[كد تفصيلي]],'مانده سوفاله'!A:A,0)),0)</f>
        <v>-5</v>
      </c>
    </row>
    <row r="80" spans="1:7" ht="24.75" customHeight="1" x14ac:dyDescent="0.35">
      <c r="A80" s="74">
        <v>10088</v>
      </c>
      <c r="B80" s="73" t="s">
        <v>254</v>
      </c>
      <c r="C80" s="10">
        <f>IFERROR(INDEX('حسابهای دریافتنی'!H:H,MATCH(Table229[[#This Row],[كد تفصيلي]],'حسابهای دریافتنی'!A:A,0)),0)</f>
        <v>113500</v>
      </c>
      <c r="D80" s="11">
        <f>IFERROR(INDEX('درجریان وصول'!F:F,MATCH(Table229[[#This Row],[كد تفصيلي]],'درجریان وصول'!A:A,0)),0)</f>
        <v>0</v>
      </c>
      <c r="E80" s="11">
        <f>IFERROR(INDEX('چکهای دریافتنی'!F:F,MATCH(Table229[[#This Row],[كد تفصيلي]],'چکهای دریافتنی'!A:A,0)),0)</f>
        <v>0</v>
      </c>
      <c r="F80" s="11">
        <f>Table229[[#This Row],[حسابهای دریافتنی]]+Table229[[#This Row],[چکهای در جریان وصول]]+Table229[[#This Row],[چکهای نزد صندوق]]</f>
        <v>113500</v>
      </c>
      <c r="G80" s="12">
        <f>IFERROR(INDEX('مانده سوفاله'!F:F,MATCH(Table229[[#This Row],[كد تفصيلي]],'مانده سوفاله'!A:A,0)),0)</f>
        <v>0</v>
      </c>
    </row>
    <row r="81" spans="1:7" ht="24.75" customHeight="1" x14ac:dyDescent="0.35">
      <c r="A81" s="75">
        <v>10105</v>
      </c>
      <c r="B81" s="72" t="s">
        <v>294</v>
      </c>
      <c r="C81" s="10">
        <f>IFERROR(INDEX('حسابهای دریافتنی'!H:H,MATCH(Table229[[#This Row],[كد تفصيلي]],'حسابهای دریافتنی'!A:A,0)),0)</f>
        <v>7630000</v>
      </c>
      <c r="D81" s="11">
        <f>IFERROR(INDEX('درجریان وصول'!F:F,MATCH(Table229[[#This Row],[كد تفصيلي]],'درجریان وصول'!A:A,0)),0)</f>
        <v>0</v>
      </c>
      <c r="E81" s="11">
        <f>IFERROR(INDEX('چکهای دریافتنی'!F:F,MATCH(Table229[[#This Row],[كد تفصيلي]],'چکهای دریافتنی'!A:A,0)),0)</f>
        <v>0</v>
      </c>
      <c r="F81" s="11">
        <f>Table229[[#This Row],[حسابهای دریافتنی]]+Table229[[#This Row],[چکهای در جریان وصول]]+Table229[[#This Row],[چکهای نزد صندوق]]</f>
        <v>7630000</v>
      </c>
      <c r="G81" s="12">
        <f>IFERROR(INDEX('مانده سوفاله'!F:F,MATCH(Table229[[#This Row],[كد تفصيلي]],'مانده سوفاله'!A:A,0)),0)</f>
        <v>0</v>
      </c>
    </row>
    <row r="82" spans="1:7" ht="24.75" customHeight="1" x14ac:dyDescent="0.35">
      <c r="A82" s="75">
        <v>10091</v>
      </c>
      <c r="B82" s="72" t="s">
        <v>258</v>
      </c>
      <c r="C82" s="10">
        <f>IFERROR(INDEX('حسابهای دریافتنی'!H:H,MATCH(Table229[[#This Row],[كد تفصيلي]],'حسابهای دریافتنی'!A:A,0)),0)</f>
        <v>59321500</v>
      </c>
      <c r="D82" s="11">
        <f>IFERROR(INDEX('درجریان وصول'!F:F,MATCH(Table229[[#This Row],[كد تفصيلي]],'درجریان وصول'!A:A,0)),0)</f>
        <v>0</v>
      </c>
      <c r="E82" s="11">
        <f>IFERROR(INDEX('چکهای دریافتنی'!F:F,MATCH(Table229[[#This Row],[كد تفصيلي]],'چکهای دریافتنی'!A:A,0)),0)</f>
        <v>0</v>
      </c>
      <c r="F82" s="11">
        <f>Table229[[#This Row],[حسابهای دریافتنی]]+Table229[[#This Row],[چکهای در جریان وصول]]+Table229[[#This Row],[چکهای نزد صندوق]]</f>
        <v>59321500</v>
      </c>
      <c r="G82" s="12">
        <f>IFERROR(INDEX('مانده سوفاله'!F:F,MATCH(Table229[[#This Row],[كد تفصيلي]],'مانده سوفاله'!A:A,0)),0)</f>
        <v>0</v>
      </c>
    </row>
    <row r="83" spans="1:7" ht="24.75" customHeight="1" x14ac:dyDescent="0.35">
      <c r="A83" s="74">
        <v>10010</v>
      </c>
      <c r="B83" s="73" t="s">
        <v>17</v>
      </c>
      <c r="C83" s="10">
        <f>IFERROR(INDEX('حسابهای دریافتنی'!H:H,MATCH(Table229[[#This Row],[كد تفصيلي]],'حسابهای دریافتنی'!A:A,0)),0)</f>
        <v>0</v>
      </c>
      <c r="D83" s="11">
        <f>IFERROR(INDEX('درجریان وصول'!F:F,MATCH(Table229[[#This Row],[كد تفصيلي]],'درجریان وصول'!A:A,0)),0)</f>
        <v>0</v>
      </c>
      <c r="E83" s="11">
        <f>IFERROR(INDEX('چکهای دریافتنی'!F:F,MATCH(Table229[[#This Row],[كد تفصيلي]],'چکهای دریافتنی'!A:A,0)),0)</f>
        <v>0</v>
      </c>
      <c r="F83" s="11">
        <f>Table229[[#This Row],[حسابهای دریافتنی]]+Table229[[#This Row],[چکهای در جریان وصول]]+Table229[[#This Row],[چکهای نزد صندوق]]</f>
        <v>0</v>
      </c>
      <c r="G83" s="12">
        <f>IFERROR(INDEX('مانده سوفاله'!F:F,MATCH(Table229[[#This Row],[كد تفصيلي]],'مانده سوفاله'!A:A,0)),0)</f>
        <v>8</v>
      </c>
    </row>
    <row r="84" spans="1:7" ht="24.75" customHeight="1" x14ac:dyDescent="0.35">
      <c r="A84" s="74">
        <v>10014</v>
      </c>
      <c r="B84" s="73" t="s">
        <v>21</v>
      </c>
      <c r="C84" s="10">
        <f>IFERROR(INDEX('حسابهای دریافتنی'!H:H,MATCH(Table229[[#This Row],[كد تفصيلي]],'حسابهای دریافتنی'!A:A,0)),0)</f>
        <v>0</v>
      </c>
      <c r="D84" s="11">
        <f>IFERROR(INDEX('درجریان وصول'!F:F,MATCH(Table229[[#This Row],[كد تفصيلي]],'درجریان وصول'!A:A,0)),0)</f>
        <v>0</v>
      </c>
      <c r="E84" s="11">
        <f>IFERROR(INDEX('چکهای دریافتنی'!F:F,MATCH(Table229[[#This Row],[كد تفصيلي]],'چکهای دریافتنی'!A:A,0)),0)</f>
        <v>0</v>
      </c>
      <c r="F84" s="11">
        <f>Table229[[#This Row],[حسابهای دریافتنی]]+Table229[[#This Row],[چکهای در جریان وصول]]+Table229[[#This Row],[چکهای نزد صندوق]]</f>
        <v>0</v>
      </c>
      <c r="G84" s="12">
        <f>IFERROR(INDEX('مانده سوفاله'!F:F,MATCH(Table229[[#This Row],[كد تفصيلي]],'مانده سوفاله'!A:A,0)),0)</f>
        <v>21</v>
      </c>
    </row>
    <row r="85" spans="1:7" ht="24.75" customHeight="1" x14ac:dyDescent="0.35">
      <c r="A85" s="75">
        <v>10019</v>
      </c>
      <c r="B85" s="72" t="s">
        <v>26</v>
      </c>
      <c r="C85" s="10">
        <f>IFERROR(INDEX('حسابهای دریافتنی'!H:H,MATCH(Table229[[#This Row],[كد تفصيلي]],'حسابهای دریافتنی'!A:A,0)),0)</f>
        <v>0</v>
      </c>
      <c r="D85" s="11">
        <f>IFERROR(INDEX('درجریان وصول'!F:F,MATCH(Table229[[#This Row],[كد تفصيلي]],'درجریان وصول'!A:A,0)),0)</f>
        <v>0</v>
      </c>
      <c r="E85" s="11">
        <f>IFERROR(INDEX('چکهای دریافتنی'!F:F,MATCH(Table229[[#This Row],[كد تفصيلي]],'چکهای دریافتنی'!A:A,0)),0)</f>
        <v>0</v>
      </c>
      <c r="F85" s="11">
        <f>Table229[[#This Row],[حسابهای دریافتنی]]+Table229[[#This Row],[چکهای در جریان وصول]]+Table229[[#This Row],[چکهای نزد صندوق]]</f>
        <v>0</v>
      </c>
      <c r="G85" s="12">
        <f>IFERROR(INDEX('مانده سوفاله'!F:F,MATCH(Table229[[#This Row],[كد تفصيلي]],'مانده سوفاله'!A:A,0)),0)</f>
        <v>285</v>
      </c>
    </row>
    <row r="86" spans="1:7" ht="24.75" customHeight="1" x14ac:dyDescent="0.35">
      <c r="A86" s="75">
        <v>10023</v>
      </c>
      <c r="B86" s="72" t="s">
        <v>155</v>
      </c>
      <c r="C86" s="10">
        <f>IFERROR(INDEX('حسابهای دریافتنی'!H:H,MATCH(Table229[[#This Row],[كد تفصيلي]],'حسابهای دریافتنی'!A:A,0)),0)</f>
        <v>0</v>
      </c>
      <c r="D86" s="11">
        <f>IFERROR(INDEX('درجریان وصول'!F:F,MATCH(Table229[[#This Row],[كد تفصيلي]],'درجریان وصول'!A:A,0)),0)</f>
        <v>0</v>
      </c>
      <c r="E86" s="11">
        <f>IFERROR(INDEX('چکهای دریافتنی'!F:F,MATCH(Table229[[#This Row],[كد تفصيلي]],'چکهای دریافتنی'!A:A,0)),0)</f>
        <v>0</v>
      </c>
      <c r="F86" s="11">
        <f>Table229[[#This Row],[حسابهای دریافتنی]]+Table229[[#This Row],[چکهای در جریان وصول]]+Table229[[#This Row],[چکهای نزد صندوق]]</f>
        <v>0</v>
      </c>
      <c r="G86" s="12">
        <f>IFERROR(INDEX('مانده سوفاله'!F:F,MATCH(Table229[[#This Row],[كد تفصيلي]],'مانده سوفاله'!A:A,0)),0)</f>
        <v>6</v>
      </c>
    </row>
    <row r="87" spans="1:7" customFormat="1" ht="24.75" customHeight="1" x14ac:dyDescent="0.35">
      <c r="A87" s="76">
        <v>10039</v>
      </c>
      <c r="B87" s="72" t="s">
        <v>45</v>
      </c>
      <c r="C87" s="10">
        <f>IFERROR(INDEX('حسابهای دریافتنی'!H:H,MATCH(Table229[[#This Row],[كد تفصيلي]],'حسابهای دریافتنی'!A:A,0)),0)</f>
        <v>0</v>
      </c>
      <c r="D87" s="11">
        <f>IFERROR(INDEX('درجریان وصول'!F:F,MATCH(Table229[[#This Row],[كد تفصيلي]],'درجریان وصول'!A:A,0)),0)</f>
        <v>0</v>
      </c>
      <c r="E87" s="11">
        <f>IFERROR(INDEX('چکهای دریافتنی'!F:F,MATCH(Table229[[#This Row],[كد تفصيلي]],'چکهای دریافتنی'!A:A,0)),0)</f>
        <v>0</v>
      </c>
      <c r="F87" s="11">
        <f>Table229[[#This Row],[حسابهای دریافتنی]]+Table229[[#This Row],[چکهای در جریان وصول]]+Table229[[#This Row],[چکهای نزد صندوق]]</f>
        <v>0</v>
      </c>
      <c r="G87" s="12">
        <f>IFERROR(INDEX('مانده سوفاله'!F:F,MATCH(Table229[[#This Row],[كد تفصيلي]],'مانده سوفاله'!A:A,0)),0)</f>
        <v>4</v>
      </c>
    </row>
    <row r="88" spans="1:7" customFormat="1" ht="24.75" customHeight="1" x14ac:dyDescent="0.35">
      <c r="A88" s="77">
        <v>10046</v>
      </c>
      <c r="B88" s="73" t="s">
        <v>51</v>
      </c>
      <c r="C88" s="10">
        <f>IFERROR(INDEX('حسابهای دریافتنی'!H:H,MATCH(Table229[[#This Row],[كد تفصيلي]],'حسابهای دریافتنی'!A:A,0)),0)</f>
        <v>0</v>
      </c>
      <c r="D88" s="11">
        <f>IFERROR(INDEX('درجریان وصول'!F:F,MATCH(Table229[[#This Row],[كد تفصيلي]],'درجریان وصول'!A:A,0)),0)</f>
        <v>0</v>
      </c>
      <c r="E88" s="11">
        <f>IFERROR(INDEX('چکهای دریافتنی'!F:F,MATCH(Table229[[#This Row],[كد تفصيلي]],'چکهای دریافتنی'!A:A,0)),0)</f>
        <v>0</v>
      </c>
      <c r="F88" s="11">
        <f>Table229[[#This Row],[حسابهای دریافتنی]]+Table229[[#This Row],[چکهای در جریان وصول]]+Table229[[#This Row],[چکهای نزد صندوق]]</f>
        <v>0</v>
      </c>
      <c r="G88" s="12">
        <f>IFERROR(INDEX('مانده سوفاله'!F:F,MATCH(Table229[[#This Row],[كد تفصيلي]],'مانده سوفاله'!A:A,0)),0)</f>
        <v>118</v>
      </c>
    </row>
    <row r="89" spans="1:7" ht="24.75" customHeight="1" x14ac:dyDescent="0.35">
      <c r="A89" s="77">
        <v>10076</v>
      </c>
      <c r="B89" s="73" t="s">
        <v>182</v>
      </c>
      <c r="C89" s="10">
        <f>IFERROR(INDEX('حسابهای دریافتنی'!H:H,MATCH(Table229[[#This Row],[كد تفصيلي]],'حسابهای دریافتنی'!A:A,0)),0)</f>
        <v>0</v>
      </c>
      <c r="D89" s="11">
        <f>IFERROR(INDEX('درجریان وصول'!F:F,MATCH(Table229[[#This Row],[كد تفصيلي]],'درجریان وصول'!A:A,0)),0)</f>
        <v>0</v>
      </c>
      <c r="E89" s="11">
        <f>IFERROR(INDEX('چکهای دریافتنی'!F:F,MATCH(Table229[[#This Row],[كد تفصيلي]],'چکهای دریافتنی'!A:A,0)),0)</f>
        <v>0</v>
      </c>
      <c r="F89" s="11">
        <f>Table229[[#This Row],[حسابهای دریافتنی]]+Table229[[#This Row],[چکهای در جریان وصول]]+Table229[[#This Row],[چکهای نزد صندوق]]</f>
        <v>0</v>
      </c>
      <c r="G89" s="12">
        <f>IFERROR(INDEX('مانده سوفاله'!F:F,MATCH(Table229[[#This Row],[كد تفصيلي]],'مانده سوفاله'!A:A,0)),0)</f>
        <v>-13</v>
      </c>
    </row>
    <row r="90" spans="1:7" ht="24.75" customHeight="1" x14ac:dyDescent="0.35">
      <c r="A90" s="75">
        <v>30031</v>
      </c>
      <c r="B90" s="72" t="s">
        <v>78</v>
      </c>
      <c r="C90" s="10">
        <f>IFERROR(INDEX('حسابهای دریافتنی'!H:H,MATCH(Table229[[#This Row],[كد تفصيلي]],'حسابهای دریافتنی'!A:A,0)),0)</f>
        <v>0</v>
      </c>
      <c r="D90" s="11">
        <f>IFERROR(INDEX('درجریان وصول'!F:F,MATCH(Table229[[#This Row],[كد تفصيلي]],'درجریان وصول'!A:A,0)),0)</f>
        <v>0</v>
      </c>
      <c r="E90" s="11">
        <f>IFERROR(INDEX('چکهای دریافتنی'!F:F,MATCH(Table229[[#This Row],[كد تفصيلي]],'چکهای دریافتنی'!A:A,0)),0)</f>
        <v>0</v>
      </c>
      <c r="F90" s="11">
        <f>Table229[[#This Row],[حسابهای دریافتنی]]+Table229[[#This Row],[چکهای در جریان وصول]]+Table229[[#This Row],[چکهای نزد صندوق]]</f>
        <v>0</v>
      </c>
      <c r="G90" s="12">
        <f>IFERROR(INDEX('مانده سوفاله'!F:F,MATCH(Table229[[#This Row],[كد تفصيلي]],'مانده سوفاله'!A:A,0)),0)</f>
        <v>-1</v>
      </c>
    </row>
    <row r="91" spans="1:7" ht="24.75" customHeight="1" x14ac:dyDescent="0.35">
      <c r="A91" s="74">
        <v>30055</v>
      </c>
      <c r="B91" s="73" t="s">
        <v>100</v>
      </c>
      <c r="C91" s="10">
        <f>IFERROR(INDEX('حسابهای دریافتنی'!H:H,MATCH(Table229[[#This Row],[كد تفصيلي]],'حسابهای دریافتنی'!A:A,0)),0)</f>
        <v>0</v>
      </c>
      <c r="D91" s="11">
        <f>IFERROR(INDEX('درجریان وصول'!F:F,MATCH(Table229[[#This Row],[كد تفصيلي]],'درجریان وصول'!A:A,0)),0)</f>
        <v>0</v>
      </c>
      <c r="E91" s="11">
        <f>IFERROR(INDEX('چکهای دریافتنی'!F:F,MATCH(Table229[[#This Row],[كد تفصيلي]],'چکهای دریافتنی'!A:A,0)),0)</f>
        <v>0</v>
      </c>
      <c r="F91" s="11">
        <f>Table229[[#This Row],[حسابهای دریافتنی]]+Table229[[#This Row],[چکهای در جریان وصول]]+Table229[[#This Row],[چکهای نزد صندوق]]</f>
        <v>0</v>
      </c>
      <c r="G91" s="12">
        <f>IFERROR(INDEX('مانده سوفاله'!F:F,MATCH(Table229[[#This Row],[كد تفصيلي]],'مانده سوفاله'!A:A,0)),0)</f>
        <v>48</v>
      </c>
    </row>
    <row r="92" spans="1:7" ht="24.75" customHeight="1" x14ac:dyDescent="0.35">
      <c r="A92" s="74">
        <v>30065</v>
      </c>
      <c r="B92" s="73" t="s">
        <v>110</v>
      </c>
      <c r="C92" s="10">
        <f>IFERROR(INDEX('حسابهای دریافتنی'!H:H,MATCH(Table229[[#This Row],[كد تفصيلي]],'حسابهای دریافتنی'!A:A,0)),0)</f>
        <v>0</v>
      </c>
      <c r="D92" s="11">
        <f>IFERROR(INDEX('درجریان وصول'!F:F,MATCH(Table229[[#This Row],[كد تفصيلي]],'درجریان وصول'!A:A,0)),0)</f>
        <v>0</v>
      </c>
      <c r="E92" s="11">
        <f>IFERROR(INDEX('چکهای دریافتنی'!F:F,MATCH(Table229[[#This Row],[كد تفصيلي]],'چکهای دریافتنی'!A:A,0)),0)</f>
        <v>0</v>
      </c>
      <c r="F92" s="11">
        <f>Table229[[#This Row],[حسابهای دریافتنی]]+Table229[[#This Row],[چکهای در جریان وصول]]+Table229[[#This Row],[چکهای نزد صندوق]]</f>
        <v>0</v>
      </c>
      <c r="G92" s="12">
        <f>IFERROR(INDEX('مانده سوفاله'!F:F,MATCH(Table229[[#This Row],[كد تفصيلي]],'مانده سوفاله'!A:A,0)),0)</f>
        <v>33</v>
      </c>
    </row>
    <row r="93" spans="1:7" ht="24.75" customHeight="1" x14ac:dyDescent="0.35">
      <c r="A93" s="74">
        <v>30071</v>
      </c>
      <c r="B93" s="73" t="s">
        <v>116</v>
      </c>
      <c r="C93" s="10">
        <f>IFERROR(INDEX('حسابهای دریافتنی'!H:H,MATCH(Table229[[#This Row],[كد تفصيلي]],'حسابهای دریافتنی'!A:A,0)),0)</f>
        <v>0</v>
      </c>
      <c r="D93" s="11">
        <f>IFERROR(INDEX('درجریان وصول'!F:F,MATCH(Table229[[#This Row],[كد تفصيلي]],'درجریان وصول'!A:A,0)),0)</f>
        <v>0</v>
      </c>
      <c r="E93" s="11">
        <f>IFERROR(INDEX('چکهای دریافتنی'!F:F,MATCH(Table229[[#This Row],[كد تفصيلي]],'چکهای دریافتنی'!A:A,0)),0)</f>
        <v>0</v>
      </c>
      <c r="F93" s="11">
        <f>Table229[[#This Row],[حسابهای دریافتنی]]+Table229[[#This Row],[چکهای در جریان وصول]]+Table229[[#This Row],[چکهای نزد صندوق]]</f>
        <v>0</v>
      </c>
      <c r="G93" s="12">
        <f>IFERROR(INDEX('مانده سوفاله'!F:F,MATCH(Table229[[#This Row],[كد تفصيلي]],'مانده سوفاله'!A:A,0)),0)</f>
        <v>3</v>
      </c>
    </row>
    <row r="94" spans="1:7" ht="24.75" customHeight="1" x14ac:dyDescent="0.35">
      <c r="A94" s="74">
        <v>30079</v>
      </c>
      <c r="B94" s="73" t="s">
        <v>124</v>
      </c>
      <c r="C94" s="10">
        <f>IFERROR(INDEX('حسابهای دریافتنی'!H:H,MATCH(Table229[[#This Row],[كد تفصيلي]],'حسابهای دریافتنی'!A:A,0)),0)</f>
        <v>0</v>
      </c>
      <c r="D94" s="11">
        <f>IFERROR(INDEX('درجریان وصول'!F:F,MATCH(Table229[[#This Row],[كد تفصيلي]],'درجریان وصول'!A:A,0)),0)</f>
        <v>0</v>
      </c>
      <c r="E94" s="11">
        <f>IFERROR(INDEX('چکهای دریافتنی'!F:F,MATCH(Table229[[#This Row],[كد تفصيلي]],'چکهای دریافتنی'!A:A,0)),0)</f>
        <v>0</v>
      </c>
      <c r="F94" s="11">
        <f>Table229[[#This Row],[حسابهای دریافتنی]]+Table229[[#This Row],[چکهای در جریان وصول]]+Table229[[#This Row],[چکهای نزد صندوق]]</f>
        <v>0</v>
      </c>
      <c r="G94" s="12">
        <f>IFERROR(INDEX('مانده سوفاله'!F:F,MATCH(Table229[[#This Row],[كد تفصيلي]],'مانده سوفاله'!A:A,0)),0)</f>
        <v>-85</v>
      </c>
    </row>
    <row r="95" spans="1:7" ht="24.75" customHeight="1" x14ac:dyDescent="0.35">
      <c r="A95" s="74">
        <v>30097</v>
      </c>
      <c r="B95" s="73" t="s">
        <v>188</v>
      </c>
      <c r="C95" s="10">
        <f>IFERROR(INDEX('حسابهای دریافتنی'!H:H,MATCH(Table229[[#This Row],[كد تفصيلي]],'حسابهای دریافتنی'!A:A,0)),0)</f>
        <v>0</v>
      </c>
      <c r="D95" s="11">
        <f>IFERROR(INDEX('درجریان وصول'!F:F,MATCH(Table229[[#This Row],[كد تفصيلي]],'درجریان وصول'!A:A,0)),0)</f>
        <v>0</v>
      </c>
      <c r="E95" s="11">
        <f>IFERROR(INDEX('چکهای دریافتنی'!F:F,MATCH(Table229[[#This Row],[كد تفصيلي]],'چکهای دریافتنی'!A:A,0)),0)</f>
        <v>0</v>
      </c>
      <c r="F95" s="11">
        <f>Table229[[#This Row],[حسابهای دریافتنی]]+Table229[[#This Row],[چکهای در جریان وصول]]+Table229[[#This Row],[چکهای نزد صندوق]]</f>
        <v>0</v>
      </c>
      <c r="G95" s="12">
        <f>IFERROR(INDEX('مانده سوفاله'!F:F,MATCH(Table229[[#This Row],[كد تفصيلي]],'مانده سوفاله'!A:A,0)),0)</f>
        <v>-82</v>
      </c>
    </row>
    <row r="96" spans="1:7" ht="24.75" customHeight="1" x14ac:dyDescent="0.35">
      <c r="A96" s="75">
        <v>30118</v>
      </c>
      <c r="B96" s="72" t="s">
        <v>205</v>
      </c>
      <c r="C96" s="10">
        <f>IFERROR(INDEX('حسابهای دریافتنی'!H:H,MATCH(Table229[[#This Row],[كد تفصيلي]],'حسابهای دریافتنی'!A:A,0)),0)</f>
        <v>0</v>
      </c>
      <c r="D96" s="11">
        <f>IFERROR(INDEX('درجریان وصول'!F:F,MATCH(Table229[[#This Row],[كد تفصيلي]],'درجریان وصول'!A:A,0)),0)</f>
        <v>0</v>
      </c>
      <c r="E96" s="11">
        <f>IFERROR(INDEX('چکهای دریافتنی'!F:F,MATCH(Table229[[#This Row],[كد تفصيلي]],'چکهای دریافتنی'!A:A,0)),0)</f>
        <v>0</v>
      </c>
      <c r="F96" s="11">
        <f>Table229[[#This Row],[حسابهای دریافتنی]]+Table229[[#This Row],[چکهای در جریان وصول]]+Table229[[#This Row],[چکهای نزد صندوق]]</f>
        <v>0</v>
      </c>
      <c r="G96" s="12">
        <f>IFERROR(INDEX('مانده سوفاله'!F:F,MATCH(Table229[[#This Row],[كد تفصيلي]],'مانده سوفاله'!A:A,0)),0)</f>
        <v>-20</v>
      </c>
    </row>
    <row r="97" spans="1:7" ht="24.75" customHeight="1" x14ac:dyDescent="0.35">
      <c r="A97" s="74">
        <v>30141</v>
      </c>
      <c r="B97" s="73" t="s">
        <v>261</v>
      </c>
      <c r="C97" s="10">
        <f>IFERROR(INDEX('حسابهای دریافتنی'!H:H,MATCH(Table229[[#This Row],[كد تفصيلي]],'حسابهای دریافتنی'!A:A,0)),0)</f>
        <v>0</v>
      </c>
      <c r="D97" s="11">
        <f>IFERROR(INDEX('درجریان وصول'!F:F,MATCH(Table229[[#This Row],[كد تفصيلي]],'درجریان وصول'!A:A,0)),0)</f>
        <v>0</v>
      </c>
      <c r="E97" s="11">
        <f>IFERROR(INDEX('چکهای دریافتنی'!F:F,MATCH(Table229[[#This Row],[كد تفصيلي]],'چکهای دریافتنی'!A:A,0)),0)</f>
        <v>0</v>
      </c>
      <c r="F97" s="11">
        <f>Table229[[#This Row],[حسابهای دریافتنی]]+Table229[[#This Row],[چکهای در جریان وصول]]+Table229[[#This Row],[چکهای نزد صندوق]]</f>
        <v>0</v>
      </c>
      <c r="G97" s="12">
        <f>IFERROR(INDEX('مانده سوفاله'!F:F,MATCH(Table229[[#This Row],[كد تفصيلي]],'مانده سوفاله'!A:A,0)),0)</f>
        <v>-42</v>
      </c>
    </row>
    <row r="98" spans="1:7" ht="24.75" customHeight="1" x14ac:dyDescent="0.35">
      <c r="A98" s="75">
        <v>30142</v>
      </c>
      <c r="B98" s="72" t="s">
        <v>263</v>
      </c>
      <c r="C98" s="10">
        <f>IFERROR(INDEX('حسابهای دریافتنی'!H:H,MATCH(Table229[[#This Row],[كد تفصيلي]],'حسابهای دریافتنی'!A:A,0)),0)</f>
        <v>0</v>
      </c>
      <c r="D98" s="11">
        <f>IFERROR(INDEX('درجریان وصول'!F:F,MATCH(Table229[[#This Row],[كد تفصيلي]],'درجریان وصول'!A:A,0)),0)</f>
        <v>0</v>
      </c>
      <c r="E98" s="11">
        <f>IFERROR(INDEX('چکهای دریافتنی'!F:F,MATCH(Table229[[#This Row],[كد تفصيلي]],'چکهای دریافتنی'!A:A,0)),0)</f>
        <v>0</v>
      </c>
      <c r="F98" s="11">
        <f>Table229[[#This Row],[حسابهای دریافتنی]]+Table229[[#This Row],[چکهای در جریان وصول]]+Table229[[#This Row],[چکهای نزد صندوق]]</f>
        <v>0</v>
      </c>
      <c r="G98" s="12">
        <f>IFERROR(INDEX('مانده سوفاله'!F:F,MATCH(Table229[[#This Row],[كد تفصيلي]],'مانده سوفاله'!A:A,0)),0)</f>
        <v>13</v>
      </c>
    </row>
    <row r="99" spans="1:7" ht="24.75" customHeight="1" x14ac:dyDescent="0.35">
      <c r="A99" s="75">
        <v>30160</v>
      </c>
      <c r="B99" s="72" t="s">
        <v>296</v>
      </c>
      <c r="C99" s="10">
        <f>IFERROR(INDEX('حسابهای دریافتنی'!H:H,MATCH(Table229[[#This Row],[كد تفصيلي]],'حسابهای دریافتنی'!A:A,0)),0)</f>
        <v>0</v>
      </c>
      <c r="D99" s="11">
        <f>IFERROR(INDEX('درجریان وصول'!F:F,MATCH(Table229[[#This Row],[كد تفصيلي]],'درجریان وصول'!A:A,0)),0)</f>
        <v>0</v>
      </c>
      <c r="E99" s="11">
        <f>IFERROR(INDEX('چکهای دریافتنی'!F:F,MATCH(Table229[[#This Row],[كد تفصيلي]],'چکهای دریافتنی'!A:A,0)),0)</f>
        <v>0</v>
      </c>
      <c r="F99" s="11">
        <f>Table229[[#This Row],[حسابهای دریافتنی]]+Table229[[#This Row],[چکهای در جریان وصول]]+Table229[[#This Row],[چکهای نزد صندوق]]</f>
        <v>0</v>
      </c>
      <c r="G99" s="12">
        <f>IFERROR(INDEX('مانده سوفاله'!F:F,MATCH(Table229[[#This Row],[كد تفصيلي]],'مانده سوفاله'!A:A,0)),0)</f>
        <v>-425</v>
      </c>
    </row>
    <row r="100" spans="1:7" ht="24.75" customHeight="1" x14ac:dyDescent="0.35">
      <c r="A100" s="74">
        <v>10141</v>
      </c>
      <c r="B100" s="73" t="s">
        <v>532</v>
      </c>
      <c r="C100" s="10">
        <f>IFERROR(INDEX('حسابهای دریافتنی'!H:H,MATCH(Table229[[#This Row],[كد تفصيلي]],'حسابهای دریافتنی'!A:A,0)),0)</f>
        <v>116510000</v>
      </c>
      <c r="D100" s="11">
        <f>IFERROR(INDEX('درجریان وصول'!F:F,MATCH(Table229[[#This Row],[كد تفصيلي]],'درجریان وصول'!A:A,0)),0)</f>
        <v>0</v>
      </c>
      <c r="E100" s="11">
        <f>IFERROR(INDEX('چکهای دریافتنی'!F:F,MATCH(Table229[[#This Row],[كد تفصيلي]],'چکهای دریافتنی'!A:A,0)),0)</f>
        <v>0</v>
      </c>
      <c r="F100" s="11">
        <f>Table229[[#This Row],[حسابهای دریافتنی]]+Table229[[#This Row],[چکهای در جریان وصول]]+Table229[[#This Row],[چکهای نزد صندوق]]</f>
        <v>116510000</v>
      </c>
      <c r="G100" s="12">
        <f>IFERROR(INDEX('مانده سوفاله'!F:F,MATCH(Table229[[#This Row],[كد تفصيلي]],'مانده سوفاله'!A:A,0)),0)</f>
        <v>0</v>
      </c>
    </row>
    <row r="101" spans="1:7" ht="24.75" customHeight="1" x14ac:dyDescent="0.35">
      <c r="A101" s="74">
        <v>79010</v>
      </c>
      <c r="B101" s="73" t="s">
        <v>176</v>
      </c>
      <c r="C101" s="10">
        <f>IFERROR(INDEX('حسابهای دریافتنی'!H:H,MATCH(Table229[[#This Row],[كد تفصيلي]],'حسابهای دریافتنی'!A:A,0)),0)</f>
        <v>0</v>
      </c>
      <c r="D101" s="11">
        <f>IFERROR(INDEX('درجریان وصول'!F:F,MATCH(Table229[[#This Row],[كد تفصيلي]],'درجریان وصول'!A:A,0)),0)</f>
        <v>0</v>
      </c>
      <c r="E101" s="11">
        <f>IFERROR(INDEX('چکهای دریافتنی'!F:F,MATCH(Table229[[#This Row],[كد تفصيلي]],'چکهای دریافتنی'!A:A,0)),0)</f>
        <v>0</v>
      </c>
      <c r="F101" s="11">
        <f>Table229[[#This Row],[حسابهای دریافتنی]]+Table229[[#This Row],[چکهای در جریان وصول]]+Table229[[#This Row],[چکهای نزد صندوق]]</f>
        <v>0</v>
      </c>
      <c r="G101" s="12">
        <f>IFERROR(INDEX('مانده سوفاله'!F:F,MATCH(Table229[[#This Row],[كد تفصيلي]],'مانده سوفاله'!A:A,0)),0)</f>
        <v>-110</v>
      </c>
    </row>
    <row r="102" spans="1:7" ht="24.75" customHeight="1" x14ac:dyDescent="0.35">
      <c r="A102" s="75">
        <v>30174</v>
      </c>
      <c r="B102" s="72" t="s">
        <v>327</v>
      </c>
      <c r="C102" s="10">
        <f>IFERROR(INDEX('حسابهای دریافتنی'!H:H,MATCH(Table229[[#This Row],[كد تفصيلي]],'حسابهای دریافتنی'!A:A,0)),0)</f>
        <v>-5000</v>
      </c>
      <c r="D102" s="11">
        <f>IFERROR(INDEX('درجریان وصول'!F:F,MATCH(Table229[[#This Row],[كد تفصيلي]],'درجریان وصول'!A:A,0)),0)</f>
        <v>0</v>
      </c>
      <c r="E102" s="11">
        <f>IFERROR(INDEX('چکهای دریافتنی'!F:F,MATCH(Table229[[#This Row],[كد تفصيلي]],'چکهای دریافتنی'!A:A,0)),0)</f>
        <v>0</v>
      </c>
      <c r="F102" s="11">
        <f>Table229[[#This Row],[حسابهای دریافتنی]]+Table229[[#This Row],[چکهای در جریان وصول]]+Table229[[#This Row],[چکهای نزد صندوق]]</f>
        <v>-5000</v>
      </c>
      <c r="G102" s="12">
        <f>IFERROR(INDEX('مانده سوفاله'!F:F,MATCH(Table229[[#This Row],[كد تفصيلي]],'مانده سوفاله'!A:A,0)),0)</f>
        <v>0</v>
      </c>
    </row>
    <row r="103" spans="1:7" ht="24.75" customHeight="1" x14ac:dyDescent="0.35">
      <c r="A103" s="74">
        <v>30195</v>
      </c>
      <c r="B103" s="73" t="s">
        <v>477</v>
      </c>
      <c r="C103" s="10">
        <f>IFERROR(INDEX('حسابهای دریافتنی'!H:H,MATCH(Table229[[#This Row],[كد تفصيلي]],'حسابهای دریافتنی'!A:A,0)),0)</f>
        <v>-1861000</v>
      </c>
      <c r="D103" s="11">
        <f>IFERROR(INDEX('درجریان وصول'!F:F,MATCH(Table229[[#This Row],[كد تفصيلي]],'درجریان وصول'!A:A,0)),0)</f>
        <v>0</v>
      </c>
      <c r="E103" s="11">
        <f>IFERROR(INDEX('چکهای دریافتنی'!F:F,MATCH(Table229[[#This Row],[كد تفصيلي]],'چکهای دریافتنی'!A:A,0)),0)</f>
        <v>0</v>
      </c>
      <c r="F103" s="11">
        <f>Table229[[#This Row],[حسابهای دریافتنی]]+Table229[[#This Row],[چکهای در جریان وصول]]+Table229[[#This Row],[چکهای نزد صندوق]]</f>
        <v>-1861000</v>
      </c>
      <c r="G103" s="12">
        <f>IFERROR(INDEX('مانده سوفاله'!F:F,MATCH(Table229[[#This Row],[كد تفصيلي]],'مانده سوفاله'!A:A,0)),0)</f>
        <v>0</v>
      </c>
    </row>
    <row r="104" spans="1:7" ht="24.75" customHeight="1" x14ac:dyDescent="0.35">
      <c r="A104" s="74">
        <v>30026</v>
      </c>
      <c r="B104" s="73" t="s">
        <v>74</v>
      </c>
      <c r="C104" s="10">
        <f>IFERROR(INDEX('حسابهای دریافتنی'!H:H,MATCH(Table229[[#This Row],[كد تفصيلي]],'حسابهای دریافتنی'!A:A,0)),0)</f>
        <v>5689439</v>
      </c>
      <c r="D104" s="11">
        <f>IFERROR(INDEX('درجریان وصول'!F:F,MATCH(Table229[[#This Row],[كد تفصيلي]],'درجریان وصول'!A:A,0)),0)</f>
        <v>0</v>
      </c>
      <c r="E104" s="11">
        <f>IFERROR(INDEX('چکهای دریافتنی'!F:F,MATCH(Table229[[#This Row],[كد تفصيلي]],'چکهای دریافتنی'!A:A,0)),0)</f>
        <v>0</v>
      </c>
      <c r="F104" s="11">
        <f>Table229[[#This Row],[حسابهای دریافتنی]]+Table229[[#This Row],[چکهای در جریان وصول]]+Table229[[#This Row],[چکهای نزد صندوق]]</f>
        <v>5689439</v>
      </c>
      <c r="G104" s="12">
        <f>IFERROR(INDEX('مانده سوفاله'!F:F,MATCH(Table229[[#This Row],[كد تفصيلي]],'مانده سوفاله'!A:A,0)),0)</f>
        <v>764</v>
      </c>
    </row>
    <row r="105" spans="1:7" ht="24.75" customHeight="1" x14ac:dyDescent="0.35">
      <c r="A105" s="75">
        <v>10128</v>
      </c>
      <c r="B105" s="72" t="s">
        <v>372</v>
      </c>
      <c r="C105" s="10">
        <f>IFERROR(INDEX('حسابهای دریافتنی'!H:H,MATCH(Table229[[#This Row],[كد تفصيلي]],'حسابهای دریافتنی'!A:A,0)),0)</f>
        <v>-45000</v>
      </c>
      <c r="D105" s="11">
        <f>IFERROR(INDEX('درجریان وصول'!F:F,MATCH(Table229[[#This Row],[كد تفصيلي]],'درجریان وصول'!A:A,0)),0)</f>
        <v>0</v>
      </c>
      <c r="E105" s="11">
        <f>IFERROR(INDEX('چکهای دریافتنی'!F:F,MATCH(Table229[[#This Row],[كد تفصيلي]],'چکهای دریافتنی'!A:A,0)),0)</f>
        <v>0</v>
      </c>
      <c r="F105" s="11">
        <f>Table229[[#This Row],[حسابهای دریافتنی]]+Table229[[#This Row],[چکهای در جریان وصول]]+Table229[[#This Row],[چکهای نزد صندوق]]</f>
        <v>-45000</v>
      </c>
      <c r="G105" s="12">
        <f>IFERROR(INDEX('مانده سوفاله'!F:F,MATCH(Table229[[#This Row],[كد تفصيلي]],'مانده سوفاله'!A:A,0)),0)</f>
        <v>6</v>
      </c>
    </row>
    <row r="106" spans="1:7" ht="24.75" customHeight="1" x14ac:dyDescent="0.35">
      <c r="A106" s="75">
        <v>30021</v>
      </c>
      <c r="B106" s="72" t="s">
        <v>69</v>
      </c>
      <c r="C106" s="10">
        <f>IFERROR(INDEX('حسابهای دریافتنی'!H:H,MATCH(Table229[[#This Row],[كد تفصيلي]],'حسابهای دریافتنی'!A:A,0)),0)</f>
        <v>-122000</v>
      </c>
      <c r="D106" s="11">
        <f>IFERROR(INDEX('درجریان وصول'!F:F,MATCH(Table229[[#This Row],[كد تفصيلي]],'درجریان وصول'!A:A,0)),0)</f>
        <v>0</v>
      </c>
      <c r="E106" s="11">
        <f>IFERROR(INDEX('چکهای دریافتنی'!F:F,MATCH(Table229[[#This Row],[كد تفصيلي]],'چکهای دریافتنی'!A:A,0)),0)</f>
        <v>0</v>
      </c>
      <c r="F106" s="11">
        <f>Table229[[#This Row],[حسابهای دریافتنی]]+Table229[[#This Row],[چکهای در جریان وصول]]+Table229[[#This Row],[چکهای نزد صندوق]]</f>
        <v>-122000</v>
      </c>
      <c r="G106" s="12">
        <f>IFERROR(INDEX('مانده سوفاله'!F:F,MATCH(Table229[[#This Row],[كد تفصيلي]],'مانده سوفاله'!A:A,0)),0)</f>
        <v>0</v>
      </c>
    </row>
    <row r="107" spans="1:7" ht="24.75" customHeight="1" x14ac:dyDescent="0.35">
      <c r="A107" s="74">
        <v>10066</v>
      </c>
      <c r="B107" s="73" t="s">
        <v>262</v>
      </c>
      <c r="C107" s="10">
        <f>IFERROR(INDEX('حسابهای دریافتنی'!H:H,MATCH(Table229[[#This Row],[كد تفصيلي]],'حسابهای دریافتنی'!A:A,0)),0)</f>
        <v>-191500</v>
      </c>
      <c r="D107" s="11">
        <f>IFERROR(INDEX('درجریان وصول'!F:F,MATCH(Table229[[#This Row],[كد تفصيلي]],'درجریان وصول'!A:A,0)),0)</f>
        <v>0</v>
      </c>
      <c r="E107" s="11">
        <f>IFERROR(INDEX('چکهای دریافتنی'!F:F,MATCH(Table229[[#This Row],[كد تفصيلي]],'چکهای دریافتنی'!A:A,0)),0)</f>
        <v>0</v>
      </c>
      <c r="F107" s="11">
        <f>Table229[[#This Row],[حسابهای دریافتنی]]+Table229[[#This Row],[چکهای در جریان وصول]]+Table229[[#This Row],[چکهای نزد صندوق]]</f>
        <v>-191500</v>
      </c>
      <c r="G107" s="12">
        <f>IFERROR(INDEX('مانده سوفاله'!F:F,MATCH(Table229[[#This Row],[كد تفصيلي]],'مانده سوفاله'!A:A,0)),0)</f>
        <v>2</v>
      </c>
    </row>
    <row r="108" spans="1:7" ht="24.75" customHeight="1" x14ac:dyDescent="0.35">
      <c r="A108" s="74">
        <v>30167</v>
      </c>
      <c r="B108" s="73" t="s">
        <v>311</v>
      </c>
      <c r="C108" s="10">
        <f>IFERROR(INDEX('حسابهای دریافتنی'!H:H,MATCH(Table229[[#This Row],[كد تفصيلي]],'حسابهای دریافتنی'!A:A,0)),0)</f>
        <v>-221000</v>
      </c>
      <c r="D108" s="11">
        <f>IFERROR(INDEX('درجریان وصول'!F:F,MATCH(Table229[[#This Row],[كد تفصيلي]],'درجریان وصول'!A:A,0)),0)</f>
        <v>0</v>
      </c>
      <c r="E108" s="11">
        <f>IFERROR(INDEX('چکهای دریافتنی'!F:F,MATCH(Table229[[#This Row],[كد تفصيلي]],'چکهای دریافتنی'!A:A,0)),0)</f>
        <v>0</v>
      </c>
      <c r="F108" s="11">
        <f>Table229[[#This Row],[حسابهای دریافتنی]]+Table229[[#This Row],[چکهای در جریان وصول]]+Table229[[#This Row],[چکهای نزد صندوق]]</f>
        <v>-221000</v>
      </c>
      <c r="G108" s="12">
        <f>IFERROR(INDEX('مانده سوفاله'!F:F,MATCH(Table229[[#This Row],[كد تفصيلي]],'مانده سوفاله'!A:A,0)),0)</f>
        <v>6</v>
      </c>
    </row>
    <row r="109" spans="1:7" ht="24.75" customHeight="1" x14ac:dyDescent="0.35">
      <c r="A109" s="75">
        <v>10077</v>
      </c>
      <c r="B109" s="72" t="s">
        <v>210</v>
      </c>
      <c r="C109" s="10">
        <f>IFERROR(INDEX('حسابهای دریافتنی'!H:H,MATCH(Table229[[#This Row],[كد تفصيلي]],'حسابهای دریافتنی'!A:A,0)),0)</f>
        <v>-238500</v>
      </c>
      <c r="D109" s="11">
        <f>IFERROR(INDEX('درجریان وصول'!F:F,MATCH(Table229[[#This Row],[كد تفصيلي]],'درجریان وصول'!A:A,0)),0)</f>
        <v>0</v>
      </c>
      <c r="E109" s="11">
        <f>IFERROR(INDEX('چکهای دریافتنی'!F:F,MATCH(Table229[[#This Row],[كد تفصيلي]],'چکهای دریافتنی'!A:A,0)),0)</f>
        <v>0</v>
      </c>
      <c r="F109" s="11">
        <f>Table229[[#This Row],[حسابهای دریافتنی]]+Table229[[#This Row],[چکهای در جریان وصول]]+Table229[[#This Row],[چکهای نزد صندوق]]</f>
        <v>-238500</v>
      </c>
      <c r="G109" s="12">
        <f>IFERROR(INDEX('مانده سوفاله'!F:F,MATCH(Table229[[#This Row],[كد تفصيلي]],'مانده سوفاله'!A:A,0)),0)</f>
        <v>0</v>
      </c>
    </row>
    <row r="110" spans="1:7" ht="24.75" customHeight="1" x14ac:dyDescent="0.35">
      <c r="A110" s="74">
        <v>10012</v>
      </c>
      <c r="B110" s="73" t="s">
        <v>19</v>
      </c>
      <c r="C110" s="10">
        <f>IFERROR(INDEX('حسابهای دریافتنی'!H:H,MATCH(Table229[[#This Row],[كد تفصيلي]],'حسابهای دریافتنی'!A:A,0)),0)</f>
        <v>-244000</v>
      </c>
      <c r="D110" s="11">
        <f>IFERROR(INDEX('درجریان وصول'!F:F,MATCH(Table229[[#This Row],[كد تفصيلي]],'درجریان وصول'!A:A,0)),0)</f>
        <v>0</v>
      </c>
      <c r="E110" s="11">
        <f>IFERROR(INDEX('چکهای دریافتنی'!F:F,MATCH(Table229[[#This Row],[كد تفصيلي]],'چکهای دریافتنی'!A:A,0)),0)</f>
        <v>0</v>
      </c>
      <c r="F110" s="11">
        <f>Table229[[#This Row],[حسابهای دریافتنی]]+Table229[[#This Row],[چکهای در جریان وصول]]+Table229[[#This Row],[چکهای نزد صندوق]]</f>
        <v>-244000</v>
      </c>
      <c r="G110" s="12">
        <f>IFERROR(INDEX('مانده سوفاله'!F:F,MATCH(Table229[[#This Row],[كد تفصيلي]],'مانده سوفاله'!A:A,0)),0)</f>
        <v>0</v>
      </c>
    </row>
    <row r="111" spans="1:7" ht="24.75" customHeight="1" x14ac:dyDescent="0.35">
      <c r="A111" s="75">
        <v>30088</v>
      </c>
      <c r="B111" s="72" t="s">
        <v>142</v>
      </c>
      <c r="C111" s="10">
        <f>IFERROR(INDEX('حسابهای دریافتنی'!H:H,MATCH(Table229[[#This Row],[كد تفصيلي]],'حسابهای دریافتنی'!A:A,0)),0)</f>
        <v>-252000</v>
      </c>
      <c r="D111" s="11">
        <f>IFERROR(INDEX('درجریان وصول'!F:F,MATCH(Table229[[#This Row],[كد تفصيلي]],'درجریان وصول'!A:A,0)),0)</f>
        <v>0</v>
      </c>
      <c r="E111" s="11">
        <f>IFERROR(INDEX('چکهای دریافتنی'!F:F,MATCH(Table229[[#This Row],[كد تفصيلي]],'چکهای دریافتنی'!A:A,0)),0)</f>
        <v>0</v>
      </c>
      <c r="F111" s="11">
        <f>Table229[[#This Row],[حسابهای دریافتنی]]+Table229[[#This Row],[چکهای در جریان وصول]]+Table229[[#This Row],[چکهای نزد صندوق]]</f>
        <v>-252000</v>
      </c>
      <c r="G111" s="12">
        <f>IFERROR(INDEX('مانده سوفاله'!F:F,MATCH(Table229[[#This Row],[كد تفصيلي]],'مانده سوفاله'!A:A,0)),0)</f>
        <v>0</v>
      </c>
    </row>
    <row r="112" spans="1:7" ht="24.75" customHeight="1" x14ac:dyDescent="0.35">
      <c r="A112" s="75">
        <v>10045</v>
      </c>
      <c r="B112" s="72" t="s">
        <v>50</v>
      </c>
      <c r="C112" s="10">
        <f>IFERROR(INDEX('حسابهای دریافتنی'!H:H,MATCH(Table229[[#This Row],[كد تفصيلي]],'حسابهای دریافتنی'!A:A,0)),0)</f>
        <v>-383000</v>
      </c>
      <c r="D112" s="11">
        <f>IFERROR(INDEX('درجریان وصول'!F:F,MATCH(Table229[[#This Row],[كد تفصيلي]],'درجریان وصول'!A:A,0)),0)</f>
        <v>0</v>
      </c>
      <c r="E112" s="11">
        <f>IFERROR(INDEX('چکهای دریافتنی'!F:F,MATCH(Table229[[#This Row],[كد تفصيلي]],'چکهای دریافتنی'!A:A,0)),0)</f>
        <v>0</v>
      </c>
      <c r="F112" s="11">
        <f>Table229[[#This Row],[حسابهای دریافتنی]]+Table229[[#This Row],[چکهای در جریان وصول]]+Table229[[#This Row],[چکهای نزد صندوق]]</f>
        <v>-383000</v>
      </c>
      <c r="G112" s="12">
        <f>IFERROR(INDEX('مانده سوفاله'!F:F,MATCH(Table229[[#This Row],[كد تفصيلي]],'مانده سوفاله'!A:A,0)),0)</f>
        <v>-30</v>
      </c>
    </row>
    <row r="113" spans="1:7" ht="24.75" customHeight="1" x14ac:dyDescent="0.35">
      <c r="A113" s="75">
        <v>30051</v>
      </c>
      <c r="B113" s="72" t="s">
        <v>98</v>
      </c>
      <c r="C113" s="10">
        <f>IFERROR(INDEX('حسابهای دریافتنی'!H:H,MATCH(Table229[[#This Row],[كد تفصيلي]],'حسابهای دریافتنی'!A:A,0)),0)</f>
        <v>-384000</v>
      </c>
      <c r="D113" s="11">
        <f>IFERROR(INDEX('درجریان وصول'!F:F,MATCH(Table229[[#This Row],[كد تفصيلي]],'درجریان وصول'!A:A,0)),0)</f>
        <v>0</v>
      </c>
      <c r="E113" s="11">
        <f>IFERROR(INDEX('چکهای دریافتنی'!F:F,MATCH(Table229[[#This Row],[كد تفصيلي]],'چکهای دریافتنی'!A:A,0)),0)</f>
        <v>0</v>
      </c>
      <c r="F113" s="11">
        <f>Table229[[#This Row],[حسابهای دریافتنی]]+Table229[[#This Row],[چکهای در جریان وصول]]+Table229[[#This Row],[چکهای نزد صندوق]]</f>
        <v>-384000</v>
      </c>
      <c r="G113" s="12">
        <f>IFERROR(INDEX('مانده سوفاله'!F:F,MATCH(Table229[[#This Row],[كد تفصيلي]],'مانده سوفاله'!A:A,0)),0)</f>
        <v>0</v>
      </c>
    </row>
    <row r="114" spans="1:7" ht="24.75" customHeight="1" x14ac:dyDescent="0.35">
      <c r="A114" s="74">
        <v>10048</v>
      </c>
      <c r="B114" s="73" t="s">
        <v>191</v>
      </c>
      <c r="C114" s="10">
        <f>IFERROR(INDEX('حسابهای دریافتنی'!H:H,MATCH(Table229[[#This Row],[كد تفصيلي]],'حسابهای دریافتنی'!A:A,0)),0)</f>
        <v>0</v>
      </c>
      <c r="D114" s="11">
        <f>IFERROR(INDEX('درجریان وصول'!F:F,MATCH(Table229[[#This Row],[كد تفصيلي]],'درجریان وصول'!A:A,0)),0)</f>
        <v>0</v>
      </c>
      <c r="E114" s="11">
        <f>IFERROR(INDEX('چکهای دریافتنی'!F:F,MATCH(Table229[[#This Row],[كد تفصيلي]],'چکهای دریافتنی'!A:A,0)),0)</f>
        <v>0</v>
      </c>
      <c r="F114" s="11">
        <f>Table229[[#This Row],[حسابهای دریافتنی]]+Table229[[#This Row],[چکهای در جریان وصول]]+Table229[[#This Row],[چکهای نزد صندوق]]</f>
        <v>0</v>
      </c>
      <c r="G114" s="12">
        <f>IFERROR(INDEX('مانده سوفاله'!F:F,MATCH(Table229[[#This Row],[كد تفصيلي]],'مانده سوفاله'!A:A,0)),0)</f>
        <v>-1097</v>
      </c>
    </row>
    <row r="115" spans="1:7" ht="24.75" customHeight="1" x14ac:dyDescent="0.35">
      <c r="A115" s="74">
        <v>30044</v>
      </c>
      <c r="B115" s="73" t="s">
        <v>91</v>
      </c>
      <c r="C115" s="10">
        <f>IFERROR(INDEX('حسابهای دریافتنی'!H:H,MATCH(Table229[[#This Row],[كد تفصيلي]],'حسابهای دریافتنی'!A:A,0)),0)</f>
        <v>-492500</v>
      </c>
      <c r="D115" s="11">
        <f>IFERROR(INDEX('درجریان وصول'!F:F,MATCH(Table229[[#This Row],[كد تفصيلي]],'درجریان وصول'!A:A,0)),0)</f>
        <v>0</v>
      </c>
      <c r="E115" s="11">
        <f>IFERROR(INDEX('چکهای دریافتنی'!F:F,MATCH(Table229[[#This Row],[كد تفصيلي]],'چکهای دریافتنی'!A:A,0)),0)</f>
        <v>0</v>
      </c>
      <c r="F115" s="11">
        <f>Table229[[#This Row],[حسابهای دریافتنی]]+Table229[[#This Row],[چکهای در جریان وصول]]+Table229[[#This Row],[چکهای نزد صندوق]]</f>
        <v>-492500</v>
      </c>
      <c r="G115" s="12">
        <f>IFERROR(INDEX('مانده سوفاله'!F:F,MATCH(Table229[[#This Row],[كد تفصيلي]],'مانده سوفاله'!A:A,0)),0)</f>
        <v>2</v>
      </c>
    </row>
    <row r="116" spans="1:7" ht="24.75" customHeight="1" x14ac:dyDescent="0.35">
      <c r="A116" s="75">
        <v>10095</v>
      </c>
      <c r="B116" s="72" t="s">
        <v>268</v>
      </c>
      <c r="C116" s="10">
        <f>IFERROR(INDEX('حسابهای دریافتنی'!H:H,MATCH(Table229[[#This Row],[كد تفصيلي]],'حسابهای دریافتنی'!A:A,0)),0)</f>
        <v>-496500</v>
      </c>
      <c r="D116" s="11">
        <f>IFERROR(INDEX('درجریان وصول'!F:F,MATCH(Table229[[#This Row],[كد تفصيلي]],'درجریان وصول'!A:A,0)),0)</f>
        <v>0</v>
      </c>
      <c r="E116" s="11">
        <f>IFERROR(INDEX('چکهای دریافتنی'!F:F,MATCH(Table229[[#This Row],[كد تفصيلي]],'چکهای دریافتنی'!A:A,0)),0)</f>
        <v>0</v>
      </c>
      <c r="F116" s="11">
        <f>Table229[[#This Row],[حسابهای دریافتنی]]+Table229[[#This Row],[چکهای در جریان وصول]]+Table229[[#This Row],[چکهای نزد صندوق]]</f>
        <v>-496500</v>
      </c>
      <c r="G116" s="12">
        <f>IFERROR(INDEX('مانده سوفاله'!F:F,MATCH(Table229[[#This Row],[كد تفصيلي]],'مانده سوفاله'!A:A,0)),0)</f>
        <v>0</v>
      </c>
    </row>
    <row r="117" spans="1:7" ht="24.75" customHeight="1" x14ac:dyDescent="0.35">
      <c r="A117" s="74">
        <v>30052</v>
      </c>
      <c r="B117" s="73" t="s">
        <v>149</v>
      </c>
      <c r="C117" s="10">
        <f>IFERROR(INDEX('حسابهای دریافتنی'!H:H,MATCH(Table229[[#This Row],[كد تفصيلي]],'حسابهای دریافتنی'!A:A,0)),0)</f>
        <v>-539000</v>
      </c>
      <c r="D117" s="11">
        <f>IFERROR(INDEX('درجریان وصول'!F:F,MATCH(Table229[[#This Row],[كد تفصيلي]],'درجریان وصول'!A:A,0)),0)</f>
        <v>0</v>
      </c>
      <c r="E117" s="11">
        <f>IFERROR(INDEX('چکهای دریافتنی'!F:F,MATCH(Table229[[#This Row],[كد تفصيلي]],'چکهای دریافتنی'!A:A,0)),0)</f>
        <v>0</v>
      </c>
      <c r="F117" s="11">
        <f>Table229[[#This Row],[حسابهای دریافتنی]]+Table229[[#This Row],[چکهای در جریان وصول]]+Table229[[#This Row],[چکهای نزد صندوق]]</f>
        <v>-539000</v>
      </c>
      <c r="G117" s="12">
        <f>IFERROR(INDEX('مانده سوفاله'!F:F,MATCH(Table229[[#This Row],[كد تفصيلي]],'مانده سوفاله'!A:A,0)),0)</f>
        <v>0</v>
      </c>
    </row>
    <row r="118" spans="1:7" ht="24.75" customHeight="1" x14ac:dyDescent="0.35">
      <c r="A118" s="75">
        <v>10061</v>
      </c>
      <c r="B118" s="72" t="s">
        <v>194</v>
      </c>
      <c r="C118" s="10">
        <f>IFERROR(INDEX('حسابهای دریافتنی'!H:H,MATCH(Table229[[#This Row],[كد تفصيلي]],'حسابهای دریافتنی'!A:A,0)),0)</f>
        <v>-565500</v>
      </c>
      <c r="D118" s="11">
        <f>IFERROR(INDEX('درجریان وصول'!F:F,MATCH(Table229[[#This Row],[كد تفصيلي]],'درجریان وصول'!A:A,0)),0)</f>
        <v>0</v>
      </c>
      <c r="E118" s="11">
        <f>IFERROR(INDEX('چکهای دریافتنی'!F:F,MATCH(Table229[[#This Row],[كد تفصيلي]],'چکهای دریافتنی'!A:A,0)),0)</f>
        <v>0</v>
      </c>
      <c r="F118" s="11">
        <f>Table229[[#This Row],[حسابهای دریافتنی]]+Table229[[#This Row],[چکهای در جریان وصول]]+Table229[[#This Row],[چکهای نزد صندوق]]</f>
        <v>-565500</v>
      </c>
      <c r="G118" s="12">
        <f>IFERROR(INDEX('مانده سوفاله'!F:F,MATCH(Table229[[#This Row],[كد تفصيلي]],'مانده سوفاله'!A:A,0)),0)</f>
        <v>0</v>
      </c>
    </row>
    <row r="119" spans="1:7" ht="24.75" customHeight="1" x14ac:dyDescent="0.35">
      <c r="A119" s="75">
        <v>10118</v>
      </c>
      <c r="B119" s="72" t="s">
        <v>334</v>
      </c>
      <c r="C119" s="10">
        <f>IFERROR(INDEX('حسابهای دریافتنی'!H:H,MATCH(Table229[[#This Row],[كد تفصيلي]],'حسابهای دریافتنی'!A:A,0)),0)</f>
        <v>-587500</v>
      </c>
      <c r="D119" s="11">
        <f>IFERROR(INDEX('درجریان وصول'!F:F,MATCH(Table229[[#This Row],[كد تفصيلي]],'درجریان وصول'!A:A,0)),0)</f>
        <v>0</v>
      </c>
      <c r="E119" s="11">
        <f>IFERROR(INDEX('چکهای دریافتنی'!F:F,MATCH(Table229[[#This Row],[كد تفصيلي]],'چکهای دریافتنی'!A:A,0)),0)</f>
        <v>0</v>
      </c>
      <c r="F119" s="11">
        <f>Table229[[#This Row],[حسابهای دریافتنی]]+Table229[[#This Row],[چکهای در جریان وصول]]+Table229[[#This Row],[چکهای نزد صندوق]]</f>
        <v>-587500</v>
      </c>
      <c r="G119" s="12">
        <f>IFERROR(INDEX('مانده سوفاله'!F:F,MATCH(Table229[[#This Row],[كد تفصيلي]],'مانده سوفاله'!A:A,0)),0)</f>
        <v>0</v>
      </c>
    </row>
    <row r="120" spans="1:7" ht="24.75" customHeight="1" x14ac:dyDescent="0.35">
      <c r="A120" s="75">
        <v>30112</v>
      </c>
      <c r="B120" s="72" t="s">
        <v>201</v>
      </c>
      <c r="C120" s="10">
        <f>IFERROR(INDEX('حسابهای دریافتنی'!H:H,MATCH(Table229[[#This Row],[كد تفصيلي]],'حسابهای دریافتنی'!A:A,0)),0)</f>
        <v>-720500</v>
      </c>
      <c r="D120" s="11">
        <f>IFERROR(INDEX('درجریان وصول'!F:F,MATCH(Table229[[#This Row],[كد تفصيلي]],'درجریان وصول'!A:A,0)),0)</f>
        <v>0</v>
      </c>
      <c r="E120" s="11">
        <f>IFERROR(INDEX('چکهای دریافتنی'!F:F,MATCH(Table229[[#This Row],[كد تفصيلي]],'چکهای دریافتنی'!A:A,0)),0)</f>
        <v>0</v>
      </c>
      <c r="F120" s="11">
        <f>Table229[[#This Row],[حسابهای دریافتنی]]+Table229[[#This Row],[چکهای در جریان وصول]]+Table229[[#This Row],[چکهای نزد صندوق]]</f>
        <v>-720500</v>
      </c>
      <c r="G120" s="12">
        <f>IFERROR(INDEX('مانده سوفاله'!F:F,MATCH(Table229[[#This Row],[كد تفصيلي]],'مانده سوفاله'!A:A,0)),0)</f>
        <v>36</v>
      </c>
    </row>
    <row r="121" spans="1:7" ht="24.75" customHeight="1" x14ac:dyDescent="0.35">
      <c r="A121" s="75">
        <v>10013</v>
      </c>
      <c r="B121" s="72" t="s">
        <v>20</v>
      </c>
      <c r="C121" s="10">
        <f>IFERROR(INDEX('حسابهای دریافتنی'!H:H,MATCH(Table229[[#This Row],[كد تفصيلي]],'حسابهای دریافتنی'!A:A,0)),0)</f>
        <v>-915000</v>
      </c>
      <c r="D121" s="11">
        <f>IFERROR(INDEX('درجریان وصول'!F:F,MATCH(Table229[[#This Row],[كد تفصيلي]],'درجریان وصول'!A:A,0)),0)</f>
        <v>0</v>
      </c>
      <c r="E121" s="11">
        <f>IFERROR(INDEX('چکهای دریافتنی'!F:F,MATCH(Table229[[#This Row],[كد تفصيلي]],'چکهای دریافتنی'!A:A,0)),0)</f>
        <v>0</v>
      </c>
      <c r="F121" s="11">
        <f>Table229[[#This Row],[حسابهای دریافتنی]]+Table229[[#This Row],[چکهای در جریان وصول]]+Table229[[#This Row],[چکهای نزد صندوق]]</f>
        <v>-915000</v>
      </c>
      <c r="G121" s="12">
        <f>IFERROR(INDEX('مانده سوفاله'!F:F,MATCH(Table229[[#This Row],[كد تفصيلي]],'مانده سوفاله'!A:A,0)),0)</f>
        <v>0</v>
      </c>
    </row>
    <row r="122" spans="1:7" ht="24.75" customHeight="1" x14ac:dyDescent="0.35">
      <c r="A122" s="74">
        <v>10042</v>
      </c>
      <c r="B122" s="73" t="s">
        <v>47</v>
      </c>
      <c r="C122" s="10">
        <f>IFERROR(INDEX('حسابهای دریافتنی'!H:H,MATCH(Table229[[#This Row],[كد تفصيلي]],'حسابهای دریافتنی'!A:A,0)),0)</f>
        <v>-1120000</v>
      </c>
      <c r="D122" s="11">
        <f>IFERROR(INDEX('درجریان وصول'!F:F,MATCH(Table229[[#This Row],[كد تفصيلي]],'درجریان وصول'!A:A,0)),0)</f>
        <v>0</v>
      </c>
      <c r="E122" s="11">
        <f>IFERROR(INDEX('چکهای دریافتنی'!F:F,MATCH(Table229[[#This Row],[كد تفصيلي]],'چکهای دریافتنی'!A:A,0)),0)</f>
        <v>0</v>
      </c>
      <c r="F122" s="11">
        <f>Table229[[#This Row],[حسابهای دریافتنی]]+Table229[[#This Row],[چکهای در جریان وصول]]+Table229[[#This Row],[چکهای نزد صندوق]]</f>
        <v>-1120000</v>
      </c>
      <c r="G122" s="12">
        <f>IFERROR(INDEX('مانده سوفاله'!F:F,MATCH(Table229[[#This Row],[كد تفصيلي]],'مانده سوفاله'!A:A,0)),0)</f>
        <v>2</v>
      </c>
    </row>
    <row r="123" spans="1:7" ht="24.75" customHeight="1" x14ac:dyDescent="0.35">
      <c r="A123" s="75">
        <v>10131</v>
      </c>
      <c r="B123" s="72" t="s">
        <v>457</v>
      </c>
      <c r="C123" s="10">
        <f>IFERROR(INDEX('حسابهای دریافتنی'!H:H,MATCH(Table229[[#This Row],[كد تفصيلي]],'حسابهای دریافتنی'!A:A,0)),0)</f>
        <v>-1194000</v>
      </c>
      <c r="D123" s="11">
        <f>IFERROR(INDEX('درجریان وصول'!F:F,MATCH(Table229[[#This Row],[كد تفصيلي]],'درجریان وصول'!A:A,0)),0)</f>
        <v>0</v>
      </c>
      <c r="E123" s="11">
        <f>IFERROR(INDEX('چکهای دریافتنی'!F:F,MATCH(Table229[[#This Row],[كد تفصيلي]],'چکهای دریافتنی'!A:A,0)),0)</f>
        <v>0</v>
      </c>
      <c r="F123" s="11">
        <f>Table229[[#This Row],[حسابهای دریافتنی]]+Table229[[#This Row],[چکهای در جریان وصول]]+Table229[[#This Row],[چکهای نزد صندوق]]</f>
        <v>-1194000</v>
      </c>
      <c r="G123" s="12">
        <f>IFERROR(INDEX('مانده سوفاله'!F:F,MATCH(Table229[[#This Row],[كد تفصيلي]],'مانده سوفاله'!A:A,0)),0)</f>
        <v>1</v>
      </c>
    </row>
    <row r="124" spans="1:7" ht="24.75" customHeight="1" x14ac:dyDescent="0.35">
      <c r="A124" s="74">
        <v>30032</v>
      </c>
      <c r="B124" s="73" t="s">
        <v>79</v>
      </c>
      <c r="C124" s="10">
        <f>IFERROR(INDEX('حسابهای دریافتنی'!H:H,MATCH(Table229[[#This Row],[كد تفصيلي]],'حسابهای دریافتنی'!A:A,0)),0)</f>
        <v>-1347000</v>
      </c>
      <c r="D124" s="11">
        <f>IFERROR(INDEX('درجریان وصول'!F:F,MATCH(Table229[[#This Row],[كد تفصيلي]],'درجریان وصول'!A:A,0)),0)</f>
        <v>0</v>
      </c>
      <c r="E124" s="11">
        <f>IFERROR(INDEX('چکهای دریافتنی'!F:F,MATCH(Table229[[#This Row],[كد تفصيلي]],'چکهای دریافتنی'!A:A,0)),0)</f>
        <v>0</v>
      </c>
      <c r="F124" s="11">
        <f>Table229[[#This Row],[حسابهای دریافتنی]]+Table229[[#This Row],[چکهای در جریان وصول]]+Table229[[#This Row],[چکهای نزد صندوق]]</f>
        <v>-1347000</v>
      </c>
      <c r="G124" s="12">
        <f>IFERROR(INDEX('مانده سوفاله'!F:F,MATCH(Table229[[#This Row],[كد تفصيلي]],'مانده سوفاله'!A:A,0)),0)</f>
        <v>0</v>
      </c>
    </row>
    <row r="125" spans="1:7" ht="24.75" customHeight="1" x14ac:dyDescent="0.35">
      <c r="A125" s="74">
        <v>30171</v>
      </c>
      <c r="B125" s="73" t="s">
        <v>322</v>
      </c>
      <c r="C125" s="10">
        <f>IFERROR(INDEX('حسابهای دریافتنی'!H:H,MATCH(Table229[[#This Row],[كد تفصيلي]],'حسابهای دریافتنی'!A:A,0)),0)</f>
        <v>-1500000</v>
      </c>
      <c r="D125" s="11">
        <f>IFERROR(INDEX('درجریان وصول'!F:F,MATCH(Table229[[#This Row],[كد تفصيلي]],'درجریان وصول'!A:A,0)),0)</f>
        <v>0</v>
      </c>
      <c r="E125" s="11">
        <f>IFERROR(INDEX('چکهای دریافتنی'!F:F,MATCH(Table229[[#This Row],[كد تفصيلي]],'چکهای دریافتنی'!A:A,0)),0)</f>
        <v>0</v>
      </c>
      <c r="F125" s="11">
        <f>Table229[[#This Row],[حسابهای دریافتنی]]+Table229[[#This Row],[چکهای در جریان وصول]]+Table229[[#This Row],[چکهای نزد صندوق]]</f>
        <v>-1500000</v>
      </c>
      <c r="G125" s="12">
        <f>IFERROR(INDEX('مانده سوفاله'!F:F,MATCH(Table229[[#This Row],[كد تفصيلي]],'مانده سوفاله'!A:A,0)),0)</f>
        <v>0</v>
      </c>
    </row>
    <row r="126" spans="1:7" ht="24.75" customHeight="1" x14ac:dyDescent="0.35">
      <c r="A126" s="75">
        <v>10103</v>
      </c>
      <c r="B126" s="72" t="s">
        <v>283</v>
      </c>
      <c r="C126" s="10">
        <f>IFERROR(INDEX('حسابهای دریافتنی'!H:H,MATCH(Table229[[#This Row],[كد تفصيلي]],'حسابهای دریافتنی'!A:A,0)),0)</f>
        <v>-1580000</v>
      </c>
      <c r="D126" s="11">
        <f>IFERROR(INDEX('درجریان وصول'!F:F,MATCH(Table229[[#This Row],[كد تفصيلي]],'درجریان وصول'!A:A,0)),0)</f>
        <v>0</v>
      </c>
      <c r="E126" s="11">
        <f>IFERROR(INDEX('چکهای دریافتنی'!F:F,MATCH(Table229[[#This Row],[كد تفصيلي]],'چکهای دریافتنی'!A:A,0)),0)</f>
        <v>0</v>
      </c>
      <c r="F126" s="11">
        <f>Table229[[#This Row],[حسابهای دریافتنی]]+Table229[[#This Row],[چکهای در جریان وصول]]+Table229[[#This Row],[چکهای نزد صندوق]]</f>
        <v>-1580000</v>
      </c>
      <c r="G126" s="12">
        <f>IFERROR(INDEX('مانده سوفاله'!F:F,MATCH(Table229[[#This Row],[كد تفصيلي]],'مانده سوفاله'!A:A,0)),0)</f>
        <v>0</v>
      </c>
    </row>
    <row r="127" spans="1:7" ht="24.75" customHeight="1" x14ac:dyDescent="0.35">
      <c r="A127" s="74">
        <v>10125</v>
      </c>
      <c r="B127" s="73" t="s">
        <v>345</v>
      </c>
      <c r="C127" s="10">
        <f>IFERROR(INDEX('حسابهای دریافتنی'!H:H,MATCH(Table229[[#This Row],[كد تفصيلي]],'حسابهای دریافتنی'!A:A,0)),0)</f>
        <v>-1650000</v>
      </c>
      <c r="D127" s="11">
        <f>IFERROR(INDEX('درجریان وصول'!F:F,MATCH(Table229[[#This Row],[كد تفصيلي]],'درجریان وصول'!A:A,0)),0)</f>
        <v>0</v>
      </c>
      <c r="E127" s="11">
        <f>IFERROR(INDEX('چکهای دریافتنی'!F:F,MATCH(Table229[[#This Row],[كد تفصيلي]],'چکهای دریافتنی'!A:A,0)),0)</f>
        <v>0</v>
      </c>
      <c r="F127" s="11">
        <f>Table229[[#This Row],[حسابهای دریافتنی]]+Table229[[#This Row],[چکهای در جریان وصول]]+Table229[[#This Row],[چکهای نزد صندوق]]</f>
        <v>-1650000</v>
      </c>
      <c r="G127" s="12">
        <f>IFERROR(INDEX('مانده سوفاله'!F:F,MATCH(Table229[[#This Row],[كد تفصيلي]],'مانده سوفاله'!A:A,0)),0)</f>
        <v>0</v>
      </c>
    </row>
    <row r="128" spans="1:7" ht="24.75" customHeight="1" x14ac:dyDescent="0.35">
      <c r="A128" s="75">
        <v>10110</v>
      </c>
      <c r="B128" s="72" t="s">
        <v>306</v>
      </c>
      <c r="C128" s="10">
        <f>IFERROR(INDEX('حسابهای دریافتنی'!H:H,MATCH(Table229[[#This Row],[كد تفصيلي]],'حسابهای دریافتنی'!A:A,0)),0)</f>
        <v>-1817500</v>
      </c>
      <c r="D128" s="11">
        <f>IFERROR(INDEX('درجریان وصول'!F:F,MATCH(Table229[[#This Row],[كد تفصيلي]],'درجریان وصول'!A:A,0)),0)</f>
        <v>0</v>
      </c>
      <c r="E128" s="11">
        <f>IFERROR(INDEX('چکهای دریافتنی'!F:F,MATCH(Table229[[#This Row],[كد تفصيلي]],'چکهای دریافتنی'!A:A,0)),0)</f>
        <v>0</v>
      </c>
      <c r="F128" s="11">
        <f>Table229[[#This Row],[حسابهای دریافتنی]]+Table229[[#This Row],[چکهای در جریان وصول]]+Table229[[#This Row],[چکهای نزد صندوق]]</f>
        <v>-1817500</v>
      </c>
      <c r="G128" s="12">
        <f>IFERROR(INDEX('مانده سوفاله'!F:F,MATCH(Table229[[#This Row],[كد تفصيلي]],'مانده سوفاله'!A:A,0)),0)</f>
        <v>7</v>
      </c>
    </row>
    <row r="129" spans="1:7" ht="24.75" customHeight="1" x14ac:dyDescent="0.35">
      <c r="A129" s="74">
        <v>30103</v>
      </c>
      <c r="B129" s="73" t="s">
        <v>240</v>
      </c>
      <c r="C129" s="10">
        <f>IFERROR(INDEX('حسابهای دریافتنی'!H:H,MATCH(Table229[[#This Row],[كد تفصيلي]],'حسابهای دریافتنی'!A:A,0)),0)</f>
        <v>-1820000</v>
      </c>
      <c r="D129" s="11">
        <f>IFERROR(INDEX('درجریان وصول'!F:F,MATCH(Table229[[#This Row],[كد تفصيلي]],'درجریان وصول'!A:A,0)),0)</f>
        <v>0</v>
      </c>
      <c r="E129" s="11">
        <f>IFERROR(INDEX('چکهای دریافتنی'!F:F,MATCH(Table229[[#This Row],[كد تفصيلي]],'چکهای دریافتنی'!A:A,0)),0)</f>
        <v>0</v>
      </c>
      <c r="F129" s="11">
        <f>Table229[[#This Row],[حسابهای دریافتنی]]+Table229[[#This Row],[چکهای در جریان وصول]]+Table229[[#This Row],[چکهای نزد صندوق]]</f>
        <v>-1820000</v>
      </c>
      <c r="G129" s="12">
        <f>IFERROR(INDEX('مانده سوفاله'!F:F,MATCH(Table229[[#This Row],[كد تفصيلي]],'مانده سوفاله'!A:A,0)),0)</f>
        <v>0</v>
      </c>
    </row>
    <row r="130" spans="1:7" ht="24.75" customHeight="1" x14ac:dyDescent="0.35">
      <c r="A130" s="75">
        <v>30128</v>
      </c>
      <c r="B130" s="72" t="s">
        <v>212</v>
      </c>
      <c r="C130" s="10">
        <f>IFERROR(INDEX('حسابهای دریافتنی'!H:H,MATCH(Table229[[#This Row],[كد تفصيلي]],'حسابهای دریافتنی'!A:A,0)),0)</f>
        <v>-2451320</v>
      </c>
      <c r="D130" s="11">
        <f>IFERROR(INDEX('درجریان وصول'!F:F,MATCH(Table229[[#This Row],[كد تفصيلي]],'درجریان وصول'!A:A,0)),0)</f>
        <v>0</v>
      </c>
      <c r="E130" s="11">
        <f>IFERROR(INDEX('چکهای دریافتنی'!F:F,MATCH(Table229[[#This Row],[كد تفصيلي]],'چکهای دریافتنی'!A:A,0)),0)</f>
        <v>0</v>
      </c>
      <c r="F130" s="11">
        <f>Table229[[#This Row],[حسابهای دریافتنی]]+Table229[[#This Row],[چکهای در جریان وصول]]+Table229[[#This Row],[چکهای نزد صندوق]]</f>
        <v>-2451320</v>
      </c>
      <c r="G130" s="12">
        <f>IFERROR(INDEX('مانده سوفاله'!F:F,MATCH(Table229[[#This Row],[كد تفصيلي]],'مانده سوفاله'!A:A,0)),0)</f>
        <v>0</v>
      </c>
    </row>
    <row r="131" spans="1:7" ht="24.75" customHeight="1" x14ac:dyDescent="0.35">
      <c r="A131" s="74">
        <v>10119</v>
      </c>
      <c r="B131" s="73" t="s">
        <v>333</v>
      </c>
      <c r="C131" s="10">
        <f>IFERROR(INDEX('حسابهای دریافتنی'!H:H,MATCH(Table229[[#This Row],[كد تفصيلي]],'حسابهای دریافتنی'!A:A,0)),0)</f>
        <v>-2592000</v>
      </c>
      <c r="D131" s="11">
        <f>IFERROR(INDEX('درجریان وصول'!F:F,MATCH(Table229[[#This Row],[كد تفصيلي]],'درجریان وصول'!A:A,0)),0)</f>
        <v>0</v>
      </c>
      <c r="E131" s="11">
        <f>IFERROR(INDEX('چکهای دریافتنی'!F:F,MATCH(Table229[[#This Row],[كد تفصيلي]],'چکهای دریافتنی'!A:A,0)),0)</f>
        <v>0</v>
      </c>
      <c r="F131" s="11">
        <f>Table229[[#This Row],[حسابهای دریافتنی]]+Table229[[#This Row],[چکهای در جریان وصول]]+Table229[[#This Row],[چکهای نزد صندوق]]</f>
        <v>-2592000</v>
      </c>
      <c r="G131" s="12">
        <f>IFERROR(INDEX('مانده سوفاله'!F:F,MATCH(Table229[[#This Row],[كد تفصيلي]],'مانده سوفاله'!A:A,0)),0)</f>
        <v>353</v>
      </c>
    </row>
    <row r="132" spans="1:7" ht="24.75" customHeight="1" x14ac:dyDescent="0.35">
      <c r="A132" s="75">
        <v>30013</v>
      </c>
      <c r="B132" s="72" t="s">
        <v>62</v>
      </c>
      <c r="C132" s="10">
        <f>IFERROR(INDEX('حسابهای دریافتنی'!H:H,MATCH(Table229[[#This Row],[كد تفصيلي]],'حسابهای دریافتنی'!A:A,0)),0)</f>
        <v>-2744620</v>
      </c>
      <c r="D132" s="11">
        <f>IFERROR(INDEX('درجریان وصول'!F:F,MATCH(Table229[[#This Row],[كد تفصيلي]],'درجریان وصول'!A:A,0)),0)</f>
        <v>0</v>
      </c>
      <c r="E132" s="11">
        <f>IFERROR(INDEX('چکهای دریافتنی'!F:F,MATCH(Table229[[#This Row],[كد تفصيلي]],'چکهای دریافتنی'!A:A,0)),0)</f>
        <v>0</v>
      </c>
      <c r="F132" s="11">
        <f>Table229[[#This Row],[حسابهای دریافتنی]]+Table229[[#This Row],[چکهای در جریان وصول]]+Table229[[#This Row],[چکهای نزد صندوق]]</f>
        <v>-2744620</v>
      </c>
      <c r="G132" s="12">
        <f>IFERROR(INDEX('مانده سوفاله'!F:F,MATCH(Table229[[#This Row],[كد تفصيلي]],'مانده سوفاله'!A:A,0)),0)</f>
        <v>0</v>
      </c>
    </row>
    <row r="133" spans="1:7" ht="24.75" customHeight="1" x14ac:dyDescent="0.35">
      <c r="A133" s="75">
        <v>30015</v>
      </c>
      <c r="B133" s="72" t="s">
        <v>64</v>
      </c>
      <c r="C133" s="10">
        <f>IFERROR(INDEX('حسابهای دریافتنی'!H:H,MATCH(Table229[[#This Row],[كد تفصيلي]],'حسابهای دریافتنی'!A:A,0)),0)</f>
        <v>-3105895</v>
      </c>
      <c r="D133" s="11">
        <f>IFERROR(INDEX('درجریان وصول'!F:F,MATCH(Table229[[#This Row],[كد تفصيلي]],'درجریان وصول'!A:A,0)),0)</f>
        <v>0</v>
      </c>
      <c r="E133" s="11">
        <f>IFERROR(INDEX('چکهای دریافتنی'!F:F,MATCH(Table229[[#This Row],[كد تفصيلي]],'چکهای دریافتنی'!A:A,0)),0)</f>
        <v>0</v>
      </c>
      <c r="F133" s="11">
        <f>Table229[[#This Row],[حسابهای دریافتنی]]+Table229[[#This Row],[چکهای در جریان وصول]]+Table229[[#This Row],[چکهای نزد صندوق]]</f>
        <v>-3105895</v>
      </c>
      <c r="G133" s="12">
        <f>IFERROR(INDEX('مانده سوفاله'!F:F,MATCH(Table229[[#This Row],[كد تفصيلي]],'مانده سوفاله'!A:A,0)),0)</f>
        <v>0</v>
      </c>
    </row>
    <row r="134" spans="1:7" ht="24.75" customHeight="1" x14ac:dyDescent="0.35">
      <c r="A134" s="75">
        <v>30110</v>
      </c>
      <c r="B134" s="72" t="s">
        <v>200</v>
      </c>
      <c r="C134" s="10">
        <f>IFERROR(INDEX('حسابهای دریافتنی'!H:H,MATCH(Table229[[#This Row],[كد تفصيلي]],'حسابهای دریافتنی'!A:A,0)),0)</f>
        <v>-3492360</v>
      </c>
      <c r="D134" s="11">
        <f>IFERROR(INDEX('درجریان وصول'!F:F,MATCH(Table229[[#This Row],[كد تفصيلي]],'درجریان وصول'!A:A,0)),0)</f>
        <v>0</v>
      </c>
      <c r="E134" s="11">
        <f>IFERROR(INDEX('چکهای دریافتنی'!F:F,MATCH(Table229[[#This Row],[كد تفصيلي]],'چکهای دریافتنی'!A:A,0)),0)</f>
        <v>0</v>
      </c>
      <c r="F134" s="11">
        <f>Table229[[#This Row],[حسابهای دریافتنی]]+Table229[[#This Row],[چکهای در جریان وصول]]+Table229[[#This Row],[چکهای نزد صندوق]]</f>
        <v>-3492360</v>
      </c>
      <c r="G134" s="12">
        <f>IFERROR(INDEX('مانده سوفاله'!F:F,MATCH(Table229[[#This Row],[كد تفصيلي]],'مانده سوفاله'!A:A,0)),0)</f>
        <v>0</v>
      </c>
    </row>
    <row r="135" spans="1:7" ht="24.75" customHeight="1" x14ac:dyDescent="0.35">
      <c r="A135" s="74">
        <v>10004</v>
      </c>
      <c r="B135" s="73" t="s">
        <v>11</v>
      </c>
      <c r="C135" s="10">
        <f>IFERROR(INDEX('حسابهای دریافتنی'!H:H,MATCH(Table229[[#This Row],[كد تفصيلي]],'حسابهای دریافتنی'!A:A,0)),0)</f>
        <v>853000</v>
      </c>
      <c r="D135" s="11">
        <f>IFERROR(INDEX('درجریان وصول'!F:F,MATCH(Table229[[#This Row],[كد تفصيلي]],'درجریان وصول'!A:A,0)),0)</f>
        <v>0</v>
      </c>
      <c r="E135" s="11">
        <f>IFERROR(INDEX('چکهای دریافتنی'!F:F,MATCH(Table229[[#This Row],[كد تفصيلي]],'چکهای دریافتنی'!A:A,0)),0)</f>
        <v>341000000</v>
      </c>
      <c r="F135" s="11">
        <f>Table229[[#This Row],[حسابهای دریافتنی]]+Table229[[#This Row],[چکهای در جریان وصول]]+Table229[[#This Row],[چکهای نزد صندوق]]</f>
        <v>341853000</v>
      </c>
      <c r="G135" s="12">
        <f>IFERROR(INDEX('مانده سوفاله'!F:F,MATCH(Table229[[#This Row],[كد تفصيلي]],'مانده سوفاله'!A:A,0)),0)</f>
        <v>-12</v>
      </c>
    </row>
    <row r="136" spans="1:7" ht="24.75" customHeight="1" x14ac:dyDescent="0.35">
      <c r="A136" s="75">
        <v>10015</v>
      </c>
      <c r="B136" s="72" t="s">
        <v>22</v>
      </c>
      <c r="C136" s="10">
        <f>IFERROR(INDEX('حسابهای دریافتنی'!H:H,MATCH(Table229[[#This Row],[كد تفصيلي]],'حسابهای دریافتنی'!A:A,0)),0)</f>
        <v>-4735000</v>
      </c>
      <c r="D136" s="11">
        <f>IFERROR(INDEX('درجریان وصول'!F:F,MATCH(Table229[[#This Row],[كد تفصيلي]],'درجریان وصول'!A:A,0)),0)</f>
        <v>0</v>
      </c>
      <c r="E136" s="11">
        <f>IFERROR(INDEX('چکهای دریافتنی'!F:F,MATCH(Table229[[#This Row],[كد تفصيلي]],'چکهای دریافتنی'!A:A,0)),0)</f>
        <v>0</v>
      </c>
      <c r="F136" s="11">
        <f>Table229[[#This Row],[حسابهای دریافتنی]]+Table229[[#This Row],[چکهای در جریان وصول]]+Table229[[#This Row],[چکهای نزد صندوق]]</f>
        <v>-4735000</v>
      </c>
      <c r="G136" s="12">
        <f>IFERROR(INDEX('مانده سوفاله'!F:F,MATCH(Table229[[#This Row],[كد تفصيلي]],'مانده سوفاله'!A:A,0)),0)</f>
        <v>12</v>
      </c>
    </row>
    <row r="137" spans="1:7" ht="24.75" customHeight="1" x14ac:dyDescent="0.35">
      <c r="A137" s="74">
        <v>30153</v>
      </c>
      <c r="B137" s="73" t="s">
        <v>279</v>
      </c>
      <c r="C137" s="10">
        <f>IFERROR(INDEX('حسابهای دریافتنی'!H:H,MATCH(Table229[[#This Row],[كد تفصيلي]],'حسابهای دریافتنی'!A:A,0)),0)</f>
        <v>-4818000</v>
      </c>
      <c r="D137" s="11">
        <f>IFERROR(INDEX('درجریان وصول'!F:F,MATCH(Table229[[#This Row],[كد تفصيلي]],'درجریان وصول'!A:A,0)),0)</f>
        <v>0</v>
      </c>
      <c r="E137" s="11">
        <f>IFERROR(INDEX('چکهای دریافتنی'!F:F,MATCH(Table229[[#This Row],[كد تفصيلي]],'چکهای دریافتنی'!A:A,0)),0)</f>
        <v>0</v>
      </c>
      <c r="F137" s="11">
        <f>Table229[[#This Row],[حسابهای دریافتنی]]+Table229[[#This Row],[چکهای در جریان وصول]]+Table229[[#This Row],[چکهای نزد صندوق]]</f>
        <v>-4818000</v>
      </c>
      <c r="G137" s="12">
        <f>IFERROR(INDEX('مانده سوفاله'!F:F,MATCH(Table229[[#This Row],[كد تفصيلي]],'مانده سوفاله'!A:A,0)),0)</f>
        <v>0</v>
      </c>
    </row>
    <row r="138" spans="1:7" ht="24.75" customHeight="1" x14ac:dyDescent="0.35">
      <c r="A138" s="75">
        <v>30023</v>
      </c>
      <c r="B138" s="72" t="s">
        <v>71</v>
      </c>
      <c r="C138" s="10">
        <f>IFERROR(INDEX('حسابهای دریافتنی'!H:H,MATCH(Table229[[#This Row],[كد تفصيلي]],'حسابهای دریافتنی'!A:A,0)),0)</f>
        <v>-5793600</v>
      </c>
      <c r="D138" s="11">
        <f>IFERROR(INDEX('درجریان وصول'!F:F,MATCH(Table229[[#This Row],[كد تفصيلي]],'درجریان وصول'!A:A,0)),0)</f>
        <v>0</v>
      </c>
      <c r="E138" s="11">
        <f>IFERROR(INDEX('چکهای دریافتنی'!F:F,MATCH(Table229[[#This Row],[كد تفصيلي]],'چکهای دریافتنی'!A:A,0)),0)</f>
        <v>0</v>
      </c>
      <c r="F138" s="11">
        <f>Table229[[#This Row],[حسابهای دریافتنی]]+Table229[[#This Row],[چکهای در جریان وصول]]+Table229[[#This Row],[چکهای نزد صندوق]]</f>
        <v>-5793600</v>
      </c>
      <c r="G138" s="12">
        <f>IFERROR(INDEX('مانده سوفاله'!F:F,MATCH(Table229[[#This Row],[كد تفصيلي]],'مانده سوفاله'!A:A,0)),0)</f>
        <v>0</v>
      </c>
    </row>
    <row r="139" spans="1:7" ht="24.75" customHeight="1" x14ac:dyDescent="0.35">
      <c r="A139" s="75">
        <v>30176</v>
      </c>
      <c r="B139" s="72" t="s">
        <v>332</v>
      </c>
      <c r="C139" s="10">
        <f>IFERROR(INDEX('حسابهای دریافتنی'!H:H,MATCH(Table229[[#This Row],[كد تفصيلي]],'حسابهای دریافتنی'!A:A,0)),0)</f>
        <v>-7540075</v>
      </c>
      <c r="D139" s="11">
        <f>IFERROR(INDEX('درجریان وصول'!F:F,MATCH(Table229[[#This Row],[كد تفصيلي]],'درجریان وصول'!A:A,0)),0)</f>
        <v>0</v>
      </c>
      <c r="E139" s="11">
        <f>IFERROR(INDEX('چکهای دریافتنی'!F:F,MATCH(Table229[[#This Row],[كد تفصيلي]],'چکهای دریافتنی'!A:A,0)),0)</f>
        <v>0</v>
      </c>
      <c r="F139" s="11">
        <f>Table229[[#This Row],[حسابهای دریافتنی]]+Table229[[#This Row],[چکهای در جریان وصول]]+Table229[[#This Row],[چکهای نزد صندوق]]</f>
        <v>-7540075</v>
      </c>
      <c r="G139" s="12">
        <f>IFERROR(INDEX('مانده سوفاله'!F:F,MATCH(Table229[[#This Row],[كد تفصيلي]],'مانده سوفاله'!A:A,0)),0)</f>
        <v>0</v>
      </c>
    </row>
    <row r="140" spans="1:7" customFormat="1" ht="24.75" customHeight="1" x14ac:dyDescent="0.35">
      <c r="A140" s="76">
        <v>10106</v>
      </c>
      <c r="B140" s="72" t="s">
        <v>298</v>
      </c>
      <c r="C140" s="10">
        <f>IFERROR(INDEX('حسابهای دریافتنی'!H:H,MATCH(Table229[[#This Row],[كد تفصيلي]],'حسابهای دریافتنی'!A:A,0)),0)</f>
        <v>-9134000</v>
      </c>
      <c r="D140" s="11">
        <f>IFERROR(INDEX('درجریان وصول'!F:F,MATCH(Table229[[#This Row],[كد تفصيلي]],'درجریان وصول'!A:A,0)),0)</f>
        <v>0</v>
      </c>
      <c r="E140" s="11">
        <f>IFERROR(INDEX('چکهای دریافتنی'!F:F,MATCH(Table229[[#This Row],[كد تفصيلي]],'چکهای دریافتنی'!A:A,0)),0)</f>
        <v>0</v>
      </c>
      <c r="F140" s="11">
        <f>Table229[[#This Row],[حسابهای دریافتنی]]+Table229[[#This Row],[چکهای در جریان وصول]]+Table229[[#This Row],[چکهای نزد صندوق]]</f>
        <v>-9134000</v>
      </c>
      <c r="G140" s="12">
        <f>IFERROR(INDEX('مانده سوفاله'!F:F,MATCH(Table229[[#This Row],[كد تفصيلي]],'مانده سوفاله'!A:A,0)),0)</f>
        <v>0</v>
      </c>
    </row>
    <row r="141" spans="1:7" customFormat="1" ht="24.75" customHeight="1" x14ac:dyDescent="0.35">
      <c r="A141" s="77">
        <v>10102</v>
      </c>
      <c r="B141" s="73" t="s">
        <v>282</v>
      </c>
      <c r="C141" s="10">
        <f>IFERROR(INDEX('حسابهای دریافتنی'!H:H,MATCH(Table229[[#This Row],[كد تفصيلي]],'حسابهای دریافتنی'!A:A,0)),0)</f>
        <v>-10374000</v>
      </c>
      <c r="D141" s="11">
        <f>IFERROR(INDEX('درجریان وصول'!F:F,MATCH(Table229[[#This Row],[كد تفصيلي]],'درجریان وصول'!A:A,0)),0)</f>
        <v>0</v>
      </c>
      <c r="E141" s="11">
        <f>IFERROR(INDEX('چکهای دریافتنی'!F:F,MATCH(Table229[[#This Row],[كد تفصيلي]],'چکهای دریافتنی'!A:A,0)),0)</f>
        <v>0</v>
      </c>
      <c r="F141" s="11">
        <f>Table229[[#This Row],[حسابهای دریافتنی]]+Table229[[#This Row],[چکهای در جریان وصول]]+Table229[[#This Row],[چکهای نزد صندوق]]</f>
        <v>-10374000</v>
      </c>
      <c r="G141" s="12">
        <f>IFERROR(INDEX('مانده سوفاله'!F:F,MATCH(Table229[[#This Row],[كد تفصيلي]],'مانده سوفاله'!A:A,0)),0)</f>
        <v>0</v>
      </c>
    </row>
    <row r="142" spans="1:7" customFormat="1" ht="24.75" customHeight="1" x14ac:dyDescent="0.35">
      <c r="A142" s="77">
        <v>10058</v>
      </c>
      <c r="B142" s="73" t="s">
        <v>173</v>
      </c>
      <c r="C142" s="10">
        <f>IFERROR(INDEX('حسابهای دریافتنی'!H:H,MATCH(Table229[[#This Row],[كد تفصيلي]],'حسابهای دریافتنی'!A:A,0)),0)</f>
        <v>-13650000</v>
      </c>
      <c r="D142" s="11">
        <f>IFERROR(INDEX('درجریان وصول'!F:F,MATCH(Table229[[#This Row],[كد تفصيلي]],'درجریان وصول'!A:A,0)),0)</f>
        <v>0</v>
      </c>
      <c r="E142" s="11">
        <f>IFERROR(INDEX('چکهای دریافتنی'!F:F,MATCH(Table229[[#This Row],[كد تفصيلي]],'چکهای دریافتنی'!A:A,0)),0)</f>
        <v>0</v>
      </c>
      <c r="F142" s="11">
        <f>Table229[[#This Row],[حسابهای دریافتنی]]+Table229[[#This Row],[چکهای در جریان وصول]]+Table229[[#This Row],[چکهای نزد صندوق]]</f>
        <v>-13650000</v>
      </c>
      <c r="G142" s="12">
        <f>IFERROR(INDEX('مانده سوفاله'!F:F,MATCH(Table229[[#This Row],[كد تفصيلي]],'مانده سوفاله'!A:A,0)),0)</f>
        <v>0</v>
      </c>
    </row>
    <row r="143" spans="1:7" customFormat="1" ht="24.75" customHeight="1" x14ac:dyDescent="0.35">
      <c r="A143" s="76">
        <v>10126</v>
      </c>
      <c r="B143" s="72" t="s">
        <v>370</v>
      </c>
      <c r="C143" s="10">
        <f>IFERROR(INDEX('حسابهای دریافتنی'!H:H,MATCH(Table229[[#This Row],[كد تفصيلي]],'حسابهای دریافتنی'!A:A,0)),0)</f>
        <v>12165000</v>
      </c>
      <c r="D143" s="11">
        <f>IFERROR(INDEX('درجریان وصول'!F:F,MATCH(Table229[[#This Row],[كد تفصيلي]],'درجریان وصول'!A:A,0)),0)</f>
        <v>0</v>
      </c>
      <c r="E143" s="11">
        <f>IFERROR(INDEX('چکهای دریافتنی'!F:F,MATCH(Table229[[#This Row],[كد تفصيلي]],'چکهای دریافتنی'!A:A,0)),0)</f>
        <v>0</v>
      </c>
      <c r="F143" s="11">
        <f>Table229[[#This Row],[حسابهای دریافتنی]]+Table229[[#This Row],[چکهای در جریان وصول]]+Table229[[#This Row],[چکهای نزد صندوق]]</f>
        <v>12165000</v>
      </c>
      <c r="G143" s="12">
        <f>IFERROR(INDEX('مانده سوفاله'!F:F,MATCH(Table229[[#This Row],[كد تفصيلي]],'مانده سوفاله'!A:A,0)),0)</f>
        <v>0</v>
      </c>
    </row>
    <row r="144" spans="1:7" customFormat="1" ht="24.75" customHeight="1" x14ac:dyDescent="0.35">
      <c r="A144" s="76">
        <v>30082</v>
      </c>
      <c r="B144" s="72" t="s">
        <v>127</v>
      </c>
      <c r="C144" s="10">
        <f>IFERROR(INDEX('حسابهای دریافتنی'!H:H,MATCH(Table229[[#This Row],[كد تفصيلي]],'حسابهای دریافتنی'!A:A,0)),0)</f>
        <v>-15037000</v>
      </c>
      <c r="D144" s="11">
        <f>IFERROR(INDEX('درجریان وصول'!F:F,MATCH(Table229[[#This Row],[كد تفصيلي]],'درجریان وصول'!A:A,0)),0)</f>
        <v>0</v>
      </c>
      <c r="E144" s="11">
        <f>IFERROR(INDEX('چکهای دریافتنی'!F:F,MATCH(Table229[[#This Row],[كد تفصيلي]],'چکهای دریافتنی'!A:A,0)),0)</f>
        <v>0</v>
      </c>
      <c r="F144" s="11">
        <f>Table229[[#This Row],[حسابهای دریافتنی]]+Table229[[#This Row],[چکهای در جریان وصول]]+Table229[[#This Row],[چکهای نزد صندوق]]</f>
        <v>-15037000</v>
      </c>
      <c r="G144" s="12">
        <f>IFERROR(INDEX('مانده سوفاله'!F:F,MATCH(Table229[[#This Row],[كد تفصيلي]],'مانده سوفاله'!A:A,0)),0)</f>
        <v>-16</v>
      </c>
    </row>
    <row r="145" spans="1:7" customFormat="1" ht="24.75" customHeight="1" x14ac:dyDescent="0.35">
      <c r="A145" s="77">
        <v>30034</v>
      </c>
      <c r="B145" s="73" t="s">
        <v>81</v>
      </c>
      <c r="C145" s="10">
        <f>IFERROR(INDEX('حسابهای دریافتنی'!H:H,MATCH(Table229[[#This Row],[كد تفصيلي]],'حسابهای دریافتنی'!A:A,0)),0)</f>
        <v>388329200</v>
      </c>
      <c r="D145" s="11">
        <f>IFERROR(INDEX('درجریان وصول'!F:F,MATCH(Table229[[#This Row],[كد تفصيلي]],'درجریان وصول'!A:A,0)),0)</f>
        <v>0</v>
      </c>
      <c r="E145" s="11">
        <f>IFERROR(INDEX('چکهای دریافتنی'!F:F,MATCH(Table229[[#This Row],[كد تفصيلي]],'چکهای دریافتنی'!A:A,0)),0)</f>
        <v>0</v>
      </c>
      <c r="F145" s="11">
        <f>Table229[[#This Row],[حسابهای دریافتنی]]+Table229[[#This Row],[چکهای در جریان وصول]]+Table229[[#This Row],[چکهای نزد صندوق]]</f>
        <v>388329200</v>
      </c>
      <c r="G145" s="12">
        <f>IFERROR(INDEX('مانده سوفاله'!F:F,MATCH(Table229[[#This Row],[كد تفصيلي]],'مانده سوفاله'!A:A,0)),0)</f>
        <v>2886</v>
      </c>
    </row>
    <row r="146" spans="1:7" customFormat="1" ht="24.75" customHeight="1" x14ac:dyDescent="0.35">
      <c r="A146" s="77">
        <v>10104</v>
      </c>
      <c r="B146" s="73" t="s">
        <v>293</v>
      </c>
      <c r="C146" s="10">
        <f>IFERROR(INDEX('حسابهای دریافتنی'!H:H,MATCH(Table229[[#This Row],[كد تفصيلي]],'حسابهای دریافتنی'!A:A,0)),0)</f>
        <v>0</v>
      </c>
      <c r="D146" s="11">
        <f>IFERROR(INDEX('درجریان وصول'!F:F,MATCH(Table229[[#This Row],[كد تفصيلي]],'درجریان وصول'!A:A,0)),0)</f>
        <v>0</v>
      </c>
      <c r="E146" s="11">
        <f>IFERROR(INDEX('چکهای دریافتنی'!F:F,MATCH(Table229[[#This Row],[كد تفصيلي]],'چکهای دریافتنی'!A:A,0)),0)</f>
        <v>0</v>
      </c>
      <c r="F146" s="11">
        <f>Table229[[#This Row],[حسابهای دریافتنی]]+Table229[[#This Row],[چکهای در جریان وصول]]+Table229[[#This Row],[چکهای نزد صندوق]]</f>
        <v>0</v>
      </c>
      <c r="G146" s="12">
        <f>IFERROR(INDEX('مانده سوفاله'!F:F,MATCH(Table229[[#This Row],[كد تفصيلي]],'مانده سوفاله'!A:A,0)),0)</f>
        <v>4065</v>
      </c>
    </row>
    <row r="147" spans="1:7" customFormat="1" ht="24.75" customHeight="1" x14ac:dyDescent="0.35">
      <c r="A147" s="77">
        <v>30042</v>
      </c>
      <c r="B147" s="73" t="s">
        <v>89</v>
      </c>
      <c r="C147" s="10">
        <f>IFERROR(INDEX('حسابهای دریافتنی'!H:H,MATCH(Table229[[#This Row],[كد تفصيلي]],'حسابهای دریافتنی'!A:A,0)),0)</f>
        <v>-18303540</v>
      </c>
      <c r="D147" s="11">
        <f>IFERROR(INDEX('درجریان وصول'!F:F,MATCH(Table229[[#This Row],[كد تفصيلي]],'درجریان وصول'!A:A,0)),0)</f>
        <v>0</v>
      </c>
      <c r="E147" s="11">
        <f>IFERROR(INDEX('چکهای دریافتنی'!F:F,MATCH(Table229[[#This Row],[كد تفصيلي]],'چکهای دریافتنی'!A:A,0)),0)</f>
        <v>0</v>
      </c>
      <c r="F147" s="11">
        <f>Table229[[#This Row],[حسابهای دریافتنی]]+Table229[[#This Row],[چکهای در جریان وصول]]+Table229[[#This Row],[چکهای نزد صندوق]]</f>
        <v>-18303540</v>
      </c>
      <c r="G147" s="12">
        <f>IFERROR(INDEX('مانده سوفاله'!F:F,MATCH(Table229[[#This Row],[كد تفصيلي]],'مانده سوفاله'!A:A,0)),0)</f>
        <v>0</v>
      </c>
    </row>
    <row r="148" spans="1:7" customFormat="1" ht="24.75" customHeight="1" x14ac:dyDescent="0.35">
      <c r="A148" s="77">
        <v>30028</v>
      </c>
      <c r="B148" s="73" t="s">
        <v>76</v>
      </c>
      <c r="C148" s="10">
        <f>IFERROR(INDEX('حسابهای دریافتنی'!H:H,MATCH(Table229[[#This Row],[كد تفصيلي]],'حسابهای دریافتنی'!A:A,0)),0)</f>
        <v>-23665000</v>
      </c>
      <c r="D148" s="11">
        <f>IFERROR(INDEX('درجریان وصول'!F:F,MATCH(Table229[[#This Row],[كد تفصيلي]],'درجریان وصول'!A:A,0)),0)</f>
        <v>0</v>
      </c>
      <c r="E148" s="11">
        <f>IFERROR(INDEX('چکهای دریافتنی'!F:F,MATCH(Table229[[#This Row],[كد تفصيلي]],'چکهای دریافتنی'!A:A,0)),0)</f>
        <v>0</v>
      </c>
      <c r="F148" s="11">
        <f>Table229[[#This Row],[حسابهای دریافتنی]]+Table229[[#This Row],[چکهای در جریان وصول]]+Table229[[#This Row],[چکهای نزد صندوق]]</f>
        <v>-23665000</v>
      </c>
      <c r="G148" s="12">
        <f>IFERROR(INDEX('مانده سوفاله'!F:F,MATCH(Table229[[#This Row],[كد تفصيلي]],'مانده سوفاله'!A:A,0)),0)</f>
        <v>0</v>
      </c>
    </row>
    <row r="149" spans="1:7" customFormat="1" ht="24.75" customHeight="1" x14ac:dyDescent="0.35">
      <c r="A149" s="76">
        <v>30072</v>
      </c>
      <c r="B149" s="72" t="s">
        <v>117</v>
      </c>
      <c r="C149" s="10">
        <f>IFERROR(INDEX('حسابهای دریافتنی'!H:H,MATCH(Table229[[#This Row],[كد تفصيلي]],'حسابهای دریافتنی'!A:A,0)),0)</f>
        <v>-30178900</v>
      </c>
      <c r="D149" s="11">
        <f>IFERROR(INDEX('درجریان وصول'!F:F,MATCH(Table229[[#This Row],[كد تفصيلي]],'درجریان وصول'!A:A,0)),0)</f>
        <v>0</v>
      </c>
      <c r="E149" s="11">
        <f>IFERROR(INDEX('چکهای دریافتنی'!F:F,MATCH(Table229[[#This Row],[كد تفصيلي]],'چکهای دریافتنی'!A:A,0)),0)</f>
        <v>0</v>
      </c>
      <c r="F149" s="11">
        <f>Table229[[#This Row],[حسابهای دریافتنی]]+Table229[[#This Row],[چکهای در جریان وصول]]+Table229[[#This Row],[چکهای نزد صندوق]]</f>
        <v>-30178900</v>
      </c>
      <c r="G149" s="12">
        <f>IFERROR(INDEX('مانده سوفاله'!F:F,MATCH(Table229[[#This Row],[كد تفصيلي]],'مانده سوفاله'!A:A,0)),0)</f>
        <v>-79</v>
      </c>
    </row>
    <row r="150" spans="1:7" customFormat="1" ht="24.75" customHeight="1" x14ac:dyDescent="0.35">
      <c r="A150" s="76">
        <v>10069</v>
      </c>
      <c r="B150" s="72" t="s">
        <v>204</v>
      </c>
      <c r="C150" s="10">
        <f>IFERROR(INDEX('حسابهای دریافتنی'!H:H,MATCH(Table229[[#This Row],[كد تفصيلي]],'حسابهای دریافتنی'!A:A,0)),0)</f>
        <v>952500</v>
      </c>
      <c r="D150" s="11">
        <f>IFERROR(INDEX('درجریان وصول'!F:F,MATCH(Table229[[#This Row],[كد تفصيلي]],'درجریان وصول'!A:A,0)),0)</f>
        <v>0</v>
      </c>
      <c r="E150" s="11">
        <f>IFERROR(INDEX('چکهای دریافتنی'!F:F,MATCH(Table229[[#This Row],[كد تفصيلي]],'چکهای دریافتنی'!A:A,0)),0)</f>
        <v>73000000</v>
      </c>
      <c r="F150" s="11">
        <f>Table229[[#This Row],[حسابهای دریافتنی]]+Table229[[#This Row],[چکهای در جریان وصول]]+Table229[[#This Row],[چکهای نزد صندوق]]</f>
        <v>73952500</v>
      </c>
      <c r="G150" s="12">
        <f>IFERROR(INDEX('مانده سوفاله'!F:F,MATCH(Table229[[#This Row],[كد تفصيلي]],'مانده سوفاله'!A:A,0)),0)</f>
        <v>339</v>
      </c>
    </row>
    <row r="151" spans="1:7" customFormat="1" ht="24.75" customHeight="1" x14ac:dyDescent="0.35">
      <c r="A151" s="76">
        <v>30098</v>
      </c>
      <c r="B151" s="72" t="s">
        <v>238</v>
      </c>
      <c r="C151" s="10">
        <f>IFERROR(INDEX('حسابهای دریافتنی'!H:H,MATCH(Table229[[#This Row],[كد تفصيلي]],'حسابهای دریافتنی'!A:A,0)),0)</f>
        <v>-45125000</v>
      </c>
      <c r="D151" s="11">
        <f>IFERROR(INDEX('درجریان وصول'!F:F,MATCH(Table229[[#This Row],[كد تفصيلي]],'درجریان وصول'!A:A,0)),0)</f>
        <v>0</v>
      </c>
      <c r="E151" s="11">
        <f>IFERROR(INDEX('چکهای دریافتنی'!F:F,MATCH(Table229[[#This Row],[كد تفصيلي]],'چکهای دریافتنی'!A:A,0)),0)</f>
        <v>0</v>
      </c>
      <c r="F151" s="11">
        <f>Table229[[#This Row],[حسابهای دریافتنی]]+Table229[[#This Row],[چکهای در جریان وصول]]+Table229[[#This Row],[چکهای نزد صندوق]]</f>
        <v>-45125000</v>
      </c>
      <c r="G151" s="12">
        <f>IFERROR(INDEX('مانده سوفاله'!F:F,MATCH(Table229[[#This Row],[كد تفصيلي]],'مانده سوفاله'!A:A,0)),0)</f>
        <v>0</v>
      </c>
    </row>
    <row r="152" spans="1:7" customFormat="1" ht="24.75" customHeight="1" x14ac:dyDescent="0.35">
      <c r="A152" s="76">
        <v>30064</v>
      </c>
      <c r="B152" s="72" t="s">
        <v>109</v>
      </c>
      <c r="C152" s="10">
        <f>IFERROR(INDEX('حسابهای دریافتنی'!H:H,MATCH(Table229[[#This Row],[كد تفصيلي]],'حسابهای دریافتنی'!A:A,0)),0)</f>
        <v>-49679500</v>
      </c>
      <c r="D152" s="11">
        <f>IFERROR(INDEX('درجریان وصول'!F:F,MATCH(Table229[[#This Row],[كد تفصيلي]],'درجریان وصول'!A:A,0)),0)</f>
        <v>0</v>
      </c>
      <c r="E152" s="11">
        <f>IFERROR(INDEX('چکهای دریافتنی'!F:F,MATCH(Table229[[#This Row],[كد تفصيلي]],'چکهای دریافتنی'!A:A,0)),0)</f>
        <v>0</v>
      </c>
      <c r="F152" s="11">
        <f>Table229[[#This Row],[حسابهای دریافتنی]]+Table229[[#This Row],[چکهای در جریان وصول]]+Table229[[#This Row],[چکهای نزد صندوق]]</f>
        <v>-49679500</v>
      </c>
      <c r="G152" s="12">
        <f>IFERROR(INDEX('مانده سوفاله'!F:F,MATCH(Table229[[#This Row],[كد تفصيلي]],'مانده سوفاله'!A:A,0)),0)</f>
        <v>0</v>
      </c>
    </row>
    <row r="153" spans="1:7" customFormat="1" ht="24.75" customHeight="1" x14ac:dyDescent="0.35">
      <c r="A153" s="77">
        <v>10123</v>
      </c>
      <c r="B153" s="73" t="s">
        <v>340</v>
      </c>
      <c r="C153" s="10">
        <f>IFERROR(INDEX('حسابهای دریافتنی'!H:H,MATCH(Table229[[#This Row],[كد تفصيلي]],'حسابهای دریافتنی'!A:A,0)),0)</f>
        <v>-50813000</v>
      </c>
      <c r="D153" s="11">
        <f>IFERROR(INDEX('درجریان وصول'!F:F,MATCH(Table229[[#This Row],[كد تفصيلي]],'درجریان وصول'!A:A,0)),0)</f>
        <v>0</v>
      </c>
      <c r="E153" s="11">
        <f>IFERROR(INDEX('چکهای دریافتنی'!F:F,MATCH(Table229[[#This Row],[كد تفصيلي]],'چکهای دریافتنی'!A:A,0)),0)</f>
        <v>0</v>
      </c>
      <c r="F153" s="11">
        <f>Table229[[#This Row],[حسابهای دریافتنی]]+Table229[[#This Row],[چکهای در جریان وصول]]+Table229[[#This Row],[چکهای نزد صندوق]]</f>
        <v>-50813000</v>
      </c>
      <c r="G153" s="12">
        <f>IFERROR(INDEX('مانده سوفاله'!F:F,MATCH(Table229[[#This Row],[كد تفصيلي]],'مانده سوفاله'!A:A,0)),0)</f>
        <v>0</v>
      </c>
    </row>
    <row r="154" spans="1:7" customFormat="1" ht="24.75" customHeight="1" x14ac:dyDescent="0.35">
      <c r="A154" s="77">
        <v>30000</v>
      </c>
      <c r="B154" s="73" t="s">
        <v>189</v>
      </c>
      <c r="C154" s="10">
        <f>IFERROR(INDEX('حسابهای دریافتنی'!H:H,MATCH(Table229[[#This Row],[كد تفصيلي]],'حسابهای دریافتنی'!A:A,0)),0)</f>
        <v>-55440000</v>
      </c>
      <c r="D154" s="11">
        <f>IFERROR(INDEX('درجریان وصول'!F:F,MATCH(Table229[[#This Row],[كد تفصيلي]],'درجریان وصول'!A:A,0)),0)</f>
        <v>0</v>
      </c>
      <c r="E154" s="11">
        <f>IFERROR(INDEX('چکهای دریافتنی'!F:F,MATCH(Table229[[#This Row],[كد تفصيلي]],'چکهای دریافتنی'!A:A,0)),0)</f>
        <v>0</v>
      </c>
      <c r="F154" s="11">
        <f>Table229[[#This Row],[حسابهای دریافتنی]]+Table229[[#This Row],[چکهای در جریان وصول]]+Table229[[#This Row],[چکهای نزد صندوق]]</f>
        <v>-55440000</v>
      </c>
      <c r="G154" s="12">
        <f>IFERROR(INDEX('مانده سوفاله'!F:F,MATCH(Table229[[#This Row],[كد تفصيلي]],'مانده سوفاله'!A:A,0)),0)</f>
        <v>0</v>
      </c>
    </row>
    <row r="155" spans="1:7" customFormat="1" ht="24.75" customHeight="1" x14ac:dyDescent="0.35">
      <c r="A155" s="77">
        <v>30133</v>
      </c>
      <c r="B155" s="73" t="s">
        <v>251</v>
      </c>
      <c r="C155" s="10">
        <f>IFERROR(INDEX('حسابهای دریافتنی'!H:H,MATCH(Table229[[#This Row],[كد تفصيلي]],'حسابهای دریافتنی'!A:A,0)),0)</f>
        <v>-66889500</v>
      </c>
      <c r="D155" s="11">
        <f>IFERROR(INDEX('درجریان وصول'!F:F,MATCH(Table229[[#This Row],[كد تفصيلي]],'درجریان وصول'!A:A,0)),0)</f>
        <v>0</v>
      </c>
      <c r="E155" s="11">
        <f>IFERROR(INDEX('چکهای دریافتنی'!F:F,MATCH(Table229[[#This Row],[كد تفصيلي]],'چکهای دریافتنی'!A:A,0)),0)</f>
        <v>0</v>
      </c>
      <c r="F155" s="11">
        <f>Table229[[#This Row],[حسابهای دریافتنی]]+Table229[[#This Row],[چکهای در جریان وصول]]+Table229[[#This Row],[چکهای نزد صندوق]]</f>
        <v>-66889500</v>
      </c>
      <c r="G155" s="12">
        <f>IFERROR(INDEX('مانده سوفاله'!F:F,MATCH(Table229[[#This Row],[كد تفصيلي]],'مانده سوفاله'!A:A,0)),0)</f>
        <v>0</v>
      </c>
    </row>
    <row r="156" spans="1:7" customFormat="1" ht="24.75" customHeight="1" x14ac:dyDescent="0.35">
      <c r="A156" s="76">
        <v>30168</v>
      </c>
      <c r="B156" s="72" t="s">
        <v>313</v>
      </c>
      <c r="C156" s="10">
        <f>IFERROR(INDEX('حسابهای دریافتنی'!H:H,MATCH(Table229[[#This Row],[كد تفصيلي]],'حسابهای دریافتنی'!A:A,0)),0)</f>
        <v>-104220000</v>
      </c>
      <c r="D156" s="11">
        <f>IFERROR(INDEX('درجریان وصول'!F:F,MATCH(Table229[[#This Row],[كد تفصيلي]],'درجریان وصول'!A:A,0)),0)</f>
        <v>0</v>
      </c>
      <c r="E156" s="11">
        <f>IFERROR(INDEX('چکهای دریافتنی'!F:F,MATCH(Table229[[#This Row],[كد تفصيلي]],'چکهای دریافتنی'!A:A,0)),0)</f>
        <v>0</v>
      </c>
      <c r="F156" s="11">
        <f>Table229[[#This Row],[حسابهای دریافتنی]]+Table229[[#This Row],[چکهای در جریان وصول]]+Table229[[#This Row],[چکهای نزد صندوق]]</f>
        <v>-104220000</v>
      </c>
      <c r="G156" s="12">
        <f>IFERROR(INDEX('مانده سوفاله'!F:F,MATCH(Table229[[#This Row],[كد تفصيلي]],'مانده سوفاله'!A:A,0)),0)</f>
        <v>0</v>
      </c>
    </row>
    <row r="157" spans="1:7" customFormat="1" ht="24.75" customHeight="1" x14ac:dyDescent="0.35">
      <c r="A157" s="76">
        <v>30164</v>
      </c>
      <c r="B157" s="72" t="s">
        <v>304</v>
      </c>
      <c r="C157" s="10">
        <f>IFERROR(INDEX('حسابهای دریافتنی'!H:H,MATCH(Table229[[#This Row],[كد تفصيلي]],'حسابهای دریافتنی'!A:A,0)),0)</f>
        <v>184944000</v>
      </c>
      <c r="D157" s="11">
        <f>IFERROR(INDEX('درجریان وصول'!F:F,MATCH(Table229[[#This Row],[كد تفصيلي]],'درجریان وصول'!A:A,0)),0)</f>
        <v>0</v>
      </c>
      <c r="E157" s="11">
        <f>IFERROR(INDEX('چکهای دریافتنی'!F:F,MATCH(Table229[[#This Row],[كد تفصيلي]],'چکهای دریافتنی'!A:A,0)),0)</f>
        <v>0</v>
      </c>
      <c r="F157" s="11">
        <f>Table229[[#This Row],[حسابهای دریافتنی]]+Table229[[#This Row],[چکهای در جریان وصول]]+Table229[[#This Row],[چکهای نزد صندوق]]</f>
        <v>184944000</v>
      </c>
      <c r="G157" s="12">
        <f>IFERROR(INDEX('مانده سوفاله'!F:F,MATCH(Table229[[#This Row],[كد تفصيلي]],'مانده سوفاله'!A:A,0)),0)</f>
        <v>561</v>
      </c>
    </row>
    <row r="158" spans="1:7" customFormat="1" ht="24.75" customHeight="1" x14ac:dyDescent="0.35">
      <c r="A158" s="76">
        <v>10089</v>
      </c>
      <c r="B158" s="72" t="s">
        <v>255</v>
      </c>
      <c r="C158" s="10">
        <f>IFERROR(INDEX('حسابهای دریافتنی'!H:H,MATCH(Table229[[#This Row],[كد تفصيلي]],'حسابهای دریافتنی'!A:A,0)),0)</f>
        <v>-143944000</v>
      </c>
      <c r="D158" s="11">
        <f>IFERROR(INDEX('درجریان وصول'!F:F,MATCH(Table229[[#This Row],[كد تفصيلي]],'درجریان وصول'!A:A,0)),0)</f>
        <v>0</v>
      </c>
      <c r="E158" s="11">
        <f>IFERROR(INDEX('چکهای دریافتنی'!F:F,MATCH(Table229[[#This Row],[كد تفصيلي]],'چکهای دریافتنی'!A:A,0)),0)</f>
        <v>0</v>
      </c>
      <c r="F158" s="11">
        <f>Table229[[#This Row],[حسابهای دریافتنی]]+Table229[[#This Row],[چکهای در جریان وصول]]+Table229[[#This Row],[چکهای نزد صندوق]]</f>
        <v>-143944000</v>
      </c>
      <c r="G158" s="12">
        <f>IFERROR(INDEX('مانده سوفاله'!F:F,MATCH(Table229[[#This Row],[كد تفصيلي]],'مانده سوفاله'!A:A,0)),0)</f>
        <v>-948</v>
      </c>
    </row>
    <row r="159" spans="1:7" customFormat="1" ht="24.75" customHeight="1" x14ac:dyDescent="0.35">
      <c r="A159" s="76">
        <v>30184</v>
      </c>
      <c r="B159" s="72" t="s">
        <v>368</v>
      </c>
      <c r="C159" s="10">
        <f>IFERROR(INDEX('حسابهای دریافتنی'!H:H,MATCH(Table229[[#This Row],[كد تفصيلي]],'حسابهای دریافتنی'!A:A,0)),0)</f>
        <v>904890480</v>
      </c>
      <c r="D159" s="11">
        <f>IFERROR(INDEX('درجریان وصول'!F:F,MATCH(Table229[[#This Row],[كد تفصيلي]],'درجریان وصول'!A:A,0)),0)</f>
        <v>0</v>
      </c>
      <c r="E159" s="11">
        <f>IFERROR(INDEX('چکهای دریافتنی'!F:F,MATCH(Table229[[#This Row],[كد تفصيلي]],'چکهای دریافتنی'!A:A,0)),0)</f>
        <v>0</v>
      </c>
      <c r="F159" s="11">
        <f>Table229[[#This Row],[حسابهای دریافتنی]]+Table229[[#This Row],[چکهای در جریان وصول]]+Table229[[#This Row],[چکهای نزد صندوق]]</f>
        <v>904890480</v>
      </c>
      <c r="G159" s="12">
        <f>IFERROR(INDEX('مانده سوفاله'!F:F,MATCH(Table229[[#This Row],[كد تفصيلي]],'مانده سوفاله'!A:A,0)),0)</f>
        <v>-100</v>
      </c>
    </row>
    <row r="160" spans="1:7" customFormat="1" ht="24.75" customHeight="1" x14ac:dyDescent="0.35">
      <c r="A160" s="76">
        <v>10093</v>
      </c>
      <c r="B160" s="72" t="s">
        <v>264</v>
      </c>
      <c r="C160" s="10">
        <f>IFERROR(INDEX('حسابهای دریافتنی'!H:H,MATCH(Table229[[#This Row],[كد تفصيلي]],'حسابهای دریافتنی'!A:A,0)),0)</f>
        <v>-2214000</v>
      </c>
      <c r="D160" s="11">
        <f>IFERROR(INDEX('درجریان وصول'!F:F,MATCH(Table229[[#This Row],[كد تفصيلي]],'درجریان وصول'!A:A,0)),0)</f>
        <v>0</v>
      </c>
      <c r="E160" s="11">
        <f>IFERROR(INDEX('چکهای دریافتنی'!F:F,MATCH(Table229[[#This Row],[كد تفصيلي]],'چکهای دریافتنی'!A:A,0)),0)</f>
        <v>0</v>
      </c>
      <c r="F160" s="11">
        <f>Table229[[#This Row],[حسابهای دریافتنی]]+Table229[[#This Row],[چکهای در جریان وصول]]+Table229[[#This Row],[چکهای نزد صندوق]]</f>
        <v>-2214000</v>
      </c>
      <c r="G160" s="12">
        <f>IFERROR(INDEX('مانده سوفاله'!F:F,MATCH(Table229[[#This Row],[كد تفصيلي]],'مانده سوفاله'!A:A,0)),0)</f>
        <v>0</v>
      </c>
    </row>
    <row r="161" spans="1:7" customFormat="1" ht="24.75" customHeight="1" x14ac:dyDescent="0.35">
      <c r="A161" s="76">
        <v>30156</v>
      </c>
      <c r="B161" s="72" t="s">
        <v>290</v>
      </c>
      <c r="C161" s="10">
        <f>IFERROR(INDEX('حسابهای دریافتنی'!H:H,MATCH(Table229[[#This Row],[كد تفصيلي]],'حسابهای دریافتنی'!A:A,0)),0)</f>
        <v>-180917500</v>
      </c>
      <c r="D161" s="11">
        <f>IFERROR(INDEX('درجریان وصول'!F:F,MATCH(Table229[[#This Row],[كد تفصيلي]],'درجریان وصول'!A:A,0)),0)</f>
        <v>0</v>
      </c>
      <c r="E161" s="11">
        <f>IFERROR(INDEX('چکهای دریافتنی'!F:F,MATCH(Table229[[#This Row],[كد تفصيلي]],'چکهای دریافتنی'!A:A,0)),0)</f>
        <v>0</v>
      </c>
      <c r="F161" s="11">
        <f>Table229[[#This Row],[حسابهای دریافتنی]]+Table229[[#This Row],[چکهای در جریان وصول]]+Table229[[#This Row],[چکهای نزد صندوق]]</f>
        <v>-180917500</v>
      </c>
      <c r="G161" s="12">
        <f>IFERROR(INDEX('مانده سوفاله'!F:F,MATCH(Table229[[#This Row],[كد تفصيلي]],'مانده سوفاله'!A:A,0)),0)</f>
        <v>0</v>
      </c>
    </row>
    <row r="162" spans="1:7" customFormat="1" ht="24.75" customHeight="1" x14ac:dyDescent="0.35">
      <c r="A162" s="77">
        <v>30169</v>
      </c>
      <c r="B162" s="73" t="s">
        <v>318</v>
      </c>
      <c r="C162" s="10">
        <f>IFERROR(INDEX('حسابهای دریافتنی'!H:H,MATCH(Table229[[#This Row],[كد تفصيلي]],'حسابهای دریافتنی'!A:A,0)),0)</f>
        <v>-658993316</v>
      </c>
      <c r="D162" s="11">
        <f>IFERROR(INDEX('درجریان وصول'!F:F,MATCH(Table229[[#This Row],[كد تفصيلي]],'درجریان وصول'!A:A,0)),0)</f>
        <v>0</v>
      </c>
      <c r="E162" s="11">
        <f>IFERROR(INDEX('چکهای دریافتنی'!F:F,MATCH(Table229[[#This Row],[كد تفصيلي]],'چکهای دریافتنی'!A:A,0)),0)</f>
        <v>2085000000</v>
      </c>
      <c r="F162" s="11">
        <f>Table229[[#This Row],[حسابهای دریافتنی]]+Table229[[#This Row],[چکهای در جریان وصول]]+Table229[[#This Row],[چکهای نزد صندوق]]</f>
        <v>1426006684</v>
      </c>
      <c r="G162" s="12">
        <f>IFERROR(INDEX('مانده سوفاله'!F:F,MATCH(Table229[[#This Row],[كد تفصيلي]],'مانده سوفاله'!A:A,0)),0)</f>
        <v>0</v>
      </c>
    </row>
    <row r="163" spans="1:7" customFormat="1" ht="24.75" customHeight="1" x14ac:dyDescent="0.35">
      <c r="A163" s="76">
        <v>10139</v>
      </c>
      <c r="B163" s="72" t="s">
        <v>518</v>
      </c>
      <c r="C163" s="10">
        <f>IFERROR(INDEX('حسابهای دریافتنی'!H:H,MATCH(Table229[[#This Row],[كد تفصيلي]],'حسابهای دریافتنی'!A:A,0)),0)</f>
        <v>-267193000</v>
      </c>
      <c r="D163" s="11">
        <f>IFERROR(INDEX('درجریان وصول'!F:F,MATCH(Table229[[#This Row],[كد تفصيلي]],'درجریان وصول'!A:A,0)),0)</f>
        <v>0</v>
      </c>
      <c r="E163" s="11">
        <f>IFERROR(INDEX('چکهای دریافتنی'!F:F,MATCH(Table229[[#This Row],[كد تفصيلي]],'چکهای دریافتنی'!A:A,0)),0)</f>
        <v>0</v>
      </c>
      <c r="F163" s="11">
        <f>Table229[[#This Row],[حسابهای دریافتنی]]+Table229[[#This Row],[چکهای در جریان وصول]]+Table229[[#This Row],[چکهای نزد صندوق]]</f>
        <v>-267193000</v>
      </c>
      <c r="G163" s="12">
        <f>IFERROR(INDEX('مانده سوفاله'!F:F,MATCH(Table229[[#This Row],[كد تفصيلي]],'مانده سوفاله'!A:A,0)),0)</f>
        <v>0</v>
      </c>
    </row>
    <row r="164" spans="1:7" customFormat="1" ht="24.75" customHeight="1" x14ac:dyDescent="0.35">
      <c r="A164" s="76">
        <v>10079</v>
      </c>
      <c r="B164" s="72" t="s">
        <v>174</v>
      </c>
      <c r="C164" s="10">
        <f>IFERROR(INDEX('حسابهای دریافتنی'!H:H,MATCH(Table229[[#This Row],[كد تفصيلي]],'حسابهای دریافتنی'!A:A,0)),0)</f>
        <v>-226593500</v>
      </c>
      <c r="D164" s="11">
        <f>IFERROR(INDEX('درجریان وصول'!F:F,MATCH(Table229[[#This Row],[كد تفصيلي]],'درجریان وصول'!A:A,0)),0)</f>
        <v>0</v>
      </c>
      <c r="E164" s="11">
        <f>IFERROR(INDEX('چکهای دریافتنی'!F:F,MATCH(Table229[[#This Row],[كد تفصيلي]],'چکهای دریافتنی'!A:A,0)),0)</f>
        <v>0</v>
      </c>
      <c r="F164" s="11">
        <f>Table229[[#This Row],[حسابهای دریافتنی]]+Table229[[#This Row],[چکهای در جریان وصول]]+Table229[[#This Row],[چکهای نزد صندوق]]</f>
        <v>-226593500</v>
      </c>
      <c r="G164" s="12">
        <f>IFERROR(INDEX('مانده سوفاله'!F:F,MATCH(Table229[[#This Row],[كد تفصيلي]],'مانده سوفاله'!A:A,0)),0)</f>
        <v>0</v>
      </c>
    </row>
    <row r="165" spans="1:7" customFormat="1" ht="24.75" customHeight="1" x14ac:dyDescent="0.35">
      <c r="A165" s="77">
        <v>50008</v>
      </c>
      <c r="B165" s="73" t="s">
        <v>146</v>
      </c>
      <c r="C165" s="10">
        <f>IFERROR(INDEX('حسابهای دریافتنی'!H:H,MATCH(Table229[[#This Row],[كد تفصيلي]],'حسابهای دریافتنی'!A:A,0)),0)</f>
        <v>-406230000</v>
      </c>
      <c r="D165" s="11">
        <f>IFERROR(INDEX('درجریان وصول'!F:F,MATCH(Table229[[#This Row],[كد تفصيلي]],'درجریان وصول'!A:A,0)),0)</f>
        <v>0</v>
      </c>
      <c r="E165" s="11">
        <f>IFERROR(INDEX('چکهای دریافتنی'!F:F,MATCH(Table229[[#This Row],[كد تفصيلي]],'چکهای دریافتنی'!A:A,0)),0)</f>
        <v>0</v>
      </c>
      <c r="F165" s="11">
        <f>Table229[[#This Row],[حسابهای دریافتنی]]+Table229[[#This Row],[چکهای در جریان وصول]]+Table229[[#This Row],[چکهای نزد صندوق]]</f>
        <v>-406230000</v>
      </c>
      <c r="G165" s="12">
        <f>IFERROR(INDEX('مانده سوفاله'!F:F,MATCH(Table229[[#This Row],[كد تفصيلي]],'مانده سوفاله'!A:A,0)),0)</f>
        <v>0</v>
      </c>
    </row>
    <row r="166" spans="1:7" ht="24.75" customHeight="1" x14ac:dyDescent="0.35">
      <c r="A166" s="75">
        <v>30182</v>
      </c>
      <c r="B166" s="72" t="s">
        <v>342</v>
      </c>
      <c r="C166" s="10">
        <f>IFERROR(INDEX('حسابهای دریافتنی'!H:H,MATCH(Table229[[#This Row],[كد تفصيلي]],'حسابهای دریافتنی'!A:A,0)),0)</f>
        <v>-528256400</v>
      </c>
      <c r="D166" s="11">
        <f>IFERROR(INDEX('درجریان وصول'!F:F,MATCH(Table229[[#This Row],[كد تفصيلي]],'درجریان وصول'!A:A,0)),0)</f>
        <v>0</v>
      </c>
      <c r="E166" s="11">
        <f>IFERROR(INDEX('چکهای دریافتنی'!F:F,MATCH(Table229[[#This Row],[كد تفصيلي]],'چکهای دریافتنی'!A:A,0)),0)</f>
        <v>0</v>
      </c>
      <c r="F166" s="11">
        <f>Table229[[#This Row],[حسابهای دریافتنی]]+Table229[[#This Row],[چکهای در جریان وصول]]+Table229[[#This Row],[چکهای نزد صندوق]]</f>
        <v>-528256400</v>
      </c>
      <c r="G166" s="12">
        <f>IFERROR(INDEX('مانده سوفاله'!F:F,MATCH(Table229[[#This Row],[كد تفصيلي]],'مانده سوفاله'!A:A,0)),0)</f>
        <v>0</v>
      </c>
    </row>
    <row r="167" spans="1:7" ht="24.75" customHeight="1" x14ac:dyDescent="0.35">
      <c r="A167" s="74">
        <v>30006</v>
      </c>
      <c r="B167" s="73" t="s">
        <v>56</v>
      </c>
      <c r="C167" s="10">
        <f>IFERROR(INDEX('حسابهای دریافتنی'!H:H,MATCH(Table229[[#This Row],[كد تفصيلي]],'حسابهای دریافتنی'!A:A,0)),0)</f>
        <v>-162677545</v>
      </c>
      <c r="D167" s="11">
        <f>IFERROR(INDEX('درجریان وصول'!F:F,MATCH(Table229[[#This Row],[كد تفصيلي]],'درجریان وصول'!A:A,0)),0)</f>
        <v>0</v>
      </c>
      <c r="E167" s="11">
        <f>IFERROR(INDEX('چکهای دریافتنی'!F:F,MATCH(Table229[[#This Row],[كد تفصيلي]],'چکهای دریافتنی'!A:A,0)),0)</f>
        <v>0</v>
      </c>
      <c r="F167" s="11">
        <f>Table229[[#This Row],[حسابهای دریافتنی]]+Table229[[#This Row],[چکهای در جریان وصول]]+Table229[[#This Row],[چکهای نزد صندوق]]</f>
        <v>-162677545</v>
      </c>
      <c r="G167" s="12">
        <f>IFERROR(INDEX('مانده سوفاله'!F:F,MATCH(Table229[[#This Row],[كد تفصيلي]],'مانده سوفاله'!A:A,0)),0)</f>
        <v>-6</v>
      </c>
    </row>
    <row r="168" spans="1:7" ht="24.75" customHeight="1" x14ac:dyDescent="0.35">
      <c r="A168" s="74">
        <v>10133</v>
      </c>
      <c r="B168" s="73" t="s">
        <v>465</v>
      </c>
      <c r="C168" s="10">
        <f>IFERROR(INDEX('حسابهای دریافتنی'!H:H,MATCH(Table229[[#This Row],[كد تفصيلي]],'حسابهای دریافتنی'!A:A,0)),0)</f>
        <v>-1249039000</v>
      </c>
      <c r="D168" s="11">
        <f>IFERROR(INDEX('درجریان وصول'!F:F,MATCH(Table229[[#This Row],[كد تفصيلي]],'درجریان وصول'!A:A,0)),0)</f>
        <v>0</v>
      </c>
      <c r="E168" s="11">
        <f>IFERROR(INDEX('چکهای دریافتنی'!F:F,MATCH(Table229[[#This Row],[كد تفصيلي]],'چکهای دریافتنی'!A:A,0)),0)</f>
        <v>0</v>
      </c>
      <c r="F168" s="11">
        <f>Table229[[#This Row],[حسابهای دریافتنی]]+Table229[[#This Row],[چکهای در جریان وصول]]+Table229[[#This Row],[چکهای نزد صندوق]]</f>
        <v>-1249039000</v>
      </c>
      <c r="G168" s="12">
        <f>IFERROR(INDEX('مانده سوفاله'!F:F,MATCH(Table229[[#This Row],[كد تفصيلي]],'مانده سوفاله'!A:A,0)),0)</f>
        <v>0</v>
      </c>
    </row>
    <row r="169" spans="1:7" ht="24.75" customHeight="1" x14ac:dyDescent="0.35">
      <c r="A169" s="75">
        <v>10029</v>
      </c>
      <c r="B169" s="72" t="s">
        <v>35</v>
      </c>
      <c r="C169" s="10">
        <f>IFERROR(INDEX('حسابهای دریافتنی'!H:H,MATCH(Table229[[#This Row],[كد تفصيلي]],'حسابهای دریافتنی'!A:A,0)),0)</f>
        <v>-1038298620</v>
      </c>
      <c r="D169" s="11">
        <f>IFERROR(INDEX('درجریان وصول'!F:F,MATCH(Table229[[#This Row],[كد تفصيلي]],'درجریان وصول'!A:A,0)),0)</f>
        <v>0</v>
      </c>
      <c r="E169" s="11">
        <f>IFERROR(INDEX('چکهای دریافتنی'!F:F,MATCH(Table229[[#This Row],[كد تفصيلي]],'چکهای دریافتنی'!A:A,0)),0)</f>
        <v>2019000000</v>
      </c>
      <c r="F169" s="11">
        <f>Table229[[#This Row],[حسابهای دریافتنی]]+Table229[[#This Row],[چکهای در جریان وصول]]+Table229[[#This Row],[چکهای نزد صندوق]]</f>
        <v>980701380</v>
      </c>
      <c r="G169" s="12">
        <f>IFERROR(INDEX('مانده سوفاله'!F:F,MATCH(Table229[[#This Row],[كد تفصيلي]],'مانده سوفاله'!A:A,0)),0)</f>
        <v>6603</v>
      </c>
    </row>
    <row r="170" spans="1:7" ht="24.75" customHeight="1" x14ac:dyDescent="0.35">
      <c r="A170" s="74">
        <v>30040</v>
      </c>
      <c r="B170" s="73" t="s">
        <v>87</v>
      </c>
      <c r="C170" s="10">
        <f>IFERROR(INDEX('حسابهای دریافتنی'!H:H,MATCH(Table229[[#This Row],[كد تفصيلي]],'حسابهای دریافتنی'!A:A,0)),0)</f>
        <v>0</v>
      </c>
      <c r="D170" s="11">
        <f>IFERROR(INDEX('درجریان وصول'!F:F,MATCH(Table229[[#This Row],[كد تفصيلي]],'درجریان وصول'!A:A,0)),0)</f>
        <v>0</v>
      </c>
      <c r="E170" s="11">
        <f>IFERROR(INDEX('چکهای دریافتنی'!F:F,MATCH(Table229[[#This Row],[كد تفصيلي]],'چکهای دریافتنی'!A:A,0)),0)</f>
        <v>0</v>
      </c>
      <c r="F170" s="11">
        <f>Table229[[#This Row],[حسابهای دریافتنی]]+Table229[[#This Row],[چکهای در جریان وصول]]+Table229[[#This Row],[چکهای نزد صندوق]]</f>
        <v>0</v>
      </c>
      <c r="G170" s="12">
        <f>IFERROR(INDEX('مانده سوفاله'!F:F,MATCH(Table229[[#This Row],[كد تفصيلي]],'مانده سوفاله'!A:A,0)),0)</f>
        <v>0</v>
      </c>
    </row>
    <row r="171" spans="1:7" ht="24.75" customHeight="1" x14ac:dyDescent="0.35">
      <c r="A171" s="75">
        <v>30189</v>
      </c>
      <c r="B171" s="72" t="s">
        <v>458</v>
      </c>
      <c r="C171" s="10">
        <f>IFERROR(INDEX('حسابهای دریافتنی'!H:H,MATCH(Table229[[#This Row],[كد تفصيلي]],'حسابهای دریافتنی'!A:A,0)),0)</f>
        <v>20776490</v>
      </c>
      <c r="D171" s="11">
        <f>IFERROR(INDEX('درجریان وصول'!F:F,MATCH(Table229[[#This Row],[كد تفصيلي]],'درجریان وصول'!A:A,0)),0)</f>
        <v>0</v>
      </c>
      <c r="E171" s="11">
        <f>IFERROR(INDEX('چکهای دریافتنی'!F:F,MATCH(Table229[[#This Row],[كد تفصيلي]],'چکهای دریافتنی'!A:A,0)),0)</f>
        <v>0</v>
      </c>
      <c r="F171" s="11">
        <f>Table229[[#This Row],[حسابهای دریافتنی]]+Table229[[#This Row],[چکهای در جریان وصول]]+Table229[[#This Row],[چکهای نزد صندوق]]</f>
        <v>20776490</v>
      </c>
      <c r="G171" s="12">
        <f>IFERROR(INDEX('مانده سوفاله'!F:F,MATCH(Table229[[#This Row],[كد تفصيلي]],'مانده سوفاله'!A:A,0)),0)</f>
        <v>0</v>
      </c>
    </row>
    <row r="172" spans="1:7" ht="24.75" customHeight="1" x14ac:dyDescent="0.35">
      <c r="A172" s="74">
        <v>30165</v>
      </c>
      <c r="B172" s="73" t="s">
        <v>310</v>
      </c>
      <c r="C172" s="10">
        <f>IFERROR(INDEX('حسابهای دریافتنی'!H:H,MATCH(Table229[[#This Row],[كد تفصيلي]],'حسابهای دریافتنی'!A:A,0)),0)</f>
        <v>-1139268000</v>
      </c>
      <c r="D172" s="11">
        <f>IFERROR(INDEX('درجریان وصول'!F:F,MATCH(Table229[[#This Row],[كد تفصيلي]],'درجریان وصول'!A:A,0)),0)</f>
        <v>0</v>
      </c>
      <c r="E172" s="11">
        <f>IFERROR(INDEX('چکهای دریافتنی'!F:F,MATCH(Table229[[#This Row],[كد تفصيلي]],'چکهای دریافتنی'!A:A,0)),0)</f>
        <v>0</v>
      </c>
      <c r="F172" s="11">
        <f>Table229[[#This Row],[حسابهای دریافتنی]]+Table229[[#This Row],[چکهای در جریان وصول]]+Table229[[#This Row],[چکهای نزد صندوق]]</f>
        <v>-1139268000</v>
      </c>
      <c r="G172" s="12">
        <f>IFERROR(INDEX('مانده سوفاله'!F:F,MATCH(Table229[[#This Row],[كد تفصيلي]],'مانده سوفاله'!A:A,0)),0)</f>
        <v>0</v>
      </c>
    </row>
    <row r="173" spans="1:7" ht="24.75" customHeight="1" x14ac:dyDescent="0.35">
      <c r="A173" s="75">
        <v>10049</v>
      </c>
      <c r="B173" s="72" t="s">
        <v>157</v>
      </c>
      <c r="C173" s="10">
        <f>IFERROR(INDEX('حسابهای دریافتنی'!H:H,MATCH(Table229[[#This Row],[كد تفصيلي]],'حسابهای دریافتنی'!A:A,0)),0)</f>
        <v>-32909500</v>
      </c>
      <c r="D173" s="11">
        <f>IFERROR(INDEX('درجریان وصول'!F:F,MATCH(Table229[[#This Row],[كد تفصيلي]],'درجریان وصول'!A:A,0)),0)</f>
        <v>0</v>
      </c>
      <c r="E173" s="11">
        <f>IFERROR(INDEX('چکهای دریافتنی'!F:F,MATCH(Table229[[#This Row],[كد تفصيلي]],'چکهای دریافتنی'!A:A,0)),0)</f>
        <v>0</v>
      </c>
      <c r="F173" s="11">
        <f>Table229[[#This Row],[حسابهای دریافتنی]]+Table229[[#This Row],[چکهای در جریان وصول]]+Table229[[#This Row],[چکهای نزد صندوق]]</f>
        <v>-32909500</v>
      </c>
      <c r="G173" s="12">
        <f>IFERROR(INDEX('مانده سوفاله'!F:F,MATCH(Table229[[#This Row],[كد تفصيلي]],'مانده سوفاله'!A:A,0)),0)</f>
        <v>0</v>
      </c>
    </row>
    <row r="174" spans="1:7" ht="24.75" customHeight="1" x14ac:dyDescent="0.35">
      <c r="A174" s="74">
        <v>10092</v>
      </c>
      <c r="B174" s="73" t="s">
        <v>260</v>
      </c>
      <c r="C174" s="10">
        <f>IFERROR(INDEX('حسابهای دریافتنی'!H:H,MATCH(Table229[[#This Row],[كد تفصيلي]],'حسابهای دریافتنی'!A:A,0)),0)</f>
        <v>-1749946500</v>
      </c>
      <c r="D174" s="11">
        <f>IFERROR(INDEX('درجریان وصول'!F:F,MATCH(Table229[[#This Row],[كد تفصيلي]],'درجریان وصول'!A:A,0)),0)</f>
        <v>0</v>
      </c>
      <c r="E174" s="11">
        <f>IFERROR(INDEX('چکهای دریافتنی'!F:F,MATCH(Table229[[#This Row],[كد تفصيلي]],'چکهای دریافتنی'!A:A,0)),0)</f>
        <v>300000000</v>
      </c>
      <c r="F174" s="11">
        <f>Table229[[#This Row],[حسابهای دریافتنی]]+Table229[[#This Row],[چکهای در جریان وصول]]+Table229[[#This Row],[چکهای نزد صندوق]]</f>
        <v>-1449946500</v>
      </c>
      <c r="G174" s="12">
        <f>IFERROR(INDEX('مانده سوفاله'!F:F,MATCH(Table229[[#This Row],[كد تفصيلي]],'مانده سوفاله'!A:A,0)),0)</f>
        <v>0</v>
      </c>
    </row>
    <row r="175" spans="1:7" ht="24.75" customHeight="1" x14ac:dyDescent="0.35">
      <c r="A175" s="75">
        <v>79120</v>
      </c>
      <c r="B175" s="72" t="s">
        <v>195</v>
      </c>
      <c r="C175" s="10">
        <f>IFERROR(INDEX('حسابهای دریافتنی'!H:H,MATCH(Table229[[#This Row],[كد تفصيلي]],'حسابهای دریافتنی'!A:A,0)),0)</f>
        <v>-15776160000</v>
      </c>
      <c r="D175" s="11">
        <f>IFERROR(INDEX('درجریان وصول'!F:F,MATCH(Table229[[#This Row],[كد تفصيلي]],'درجریان وصول'!A:A,0)),0)</f>
        <v>0</v>
      </c>
      <c r="E175" s="11">
        <f>IFERROR(INDEX('چکهای دریافتنی'!F:F,MATCH(Table229[[#This Row],[كد تفصيلي]],'چکهای دریافتنی'!A:A,0)),0)</f>
        <v>0</v>
      </c>
      <c r="F175" s="11">
        <f>Table229[[#This Row],[حسابهای دریافتنی]]+Table229[[#This Row],[چکهای در جریان وصول]]+Table229[[#This Row],[چکهای نزد صندوق]]</f>
        <v>-15776160000</v>
      </c>
      <c r="G175" s="12">
        <f>IFERROR(INDEX('مانده سوفاله'!F:F,MATCH(Table229[[#This Row],[كد تفصيلي]],'مانده سوفاله'!A:A,0)),0)</f>
        <v>0</v>
      </c>
    </row>
    <row r="176" spans="1:7" ht="24.75" customHeight="1" x14ac:dyDescent="0.35">
      <c r="A176" s="74">
        <v>30179</v>
      </c>
      <c r="B176" s="73" t="s">
        <v>336</v>
      </c>
      <c r="C176" s="10">
        <f>IFERROR(INDEX('حسابهای دریافتنی'!H:H,MATCH(Table229[[#This Row],[كد تفصيلي]],'حسابهای دریافتنی'!A:A,0)),0)</f>
        <v>-637200</v>
      </c>
      <c r="D176" s="11">
        <f>IFERROR(INDEX('درجریان وصول'!F:F,MATCH(Table229[[#This Row],[كد تفصيلي]],'درجریان وصول'!A:A,0)),0)</f>
        <v>0</v>
      </c>
      <c r="E176" s="11">
        <f>IFERROR(INDEX('چکهای دریافتنی'!F:F,MATCH(Table229[[#This Row],[كد تفصيلي]],'چکهای دریافتنی'!A:A,0)),0)</f>
        <v>0</v>
      </c>
      <c r="F176" s="11">
        <f>Table229[[#This Row],[حسابهای دریافتنی]]+Table229[[#This Row],[چکهای در جریان وصول]]+Table229[[#This Row],[چکهای نزد صندوق]]</f>
        <v>-637200</v>
      </c>
      <c r="G176" s="12">
        <f>IFERROR(INDEX('مانده سوفاله'!F:F,MATCH(Table229[[#This Row],[كد تفصيلي]],'مانده سوفاله'!A:A,0)),0)</f>
        <v>0</v>
      </c>
    </row>
    <row r="177" spans="1:7" ht="24.75" customHeight="1" x14ac:dyDescent="0.35">
      <c r="A177" s="74">
        <v>10109</v>
      </c>
      <c r="B177" s="73" t="s">
        <v>303</v>
      </c>
      <c r="C177" s="10">
        <f>IFERROR(INDEX('حسابهای دریافتنی'!H:H,MATCH(Table229[[#This Row],[كد تفصيلي]],'حسابهای دریافتنی'!A:A,0)),0)</f>
        <v>-1124737000</v>
      </c>
      <c r="D177" s="11">
        <f>IFERROR(INDEX('درجریان وصول'!F:F,MATCH(Table229[[#This Row],[كد تفصيلي]],'درجریان وصول'!A:A,0)),0)</f>
        <v>0</v>
      </c>
      <c r="E177" s="11">
        <f>IFERROR(INDEX('چکهای دریافتنی'!F:F,MATCH(Table229[[#This Row],[كد تفصيلي]],'چکهای دریافتنی'!A:A,0)),0)</f>
        <v>0</v>
      </c>
      <c r="F177" s="11">
        <f>Table229[[#This Row],[حسابهای دریافتنی]]+Table229[[#This Row],[چکهای در جریان وصول]]+Table229[[#This Row],[چکهای نزد صندوق]]</f>
        <v>-1124737000</v>
      </c>
      <c r="G177" s="12">
        <f>IFERROR(INDEX('مانده سوفاله'!F:F,MATCH(Table229[[#This Row],[كد تفصيلي]],'مانده سوفاله'!A:A,0)),0)</f>
        <v>-241</v>
      </c>
    </row>
    <row r="178" spans="1:7" ht="24.75" customHeight="1" x14ac:dyDescent="0.35">
      <c r="A178" s="75">
        <v>10009</v>
      </c>
      <c r="B178" s="72" t="s">
        <v>16</v>
      </c>
      <c r="C178" s="10">
        <f>IFERROR(INDEX('حسابهای دریافتنی'!H:H,MATCH(Table229[[#This Row],[كد تفصيلي]],'حسابهای دریافتنی'!A:A,0)),0)</f>
        <v>-4260580000</v>
      </c>
      <c r="D178" s="11">
        <f>IFERROR(INDEX('درجریان وصول'!F:F,MATCH(Table229[[#This Row],[كد تفصيلي]],'درجریان وصول'!A:A,0)),0)</f>
        <v>0</v>
      </c>
      <c r="E178" s="11">
        <f>IFERROR(INDEX('چکهای دریافتنی'!F:F,MATCH(Table229[[#This Row],[كد تفصيلي]],'چکهای دریافتنی'!A:A,0)),0)</f>
        <v>1600000000</v>
      </c>
      <c r="F178" s="11">
        <f>Table229[[#This Row],[حسابهای دریافتنی]]+Table229[[#This Row],[چکهای در جریان وصول]]+Table229[[#This Row],[چکهای نزد صندوق]]</f>
        <v>-2660580000</v>
      </c>
      <c r="G178" s="12">
        <f>IFERROR(INDEX('مانده سوفاله'!F:F,MATCH(Table229[[#This Row],[كد تفصيلي]],'مانده سوفاله'!A:A,0)),0)</f>
        <v>9952</v>
      </c>
    </row>
    <row r="179" spans="1:7" ht="24.75" customHeight="1" x14ac:dyDescent="0.35">
      <c r="A179" s="74">
        <v>79043</v>
      </c>
      <c r="B179" s="73" t="s">
        <v>156</v>
      </c>
      <c r="C179" s="10">
        <f>IFERROR(INDEX('حسابهای دریافتنی'!H:H,MATCH(Table229[[#This Row],[كد تفصيلي]],'حسابهای دریافتنی'!A:A,0)),0)</f>
        <v>-16110730000</v>
      </c>
      <c r="D179" s="11">
        <f>IFERROR(INDEX('درجریان وصول'!F:F,MATCH(Table229[[#This Row],[كد تفصيلي]],'درجریان وصول'!A:A,0)),0)</f>
        <v>0</v>
      </c>
      <c r="E179" s="11">
        <f>IFERROR(INDEX('چکهای دریافتنی'!F:F,MATCH(Table229[[#This Row],[كد تفصيلي]],'چکهای دریافتنی'!A:A,0)),0)</f>
        <v>0</v>
      </c>
      <c r="F179" s="11">
        <f>Table229[[#This Row],[حسابهای دریافتنی]]+Table229[[#This Row],[چکهای در جریان وصول]]+Table229[[#This Row],[چکهای نزد صندوق]]</f>
        <v>-16110730000</v>
      </c>
      <c r="G179" s="12">
        <f>IFERROR(INDEX('مانده سوفاله'!F:F,MATCH(Table229[[#This Row],[كد تفصيلي]],'مانده سوفاله'!A:A,0)),0)</f>
        <v>0</v>
      </c>
    </row>
    <row r="180" spans="1:7" ht="24.75" customHeight="1" x14ac:dyDescent="0.35">
      <c r="A180" s="36"/>
      <c r="B180" s="37"/>
      <c r="C180" s="38">
        <f>SUBTOTAL(109,Table229[حسابهای دریافتنی])</f>
        <v>58567754079</v>
      </c>
      <c r="D180" s="38">
        <f>SUBTOTAL(109,Table229[چکهای در جریان وصول])</f>
        <v>0</v>
      </c>
      <c r="E180" s="38">
        <f>SUBTOTAL(109,Table229[چکهای نزد صندوق])</f>
        <v>62080128942</v>
      </c>
      <c r="F180" s="38"/>
      <c r="G180" s="39">
        <f>SUBTOTAL(109,Table229[مانده سوفاله])</f>
        <v>-132325.5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84"/>
  <sheetViews>
    <sheetView rightToLeft="1" topLeftCell="A154" workbookViewId="0">
      <selection activeCell="C181" sqref="C181"/>
    </sheetView>
  </sheetViews>
  <sheetFormatPr defaultColWidth="9.08984375" defaultRowHeight="30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66.75" customHeight="1" thickBot="1" x14ac:dyDescent="0.4">
      <c r="A1" s="97" t="s">
        <v>391</v>
      </c>
      <c r="B1" s="98"/>
      <c r="C1" s="98"/>
      <c r="D1" s="98"/>
      <c r="E1" s="98"/>
      <c r="F1" s="98"/>
      <c r="G1" s="99"/>
    </row>
    <row r="2" spans="1:7" s="2" customFormat="1" ht="52.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30" customHeight="1" x14ac:dyDescent="0.35">
      <c r="A3" s="74">
        <v>30127</v>
      </c>
      <c r="B3" s="73" t="s">
        <v>163</v>
      </c>
      <c r="C3" s="10">
        <f>IFERROR(INDEX('حسابهای دریافتنی'!H:H,MATCH(Table230[[#This Row],[كد تفصيلي]],'حسابهای دریافتنی'!A:A,0)),0)</f>
        <v>31800110000</v>
      </c>
      <c r="D3" s="11">
        <f>IFERROR(INDEX('درجریان وصول'!F:F,MATCH(Table230[[#This Row],[كد تفصيلي]],'درجریان وصول'!A:A,0)),0)</f>
        <v>0</v>
      </c>
      <c r="E3" s="11">
        <f>IFERROR(INDEX('چکهای دریافتنی'!F:F,MATCH(Table230[[#This Row],[كد تفصيلي]],'چکهای دریافتنی'!A:A,0)),0)</f>
        <v>0</v>
      </c>
      <c r="F3" s="11">
        <f>Table230[[#This Row],[حسابهای دریافتنی]]+Table230[[#This Row],[چکهای در جریان وصول]]+Table230[[#This Row],[چکهای نزد صندوق]]</f>
        <v>31800110000</v>
      </c>
      <c r="G3" s="12">
        <f>IFERROR(INDEX('مانده سوفاله'!F:F,MATCH(Table230[[#This Row],[كد تفصيلي]],'مانده سوفاله'!A:A,0)),0)</f>
        <v>-18472</v>
      </c>
    </row>
    <row r="4" spans="1:7" ht="30" customHeight="1" x14ac:dyDescent="0.35">
      <c r="A4" s="75">
        <v>10003</v>
      </c>
      <c r="B4" s="72" t="s">
        <v>10</v>
      </c>
      <c r="C4" s="10">
        <f>IFERROR(INDEX('حسابهای دریافتنی'!H:H,MATCH(Table230[[#This Row],[كد تفصيلي]],'حسابهای دریافتنی'!A:A,0)),0)</f>
        <v>10804267992</v>
      </c>
      <c r="D4" s="11">
        <f>IFERROR(INDEX('درجریان وصول'!F:F,MATCH(Table230[[#This Row],[كد تفصيلي]],'درجریان وصول'!A:A,0)),0)</f>
        <v>0</v>
      </c>
      <c r="E4" s="11">
        <f>IFERROR(INDEX('چکهای دریافتنی'!F:F,MATCH(Table230[[#This Row],[كد تفصيلي]],'چکهای دریافتنی'!A:A,0)),0)</f>
        <v>13698001280</v>
      </c>
      <c r="F4" s="11">
        <f>Table230[[#This Row],[حسابهای دریافتنی]]+Table230[[#This Row],[چکهای در جریان وصول]]+Table230[[#This Row],[چکهای نزد صندوق]]</f>
        <v>24502269272</v>
      </c>
      <c r="G4" s="12">
        <f>IFERROR(INDEX('مانده سوفاله'!F:F,MATCH(Table230[[#This Row],[كد تفصيلي]],'مانده سوفاله'!A:A,0)),0)</f>
        <v>-39886</v>
      </c>
    </row>
    <row r="5" spans="1:7" ht="30" customHeight="1" x14ac:dyDescent="0.35">
      <c r="A5" s="75">
        <v>30009</v>
      </c>
      <c r="B5" s="72" t="s">
        <v>164</v>
      </c>
      <c r="C5" s="10">
        <f>IFERROR(INDEX('حسابهای دریافتنی'!H:H,MATCH(Table230[[#This Row],[كد تفصيلي]],'حسابهای دریافتنی'!A:A,0)),0)</f>
        <v>7853844277</v>
      </c>
      <c r="D5" s="11">
        <f>IFERROR(INDEX('درجریان وصول'!F:F,MATCH(Table230[[#This Row],[كد تفصيلي]],'درجریان وصول'!A:A,0)),0)</f>
        <v>0</v>
      </c>
      <c r="E5" s="11">
        <f>IFERROR(INDEX('چکهای دریافتنی'!F:F,MATCH(Table230[[#This Row],[كد تفصيلي]],'چکهای دریافتنی'!A:A,0)),0)</f>
        <v>6474835380</v>
      </c>
      <c r="F5" s="11">
        <f>Table230[[#This Row],[حسابهای دریافتنی]]+Table230[[#This Row],[چکهای در جریان وصول]]+Table230[[#This Row],[چکهای نزد صندوق]]</f>
        <v>14328679657</v>
      </c>
      <c r="G5" s="12">
        <f>IFERROR(INDEX('مانده سوفاله'!F:F,MATCH(Table230[[#This Row],[كد تفصيلي]],'مانده سوفاله'!A:A,0)),0)</f>
        <v>-11452</v>
      </c>
    </row>
    <row r="6" spans="1:7" ht="30" customHeight="1" x14ac:dyDescent="0.35">
      <c r="A6" s="75">
        <v>10055</v>
      </c>
      <c r="B6" s="72" t="s">
        <v>162</v>
      </c>
      <c r="C6" s="10">
        <f>IFERROR(INDEX('حسابهای دریافتنی'!H:H,MATCH(Table230[[#This Row],[كد تفصيلي]],'حسابهای دریافتنی'!A:A,0)),0)</f>
        <v>10460111325</v>
      </c>
      <c r="D6" s="11">
        <f>IFERROR(INDEX('درجریان وصول'!F:F,MATCH(Table230[[#This Row],[كد تفصيلي]],'درجریان وصول'!A:A,0)),0)</f>
        <v>0</v>
      </c>
      <c r="E6" s="11">
        <f>IFERROR(INDEX('چکهای دریافتنی'!F:F,MATCH(Table230[[#This Row],[كد تفصيلي]],'چکهای دریافتنی'!A:A,0)),0)</f>
        <v>2783298655</v>
      </c>
      <c r="F6" s="11">
        <f>Table230[[#This Row],[حسابهای دریافتنی]]+Table230[[#This Row],[چکهای در جریان وصول]]+Table230[[#This Row],[چکهای نزد صندوق]]</f>
        <v>13243409980</v>
      </c>
      <c r="G6" s="12">
        <f>IFERROR(INDEX('مانده سوفاله'!F:F,MATCH(Table230[[#This Row],[كد تفصيلي]],'مانده سوفاله'!A:A,0)),0)</f>
        <v>-12714</v>
      </c>
    </row>
    <row r="7" spans="1:7" ht="30" customHeight="1" x14ac:dyDescent="0.35">
      <c r="A7" s="74">
        <v>30004</v>
      </c>
      <c r="B7" s="73" t="s">
        <v>54</v>
      </c>
      <c r="C7" s="10">
        <f>IFERROR(INDEX('حسابهای دریافتنی'!H:H,MATCH(Table230[[#This Row],[كد تفصيلي]],'حسابهای دریافتنی'!A:A,0)),0)</f>
        <v>7598548260</v>
      </c>
      <c r="D7" s="11">
        <f>IFERROR(INDEX('درجریان وصول'!F:F,MATCH(Table230[[#This Row],[كد تفصيلي]],'درجریان وصول'!A:A,0)),0)</f>
        <v>0</v>
      </c>
      <c r="E7" s="11">
        <f>IFERROR(INDEX('چکهای دریافتنی'!F:F,MATCH(Table230[[#This Row],[كد تفصيلي]],'چکهای دریافتنی'!A:A,0)),0)</f>
        <v>11698760000</v>
      </c>
      <c r="F7" s="11">
        <f>Table230[[#This Row],[حسابهای دریافتنی]]+Table230[[#This Row],[چکهای در جریان وصول]]+Table230[[#This Row],[چکهای نزد صندوق]]</f>
        <v>19297308260</v>
      </c>
      <c r="G7" s="12">
        <f>IFERROR(INDEX('مانده سوفاله'!F:F,MATCH(Table230[[#This Row],[كد تفصيلي]],'مانده سوفاله'!A:A,0)),0)</f>
        <v>-4237</v>
      </c>
    </row>
    <row r="8" spans="1:7" ht="30" customHeight="1" x14ac:dyDescent="0.35">
      <c r="A8" s="75">
        <v>30066</v>
      </c>
      <c r="B8" s="72" t="s">
        <v>111</v>
      </c>
      <c r="C8" s="10">
        <f>IFERROR(INDEX('حسابهای دریافتنی'!H:H,MATCH(Table230[[#This Row],[كد تفصيلي]],'حسابهای دریافتنی'!A:A,0)),0)</f>
        <v>6484147500</v>
      </c>
      <c r="D8" s="11">
        <f>IFERROR(INDEX('درجریان وصول'!F:F,MATCH(Table230[[#This Row],[كد تفصيلي]],'درجریان وصول'!A:A,0)),0)</f>
        <v>0</v>
      </c>
      <c r="E8" s="11">
        <f>IFERROR(INDEX('چکهای دریافتنی'!F:F,MATCH(Table230[[#This Row],[كد تفصيلي]],'چکهای دریافتنی'!A:A,0)),0)</f>
        <v>0</v>
      </c>
      <c r="F8" s="11">
        <f>Table230[[#This Row],[حسابهای دریافتنی]]+Table230[[#This Row],[چکهای در جریان وصول]]+Table230[[#This Row],[چکهای نزد صندوق]]</f>
        <v>6484147500</v>
      </c>
      <c r="G8" s="12">
        <f>IFERROR(INDEX('مانده سوفاله'!F:F,MATCH(Table230[[#This Row],[كد تفصيلي]],'مانده سوفاله'!A:A,0)),0)</f>
        <v>-1320</v>
      </c>
    </row>
    <row r="9" spans="1:7" ht="30" customHeight="1" x14ac:dyDescent="0.35">
      <c r="A9" s="74">
        <v>50016</v>
      </c>
      <c r="B9" s="73" t="s">
        <v>160</v>
      </c>
      <c r="C9" s="10">
        <f>IFERROR(INDEX('حسابهای دریافتنی'!H:H,MATCH(Table230[[#This Row],[كد تفصيلي]],'حسابهای دریافتنی'!A:A,0)),0)</f>
        <v>6344545550</v>
      </c>
      <c r="D9" s="11">
        <f>IFERROR(INDEX('درجریان وصول'!F:F,MATCH(Table230[[#This Row],[كد تفصيلي]],'درجریان وصول'!A:A,0)),0)</f>
        <v>0</v>
      </c>
      <c r="E9" s="11">
        <f>IFERROR(INDEX('چکهای دریافتنی'!F:F,MATCH(Table230[[#This Row],[كد تفصيلي]],'چکهای دریافتنی'!A:A,0)),0)</f>
        <v>0</v>
      </c>
      <c r="F9" s="11">
        <f>Table230[[#This Row],[حسابهای دریافتنی]]+Table230[[#This Row],[چکهای در جریان وصول]]+Table230[[#This Row],[چکهای نزد صندوق]]</f>
        <v>6344545550</v>
      </c>
      <c r="G9" s="12">
        <f>IFERROR(INDEX('مانده سوفاله'!F:F,MATCH(Table230[[#This Row],[كد تفصيلي]],'مانده سوفاله'!A:A,0)),0)</f>
        <v>5508</v>
      </c>
    </row>
    <row r="10" spans="1:7" ht="30" customHeight="1" x14ac:dyDescent="0.35">
      <c r="A10" s="75">
        <v>10097</v>
      </c>
      <c r="B10" s="72" t="s">
        <v>270</v>
      </c>
      <c r="C10" s="10">
        <f>IFERROR(INDEX('حسابهای دریافتنی'!H:H,MATCH(Table230[[#This Row],[كد تفصيلي]],'حسابهای دریافتنی'!A:A,0)),0)</f>
        <v>270642500</v>
      </c>
      <c r="D10" s="11">
        <f>IFERROR(INDEX('درجریان وصول'!F:F,MATCH(Table230[[#This Row],[كد تفصيلي]],'درجریان وصول'!A:A,0)),0)</f>
        <v>0</v>
      </c>
      <c r="E10" s="11">
        <f>IFERROR(INDEX('چکهای دریافتنی'!F:F,MATCH(Table230[[#This Row],[كد تفصيلي]],'چکهای دریافتنی'!A:A,0)),0)</f>
        <v>287000000</v>
      </c>
      <c r="F10" s="11">
        <f>Table230[[#This Row],[حسابهای دریافتنی]]+Table230[[#This Row],[چکهای در جریان وصول]]+Table230[[#This Row],[چکهای نزد صندوق]]</f>
        <v>557642500</v>
      </c>
      <c r="G10" s="12">
        <f>IFERROR(INDEX('مانده سوفاله'!F:F,MATCH(Table230[[#This Row],[كد تفصيلي]],'مانده سوفاله'!A:A,0)),0)</f>
        <v>0</v>
      </c>
    </row>
    <row r="11" spans="1:7" ht="30" customHeight="1" x14ac:dyDescent="0.35">
      <c r="A11" s="74">
        <v>10026</v>
      </c>
      <c r="B11" s="73" t="s">
        <v>32</v>
      </c>
      <c r="C11" s="10">
        <f>IFERROR(INDEX('حسابهای دریافتنی'!H:H,MATCH(Table230[[#This Row],[كد تفصيلي]],'حسابهای دریافتنی'!A:A,0)),0)</f>
        <v>3795031844</v>
      </c>
      <c r="D11" s="11">
        <f>IFERROR(INDEX('درجریان وصول'!F:F,MATCH(Table230[[#This Row],[كد تفصيلي]],'درجریان وصول'!A:A,0)),0)</f>
        <v>0</v>
      </c>
      <c r="E11" s="11">
        <f>IFERROR(INDEX('چکهای دریافتنی'!F:F,MATCH(Table230[[#This Row],[كد تفصيلي]],'چکهای دریافتنی'!A:A,0)),0)</f>
        <v>2690000000</v>
      </c>
      <c r="F11" s="11">
        <f>Table230[[#This Row],[حسابهای دریافتنی]]+Table230[[#This Row],[چکهای در جریان وصول]]+Table230[[#This Row],[چکهای نزد صندوق]]</f>
        <v>6485031844</v>
      </c>
      <c r="G11" s="12">
        <f>IFERROR(INDEX('مانده سوفاله'!F:F,MATCH(Table230[[#This Row],[كد تفصيلي]],'مانده سوفاله'!A:A,0)),0)</f>
        <v>-12543</v>
      </c>
    </row>
    <row r="12" spans="1:7" ht="30" customHeight="1" x14ac:dyDescent="0.35">
      <c r="A12" s="75">
        <v>30186</v>
      </c>
      <c r="B12" s="72" t="s">
        <v>367</v>
      </c>
      <c r="C12" s="10">
        <f>IFERROR(INDEX('حسابهای دریافتنی'!H:H,MATCH(Table230[[#This Row],[كد تفصيلي]],'حسابهای دریافتنی'!A:A,0)),0)</f>
        <v>986425000</v>
      </c>
      <c r="D12" s="11">
        <f>IFERROR(INDEX('درجریان وصول'!F:F,MATCH(Table230[[#This Row],[كد تفصيلي]],'درجریان وصول'!A:A,0)),0)</f>
        <v>0</v>
      </c>
      <c r="E12" s="11">
        <f>IFERROR(INDEX('چکهای دریافتنی'!F:F,MATCH(Table230[[#This Row],[كد تفصيلي]],'چکهای دریافتنی'!A:A,0)),0)</f>
        <v>5982430000</v>
      </c>
      <c r="F12" s="11">
        <f>Table230[[#This Row],[حسابهای دریافتنی]]+Table230[[#This Row],[چکهای در جریان وصول]]+Table230[[#This Row],[چکهای نزد صندوق]]</f>
        <v>6968855000</v>
      </c>
      <c r="G12" s="12">
        <f>IFERROR(INDEX('مانده سوفاله'!F:F,MATCH(Table230[[#This Row],[كد تفصيلي]],'مانده سوفاله'!A:A,0)),0)</f>
        <v>-7388</v>
      </c>
    </row>
    <row r="13" spans="1:7" ht="30" customHeight="1" x14ac:dyDescent="0.35">
      <c r="A13" s="75">
        <v>30140</v>
      </c>
      <c r="B13" s="72" t="s">
        <v>259</v>
      </c>
      <c r="C13" s="10">
        <f>IFERROR(INDEX('حسابهای دریافتنی'!H:H,MATCH(Table230[[#This Row],[كد تفصيلي]],'حسابهای دریافتنی'!A:A,0)),0)</f>
        <v>553728200</v>
      </c>
      <c r="D13" s="11">
        <f>IFERROR(INDEX('درجریان وصول'!F:F,MATCH(Table230[[#This Row],[كد تفصيلي]],'درجریان وصول'!A:A,0)),0)</f>
        <v>0</v>
      </c>
      <c r="E13" s="11">
        <f>IFERROR(INDEX('چکهای دریافتنی'!F:F,MATCH(Table230[[#This Row],[كد تفصيلي]],'چکهای دریافتنی'!A:A,0)),0)</f>
        <v>1030000000</v>
      </c>
      <c r="F13" s="11">
        <f>Table230[[#This Row],[حسابهای دریافتنی]]+Table230[[#This Row],[چکهای در جریان وصول]]+Table230[[#This Row],[چکهای نزد صندوق]]</f>
        <v>1583728200</v>
      </c>
      <c r="G13" s="12">
        <f>IFERROR(INDEX('مانده سوفاله'!F:F,MATCH(Table230[[#This Row],[كد تفصيلي]],'مانده سوفاله'!A:A,0)),0)</f>
        <v>-12630</v>
      </c>
    </row>
    <row r="14" spans="1:7" ht="30" customHeight="1" x14ac:dyDescent="0.35">
      <c r="A14" s="75">
        <v>30196</v>
      </c>
      <c r="B14" s="72" t="s">
        <v>481</v>
      </c>
      <c r="C14" s="10">
        <f>IFERROR(INDEX('حسابهای دریافتنی'!H:H,MATCH(Table230[[#This Row],[كد تفصيلي]],'حسابهای دریافتنی'!A:A,0)),0)</f>
        <v>3592950000</v>
      </c>
      <c r="D14" s="11">
        <f>IFERROR(INDEX('درجریان وصول'!F:F,MATCH(Table230[[#This Row],[كد تفصيلي]],'درجریان وصول'!A:A,0)),0)</f>
        <v>0</v>
      </c>
      <c r="E14" s="11">
        <f>IFERROR(INDEX('چکهای دریافتنی'!F:F,MATCH(Table230[[#This Row],[كد تفصيلي]],'چکهای دریافتنی'!A:A,0)),0)</f>
        <v>0</v>
      </c>
      <c r="F14" s="11">
        <f>Table230[[#This Row],[حسابهای دریافتنی]]+Table230[[#This Row],[چکهای در جریان وصول]]+Table230[[#This Row],[چکهای نزد صندوق]]</f>
        <v>3592950000</v>
      </c>
      <c r="G14" s="12">
        <f>IFERROR(INDEX('مانده سوفاله'!F:F,MATCH(Table230[[#This Row],[كد تفصيلي]],'مانده سوفاله'!A:A,0)),0)</f>
        <v>-8965</v>
      </c>
    </row>
    <row r="15" spans="1:7" ht="30" customHeight="1" x14ac:dyDescent="0.35">
      <c r="A15" s="74">
        <v>30131</v>
      </c>
      <c r="B15" s="73" t="s">
        <v>213</v>
      </c>
      <c r="C15" s="10">
        <f>IFERROR(INDEX('حسابهای دریافتنی'!H:H,MATCH(Table230[[#This Row],[كد تفصيلي]],'حسابهای دریافتنی'!A:A,0)),0)</f>
        <v>-6228486500</v>
      </c>
      <c r="D15" s="11">
        <f>IFERROR(INDEX('درجریان وصول'!F:F,MATCH(Table230[[#This Row],[كد تفصيلي]],'درجریان وصول'!A:A,0)),0)</f>
        <v>0</v>
      </c>
      <c r="E15" s="11">
        <f>IFERROR(INDEX('چکهای دریافتنی'!F:F,MATCH(Table230[[#This Row],[كد تفصيلي]],'چکهای دریافتنی'!A:A,0)),0)</f>
        <v>0</v>
      </c>
      <c r="F15" s="11">
        <f>Table230[[#This Row],[حسابهای دریافتنی]]+Table230[[#This Row],[چکهای در جریان وصول]]+Table230[[#This Row],[چکهای نزد صندوق]]</f>
        <v>-6228486500</v>
      </c>
      <c r="G15" s="12">
        <f>IFERROR(INDEX('مانده سوفاله'!F:F,MATCH(Table230[[#This Row],[كد تفصيلي]],'مانده سوفاله'!A:A,0)),0)</f>
        <v>222</v>
      </c>
    </row>
    <row r="16" spans="1:7" ht="30" customHeight="1" x14ac:dyDescent="0.35">
      <c r="A16" s="74">
        <v>30081</v>
      </c>
      <c r="B16" s="73" t="s">
        <v>126</v>
      </c>
      <c r="C16" s="10">
        <f>IFERROR(INDEX('حسابهای دریافتنی'!H:H,MATCH(Table230[[#This Row],[كد تفصيلي]],'حسابهای دریافتنی'!A:A,0)),0)</f>
        <v>1148992373</v>
      </c>
      <c r="D16" s="11">
        <f>IFERROR(INDEX('درجریان وصول'!F:F,MATCH(Table230[[#This Row],[كد تفصيلي]],'درجریان وصول'!A:A,0)),0)</f>
        <v>0</v>
      </c>
      <c r="E16" s="11">
        <f>IFERROR(INDEX('چکهای دریافتنی'!F:F,MATCH(Table230[[#This Row],[كد تفصيلي]],'چکهای دریافتنی'!A:A,0)),0)</f>
        <v>0</v>
      </c>
      <c r="F16" s="11">
        <f>Table230[[#This Row],[حسابهای دریافتنی]]+Table230[[#This Row],[چکهای در جریان وصول]]+Table230[[#This Row],[چکهای نزد صندوق]]</f>
        <v>1148992373</v>
      </c>
      <c r="G16" s="12">
        <f>IFERROR(INDEX('مانده سوفاله'!F:F,MATCH(Table230[[#This Row],[كد تفصيلي]],'مانده سوفاله'!A:A,0)),0)</f>
        <v>-6924</v>
      </c>
    </row>
    <row r="17" spans="1:7" ht="30" customHeight="1" x14ac:dyDescent="0.35">
      <c r="A17" s="74">
        <v>10056</v>
      </c>
      <c r="B17" s="73" t="s">
        <v>166</v>
      </c>
      <c r="C17" s="10">
        <f>IFERROR(INDEX('حسابهای دریافتنی'!H:H,MATCH(Table230[[#This Row],[كد تفصيلي]],'حسابهای دریافتنی'!A:A,0)),0)</f>
        <v>812653500</v>
      </c>
      <c r="D17" s="11">
        <f>IFERROR(INDEX('درجریان وصول'!F:F,MATCH(Table230[[#This Row],[كد تفصيلي]],'درجریان وصول'!A:A,0)),0)</f>
        <v>0</v>
      </c>
      <c r="E17" s="11">
        <f>IFERROR(INDEX('چکهای دریافتنی'!F:F,MATCH(Table230[[#This Row],[كد تفصيلي]],'چکهای دریافتنی'!A:A,0)),0)</f>
        <v>0</v>
      </c>
      <c r="F17" s="11">
        <f>Table230[[#This Row],[حسابهای دریافتنی]]+Table230[[#This Row],[چکهای در جریان وصول]]+Table230[[#This Row],[چکهای نزد صندوق]]</f>
        <v>812653500</v>
      </c>
      <c r="G17" s="12">
        <f>IFERROR(INDEX('مانده سوفاله'!F:F,MATCH(Table230[[#This Row],[كد تفصيلي]],'مانده سوفاله'!A:A,0)),0)</f>
        <v>0</v>
      </c>
    </row>
    <row r="18" spans="1:7" ht="30" customHeight="1" x14ac:dyDescent="0.35">
      <c r="A18" s="74">
        <v>30022</v>
      </c>
      <c r="B18" s="73" t="s">
        <v>70</v>
      </c>
      <c r="C18" s="10">
        <f>IFERROR(INDEX('حسابهای دریافتنی'!H:H,MATCH(Table230[[#This Row],[كد تفصيلي]],'حسابهای دریافتنی'!A:A,0)),0)</f>
        <v>2933770530</v>
      </c>
      <c r="D18" s="11">
        <f>IFERROR(INDEX('درجریان وصول'!F:F,MATCH(Table230[[#This Row],[كد تفصيلي]],'درجریان وصول'!A:A,0)),0)</f>
        <v>0</v>
      </c>
      <c r="E18" s="11">
        <f>IFERROR(INDEX('چکهای دریافتنی'!F:F,MATCH(Table230[[#This Row],[كد تفصيلي]],'چکهای دریافتنی'!A:A,0)),0)</f>
        <v>0</v>
      </c>
      <c r="F18" s="11">
        <f>Table230[[#This Row],[حسابهای دریافتنی]]+Table230[[#This Row],[چکهای در جریان وصول]]+Table230[[#This Row],[چکهای نزد صندوق]]</f>
        <v>2933770530</v>
      </c>
      <c r="G18" s="12">
        <f>IFERROR(INDEX('مانده سوفاله'!F:F,MATCH(Table230[[#This Row],[كد تفصيلي]],'مانده سوفاله'!A:A,0)),0)</f>
        <v>-14747</v>
      </c>
    </row>
    <row r="19" spans="1:7" ht="30" customHeight="1" x14ac:dyDescent="0.35">
      <c r="A19" s="75">
        <v>30058</v>
      </c>
      <c r="B19" s="72" t="s">
        <v>103</v>
      </c>
      <c r="C19" s="10">
        <f>IFERROR(INDEX('حسابهای دریافتنی'!H:H,MATCH(Table230[[#This Row],[كد تفصيلي]],'حسابهای دریافتنی'!A:A,0)),0)</f>
        <v>1700045560</v>
      </c>
      <c r="D19" s="11">
        <f>IFERROR(INDEX('درجریان وصول'!F:F,MATCH(Table230[[#This Row],[كد تفصيلي]],'درجریان وصول'!A:A,0)),0)</f>
        <v>0</v>
      </c>
      <c r="E19" s="11">
        <f>IFERROR(INDEX('چکهای دریافتنی'!F:F,MATCH(Table230[[#This Row],[كد تفصيلي]],'چکهای دریافتنی'!A:A,0)),0)</f>
        <v>0</v>
      </c>
      <c r="F19" s="11">
        <f>Table230[[#This Row],[حسابهای دریافتنی]]+Table230[[#This Row],[چکهای در جریان وصول]]+Table230[[#This Row],[چکهای نزد صندوق]]</f>
        <v>1700045560</v>
      </c>
      <c r="G19" s="12">
        <f>IFERROR(INDEX('مانده سوفاله'!F:F,MATCH(Table230[[#This Row],[كد تفصيلي]],'مانده سوفاله'!A:A,0)),0)</f>
        <v>-225</v>
      </c>
    </row>
    <row r="20" spans="1:7" ht="30" customHeight="1" x14ac:dyDescent="0.35">
      <c r="A20" s="75">
        <v>10027</v>
      </c>
      <c r="B20" s="72" t="s">
        <v>33</v>
      </c>
      <c r="C20" s="10">
        <f>IFERROR(INDEX('حسابهای دریافتنی'!H:H,MATCH(Table230[[#This Row],[كد تفصيلي]],'حسابهای دریافتنی'!A:A,0)),0)</f>
        <v>33078340</v>
      </c>
      <c r="D20" s="11">
        <f>IFERROR(INDEX('درجریان وصول'!F:F,MATCH(Table230[[#This Row],[كد تفصيلي]],'درجریان وصول'!A:A,0)),0)</f>
        <v>0</v>
      </c>
      <c r="E20" s="11">
        <f>IFERROR(INDEX('چکهای دریافتنی'!F:F,MATCH(Table230[[#This Row],[كد تفصيلي]],'چکهای دریافتنی'!A:A,0)),0)</f>
        <v>1588359160</v>
      </c>
      <c r="F20" s="11">
        <f>Table230[[#This Row],[حسابهای دریافتنی]]+Table230[[#This Row],[چکهای در جریان وصول]]+Table230[[#This Row],[چکهای نزد صندوق]]</f>
        <v>1621437500</v>
      </c>
      <c r="G20" s="12">
        <f>IFERROR(INDEX('مانده سوفاله'!F:F,MATCH(Table230[[#This Row],[كد تفصيلي]],'مانده سوفاله'!A:A,0)),0)</f>
        <v>-647</v>
      </c>
    </row>
    <row r="21" spans="1:7" ht="30" customHeight="1" x14ac:dyDescent="0.35">
      <c r="A21" s="74">
        <v>30014</v>
      </c>
      <c r="B21" s="73" t="s">
        <v>63</v>
      </c>
      <c r="C21" s="10">
        <f>IFERROR(INDEX('حسابهای دریافتنی'!H:H,MATCH(Table230[[#This Row],[كد تفصيلي]],'حسابهای دریافتنی'!A:A,0)),0)</f>
        <v>1762223932</v>
      </c>
      <c r="D21" s="11">
        <f>IFERROR(INDEX('درجریان وصول'!F:F,MATCH(Table230[[#This Row],[كد تفصيلي]],'درجریان وصول'!A:A,0)),0)</f>
        <v>0</v>
      </c>
      <c r="E21" s="11">
        <f>IFERROR(INDEX('چکهای دریافتنی'!F:F,MATCH(Table230[[#This Row],[كد تفصيلي]],'چکهای دریافتنی'!A:A,0)),0)</f>
        <v>0</v>
      </c>
      <c r="F21" s="11">
        <f>Table230[[#This Row],[حسابهای دریافتنی]]+Table230[[#This Row],[چکهای در جریان وصول]]+Table230[[#This Row],[چکهای نزد صندوق]]</f>
        <v>1762223932</v>
      </c>
      <c r="G21" s="12">
        <f>IFERROR(INDEX('مانده سوفاله'!F:F,MATCH(Table230[[#This Row],[كد تفصيلي]],'مانده سوفاله'!A:A,0)),0)</f>
        <v>-1368</v>
      </c>
    </row>
    <row r="22" spans="1:7" ht="30" customHeight="1" x14ac:dyDescent="0.35">
      <c r="A22" s="74">
        <v>30018</v>
      </c>
      <c r="B22" s="73" t="s">
        <v>66</v>
      </c>
      <c r="C22" s="10">
        <f>IFERROR(INDEX('حسابهای دریافتنی'!H:H,MATCH(Table230[[#This Row],[كد تفصيلي]],'حسابهای دریافتنی'!A:A,0)),0)</f>
        <v>1901077182</v>
      </c>
      <c r="D22" s="11">
        <f>IFERROR(INDEX('درجریان وصول'!F:F,MATCH(Table230[[#This Row],[كد تفصيلي]],'درجریان وصول'!A:A,0)),0)</f>
        <v>0</v>
      </c>
      <c r="E22" s="11">
        <f>IFERROR(INDEX('چکهای دریافتنی'!F:F,MATCH(Table230[[#This Row],[كد تفصيلي]],'چکهای دریافتنی'!A:A,0)),0)</f>
        <v>0</v>
      </c>
      <c r="F22" s="11">
        <f>Table230[[#This Row],[حسابهای دریافتنی]]+Table230[[#This Row],[چکهای در جریان وصول]]+Table230[[#This Row],[چکهای نزد صندوق]]</f>
        <v>1901077182</v>
      </c>
      <c r="G22" s="12">
        <f>IFERROR(INDEX('مانده سوفاله'!F:F,MATCH(Table230[[#This Row],[كد تفصيلي]],'مانده سوفاله'!A:A,0)),0)</f>
        <v>-3024</v>
      </c>
    </row>
    <row r="23" spans="1:7" ht="30" customHeight="1" x14ac:dyDescent="0.35">
      <c r="A23" s="74">
        <v>30099</v>
      </c>
      <c r="B23" s="73" t="s">
        <v>167</v>
      </c>
      <c r="C23" s="10">
        <f>IFERROR(INDEX('حسابهای دریافتنی'!H:H,MATCH(Table230[[#This Row],[كد تفصيلي]],'حسابهای دریافتنی'!A:A,0)),0)</f>
        <v>1398393484</v>
      </c>
      <c r="D23" s="11">
        <f>IFERROR(INDEX('درجریان وصول'!F:F,MATCH(Table230[[#This Row],[كد تفصيلي]],'درجریان وصول'!A:A,0)),0)</f>
        <v>0</v>
      </c>
      <c r="E23" s="11">
        <f>IFERROR(INDEX('چکهای دریافتنی'!F:F,MATCH(Table230[[#This Row],[كد تفصيلي]],'چکهای دریافتنی'!A:A,0)),0)</f>
        <v>583000000</v>
      </c>
      <c r="F23" s="11">
        <f>Table230[[#This Row],[حسابهای دریافتنی]]+Table230[[#This Row],[چکهای در جریان وصول]]+Table230[[#This Row],[چکهای نزد صندوق]]</f>
        <v>1981393484</v>
      </c>
      <c r="G23" s="12">
        <f>IFERROR(INDEX('مانده سوفاله'!F:F,MATCH(Table230[[#This Row],[كد تفصيلي]],'مانده سوفاله'!A:A,0)),0)</f>
        <v>-332</v>
      </c>
    </row>
    <row r="24" spans="1:7" ht="30" customHeight="1" x14ac:dyDescent="0.35">
      <c r="A24" s="75">
        <v>10057</v>
      </c>
      <c r="B24" s="72" t="s">
        <v>225</v>
      </c>
      <c r="C24" s="10">
        <f>IFERROR(INDEX('حسابهای دریافتنی'!H:H,MATCH(Table230[[#This Row],[كد تفصيلي]],'حسابهای دریافتنی'!A:A,0)),0)</f>
        <v>1390485500</v>
      </c>
      <c r="D24" s="11">
        <f>IFERROR(INDEX('درجریان وصول'!F:F,MATCH(Table230[[#This Row],[كد تفصيلي]],'درجریان وصول'!A:A,0)),0)</f>
        <v>0</v>
      </c>
      <c r="E24" s="11">
        <f>IFERROR(INDEX('چکهای دریافتنی'!F:F,MATCH(Table230[[#This Row],[كد تفصيلي]],'چکهای دریافتنی'!A:A,0)),0)</f>
        <v>0</v>
      </c>
      <c r="F24" s="11">
        <f>Table230[[#This Row],[حسابهای دریافتنی]]+Table230[[#This Row],[چکهای در جریان وصول]]+Table230[[#This Row],[چکهای نزد صندوق]]</f>
        <v>1390485500</v>
      </c>
      <c r="G24" s="12">
        <f>IFERROR(INDEX('مانده سوفاله'!F:F,MATCH(Table230[[#This Row],[كد تفصيلي]],'مانده سوفاله'!A:A,0)),0)</f>
        <v>-2044</v>
      </c>
    </row>
    <row r="25" spans="1:7" ht="30" customHeight="1" x14ac:dyDescent="0.35">
      <c r="A25" s="75">
        <v>30003</v>
      </c>
      <c r="B25" s="72" t="s">
        <v>53</v>
      </c>
      <c r="C25" s="10">
        <f>IFERROR(INDEX('حسابهای دریافتنی'!H:H,MATCH(Table230[[#This Row],[كد تفصيلي]],'حسابهای دریافتنی'!A:A,0)),0)</f>
        <v>754765900</v>
      </c>
      <c r="D25" s="11">
        <f>IFERROR(INDEX('درجریان وصول'!F:F,MATCH(Table230[[#This Row],[كد تفصيلي]],'درجریان وصول'!A:A,0)),0)</f>
        <v>0</v>
      </c>
      <c r="E25" s="11">
        <f>IFERROR(INDEX('چکهای دریافتنی'!F:F,MATCH(Table230[[#This Row],[كد تفصيلي]],'چکهای دریافتنی'!A:A,0)),0)</f>
        <v>571000000</v>
      </c>
      <c r="F25" s="11">
        <f>Table230[[#This Row],[حسابهای دریافتنی]]+Table230[[#This Row],[چکهای در جریان وصول]]+Table230[[#This Row],[چکهای نزد صندوق]]</f>
        <v>1325765900</v>
      </c>
      <c r="G25" s="12">
        <f>IFERROR(INDEX('مانده سوفاله'!F:F,MATCH(Table230[[#This Row],[كد تفصيلي]],'مانده سوفاله'!A:A,0)),0)</f>
        <v>-3538</v>
      </c>
    </row>
    <row r="26" spans="1:7" ht="30" customHeight="1" x14ac:dyDescent="0.35">
      <c r="A26" s="75">
        <v>30017</v>
      </c>
      <c r="B26" s="72" t="s">
        <v>65</v>
      </c>
      <c r="C26" s="10">
        <f>IFERROR(INDEX('حسابهای دریافتنی'!H:H,MATCH(Table230[[#This Row],[كد تفصيلي]],'حسابهای دریافتنی'!A:A,0)),0)</f>
        <v>905000830</v>
      </c>
      <c r="D26" s="11">
        <f>IFERROR(INDEX('درجریان وصول'!F:F,MATCH(Table230[[#This Row],[كد تفصيلي]],'درجریان وصول'!A:A,0)),0)</f>
        <v>0</v>
      </c>
      <c r="E26" s="11">
        <f>IFERROR(INDEX('چکهای دریافتنی'!F:F,MATCH(Table230[[#This Row],[كد تفصيلي]],'چکهای دریافتنی'!A:A,0)),0)</f>
        <v>0</v>
      </c>
      <c r="F26" s="11">
        <f>Table230[[#This Row],[حسابهای دریافتنی]]+Table230[[#This Row],[چکهای در جریان وصول]]+Table230[[#This Row],[چکهای نزد صندوق]]</f>
        <v>905000830</v>
      </c>
      <c r="G26" s="12">
        <f>IFERROR(INDEX('مانده سوفاله'!F:F,MATCH(Table230[[#This Row],[كد تفصيلي]],'مانده سوفاله'!A:A,0)),0)</f>
        <v>-2186</v>
      </c>
    </row>
    <row r="27" spans="1:7" ht="30" customHeight="1" x14ac:dyDescent="0.35">
      <c r="A27" s="74">
        <v>30169</v>
      </c>
      <c r="B27" s="73" t="s">
        <v>318</v>
      </c>
      <c r="C27" s="10">
        <f>IFERROR(INDEX('حسابهای دریافتنی'!H:H,MATCH(Table230[[#This Row],[كد تفصيلي]],'حسابهای دریافتنی'!A:A,0)),0)</f>
        <v>-658993316</v>
      </c>
      <c r="D27" s="11">
        <f>IFERROR(INDEX('درجریان وصول'!F:F,MATCH(Table230[[#This Row],[كد تفصيلي]],'درجریان وصول'!A:A,0)),0)</f>
        <v>0</v>
      </c>
      <c r="E27" s="11">
        <f>IFERROR(INDEX('چکهای دریافتنی'!F:F,MATCH(Table230[[#This Row],[كد تفصيلي]],'چکهای دریافتنی'!A:A,0)),0)</f>
        <v>2085000000</v>
      </c>
      <c r="F27" s="11">
        <f>Table230[[#This Row],[حسابهای دریافتنی]]+Table230[[#This Row],[چکهای در جریان وصول]]+Table230[[#This Row],[چکهای نزد صندوق]]</f>
        <v>1426006684</v>
      </c>
      <c r="G27" s="12">
        <f>IFERROR(INDEX('مانده سوفاله'!F:F,MATCH(Table230[[#This Row],[كد تفصيلي]],'مانده سوفاله'!A:A,0)),0)</f>
        <v>0</v>
      </c>
    </row>
    <row r="28" spans="1:7" ht="30" customHeight="1" x14ac:dyDescent="0.35">
      <c r="A28" s="75">
        <v>50011</v>
      </c>
      <c r="B28" s="72" t="s">
        <v>147</v>
      </c>
      <c r="C28" s="10">
        <f>IFERROR(INDEX('حسابهای دریافتنی'!H:H,MATCH(Table230[[#This Row],[كد تفصيلي]],'حسابهای دریافتنی'!A:A,0)),0)</f>
        <v>832182413</v>
      </c>
      <c r="D28" s="11">
        <f>IFERROR(INDEX('درجریان وصول'!F:F,MATCH(Table230[[#This Row],[كد تفصيلي]],'درجریان وصول'!A:A,0)),0)</f>
        <v>0</v>
      </c>
      <c r="E28" s="11">
        <f>IFERROR(INDEX('چکهای دریافتنی'!F:F,MATCH(Table230[[#This Row],[كد تفصيلي]],'چکهای دریافتنی'!A:A,0)),0)</f>
        <v>0</v>
      </c>
      <c r="F28" s="11">
        <f>Table230[[#This Row],[حسابهای دریافتنی]]+Table230[[#This Row],[چکهای در جریان وصول]]+Table230[[#This Row],[چکهای نزد صندوق]]</f>
        <v>832182413</v>
      </c>
      <c r="G28" s="12">
        <f>IFERROR(INDEX('مانده سوفاله'!F:F,MATCH(Table230[[#This Row],[كد تفصيلي]],'مانده سوفاله'!A:A,0)),0)</f>
        <v>30</v>
      </c>
    </row>
    <row r="29" spans="1:7" ht="30" customHeight="1" x14ac:dyDescent="0.35">
      <c r="A29" s="75">
        <v>30019</v>
      </c>
      <c r="B29" s="72" t="s">
        <v>67</v>
      </c>
      <c r="C29" s="10">
        <f>IFERROR(INDEX('حسابهای دریافتنی'!H:H,MATCH(Table230[[#This Row],[كد تفصيلي]],'حسابهای دریافتنی'!A:A,0)),0)</f>
        <v>823484840</v>
      </c>
      <c r="D29" s="11">
        <f>IFERROR(INDEX('درجریان وصول'!F:F,MATCH(Table230[[#This Row],[كد تفصيلي]],'درجریان وصول'!A:A,0)),0)</f>
        <v>0</v>
      </c>
      <c r="E29" s="11">
        <f>IFERROR(INDEX('چکهای دریافتنی'!F:F,MATCH(Table230[[#This Row],[كد تفصيلي]],'چکهای دریافتنی'!A:A,0)),0)</f>
        <v>0</v>
      </c>
      <c r="F29" s="11">
        <f>Table230[[#This Row],[حسابهای دریافتنی]]+Table230[[#This Row],[چکهای در جریان وصول]]+Table230[[#This Row],[چکهای نزد صندوق]]</f>
        <v>823484840</v>
      </c>
      <c r="G29" s="12">
        <f>IFERROR(INDEX('مانده سوفاله'!F:F,MATCH(Table230[[#This Row],[كد تفصيلي]],'مانده سوفاله'!A:A,0)),0)</f>
        <v>612</v>
      </c>
    </row>
    <row r="30" spans="1:7" ht="30" customHeight="1" x14ac:dyDescent="0.35">
      <c r="A30" s="74">
        <v>10020</v>
      </c>
      <c r="B30" s="73" t="s">
        <v>27</v>
      </c>
      <c r="C30" s="10">
        <f>IFERROR(INDEX('حسابهای دریافتنی'!H:H,MATCH(Table230[[#This Row],[كد تفصيلي]],'حسابهای دریافتنی'!A:A,0)),0)</f>
        <v>57999963</v>
      </c>
      <c r="D30" s="11">
        <f>IFERROR(INDEX('درجریان وصول'!F:F,MATCH(Table230[[#This Row],[كد تفصيلي]],'درجریان وصول'!A:A,0)),0)</f>
        <v>0</v>
      </c>
      <c r="E30" s="11">
        <f>IFERROR(INDEX('چکهای دریافتنی'!F:F,MATCH(Table230[[#This Row],[كد تفصيلي]],'چکهای دریافتنی'!A:A,0)),0)</f>
        <v>728000000</v>
      </c>
      <c r="F30" s="11">
        <f>Table230[[#This Row],[حسابهای دریافتنی]]+Table230[[#This Row],[چکهای در جریان وصول]]+Table230[[#This Row],[چکهای نزد صندوق]]</f>
        <v>785999963</v>
      </c>
      <c r="G30" s="12">
        <f>IFERROR(INDEX('مانده سوفاله'!F:F,MATCH(Table230[[#This Row],[كد تفصيلي]],'مانده سوفاله'!A:A,0)),0)</f>
        <v>-1031</v>
      </c>
    </row>
    <row r="31" spans="1:7" ht="30" customHeight="1" x14ac:dyDescent="0.35">
      <c r="A31" s="74">
        <v>30190</v>
      </c>
      <c r="B31" s="73" t="s">
        <v>459</v>
      </c>
      <c r="C31" s="10">
        <f>IFERROR(INDEX('حسابهای دریافتنی'!H:H,MATCH(Table230[[#This Row],[كد تفصيلي]],'حسابهای دریافتنی'!A:A,0)),0)</f>
        <v>328477520</v>
      </c>
      <c r="D31" s="11">
        <f>IFERROR(INDEX('درجریان وصول'!F:F,MATCH(Table230[[#This Row],[كد تفصيلي]],'درجریان وصول'!A:A,0)),0)</f>
        <v>0</v>
      </c>
      <c r="E31" s="11">
        <f>IFERROR(INDEX('چکهای دریافتنی'!F:F,MATCH(Table230[[#This Row],[كد تفصيلي]],'چکهای دریافتنی'!A:A,0)),0)</f>
        <v>0</v>
      </c>
      <c r="F31" s="11">
        <f>Table230[[#This Row],[حسابهای دریافتنی]]+Table230[[#This Row],[چکهای در جریان وصول]]+Table230[[#This Row],[چکهای نزد صندوق]]</f>
        <v>328477520</v>
      </c>
      <c r="G31" s="12">
        <f>IFERROR(INDEX('مانده سوفاله'!F:F,MATCH(Table230[[#This Row],[كد تفصيلي]],'مانده سوفاله'!A:A,0)),0)</f>
        <v>1790</v>
      </c>
    </row>
    <row r="32" spans="1:7" ht="30" customHeight="1" x14ac:dyDescent="0.35">
      <c r="A32" s="74">
        <v>30012</v>
      </c>
      <c r="B32" s="73" t="s">
        <v>61</v>
      </c>
      <c r="C32" s="10">
        <f>IFERROR(INDEX('حسابهای دریافتنی'!H:H,MATCH(Table230[[#This Row],[كد تفصيلي]],'حسابهای دریافتنی'!A:A,0)),0)</f>
        <v>-46099000</v>
      </c>
      <c r="D32" s="11">
        <f>IFERROR(INDEX('درجریان وصول'!F:F,MATCH(Table230[[#This Row],[كد تفصيلي]],'درجریان وصول'!A:A,0)),0)</f>
        <v>0</v>
      </c>
      <c r="E32" s="11">
        <f>IFERROR(INDEX('چکهای دریافتنی'!F:F,MATCH(Table230[[#This Row],[كد تفصيلي]],'چکهای دریافتنی'!A:A,0)),0)</f>
        <v>348650000</v>
      </c>
      <c r="F32" s="11">
        <f>Table230[[#This Row],[حسابهای دریافتنی]]+Table230[[#This Row],[چکهای در جریان وصول]]+Table230[[#This Row],[چکهای نزد صندوق]]</f>
        <v>302551000</v>
      </c>
      <c r="G32" s="12">
        <f>IFERROR(INDEX('مانده سوفاله'!F:F,MATCH(Table230[[#This Row],[كد تفصيلي]],'مانده سوفاله'!A:A,0)),0)</f>
        <v>141</v>
      </c>
    </row>
    <row r="33" spans="1:7" ht="30" customHeight="1" x14ac:dyDescent="0.35">
      <c r="A33" s="74">
        <v>10008</v>
      </c>
      <c r="B33" s="73" t="s">
        <v>15</v>
      </c>
      <c r="C33" s="10">
        <f>IFERROR(INDEX('حسابهای دریافتنی'!H:H,MATCH(Table230[[#This Row],[كد تفصيلي]],'حسابهای دریافتنی'!A:A,0)),0)</f>
        <v>597342000</v>
      </c>
      <c r="D33" s="11">
        <f>IFERROR(INDEX('درجریان وصول'!F:F,MATCH(Table230[[#This Row],[كد تفصيلي]],'درجریان وصول'!A:A,0)),0)</f>
        <v>0</v>
      </c>
      <c r="E33" s="11">
        <f>IFERROR(INDEX('چکهای دریافتنی'!F:F,MATCH(Table230[[#This Row],[كد تفصيلي]],'چکهای دریافتنی'!A:A,0)),0)</f>
        <v>0</v>
      </c>
      <c r="F33" s="11">
        <f>Table230[[#This Row],[حسابهای دریافتنی]]+Table230[[#This Row],[چکهای در جریان وصول]]+Table230[[#This Row],[چکهای نزد صندوق]]</f>
        <v>597342000</v>
      </c>
      <c r="G33" s="12">
        <f>IFERROR(INDEX('مانده سوفاله'!F:F,MATCH(Table230[[#This Row],[كد تفصيلي]],'مانده سوفاله'!A:A,0)),0)</f>
        <v>-578</v>
      </c>
    </row>
    <row r="34" spans="1:7" ht="30" customHeight="1" x14ac:dyDescent="0.35">
      <c r="A34" s="74">
        <v>10072</v>
      </c>
      <c r="B34" s="73" t="s">
        <v>177</v>
      </c>
      <c r="C34" s="10">
        <f>IFERROR(INDEX('حسابهای دریافتنی'!H:H,MATCH(Table230[[#This Row],[كد تفصيلي]],'حسابهای دریافتنی'!A:A,0)),0)</f>
        <v>55880</v>
      </c>
      <c r="D34" s="11">
        <f>IFERROR(INDEX('درجریان وصول'!F:F,MATCH(Table230[[#This Row],[كد تفصيلي]],'درجریان وصول'!A:A,0)),0)</f>
        <v>0</v>
      </c>
      <c r="E34" s="11">
        <f>IFERROR(INDEX('چکهای دریافتنی'!F:F,MATCH(Table230[[#This Row],[كد تفصيلي]],'چکهای دریافتنی'!A:A,0)),0)</f>
        <v>427700000</v>
      </c>
      <c r="F34" s="11">
        <f>Table230[[#This Row],[حسابهای دریافتنی]]+Table230[[#This Row],[چکهای در جریان وصول]]+Table230[[#This Row],[چکهای نزد صندوق]]</f>
        <v>427755880</v>
      </c>
      <c r="G34" s="12">
        <f>IFERROR(INDEX('مانده سوفاله'!F:F,MATCH(Table230[[#This Row],[كد تفصيلي]],'مانده سوفاله'!A:A,0)),0)</f>
        <v>0</v>
      </c>
    </row>
    <row r="35" spans="1:7" ht="30" customHeight="1" x14ac:dyDescent="0.35">
      <c r="A35" s="74">
        <v>10084</v>
      </c>
      <c r="B35" s="73" t="s">
        <v>217</v>
      </c>
      <c r="C35" s="10">
        <f>IFERROR(INDEX('حسابهای دریافتنی'!H:H,MATCH(Table230[[#This Row],[كد تفصيلي]],'حسابهای دریافتنی'!A:A,0)),0)</f>
        <v>358092810</v>
      </c>
      <c r="D35" s="11">
        <f>IFERROR(INDEX('درجریان وصول'!F:F,MATCH(Table230[[#This Row],[كد تفصيلي]],'درجریان وصول'!A:A,0)),0)</f>
        <v>0</v>
      </c>
      <c r="E35" s="11">
        <f>IFERROR(INDEX('چکهای دریافتنی'!F:F,MATCH(Table230[[#This Row],[كد تفصيلي]],'چکهای دریافتنی'!A:A,0)),0)</f>
        <v>870000000</v>
      </c>
      <c r="F35" s="11">
        <f>Table230[[#This Row],[حسابهای دریافتنی]]+Table230[[#This Row],[چکهای در جریان وصول]]+Table230[[#This Row],[چکهای نزد صندوق]]</f>
        <v>1228092810</v>
      </c>
      <c r="G35" s="12">
        <f>IFERROR(INDEX('مانده سوفاله'!F:F,MATCH(Table230[[#This Row],[كد تفصيلي]],'مانده سوفاله'!A:A,0)),0)</f>
        <v>-1656</v>
      </c>
    </row>
    <row r="36" spans="1:7" ht="30" customHeight="1" x14ac:dyDescent="0.35">
      <c r="A36" s="74">
        <v>10048</v>
      </c>
      <c r="B36" s="73" t="s">
        <v>191</v>
      </c>
      <c r="C36" s="10">
        <f>IFERROR(INDEX('حسابهای دریافتنی'!H:H,MATCH(Table230[[#This Row],[كد تفصيلي]],'حسابهای دریافتنی'!A:A,0)),0)</f>
        <v>0</v>
      </c>
      <c r="D36" s="11">
        <f>IFERROR(INDEX('درجریان وصول'!F:F,MATCH(Table230[[#This Row],[كد تفصيلي]],'درجریان وصول'!A:A,0)),0)</f>
        <v>0</v>
      </c>
      <c r="E36" s="11">
        <f>IFERROR(INDEX('چکهای دریافتنی'!F:F,MATCH(Table230[[#This Row],[كد تفصيلي]],'چکهای دریافتنی'!A:A,0)),0)</f>
        <v>0</v>
      </c>
      <c r="F36" s="11">
        <f>Table230[[#This Row],[حسابهای دریافتنی]]+Table230[[#This Row],[چکهای در جریان وصول]]+Table230[[#This Row],[چکهای نزد صندوق]]</f>
        <v>0</v>
      </c>
      <c r="G36" s="12">
        <f>IFERROR(INDEX('مانده سوفاله'!F:F,MATCH(Table230[[#This Row],[كد تفصيلي]],'مانده سوفاله'!A:A,0)),0)</f>
        <v>-1097</v>
      </c>
    </row>
    <row r="37" spans="1:7" ht="30" customHeight="1" x14ac:dyDescent="0.35">
      <c r="A37" s="74">
        <v>30191</v>
      </c>
      <c r="B37" s="73" t="s">
        <v>460</v>
      </c>
      <c r="C37" s="10">
        <f>IFERROR(INDEX('حسابهای دریافتنی'!H:H,MATCH(Table230[[#This Row],[كد تفصيلي]],'حسابهای دریافتنی'!A:A,0)),0)</f>
        <v>792933000</v>
      </c>
      <c r="D37" s="11">
        <f>IFERROR(INDEX('درجریان وصول'!F:F,MATCH(Table230[[#This Row],[كد تفصيلي]],'درجریان وصول'!A:A,0)),0)</f>
        <v>0</v>
      </c>
      <c r="E37" s="11">
        <f>IFERROR(INDEX('چکهای دریافتنی'!F:F,MATCH(Table230[[#This Row],[كد تفصيلي]],'چکهای دریافتنی'!A:A,0)),0)</f>
        <v>0</v>
      </c>
      <c r="F37" s="11">
        <f>Table230[[#This Row],[حسابهای دریافتنی]]+Table230[[#This Row],[چکهای در جریان وصول]]+Table230[[#This Row],[چکهای نزد صندوق]]</f>
        <v>792933000</v>
      </c>
      <c r="G37" s="12">
        <f>IFERROR(INDEX('مانده سوفاله'!F:F,MATCH(Table230[[#This Row],[كد تفصيلي]],'مانده سوفاله'!A:A,0)),0)</f>
        <v>134</v>
      </c>
    </row>
    <row r="38" spans="1:7" ht="30" customHeight="1" x14ac:dyDescent="0.35">
      <c r="A38" s="74">
        <v>30069</v>
      </c>
      <c r="B38" s="73" t="s">
        <v>114</v>
      </c>
      <c r="C38" s="10">
        <f>IFERROR(INDEX('حسابهای دریافتنی'!H:H,MATCH(Table230[[#This Row],[كد تفصيلي]],'حسابهای دریافتنی'!A:A,0)),0)</f>
        <v>377909400</v>
      </c>
      <c r="D38" s="11">
        <f>IFERROR(INDEX('درجریان وصول'!F:F,MATCH(Table230[[#This Row],[كد تفصيلي]],'درجریان وصول'!A:A,0)),0)</f>
        <v>0</v>
      </c>
      <c r="E38" s="11">
        <f>IFERROR(INDEX('چکهای دریافتنی'!F:F,MATCH(Table230[[#This Row],[كد تفصيلي]],'چکهای دریافتنی'!A:A,0)),0)</f>
        <v>0</v>
      </c>
      <c r="F38" s="11">
        <f>Table230[[#This Row],[حسابهای دریافتنی]]+Table230[[#This Row],[چکهای در جریان وصول]]+Table230[[#This Row],[چکهای نزد صندوق]]</f>
        <v>377909400</v>
      </c>
      <c r="G38" s="12">
        <f>IFERROR(INDEX('مانده سوفاله'!F:F,MATCH(Table230[[#This Row],[كد تفصيلي]],'مانده سوفاله'!A:A,0)),0)</f>
        <v>66</v>
      </c>
    </row>
    <row r="39" spans="1:7" ht="30" customHeight="1" x14ac:dyDescent="0.35">
      <c r="A39" s="74">
        <v>10127</v>
      </c>
      <c r="B39" s="73" t="s">
        <v>371</v>
      </c>
      <c r="C39" s="10">
        <f>IFERROR(INDEX('حسابهای دریافتنی'!H:H,MATCH(Table230[[#This Row],[كد تفصيلي]],'حسابهای دریافتنی'!A:A,0)),0)</f>
        <v>803728000</v>
      </c>
      <c r="D39" s="11">
        <f>IFERROR(INDEX('درجریان وصول'!F:F,MATCH(Table230[[#This Row],[كد تفصيلي]],'درجریان وصول'!A:A,0)),0)</f>
        <v>0</v>
      </c>
      <c r="E39" s="11">
        <f>IFERROR(INDEX('چکهای دریافتنی'!F:F,MATCH(Table230[[#This Row],[كد تفصيلي]],'چکهای دریافتنی'!A:A,0)),0)</f>
        <v>0</v>
      </c>
      <c r="F39" s="11">
        <f>Table230[[#This Row],[حسابهای دریافتنی]]+Table230[[#This Row],[چکهای در جریان وصول]]+Table230[[#This Row],[چکهای نزد صندوق]]</f>
        <v>803728000</v>
      </c>
      <c r="G39" s="12">
        <f>IFERROR(INDEX('مانده سوفاله'!F:F,MATCH(Table230[[#This Row],[كد تفصيلي]],'مانده سوفاله'!A:A,0)),0)</f>
        <v>-1469</v>
      </c>
    </row>
    <row r="40" spans="1:7" ht="30" customHeight="1" x14ac:dyDescent="0.35">
      <c r="A40" s="74">
        <v>30187</v>
      </c>
      <c r="B40" s="73" t="s">
        <v>369</v>
      </c>
      <c r="C40" s="10">
        <f>IFERROR(INDEX('حسابهای دریافتنی'!H:H,MATCH(Table230[[#This Row],[كد تفصيلي]],'حسابهای دریافتنی'!A:A,0)),0)</f>
        <v>337825500</v>
      </c>
      <c r="D40" s="11">
        <f>IFERROR(INDEX('درجریان وصول'!F:F,MATCH(Table230[[#This Row],[كد تفصيلي]],'درجریان وصول'!A:A,0)),0)</f>
        <v>0</v>
      </c>
      <c r="E40" s="11">
        <f>IFERROR(INDEX('چکهای دریافتنی'!F:F,MATCH(Table230[[#This Row],[كد تفصيلي]],'چکهای دریافتنی'!A:A,0)),0)</f>
        <v>0</v>
      </c>
      <c r="F40" s="11">
        <f>Table230[[#This Row],[حسابهای دریافتنی]]+Table230[[#This Row],[چکهای در جریان وصول]]+Table230[[#This Row],[چکهای نزد صندوق]]</f>
        <v>337825500</v>
      </c>
      <c r="G40" s="12">
        <f>IFERROR(INDEX('مانده سوفاله'!F:F,MATCH(Table230[[#This Row],[كد تفصيلي]],'مانده سوفاله'!A:A,0)),0)</f>
        <v>-108</v>
      </c>
    </row>
    <row r="41" spans="1:7" ht="30" customHeight="1" x14ac:dyDescent="0.35">
      <c r="A41" s="74">
        <v>10004</v>
      </c>
      <c r="B41" s="73" t="s">
        <v>11</v>
      </c>
      <c r="C41" s="10">
        <f>IFERROR(INDEX('حسابهای دریافتنی'!H:H,MATCH(Table230[[#This Row],[كد تفصيلي]],'حسابهای دریافتنی'!A:A,0)),0)</f>
        <v>853000</v>
      </c>
      <c r="D41" s="11">
        <f>IFERROR(INDEX('درجریان وصول'!F:F,MATCH(Table230[[#This Row],[كد تفصيلي]],'درجریان وصول'!A:A,0)),0)</f>
        <v>0</v>
      </c>
      <c r="E41" s="11">
        <f>IFERROR(INDEX('چکهای دریافتنی'!F:F,MATCH(Table230[[#This Row],[كد تفصيلي]],'چکهای دریافتنی'!A:A,0)),0)</f>
        <v>341000000</v>
      </c>
      <c r="F41" s="11">
        <f>Table230[[#This Row],[حسابهای دریافتنی]]+Table230[[#This Row],[چکهای در جریان وصول]]+Table230[[#This Row],[چکهای نزد صندوق]]</f>
        <v>341853000</v>
      </c>
      <c r="G41" s="12">
        <f>IFERROR(INDEX('مانده سوفاله'!F:F,MATCH(Table230[[#This Row],[كد تفصيلي]],'مانده سوفاله'!A:A,0)),0)</f>
        <v>-12</v>
      </c>
    </row>
    <row r="42" spans="1:7" ht="30" customHeight="1" x14ac:dyDescent="0.35">
      <c r="A42" s="74">
        <v>10070</v>
      </c>
      <c r="B42" s="73" t="s">
        <v>230</v>
      </c>
      <c r="C42" s="10">
        <f>IFERROR(INDEX('حسابهای دریافتنی'!H:H,MATCH(Table230[[#This Row],[كد تفصيلي]],'حسابهای دریافتنی'!A:A,0)),0)</f>
        <v>508152500</v>
      </c>
      <c r="D42" s="11">
        <f>IFERROR(INDEX('درجریان وصول'!F:F,MATCH(Table230[[#This Row],[كد تفصيلي]],'درجریان وصول'!A:A,0)),0)</f>
        <v>0</v>
      </c>
      <c r="E42" s="11">
        <f>IFERROR(INDEX('چکهای دریافتنی'!F:F,MATCH(Table230[[#This Row],[كد تفصيلي]],'چکهای دریافتنی'!A:A,0)),0)</f>
        <v>570000000</v>
      </c>
      <c r="F42" s="11">
        <f>Table230[[#This Row],[حسابهای دریافتنی]]+Table230[[#This Row],[چکهای در جریان وصول]]+Table230[[#This Row],[چکهای نزد صندوق]]</f>
        <v>1078152500</v>
      </c>
      <c r="G42" s="12">
        <f>IFERROR(INDEX('مانده سوفاله'!F:F,MATCH(Table230[[#This Row],[كد تفصيلي]],'مانده سوفاله'!A:A,0)),0)</f>
        <v>-3170</v>
      </c>
    </row>
    <row r="43" spans="1:7" ht="30" customHeight="1" x14ac:dyDescent="0.35">
      <c r="A43" s="75">
        <v>30070</v>
      </c>
      <c r="B43" s="72" t="s">
        <v>115</v>
      </c>
      <c r="C43" s="10">
        <f>IFERROR(INDEX('حسابهای دریافتنی'!H:H,MATCH(Table230[[#This Row],[كد تفصيلي]],'حسابهای دریافتنی'!A:A,0)),0)</f>
        <v>2651728820</v>
      </c>
      <c r="D43" s="11">
        <f>IFERROR(INDEX('درجریان وصول'!F:F,MATCH(Table230[[#This Row],[كد تفصيلي]],'درجریان وصول'!A:A,0)),0)</f>
        <v>0</v>
      </c>
      <c r="E43" s="11">
        <f>IFERROR(INDEX('چکهای دریافتنی'!F:F,MATCH(Table230[[#This Row],[كد تفصيلي]],'چکهای دریافتنی'!A:A,0)),0)</f>
        <v>3660000000</v>
      </c>
      <c r="F43" s="11">
        <f>Table230[[#This Row],[حسابهای دریافتنی]]+Table230[[#This Row],[چکهای در جریان وصول]]+Table230[[#This Row],[چکهای نزد صندوق]]</f>
        <v>6311728820</v>
      </c>
      <c r="G43" s="12">
        <f>IFERROR(INDEX('مانده سوفاله'!F:F,MATCH(Table230[[#This Row],[كد تفصيلي]],'مانده سوفاله'!A:A,0)),0)</f>
        <v>4378</v>
      </c>
    </row>
    <row r="44" spans="1:7" ht="30" customHeight="1" x14ac:dyDescent="0.35">
      <c r="A44" s="75">
        <v>30162</v>
      </c>
      <c r="B44" s="72" t="s">
        <v>301</v>
      </c>
      <c r="C44" s="10">
        <f>IFERROR(INDEX('حسابهای دریافتنی'!H:H,MATCH(Table230[[#This Row],[كد تفصيلي]],'حسابهای دریافتنی'!A:A,0)),0)</f>
        <v>204890235</v>
      </c>
      <c r="D44" s="11">
        <f>IFERROR(INDEX('درجریان وصول'!F:F,MATCH(Table230[[#This Row],[كد تفصيلي]],'درجریان وصول'!A:A,0)),0)</f>
        <v>0</v>
      </c>
      <c r="E44" s="11">
        <f>IFERROR(INDEX('چکهای دریافتنی'!F:F,MATCH(Table230[[#This Row],[كد تفصيلي]],'چکهای دریافتنی'!A:A,0)),0)</f>
        <v>0</v>
      </c>
      <c r="F44" s="11">
        <f>Table230[[#This Row],[حسابهای دریافتنی]]+Table230[[#This Row],[چکهای در جریان وصول]]+Table230[[#This Row],[چکهای نزد صندوق]]</f>
        <v>204890235</v>
      </c>
      <c r="G44" s="12">
        <f>IFERROR(INDEX('مانده سوفاله'!F:F,MATCH(Table230[[#This Row],[كد تفصيلي]],'مانده سوفاله'!A:A,0)),0)</f>
        <v>-251</v>
      </c>
    </row>
    <row r="45" spans="1:7" ht="30" customHeight="1" x14ac:dyDescent="0.35">
      <c r="A45" s="74">
        <v>30137</v>
      </c>
      <c r="B45" s="73" t="s">
        <v>218</v>
      </c>
      <c r="C45" s="10">
        <f>IFERROR(INDEX('حسابهای دریافتنی'!H:H,MATCH(Table230[[#This Row],[كد تفصيلي]],'حسابهای دریافتنی'!A:A,0)),0)</f>
        <v>0</v>
      </c>
      <c r="D45" s="11">
        <f>IFERROR(INDEX('درجریان وصول'!F:F,MATCH(Table230[[#This Row],[كد تفصيلي]],'درجریان وصول'!A:A,0)),0)</f>
        <v>0</v>
      </c>
      <c r="E45" s="11">
        <f>IFERROR(INDEX('چکهای دریافتنی'!F:F,MATCH(Table230[[#This Row],[كد تفصيلي]],'چکهای دریافتنی'!A:A,0)),0)</f>
        <v>213182200</v>
      </c>
      <c r="F45" s="11">
        <f>Table230[[#This Row],[حسابهای دریافتنی]]+Table230[[#This Row],[چکهای در جریان وصول]]+Table230[[#This Row],[چکهای نزد صندوق]]</f>
        <v>213182200</v>
      </c>
      <c r="G45" s="12">
        <f>IFERROR(INDEX('مانده سوفاله'!F:F,MATCH(Table230[[#This Row],[كد تفصيلي]],'مانده سوفاله'!A:A,0)),0)</f>
        <v>0</v>
      </c>
    </row>
    <row r="46" spans="1:7" ht="30" customHeight="1" x14ac:dyDescent="0.35">
      <c r="A46" s="75">
        <v>30086</v>
      </c>
      <c r="B46" s="72" t="s">
        <v>131</v>
      </c>
      <c r="C46" s="10">
        <f>IFERROR(INDEX('حسابهای دریافتنی'!H:H,MATCH(Table230[[#This Row],[كد تفصيلي]],'حسابهای دریافتنی'!A:A,0)),0)</f>
        <v>187376603</v>
      </c>
      <c r="D46" s="11">
        <f>IFERROR(INDEX('درجریان وصول'!F:F,MATCH(Table230[[#This Row],[كد تفصيلي]],'درجریان وصول'!A:A,0)),0)</f>
        <v>0</v>
      </c>
      <c r="E46" s="11">
        <f>IFERROR(INDEX('چکهای دریافتنی'!F:F,MATCH(Table230[[#This Row],[كد تفصيلي]],'چکهای دریافتنی'!A:A,0)),0)</f>
        <v>0</v>
      </c>
      <c r="F46" s="11">
        <f>Table230[[#This Row],[حسابهای دریافتنی]]+Table230[[#This Row],[چکهای در جریان وصول]]+Table230[[#This Row],[چکهای نزد صندوق]]</f>
        <v>187376603</v>
      </c>
      <c r="G46" s="12">
        <f>IFERROR(INDEX('مانده سوفاله'!F:F,MATCH(Table230[[#This Row],[كد تفصيلي]],'مانده سوفاله'!A:A,0)),0)</f>
        <v>1549</v>
      </c>
    </row>
    <row r="47" spans="1:7" ht="30" customHeight="1" x14ac:dyDescent="0.35">
      <c r="A47" s="75">
        <v>10141</v>
      </c>
      <c r="B47" s="72" t="s">
        <v>532</v>
      </c>
      <c r="C47" s="10">
        <f>IFERROR(INDEX('حسابهای دریافتنی'!H:H,MATCH(Table230[[#This Row],[كد تفصيلي]],'حسابهای دریافتنی'!A:A,0)),0)</f>
        <v>116510000</v>
      </c>
      <c r="D47" s="11">
        <f>IFERROR(INDEX('درجریان وصول'!F:F,MATCH(Table230[[#This Row],[كد تفصيلي]],'درجریان وصول'!A:A,0)),0)</f>
        <v>0</v>
      </c>
      <c r="E47" s="11">
        <f>IFERROR(INDEX('چکهای دریافتنی'!F:F,MATCH(Table230[[#This Row],[كد تفصيلي]],'چکهای دریافتنی'!A:A,0)),0)</f>
        <v>0</v>
      </c>
      <c r="F47" s="11">
        <f>Table230[[#This Row],[حسابهای دریافتنی]]+Table230[[#This Row],[چکهای در جریان وصول]]+Table230[[#This Row],[چکهای نزد صندوق]]</f>
        <v>116510000</v>
      </c>
      <c r="G47" s="12">
        <f>IFERROR(INDEX('مانده سوفاله'!F:F,MATCH(Table230[[#This Row],[كد تفصيلي]],'مانده سوفاله'!A:A,0)),0)</f>
        <v>0</v>
      </c>
    </row>
    <row r="48" spans="1:7" ht="30" customHeight="1" x14ac:dyDescent="0.35">
      <c r="A48" s="75">
        <v>30001</v>
      </c>
      <c r="B48" s="72" t="s">
        <v>190</v>
      </c>
      <c r="C48" s="10">
        <f>IFERROR(INDEX('حسابهای دریافتنی'!H:H,MATCH(Table230[[#This Row],[كد تفصيلي]],'حسابهای دریافتنی'!A:A,0)),0)</f>
        <v>119647176</v>
      </c>
      <c r="D48" s="11">
        <f>IFERROR(INDEX('درجریان وصول'!F:F,MATCH(Table230[[#This Row],[كد تفصيلي]],'درجریان وصول'!A:A,0)),0)</f>
        <v>0</v>
      </c>
      <c r="E48" s="11">
        <f>IFERROR(INDEX('چکهای دریافتنی'!F:F,MATCH(Table230[[#This Row],[كد تفصيلي]],'چکهای دریافتنی'!A:A,0)),0)</f>
        <v>0</v>
      </c>
      <c r="F48" s="11">
        <f>Table230[[#This Row],[حسابهای دریافتنی]]+Table230[[#This Row],[چکهای در جریان وصول]]+Table230[[#This Row],[چکهای نزد صندوق]]</f>
        <v>119647176</v>
      </c>
      <c r="G48" s="12">
        <f>IFERROR(INDEX('مانده سوفاله'!F:F,MATCH(Table230[[#This Row],[كد تفصيلي]],'مانده سوفاله'!A:A,0)),0)</f>
        <v>123</v>
      </c>
    </row>
    <row r="49" spans="1:7" ht="30" customHeight="1" x14ac:dyDescent="0.35">
      <c r="A49" s="74">
        <v>30101</v>
      </c>
      <c r="B49" s="73" t="s">
        <v>196</v>
      </c>
      <c r="C49" s="10">
        <f>IFERROR(INDEX('حسابهای دریافتنی'!H:H,MATCH(Table230[[#This Row],[كد تفصيلي]],'حسابهای دریافتنی'!A:A,0)),0)</f>
        <v>203336095</v>
      </c>
      <c r="D49" s="11">
        <f>IFERROR(INDEX('درجریان وصول'!F:F,MATCH(Table230[[#This Row],[كد تفصيلي]],'درجریان وصول'!A:A,0)),0)</f>
        <v>0</v>
      </c>
      <c r="E49" s="11">
        <f>IFERROR(INDEX('چکهای دریافتنی'!F:F,MATCH(Table230[[#This Row],[كد تفصيلي]],'چکهای دریافتنی'!A:A,0)),0)</f>
        <v>0</v>
      </c>
      <c r="F49" s="11">
        <f>Table230[[#This Row],[حسابهای دریافتنی]]+Table230[[#This Row],[چکهای در جریان وصول]]+Table230[[#This Row],[چکهای نزد صندوق]]</f>
        <v>203336095</v>
      </c>
      <c r="G49" s="12">
        <f>IFERROR(INDEX('مانده سوفاله'!F:F,MATCH(Table230[[#This Row],[كد تفصيلي]],'مانده سوفاله'!A:A,0)),0)</f>
        <v>15</v>
      </c>
    </row>
    <row r="50" spans="1:7" ht="30" customHeight="1" x14ac:dyDescent="0.35">
      <c r="A50" s="74">
        <v>30204</v>
      </c>
      <c r="B50" s="73" t="s">
        <v>530</v>
      </c>
      <c r="C50" s="10">
        <f>IFERROR(INDEX('حسابهای دریافتنی'!H:H,MATCH(Table230[[#This Row],[كد تفصيلي]],'حسابهای دریافتنی'!A:A,0)),0)</f>
        <v>-1354830000</v>
      </c>
      <c r="D50" s="11">
        <f>IFERROR(INDEX('درجریان وصول'!F:F,MATCH(Table230[[#This Row],[كد تفصيلي]],'درجریان وصول'!A:A,0)),0)</f>
        <v>0</v>
      </c>
      <c r="E50" s="11">
        <f>IFERROR(INDEX('چکهای دریافتنی'!F:F,MATCH(Table230[[#This Row],[كد تفصيلي]],'چکهای دریافتنی'!A:A,0)),0)</f>
        <v>0</v>
      </c>
      <c r="F50" s="11">
        <f>Table230[[#This Row],[حسابهای دریافتنی]]+Table230[[#This Row],[چکهای در جریان وصول]]+Table230[[#This Row],[چکهای نزد صندوق]]</f>
        <v>-1354830000</v>
      </c>
      <c r="G50" s="12">
        <f>IFERROR(INDEX('مانده سوفاله'!F:F,MATCH(Table230[[#This Row],[كد تفصيلي]],'مانده سوفاله'!A:A,0)),0)</f>
        <v>0</v>
      </c>
    </row>
    <row r="51" spans="1:7" ht="30" customHeight="1" x14ac:dyDescent="0.35">
      <c r="A51" s="74">
        <v>10133</v>
      </c>
      <c r="B51" s="73" t="s">
        <v>465</v>
      </c>
      <c r="C51" s="10">
        <f>IFERROR(INDEX('حسابهای دریافتنی'!H:H,MATCH(Table230[[#This Row],[كد تفصيلي]],'حسابهای دریافتنی'!A:A,0)),0)</f>
        <v>-1249039000</v>
      </c>
      <c r="D51" s="11">
        <f>IFERROR(INDEX('درجریان وصول'!F:F,MATCH(Table230[[#This Row],[كد تفصيلي]],'درجریان وصول'!A:A,0)),0)</f>
        <v>0</v>
      </c>
      <c r="E51" s="11">
        <f>IFERROR(INDEX('چکهای دریافتنی'!F:F,MATCH(Table230[[#This Row],[كد تفصيلي]],'چکهای دریافتنی'!A:A,0)),0)</f>
        <v>0</v>
      </c>
      <c r="F51" s="11">
        <f>Table230[[#This Row],[حسابهای دریافتنی]]+Table230[[#This Row],[چکهای در جریان وصول]]+Table230[[#This Row],[چکهای نزد صندوق]]</f>
        <v>-1249039000</v>
      </c>
      <c r="G51" s="12">
        <f>IFERROR(INDEX('مانده سوفاله'!F:F,MATCH(Table230[[#This Row],[كد تفصيلي]],'مانده سوفاله'!A:A,0)),0)</f>
        <v>0</v>
      </c>
    </row>
    <row r="52" spans="1:7" ht="30" customHeight="1" x14ac:dyDescent="0.35">
      <c r="A52" s="74">
        <v>30202</v>
      </c>
      <c r="B52" s="73" t="s">
        <v>525</v>
      </c>
      <c r="C52" s="10">
        <f>IFERROR(INDEX('حسابهای دریافتنی'!H:H,MATCH(Table230[[#This Row],[كد تفصيلي]],'حسابهای دریافتنی'!A:A,0)),0)</f>
        <v>0</v>
      </c>
      <c r="D52" s="11">
        <f>IFERROR(INDEX('درجریان وصول'!F:F,MATCH(Table230[[#This Row],[كد تفصيلي]],'درجریان وصول'!A:A,0)),0)</f>
        <v>0</v>
      </c>
      <c r="E52" s="11">
        <f>IFERROR(INDEX('چکهای دریافتنی'!F:F,MATCH(Table230[[#This Row],[كد تفصيلي]],'چکهای دریافتنی'!A:A,0)),0)</f>
        <v>0</v>
      </c>
      <c r="F52" s="11">
        <f>Table230[[#This Row],[حسابهای دریافتنی]]+Table230[[#This Row],[چکهای در جریان وصول]]+Table230[[#This Row],[چکهای نزد صندوق]]</f>
        <v>0</v>
      </c>
      <c r="G52" s="12">
        <f>IFERROR(INDEX('مانده سوفاله'!F:F,MATCH(Table230[[#This Row],[كد تفصيلي]],'مانده سوفاله'!A:A,0)),0)</f>
        <v>1</v>
      </c>
    </row>
    <row r="53" spans="1:7" ht="30" customHeight="1" x14ac:dyDescent="0.35">
      <c r="A53" s="75">
        <v>10091</v>
      </c>
      <c r="B53" s="72" t="s">
        <v>258</v>
      </c>
      <c r="C53" s="10">
        <f>IFERROR(INDEX('حسابهای دریافتنی'!H:H,MATCH(Table230[[#This Row],[كد تفصيلي]],'حسابهای دریافتنی'!A:A,0)),0)</f>
        <v>59321500</v>
      </c>
      <c r="D53" s="11">
        <f>IFERROR(INDEX('درجریان وصول'!F:F,MATCH(Table230[[#This Row],[كد تفصيلي]],'درجریان وصول'!A:A,0)),0)</f>
        <v>0</v>
      </c>
      <c r="E53" s="11">
        <f>IFERROR(INDEX('چکهای دریافتنی'!F:F,MATCH(Table230[[#This Row],[كد تفصيلي]],'چکهای دریافتنی'!A:A,0)),0)</f>
        <v>0</v>
      </c>
      <c r="F53" s="11">
        <f>Table230[[#This Row],[حسابهای دریافتنی]]+Table230[[#This Row],[چکهای در جریان وصول]]+Table230[[#This Row],[چکهای نزد صندوق]]</f>
        <v>59321500</v>
      </c>
      <c r="G53" s="12">
        <f>IFERROR(INDEX('مانده سوفاله'!F:F,MATCH(Table230[[#This Row],[كد تفصيلي]],'مانده سوفاله'!A:A,0)),0)</f>
        <v>0</v>
      </c>
    </row>
    <row r="54" spans="1:7" ht="30" customHeight="1" x14ac:dyDescent="0.35">
      <c r="A54" s="74">
        <v>10104</v>
      </c>
      <c r="B54" s="73" t="s">
        <v>293</v>
      </c>
      <c r="C54" s="10">
        <f>IFERROR(INDEX('حسابهای دریافتنی'!H:H,MATCH(Table230[[#This Row],[كد تفصيلي]],'حسابهای دریافتنی'!A:A,0)),0)</f>
        <v>0</v>
      </c>
      <c r="D54" s="11">
        <f>IFERROR(INDEX('درجریان وصول'!F:F,MATCH(Table230[[#This Row],[كد تفصيلي]],'درجریان وصول'!A:A,0)),0)</f>
        <v>0</v>
      </c>
      <c r="E54" s="11">
        <f>IFERROR(INDEX('چکهای دریافتنی'!F:F,MATCH(Table230[[#This Row],[كد تفصيلي]],'چکهای دریافتنی'!A:A,0)),0)</f>
        <v>0</v>
      </c>
      <c r="F54" s="11">
        <f>Table230[[#This Row],[حسابهای دریافتنی]]+Table230[[#This Row],[چکهای در جریان وصول]]+Table230[[#This Row],[چکهای نزد صندوق]]</f>
        <v>0</v>
      </c>
      <c r="G54" s="12">
        <f>IFERROR(INDEX('مانده سوفاله'!F:F,MATCH(Table230[[#This Row],[كد تفصيلي]],'مانده سوفاله'!A:A,0)),0)</f>
        <v>4065</v>
      </c>
    </row>
    <row r="55" spans="1:7" ht="30" customHeight="1" x14ac:dyDescent="0.35">
      <c r="A55" s="74">
        <v>10096</v>
      </c>
      <c r="B55" s="73" t="s">
        <v>271</v>
      </c>
      <c r="C55" s="10">
        <f>IFERROR(INDEX('حسابهای دریافتنی'!H:H,MATCH(Table230[[#This Row],[كد تفصيلي]],'حسابهای دریافتنی'!A:A,0)),0)</f>
        <v>36455500</v>
      </c>
      <c r="D55" s="11">
        <f>IFERROR(INDEX('درجریان وصول'!F:F,MATCH(Table230[[#This Row],[كد تفصيلي]],'درجریان وصول'!A:A,0)),0)</f>
        <v>0</v>
      </c>
      <c r="E55" s="11">
        <f>IFERROR(INDEX('چکهای دریافتنی'!F:F,MATCH(Table230[[#This Row],[كد تفصيلي]],'چکهای دریافتنی'!A:A,0)),0)</f>
        <v>0</v>
      </c>
      <c r="F55" s="11">
        <f>Table230[[#This Row],[حسابهای دریافتنی]]+Table230[[#This Row],[چکهای در جریان وصول]]+Table230[[#This Row],[چکهای نزد صندوق]]</f>
        <v>36455500</v>
      </c>
      <c r="G55" s="12">
        <f>IFERROR(INDEX('مانده سوفاله'!F:F,MATCH(Table230[[#This Row],[كد تفصيلي]],'مانده سوفاله'!A:A,0)),0)</f>
        <v>0</v>
      </c>
    </row>
    <row r="56" spans="1:7" ht="30" customHeight="1" x14ac:dyDescent="0.35">
      <c r="A56" s="75">
        <v>30025</v>
      </c>
      <c r="B56" s="72" t="s">
        <v>73</v>
      </c>
      <c r="C56" s="10">
        <f>IFERROR(INDEX('حسابهای دریافتنی'!H:H,MATCH(Table230[[#This Row],[كد تفصيلي]],'حسابهای دریافتنی'!A:A,0)),0)</f>
        <v>35598920</v>
      </c>
      <c r="D56" s="11">
        <f>IFERROR(INDEX('درجریان وصول'!F:F,MATCH(Table230[[#This Row],[كد تفصيلي]],'درجریان وصول'!A:A,0)),0)</f>
        <v>0</v>
      </c>
      <c r="E56" s="11">
        <f>IFERROR(INDEX('چکهای دریافتنی'!F:F,MATCH(Table230[[#This Row],[كد تفصيلي]],'چکهای دریافتنی'!A:A,0)),0)</f>
        <v>0</v>
      </c>
      <c r="F56" s="11">
        <f>Table230[[#This Row],[حسابهای دریافتنی]]+Table230[[#This Row],[چکهای در جریان وصول]]+Table230[[#This Row],[چکهای نزد صندوق]]</f>
        <v>35598920</v>
      </c>
      <c r="G56" s="12">
        <f>IFERROR(INDEX('مانده سوفاله'!F:F,MATCH(Table230[[#This Row],[كد تفصيلي]],'مانده سوفاله'!A:A,0)),0)</f>
        <v>-165</v>
      </c>
    </row>
    <row r="57" spans="1:7" ht="30" customHeight="1" x14ac:dyDescent="0.35">
      <c r="A57" s="75">
        <v>30005</v>
      </c>
      <c r="B57" s="72" t="s">
        <v>55</v>
      </c>
      <c r="C57" s="10">
        <f>IFERROR(INDEX('حسابهای دریافتنی'!H:H,MATCH(Table230[[#This Row],[كد تفصيلي]],'حسابهای دریافتنی'!A:A,0)),0)</f>
        <v>35368209</v>
      </c>
      <c r="D57" s="11">
        <f>IFERROR(INDEX('درجریان وصول'!F:F,MATCH(Table230[[#This Row],[كد تفصيلي]],'درجریان وصول'!A:A,0)),0)</f>
        <v>0</v>
      </c>
      <c r="E57" s="11">
        <f>IFERROR(INDEX('چکهای دریافتنی'!F:F,MATCH(Table230[[#This Row],[كد تفصيلي]],'چکهای دریافتنی'!A:A,0)),0)</f>
        <v>0</v>
      </c>
      <c r="F57" s="11">
        <f>Table230[[#This Row],[حسابهای دریافتنی]]+Table230[[#This Row],[چکهای در جریان وصول]]+Table230[[#This Row],[چکهای نزد صندوق]]</f>
        <v>35368209</v>
      </c>
      <c r="G57" s="12">
        <f>IFERROR(INDEX('مانده سوفاله'!F:F,MATCH(Table230[[#This Row],[كد تفصيلي]],'مانده سوفاله'!A:A,0)),0)</f>
        <v>61</v>
      </c>
    </row>
    <row r="58" spans="1:7" ht="30" customHeight="1" x14ac:dyDescent="0.35">
      <c r="A58" s="74">
        <v>30024</v>
      </c>
      <c r="B58" s="73" t="s">
        <v>72</v>
      </c>
      <c r="C58" s="10">
        <f>IFERROR(INDEX('حسابهای دریافتنی'!H:H,MATCH(Table230[[#This Row],[كد تفصيلي]],'حسابهای دریافتنی'!A:A,0)),0)</f>
        <v>16135000</v>
      </c>
      <c r="D58" s="11">
        <f>IFERROR(INDEX('درجریان وصول'!F:F,MATCH(Table230[[#This Row],[كد تفصيلي]],'درجریان وصول'!A:A,0)),0)</f>
        <v>0</v>
      </c>
      <c r="E58" s="11">
        <f>IFERROR(INDEX('چکهای دریافتنی'!F:F,MATCH(Table230[[#This Row],[كد تفصيلي]],'چکهای دریافتنی'!A:A,0)),0)</f>
        <v>0</v>
      </c>
      <c r="F58" s="11">
        <f>Table230[[#This Row],[حسابهای دریافتنی]]+Table230[[#This Row],[چکهای در جریان وصول]]+Table230[[#This Row],[چکهای نزد صندوق]]</f>
        <v>16135000</v>
      </c>
      <c r="G58" s="12">
        <f>IFERROR(INDEX('مانده سوفاله'!F:F,MATCH(Table230[[#This Row],[كد تفصيلي]],'مانده سوفاله'!A:A,0)),0)</f>
        <v>0</v>
      </c>
    </row>
    <row r="59" spans="1:7" ht="30" customHeight="1" x14ac:dyDescent="0.35">
      <c r="A59" s="74">
        <v>30008</v>
      </c>
      <c r="B59" s="73" t="s">
        <v>58</v>
      </c>
      <c r="C59" s="10">
        <f>IFERROR(INDEX('حسابهای دریافتنی'!H:H,MATCH(Table230[[#This Row],[كد تفصيلي]],'حسابهای دریافتنی'!A:A,0)),0)</f>
        <v>15520000</v>
      </c>
      <c r="D59" s="11">
        <f>IFERROR(INDEX('درجریان وصول'!F:F,MATCH(Table230[[#This Row],[كد تفصيلي]],'درجریان وصول'!A:A,0)),0)</f>
        <v>0</v>
      </c>
      <c r="E59" s="11">
        <f>IFERROR(INDEX('چکهای دریافتنی'!F:F,MATCH(Table230[[#This Row],[كد تفصيلي]],'چکهای دریافتنی'!A:A,0)),0)</f>
        <v>0</v>
      </c>
      <c r="F59" s="11">
        <f>Table230[[#This Row],[حسابهای دریافتنی]]+Table230[[#This Row],[چکهای در جریان وصول]]+Table230[[#This Row],[چکهای نزد صندوق]]</f>
        <v>15520000</v>
      </c>
      <c r="G59" s="12">
        <f>IFERROR(INDEX('مانده سوفاله'!F:F,MATCH(Table230[[#This Row],[كد تفصيلي]],'مانده سوفاله'!A:A,0)),0)</f>
        <v>0</v>
      </c>
    </row>
    <row r="60" spans="1:7" ht="30" customHeight="1" x14ac:dyDescent="0.35">
      <c r="A60" s="75">
        <v>10007</v>
      </c>
      <c r="B60" s="72" t="s">
        <v>14</v>
      </c>
      <c r="C60" s="10">
        <f>IFERROR(INDEX('حسابهای دریافتنی'!H:H,MATCH(Table230[[#This Row],[كد تفصيلي]],'حسابهای دریافتنی'!A:A,0)),0)</f>
        <v>12770000</v>
      </c>
      <c r="D60" s="11">
        <f>IFERROR(INDEX('درجریان وصول'!F:F,MATCH(Table230[[#This Row],[كد تفصيلي]],'درجریان وصول'!A:A,0)),0)</f>
        <v>0</v>
      </c>
      <c r="E60" s="11">
        <f>IFERROR(INDEX('چکهای دریافتنی'!F:F,MATCH(Table230[[#This Row],[كد تفصيلي]],'چکهای دریافتنی'!A:A,0)),0)</f>
        <v>0</v>
      </c>
      <c r="F60" s="11">
        <f>Table230[[#This Row],[حسابهای دریافتنی]]+Table230[[#This Row],[چکهای در جریان وصول]]+Table230[[#This Row],[چکهای نزد صندوق]]</f>
        <v>12770000</v>
      </c>
      <c r="G60" s="12">
        <f>IFERROR(INDEX('مانده سوفاله'!F:F,MATCH(Table230[[#This Row],[كد تفصيلي]],'مانده سوفاله'!A:A,0)),0)</f>
        <v>-52.5</v>
      </c>
    </row>
    <row r="61" spans="1:7" ht="30" customHeight="1" x14ac:dyDescent="0.35">
      <c r="A61" s="74">
        <v>30145</v>
      </c>
      <c r="B61" s="73" t="s">
        <v>265</v>
      </c>
      <c r="C61" s="10">
        <f>IFERROR(INDEX('حسابهای دریافتنی'!H:H,MATCH(Table230[[#This Row],[كد تفصيلي]],'حسابهای دریافتنی'!A:A,0)),0)</f>
        <v>6442500</v>
      </c>
      <c r="D61" s="11">
        <f>IFERROR(INDEX('درجریان وصول'!F:F,MATCH(Table230[[#This Row],[كد تفصيلي]],'درجریان وصول'!A:A,0)),0)</f>
        <v>0</v>
      </c>
      <c r="E61" s="11">
        <f>IFERROR(INDEX('چکهای دریافتنی'!F:F,MATCH(Table230[[#This Row],[كد تفصيلي]],'چکهای دریافتنی'!A:A,0)),0)</f>
        <v>0</v>
      </c>
      <c r="F61" s="11">
        <f>Table230[[#This Row],[حسابهای دریافتنی]]+Table230[[#This Row],[چکهای در جریان وصول]]+Table230[[#This Row],[چکهای نزد صندوق]]</f>
        <v>6442500</v>
      </c>
      <c r="G61" s="12">
        <f>IFERROR(INDEX('مانده سوفاله'!F:F,MATCH(Table230[[#This Row],[كد تفصيلي]],'مانده سوفاله'!A:A,0)),0)</f>
        <v>0</v>
      </c>
    </row>
    <row r="62" spans="1:7" ht="30" customHeight="1" x14ac:dyDescent="0.35">
      <c r="A62" s="75">
        <v>30047</v>
      </c>
      <c r="B62" s="72" t="s">
        <v>94</v>
      </c>
      <c r="C62" s="10">
        <f>IFERROR(INDEX('حسابهای دریافتنی'!H:H,MATCH(Table230[[#This Row],[كد تفصيلي]],'حسابهای دریافتنی'!A:A,0)),0)</f>
        <v>5794900</v>
      </c>
      <c r="D62" s="11">
        <f>IFERROR(INDEX('درجریان وصول'!F:F,MATCH(Table230[[#This Row],[كد تفصيلي]],'درجریان وصول'!A:A,0)),0)</f>
        <v>0</v>
      </c>
      <c r="E62" s="11">
        <f>IFERROR(INDEX('چکهای دریافتنی'!F:F,MATCH(Table230[[#This Row],[كد تفصيلي]],'چکهای دریافتنی'!A:A,0)),0)</f>
        <v>0</v>
      </c>
      <c r="F62" s="11">
        <f>Table230[[#This Row],[حسابهای دریافتنی]]+Table230[[#This Row],[چکهای در جریان وصول]]+Table230[[#This Row],[چکهای نزد صندوق]]</f>
        <v>5794900</v>
      </c>
      <c r="G62" s="12">
        <f>IFERROR(INDEX('مانده سوفاله'!F:F,MATCH(Table230[[#This Row],[كد تفصيلي]],'مانده سوفاله'!A:A,0)),0)</f>
        <v>-630</v>
      </c>
    </row>
    <row r="63" spans="1:7" ht="30" customHeight="1" x14ac:dyDescent="0.35">
      <c r="A63" s="74">
        <v>30026</v>
      </c>
      <c r="B63" s="73" t="s">
        <v>74</v>
      </c>
      <c r="C63" s="10">
        <f>IFERROR(INDEX('حسابهای دریافتنی'!H:H,MATCH(Table230[[#This Row],[كد تفصيلي]],'حسابهای دریافتنی'!A:A,0)),0)</f>
        <v>5689439</v>
      </c>
      <c r="D63" s="11">
        <f>IFERROR(INDEX('درجریان وصول'!F:F,MATCH(Table230[[#This Row],[كد تفصيلي]],'درجریان وصول'!A:A,0)),0)</f>
        <v>0</v>
      </c>
      <c r="E63" s="11">
        <f>IFERROR(INDEX('چکهای دریافتنی'!F:F,MATCH(Table230[[#This Row],[كد تفصيلي]],'چکهای دریافتنی'!A:A,0)),0)</f>
        <v>0</v>
      </c>
      <c r="F63" s="11">
        <f>Table230[[#This Row],[حسابهای دریافتنی]]+Table230[[#This Row],[چکهای در جریان وصول]]+Table230[[#This Row],[چکهای نزد صندوق]]</f>
        <v>5689439</v>
      </c>
      <c r="G63" s="12">
        <f>IFERROR(INDEX('مانده سوفاله'!F:F,MATCH(Table230[[#This Row],[كد تفصيلي]],'مانده سوفاله'!A:A,0)),0)</f>
        <v>764</v>
      </c>
    </row>
    <row r="64" spans="1:7" ht="30" customHeight="1" x14ac:dyDescent="0.35">
      <c r="A64" s="75">
        <v>30011</v>
      </c>
      <c r="B64" s="72" t="s">
        <v>60</v>
      </c>
      <c r="C64" s="10">
        <f>IFERROR(INDEX('حسابهای دریافتنی'!H:H,MATCH(Table230[[#This Row],[كد تفصيلي]],'حسابهای دریافتنی'!A:A,0)),0)</f>
        <v>5595200</v>
      </c>
      <c r="D64" s="11">
        <f>IFERROR(INDEX('درجریان وصول'!F:F,MATCH(Table230[[#This Row],[كد تفصيلي]],'درجریان وصول'!A:A,0)),0)</f>
        <v>0</v>
      </c>
      <c r="E64" s="11">
        <f>IFERROR(INDEX('چکهای دریافتنی'!F:F,MATCH(Table230[[#This Row],[كد تفصيلي]],'چکهای دریافتنی'!A:A,0)),0)</f>
        <v>0</v>
      </c>
      <c r="F64" s="11">
        <f>Table230[[#This Row],[حسابهای دریافتنی]]+Table230[[#This Row],[چکهای در جریان وصول]]+Table230[[#This Row],[چکهای نزد صندوق]]</f>
        <v>5595200</v>
      </c>
      <c r="G64" s="12">
        <f>IFERROR(INDEX('مانده سوفاله'!F:F,MATCH(Table230[[#This Row],[كد تفصيلي]],'مانده سوفاله'!A:A,0)),0)</f>
        <v>-5</v>
      </c>
    </row>
    <row r="65" spans="1:7" ht="30" customHeight="1" x14ac:dyDescent="0.35">
      <c r="A65" s="74">
        <v>10080</v>
      </c>
      <c r="B65" s="73" t="s">
        <v>214</v>
      </c>
      <c r="C65" s="10">
        <f>IFERROR(INDEX('حسابهای دریافتنی'!H:H,MATCH(Table230[[#This Row],[كد تفصيلي]],'حسابهای دریافتنی'!A:A,0)),0)</f>
        <v>5395000</v>
      </c>
      <c r="D65" s="11">
        <f>IFERROR(INDEX('درجریان وصول'!F:F,MATCH(Table230[[#This Row],[كد تفصيلي]],'درجریان وصول'!A:A,0)),0)</f>
        <v>0</v>
      </c>
      <c r="E65" s="11">
        <f>IFERROR(INDEX('چکهای دریافتنی'!F:F,MATCH(Table230[[#This Row],[كد تفصيلي]],'چکهای دریافتنی'!A:A,0)),0)</f>
        <v>0</v>
      </c>
      <c r="F65" s="11">
        <f>Table230[[#This Row],[حسابهای دریافتنی]]+Table230[[#This Row],[چکهای در جریان وصول]]+Table230[[#This Row],[چکهای نزد صندوق]]</f>
        <v>5395000</v>
      </c>
      <c r="G65" s="12">
        <f>IFERROR(INDEX('مانده سوفاله'!F:F,MATCH(Table230[[#This Row],[كد تفصيلي]],'مانده سوفاله'!A:A,0)),0)</f>
        <v>0</v>
      </c>
    </row>
    <row r="66" spans="1:7" ht="30" customHeight="1" x14ac:dyDescent="0.35">
      <c r="A66" s="75">
        <v>30114</v>
      </c>
      <c r="B66" s="72" t="s">
        <v>175</v>
      </c>
      <c r="C66" s="10">
        <f>IFERROR(INDEX('حسابهای دریافتنی'!H:H,MATCH(Table230[[#This Row],[كد تفصيلي]],'حسابهای دریافتنی'!A:A,0)),0)</f>
        <v>5385600</v>
      </c>
      <c r="D66" s="11">
        <f>IFERROR(INDEX('درجریان وصول'!F:F,MATCH(Table230[[#This Row],[كد تفصيلي]],'درجریان وصول'!A:A,0)),0)</f>
        <v>0</v>
      </c>
      <c r="E66" s="11">
        <f>IFERROR(INDEX('چکهای دریافتنی'!F:F,MATCH(Table230[[#This Row],[كد تفصيلي]],'چکهای دریافتنی'!A:A,0)),0)</f>
        <v>0</v>
      </c>
      <c r="F66" s="11">
        <f>Table230[[#This Row],[حسابهای دریافتنی]]+Table230[[#This Row],[چکهای در جریان وصول]]+Table230[[#This Row],[چکهای نزد صندوق]]</f>
        <v>5385600</v>
      </c>
      <c r="G66" s="12">
        <f>IFERROR(INDEX('مانده سوفاله'!F:F,MATCH(Table230[[#This Row],[كد تفصيلي]],'مانده سوفاله'!A:A,0)),0)</f>
        <v>0</v>
      </c>
    </row>
    <row r="67" spans="1:7" ht="30" customHeight="1" x14ac:dyDescent="0.35">
      <c r="A67" s="74">
        <v>30123</v>
      </c>
      <c r="B67" s="73" t="s">
        <v>208</v>
      </c>
      <c r="C67" s="10">
        <f>IFERROR(INDEX('حسابهای دریافتنی'!H:H,MATCH(Table230[[#This Row],[كد تفصيلي]],'حسابهای دریافتنی'!A:A,0)),0)</f>
        <v>4138250</v>
      </c>
      <c r="D67" s="11">
        <f>IFERROR(INDEX('درجریان وصول'!F:F,MATCH(Table230[[#This Row],[كد تفصيلي]],'درجریان وصول'!A:A,0)),0)</f>
        <v>0</v>
      </c>
      <c r="E67" s="11">
        <f>IFERROR(INDEX('چکهای دریافتنی'!F:F,MATCH(Table230[[#This Row],[كد تفصيلي]],'چکهای دریافتنی'!A:A,0)),0)</f>
        <v>0</v>
      </c>
      <c r="F67" s="11">
        <f>Table230[[#This Row],[حسابهای دریافتنی]]+Table230[[#This Row],[چکهای در جریان وصول]]+Table230[[#This Row],[چکهای نزد صندوق]]</f>
        <v>4138250</v>
      </c>
      <c r="G67" s="12">
        <f>IFERROR(INDEX('مانده سوفاله'!F:F,MATCH(Table230[[#This Row],[كد تفصيلي]],'مانده سوفاله'!A:A,0)),0)</f>
        <v>-20</v>
      </c>
    </row>
    <row r="68" spans="1:7" ht="30" customHeight="1" x14ac:dyDescent="0.35">
      <c r="A68" s="75">
        <v>10116</v>
      </c>
      <c r="B68" s="72" t="s">
        <v>321</v>
      </c>
      <c r="C68" s="10">
        <f>IFERROR(INDEX('حسابهای دریافتنی'!H:H,MATCH(Table230[[#This Row],[كد تفصيلي]],'حسابهای دریافتنی'!A:A,0)),0)</f>
        <v>3892500</v>
      </c>
      <c r="D68" s="11">
        <f>IFERROR(INDEX('درجریان وصول'!F:F,MATCH(Table230[[#This Row],[كد تفصيلي]],'درجریان وصول'!A:A,0)),0)</f>
        <v>0</v>
      </c>
      <c r="E68" s="11">
        <f>IFERROR(INDEX('چکهای دریافتنی'!F:F,MATCH(Table230[[#This Row],[كد تفصيلي]],'چکهای دریافتنی'!A:A,0)),0)</f>
        <v>0</v>
      </c>
      <c r="F68" s="11">
        <f>Table230[[#This Row],[حسابهای دریافتنی]]+Table230[[#This Row],[چکهای در جریان وصول]]+Table230[[#This Row],[چکهای نزد صندوق]]</f>
        <v>3892500</v>
      </c>
      <c r="G68" s="12">
        <f>IFERROR(INDEX('مانده سوفاله'!F:F,MATCH(Table230[[#This Row],[كد تفصيلي]],'مانده سوفاله'!A:A,0)),0)</f>
        <v>0</v>
      </c>
    </row>
    <row r="69" spans="1:7" ht="30" customHeight="1" x14ac:dyDescent="0.35">
      <c r="A69" s="75">
        <v>10122</v>
      </c>
      <c r="B69" s="72" t="s">
        <v>339</v>
      </c>
      <c r="C69" s="10">
        <f>IFERROR(INDEX('حسابهای دریافتنی'!H:H,MATCH(Table230[[#This Row],[كد تفصيلي]],'حسابهای دریافتنی'!A:A,0)),0)</f>
        <v>3375000</v>
      </c>
      <c r="D69" s="11">
        <f>IFERROR(INDEX('درجریان وصول'!F:F,MATCH(Table230[[#This Row],[كد تفصيلي]],'درجریان وصول'!A:A,0)),0)</f>
        <v>0</v>
      </c>
      <c r="E69" s="11">
        <f>IFERROR(INDEX('چکهای دریافتنی'!F:F,MATCH(Table230[[#This Row],[كد تفصيلي]],'چکهای دریافتنی'!A:A,0)),0)</f>
        <v>0</v>
      </c>
      <c r="F69" s="11">
        <f>Table230[[#This Row],[حسابهای دریافتنی]]+Table230[[#This Row],[چکهای در جریان وصول]]+Table230[[#This Row],[چکهای نزد صندوق]]</f>
        <v>3375000</v>
      </c>
      <c r="G69" s="12">
        <f>IFERROR(INDEX('مانده سوفاله'!F:F,MATCH(Table230[[#This Row],[كد تفصيلي]],'مانده سوفاله'!A:A,0)),0)</f>
        <v>0</v>
      </c>
    </row>
    <row r="70" spans="1:7" ht="30" customHeight="1" x14ac:dyDescent="0.35">
      <c r="A70" s="74">
        <v>10030</v>
      </c>
      <c r="B70" s="73" t="s">
        <v>36</v>
      </c>
      <c r="C70" s="10">
        <f>IFERROR(INDEX('حسابهای دریافتنی'!H:H,MATCH(Table230[[#This Row],[كد تفصيلي]],'حسابهای دریافتنی'!A:A,0)),0)</f>
        <v>3272000</v>
      </c>
      <c r="D70" s="11">
        <f>IFERROR(INDEX('درجریان وصول'!F:F,MATCH(Table230[[#This Row],[كد تفصيلي]],'درجریان وصول'!A:A,0)),0)</f>
        <v>0</v>
      </c>
      <c r="E70" s="11">
        <f>IFERROR(INDEX('چکهای دریافتنی'!F:F,MATCH(Table230[[#This Row],[كد تفصيلي]],'چکهای دریافتنی'!A:A,0)),0)</f>
        <v>0</v>
      </c>
      <c r="F70" s="11">
        <f>Table230[[#This Row],[حسابهای دریافتنی]]+Table230[[#This Row],[چکهای در جریان وصول]]+Table230[[#This Row],[چکهای نزد صندوق]]</f>
        <v>3272000</v>
      </c>
      <c r="G70" s="12">
        <f>IFERROR(INDEX('مانده سوفاله'!F:F,MATCH(Table230[[#This Row],[كد تفصيلي]],'مانده سوفاله'!A:A,0)),0)</f>
        <v>-222</v>
      </c>
    </row>
    <row r="71" spans="1:7" ht="30" customHeight="1" x14ac:dyDescent="0.35">
      <c r="A71" s="75">
        <v>30178</v>
      </c>
      <c r="B71" s="72" t="s">
        <v>335</v>
      </c>
      <c r="C71" s="10">
        <f>IFERROR(INDEX('حسابهای دریافتنی'!H:H,MATCH(Table230[[#This Row],[كد تفصيلي]],'حسابهای دریافتنی'!A:A,0)),0)</f>
        <v>3040000</v>
      </c>
      <c r="D71" s="11">
        <f>IFERROR(INDEX('درجریان وصول'!F:F,MATCH(Table230[[#This Row],[كد تفصيلي]],'درجریان وصول'!A:A,0)),0)</f>
        <v>0</v>
      </c>
      <c r="E71" s="11">
        <f>IFERROR(INDEX('چکهای دریافتنی'!F:F,MATCH(Table230[[#This Row],[كد تفصيلي]],'چکهای دریافتنی'!A:A,0)),0)</f>
        <v>0</v>
      </c>
      <c r="F71" s="11">
        <f>Table230[[#This Row],[حسابهای دریافتنی]]+Table230[[#This Row],[چکهای در جریان وصول]]+Table230[[#This Row],[چکهای نزد صندوق]]</f>
        <v>3040000</v>
      </c>
      <c r="G71" s="12">
        <f>IFERROR(INDEX('مانده سوفاله'!F:F,MATCH(Table230[[#This Row],[كد تفصيلي]],'مانده سوفاله'!A:A,0)),0)</f>
        <v>0</v>
      </c>
    </row>
    <row r="72" spans="1:7" ht="30" customHeight="1" x14ac:dyDescent="0.35">
      <c r="A72" s="74">
        <v>30020</v>
      </c>
      <c r="B72" s="73" t="s">
        <v>68</v>
      </c>
      <c r="C72" s="10">
        <f>IFERROR(INDEX('حسابهای دریافتنی'!H:H,MATCH(Table230[[#This Row],[كد تفصيلي]],'حسابهای دریافتنی'!A:A,0)),0)</f>
        <v>2253500</v>
      </c>
      <c r="D72" s="11">
        <f>IFERROR(INDEX('درجریان وصول'!F:F,MATCH(Table230[[#This Row],[كد تفصيلي]],'درجریان وصول'!A:A,0)),0)</f>
        <v>0</v>
      </c>
      <c r="E72" s="11">
        <f>IFERROR(INDEX('چکهای دریافتنی'!F:F,MATCH(Table230[[#This Row],[كد تفصيلي]],'چکهای دریافتنی'!A:A,0)),0)</f>
        <v>0</v>
      </c>
      <c r="F72" s="11">
        <f>Table230[[#This Row],[حسابهای دریافتنی]]+Table230[[#This Row],[چکهای در جریان وصول]]+Table230[[#This Row],[چکهای نزد صندوق]]</f>
        <v>2253500</v>
      </c>
      <c r="G72" s="12">
        <f>IFERROR(INDEX('مانده سوفاله'!F:F,MATCH(Table230[[#This Row],[كد تفصيلي]],'مانده سوفاله'!A:A,0)),0)</f>
        <v>4</v>
      </c>
    </row>
    <row r="73" spans="1:7" ht="30" customHeight="1" x14ac:dyDescent="0.35">
      <c r="A73" s="75">
        <v>30084</v>
      </c>
      <c r="B73" s="72" t="s">
        <v>129</v>
      </c>
      <c r="C73" s="10">
        <f>IFERROR(INDEX('حسابهای دریافتنی'!H:H,MATCH(Table230[[#This Row],[كد تفصيلي]],'حسابهای دریافتنی'!A:A,0)),0)</f>
        <v>1220000</v>
      </c>
      <c r="D73" s="11">
        <f>IFERROR(INDEX('درجریان وصول'!F:F,MATCH(Table230[[#This Row],[كد تفصيلي]],'درجریان وصول'!A:A,0)),0)</f>
        <v>0</v>
      </c>
      <c r="E73" s="11">
        <f>IFERROR(INDEX('چکهای دریافتنی'!F:F,MATCH(Table230[[#This Row],[كد تفصيلي]],'چکهای دریافتنی'!A:A,0)),0)</f>
        <v>0</v>
      </c>
      <c r="F73" s="11">
        <f>Table230[[#This Row],[حسابهای دریافتنی]]+Table230[[#This Row],[چکهای در جریان وصول]]+Table230[[#This Row],[چکهای نزد صندوق]]</f>
        <v>1220000</v>
      </c>
      <c r="G73" s="12">
        <f>IFERROR(INDEX('مانده سوفاله'!F:F,MATCH(Table230[[#This Row],[كد تفصيلي]],'مانده سوفاله'!A:A,0)),0)</f>
        <v>0</v>
      </c>
    </row>
    <row r="74" spans="1:7" ht="30" customHeight="1" x14ac:dyDescent="0.35">
      <c r="A74" s="74">
        <v>79055</v>
      </c>
      <c r="B74" s="73" t="s">
        <v>297</v>
      </c>
      <c r="C74" s="10">
        <f>IFERROR(INDEX('حسابهای دریافتنی'!H:H,MATCH(Table230[[#This Row],[كد تفصيلي]],'حسابهای دریافتنی'!A:A,0)),0)</f>
        <v>896500</v>
      </c>
      <c r="D74" s="11">
        <f>IFERROR(INDEX('درجریان وصول'!F:F,MATCH(Table230[[#This Row],[كد تفصيلي]],'درجریان وصول'!A:A,0)),0)</f>
        <v>0</v>
      </c>
      <c r="E74" s="11">
        <f>IFERROR(INDEX('چکهای دریافتنی'!F:F,MATCH(Table230[[#This Row],[كد تفصيلي]],'چکهای دریافتنی'!A:A,0)),0)</f>
        <v>0</v>
      </c>
      <c r="F74" s="11">
        <f>Table230[[#This Row],[حسابهای دریافتنی]]+Table230[[#This Row],[چکهای در جریان وصول]]+Table230[[#This Row],[چکهای نزد صندوق]]</f>
        <v>896500</v>
      </c>
      <c r="G74" s="12">
        <f>IFERROR(INDEX('مانده سوفاله'!F:F,MATCH(Table230[[#This Row],[كد تفصيلي]],'مانده سوفاله'!A:A,0)),0)</f>
        <v>0</v>
      </c>
    </row>
    <row r="75" spans="1:7" ht="30" customHeight="1" x14ac:dyDescent="0.35">
      <c r="A75" s="74">
        <v>30030</v>
      </c>
      <c r="B75" s="73" t="s">
        <v>77</v>
      </c>
      <c r="C75" s="10">
        <f>IFERROR(INDEX('حسابهای دریافتنی'!H:H,MATCH(Table230[[#This Row],[كد تفصيلي]],'حسابهای دریافتنی'!A:A,0)),0)</f>
        <v>850500</v>
      </c>
      <c r="D75" s="11">
        <f>IFERROR(INDEX('درجریان وصول'!F:F,MATCH(Table230[[#This Row],[كد تفصيلي]],'درجریان وصول'!A:A,0)),0)</f>
        <v>0</v>
      </c>
      <c r="E75" s="11">
        <f>IFERROR(INDEX('چکهای دریافتنی'!F:F,MATCH(Table230[[#This Row],[كد تفصيلي]],'چکهای دریافتنی'!A:A,0)),0)</f>
        <v>0</v>
      </c>
      <c r="F75" s="11">
        <f>Table230[[#This Row],[حسابهای دریافتنی]]+Table230[[#This Row],[چکهای در جریان وصول]]+Table230[[#This Row],[چکهای نزد صندوق]]</f>
        <v>850500</v>
      </c>
      <c r="G75" s="12">
        <f>IFERROR(INDEX('مانده سوفاله'!F:F,MATCH(Table230[[#This Row],[كد تفصيلي]],'مانده سوفاله'!A:A,0)),0)</f>
        <v>-49</v>
      </c>
    </row>
    <row r="76" spans="1:7" ht="30" customHeight="1" x14ac:dyDescent="0.35">
      <c r="A76" s="74">
        <v>30129</v>
      </c>
      <c r="B76" s="73" t="s">
        <v>178</v>
      </c>
      <c r="C76" s="10">
        <f>IFERROR(INDEX('حسابهای دریافتنی'!H:H,MATCH(Table230[[#This Row],[كد تفصيلي]],'حسابهای دریافتنی'!A:A,0)),0)</f>
        <v>783000</v>
      </c>
      <c r="D76" s="11">
        <f>IFERROR(INDEX('درجریان وصول'!F:F,MATCH(Table230[[#This Row],[كد تفصيلي]],'درجریان وصول'!A:A,0)),0)</f>
        <v>0</v>
      </c>
      <c r="E76" s="11">
        <f>IFERROR(INDEX('چکهای دریافتنی'!F:F,MATCH(Table230[[#This Row],[كد تفصيلي]],'چکهای دریافتنی'!A:A,0)),0)</f>
        <v>0</v>
      </c>
      <c r="F76" s="11">
        <f>Table230[[#This Row],[حسابهای دریافتنی]]+Table230[[#This Row],[چکهای در جریان وصول]]+Table230[[#This Row],[چکهای نزد صندوق]]</f>
        <v>783000</v>
      </c>
      <c r="G76" s="12">
        <f>IFERROR(INDEX('مانده سوفاله'!F:F,MATCH(Table230[[#This Row],[كد تفصيلي]],'مانده سوفاله'!A:A,0)),0)</f>
        <v>0</v>
      </c>
    </row>
    <row r="77" spans="1:7" ht="30" customHeight="1" x14ac:dyDescent="0.35">
      <c r="A77" s="75">
        <v>30090</v>
      </c>
      <c r="B77" s="72" t="s">
        <v>144</v>
      </c>
      <c r="C77" s="10">
        <f>IFERROR(INDEX('حسابهای دریافتنی'!H:H,MATCH(Table230[[#This Row],[كد تفصيلي]],'حسابهای دریافتنی'!A:A,0)),0)</f>
        <v>640100</v>
      </c>
      <c r="D77" s="11">
        <f>IFERROR(INDEX('درجریان وصول'!F:F,MATCH(Table230[[#This Row],[كد تفصيلي]],'درجریان وصول'!A:A,0)),0)</f>
        <v>0</v>
      </c>
      <c r="E77" s="11">
        <f>IFERROR(INDEX('چکهای دریافتنی'!F:F,MATCH(Table230[[#This Row],[كد تفصيلي]],'چکهای دریافتنی'!A:A,0)),0)</f>
        <v>0</v>
      </c>
      <c r="F77" s="11">
        <f>Table230[[#This Row],[حسابهای دریافتنی]]+Table230[[#This Row],[چکهای در جریان وصول]]+Table230[[#This Row],[چکهای نزد صندوق]]</f>
        <v>640100</v>
      </c>
      <c r="G77" s="12">
        <f>IFERROR(INDEX('مانده سوفاله'!F:F,MATCH(Table230[[#This Row],[كد تفصيلي]],'مانده سوفاله'!A:A,0)),0)</f>
        <v>0</v>
      </c>
    </row>
    <row r="78" spans="1:7" ht="30" customHeight="1" x14ac:dyDescent="0.35">
      <c r="A78" s="74">
        <v>30109</v>
      </c>
      <c r="B78" s="73" t="s">
        <v>165</v>
      </c>
      <c r="C78" s="10">
        <f>IFERROR(INDEX('حسابهای دریافتنی'!H:H,MATCH(Table230[[#This Row],[كد تفصيلي]],'حسابهای دریافتنی'!A:A,0)),0)</f>
        <v>607300</v>
      </c>
      <c r="D78" s="11">
        <f>IFERROR(INDEX('درجریان وصول'!F:F,MATCH(Table230[[#This Row],[كد تفصيلي]],'درجریان وصول'!A:A,0)),0)</f>
        <v>0</v>
      </c>
      <c r="E78" s="11">
        <f>IFERROR(INDEX('چکهای دریافتنی'!F:F,MATCH(Table230[[#This Row],[كد تفصيلي]],'چکهای دریافتنی'!A:A,0)),0)</f>
        <v>0</v>
      </c>
      <c r="F78" s="11">
        <f>Table230[[#This Row],[حسابهای دریافتنی]]+Table230[[#This Row],[چکهای در جریان وصول]]+Table230[[#This Row],[چکهای نزد صندوق]]</f>
        <v>607300</v>
      </c>
      <c r="G78" s="12">
        <f>IFERROR(INDEX('مانده سوفاله'!F:F,MATCH(Table230[[#This Row],[كد تفصيلي]],'مانده سوفاله'!A:A,0)),0)</f>
        <v>0</v>
      </c>
    </row>
    <row r="79" spans="1:7" ht="30" customHeight="1" x14ac:dyDescent="0.35">
      <c r="A79" s="74">
        <v>30010</v>
      </c>
      <c r="B79" s="73" t="s">
        <v>59</v>
      </c>
      <c r="C79" s="10">
        <f>IFERROR(INDEX('حسابهای دریافتنی'!H:H,MATCH(Table230[[#This Row],[كد تفصيلي]],'حسابهای دریافتنی'!A:A,0)),0)</f>
        <v>366215</v>
      </c>
      <c r="D79" s="11">
        <f>IFERROR(INDEX('درجریان وصول'!F:F,MATCH(Table230[[#This Row],[كد تفصيلي]],'درجریان وصول'!A:A,0)),0)</f>
        <v>0</v>
      </c>
      <c r="E79" s="11">
        <f>IFERROR(INDEX('چکهای دریافتنی'!F:F,MATCH(Table230[[#This Row],[كد تفصيلي]],'چکهای دریافتنی'!A:A,0)),0)</f>
        <v>0</v>
      </c>
      <c r="F79" s="11">
        <f>Table230[[#This Row],[حسابهای دریافتنی]]+Table230[[#This Row],[چکهای در جریان وصول]]+Table230[[#This Row],[چکهای نزد صندوق]]</f>
        <v>366215</v>
      </c>
      <c r="G79" s="12">
        <f>IFERROR(INDEX('مانده سوفاله'!F:F,MATCH(Table230[[#This Row],[كد تفصيلي]],'مانده سوفاله'!A:A,0)),0)</f>
        <v>8</v>
      </c>
    </row>
    <row r="80" spans="1:7" ht="30" customHeight="1" x14ac:dyDescent="0.35">
      <c r="A80" s="74">
        <v>30077</v>
      </c>
      <c r="B80" s="73" t="s">
        <v>122</v>
      </c>
      <c r="C80" s="10">
        <f>IFERROR(INDEX('حسابهای دریافتنی'!H:H,MATCH(Table230[[#This Row],[كد تفصيلي]],'حسابهای دریافتنی'!A:A,0)),0)</f>
        <v>360000</v>
      </c>
      <c r="D80" s="11">
        <f>IFERROR(INDEX('درجریان وصول'!F:F,MATCH(Table230[[#This Row],[كد تفصيلي]],'درجریان وصول'!A:A,0)),0)</f>
        <v>0</v>
      </c>
      <c r="E80" s="11">
        <f>IFERROR(INDEX('چکهای دریافتنی'!F:F,MATCH(Table230[[#This Row],[كد تفصيلي]],'چکهای دریافتنی'!A:A,0)),0)</f>
        <v>0</v>
      </c>
      <c r="F80" s="11">
        <f>Table230[[#This Row],[حسابهای دریافتنی]]+Table230[[#This Row],[چکهای در جریان وصول]]+Table230[[#This Row],[چکهای نزد صندوق]]</f>
        <v>360000</v>
      </c>
      <c r="G80" s="12">
        <f>IFERROR(INDEX('مانده سوفاله'!F:F,MATCH(Table230[[#This Row],[كد تفصيلي]],'مانده سوفاله'!A:A,0)),0)</f>
        <v>-32</v>
      </c>
    </row>
    <row r="81" spans="1:7" ht="30" customHeight="1" x14ac:dyDescent="0.35">
      <c r="A81" s="75">
        <v>30027</v>
      </c>
      <c r="B81" s="72" t="s">
        <v>75</v>
      </c>
      <c r="C81" s="10">
        <f>IFERROR(INDEX('حسابهای دریافتنی'!H:H,MATCH(Table230[[#This Row],[كد تفصيلي]],'حسابهای دریافتنی'!A:A,0)),0)</f>
        <v>326950</v>
      </c>
      <c r="D81" s="11">
        <f>IFERROR(INDEX('درجریان وصول'!F:F,MATCH(Table230[[#This Row],[كد تفصيلي]],'درجریان وصول'!A:A,0)),0)</f>
        <v>0</v>
      </c>
      <c r="E81" s="11">
        <f>IFERROR(INDEX('چکهای دریافتنی'!F:F,MATCH(Table230[[#This Row],[كد تفصيلي]],'چکهای دریافتنی'!A:A,0)),0)</f>
        <v>0</v>
      </c>
      <c r="F81" s="11">
        <f>Table230[[#This Row],[حسابهای دریافتنی]]+Table230[[#This Row],[چکهای در جریان وصول]]+Table230[[#This Row],[چکهای نزد صندوق]]</f>
        <v>326950</v>
      </c>
      <c r="G81" s="12">
        <f>IFERROR(INDEX('مانده سوفاله'!F:F,MATCH(Table230[[#This Row],[كد تفصيلي]],'مانده سوفاله'!A:A,0)),0)</f>
        <v>0</v>
      </c>
    </row>
    <row r="82" spans="1:7" ht="30" customHeight="1" x14ac:dyDescent="0.35">
      <c r="A82" s="74">
        <v>30135</v>
      </c>
      <c r="B82" s="73" t="s">
        <v>179</v>
      </c>
      <c r="C82" s="10">
        <f>IFERROR(INDEX('حسابهای دریافتنی'!H:H,MATCH(Table230[[#This Row],[كد تفصيلي]],'حسابهای دریافتنی'!A:A,0)),0)</f>
        <v>195000</v>
      </c>
      <c r="D82" s="11">
        <f>IFERROR(INDEX('درجریان وصول'!F:F,MATCH(Table230[[#This Row],[كد تفصيلي]],'درجریان وصول'!A:A,0)),0)</f>
        <v>0</v>
      </c>
      <c r="E82" s="11">
        <f>IFERROR(INDEX('چکهای دریافتنی'!F:F,MATCH(Table230[[#This Row],[كد تفصيلي]],'چکهای دریافتنی'!A:A,0)),0)</f>
        <v>0</v>
      </c>
      <c r="F82" s="11">
        <f>Table230[[#This Row],[حسابهای دریافتنی]]+Table230[[#This Row],[چکهای در جریان وصول]]+Table230[[#This Row],[چکهای نزد صندوق]]</f>
        <v>195000</v>
      </c>
      <c r="G82" s="12">
        <f>IFERROR(INDEX('مانده سوفاله'!F:F,MATCH(Table230[[#This Row],[كد تفصيلي]],'مانده سوفاله'!A:A,0)),0)</f>
        <v>-5</v>
      </c>
    </row>
    <row r="83" spans="1:7" ht="30" customHeight="1" x14ac:dyDescent="0.35">
      <c r="A83" s="74">
        <v>10088</v>
      </c>
      <c r="B83" s="73" t="s">
        <v>254</v>
      </c>
      <c r="C83" s="10">
        <f>IFERROR(INDEX('حسابهای دریافتنی'!H:H,MATCH(Table230[[#This Row],[كد تفصيلي]],'حسابهای دریافتنی'!A:A,0)),0)</f>
        <v>113500</v>
      </c>
      <c r="D83" s="11">
        <f>IFERROR(INDEX('درجریان وصول'!F:F,MATCH(Table230[[#This Row],[كد تفصيلي]],'درجریان وصول'!A:A,0)),0)</f>
        <v>0</v>
      </c>
      <c r="E83" s="11">
        <f>IFERROR(INDEX('چکهای دریافتنی'!F:F,MATCH(Table230[[#This Row],[كد تفصيلي]],'چکهای دریافتنی'!A:A,0)),0)</f>
        <v>0</v>
      </c>
      <c r="F83" s="11">
        <f>Table230[[#This Row],[حسابهای دریافتنی]]+Table230[[#This Row],[چکهای در جریان وصول]]+Table230[[#This Row],[چکهای نزد صندوق]]</f>
        <v>113500</v>
      </c>
      <c r="G83" s="12">
        <f>IFERROR(INDEX('مانده سوفاله'!F:F,MATCH(Table230[[#This Row],[كد تفصيلي]],'مانده سوفاله'!A:A,0)),0)</f>
        <v>0</v>
      </c>
    </row>
    <row r="84" spans="1:7" ht="30" customHeight="1" x14ac:dyDescent="0.35">
      <c r="A84" s="74">
        <v>10092</v>
      </c>
      <c r="B84" s="73" t="s">
        <v>260</v>
      </c>
      <c r="C84" s="10">
        <f>IFERROR(INDEX('حسابهای دریافتنی'!H:H,MATCH(Table230[[#This Row],[كد تفصيلي]],'حسابهای دریافتنی'!A:A,0)),0)</f>
        <v>-1749946500</v>
      </c>
      <c r="D84" s="11">
        <f>IFERROR(INDEX('درجریان وصول'!F:F,MATCH(Table230[[#This Row],[كد تفصيلي]],'درجریان وصول'!A:A,0)),0)</f>
        <v>0</v>
      </c>
      <c r="E84" s="11">
        <f>IFERROR(INDEX('چکهای دریافتنی'!F:F,MATCH(Table230[[#This Row],[كد تفصيلي]],'چکهای دریافتنی'!A:A,0)),0)</f>
        <v>300000000</v>
      </c>
      <c r="F84" s="11">
        <f>Table230[[#This Row],[حسابهای دریافتنی]]+Table230[[#This Row],[چکهای در جریان وصول]]+Table230[[#This Row],[چکهای نزد صندوق]]</f>
        <v>-1449946500</v>
      </c>
      <c r="G84" s="12">
        <f>IFERROR(INDEX('مانده سوفاله'!F:F,MATCH(Table230[[#This Row],[كد تفصيلي]],'مانده سوفاله'!A:A,0)),0)</f>
        <v>0</v>
      </c>
    </row>
    <row r="85" spans="1:7" ht="30" customHeight="1" x14ac:dyDescent="0.35">
      <c r="A85" s="74">
        <v>10010</v>
      </c>
      <c r="B85" s="73" t="s">
        <v>17</v>
      </c>
      <c r="C85" s="10">
        <f>IFERROR(INDEX('حسابهای دریافتنی'!H:H,MATCH(Table230[[#This Row],[كد تفصيلي]],'حسابهای دریافتنی'!A:A,0)),0)</f>
        <v>0</v>
      </c>
      <c r="D85" s="11">
        <f>IFERROR(INDEX('درجریان وصول'!F:F,MATCH(Table230[[#This Row],[كد تفصيلي]],'درجریان وصول'!A:A,0)),0)</f>
        <v>0</v>
      </c>
      <c r="E85" s="11">
        <f>IFERROR(INDEX('چکهای دریافتنی'!F:F,MATCH(Table230[[#This Row],[كد تفصيلي]],'چکهای دریافتنی'!A:A,0)),0)</f>
        <v>0</v>
      </c>
      <c r="F85" s="11">
        <f>Table230[[#This Row],[حسابهای دریافتنی]]+Table230[[#This Row],[چکهای در جریان وصول]]+Table230[[#This Row],[چکهای نزد صندوق]]</f>
        <v>0</v>
      </c>
      <c r="G85" s="12">
        <f>IFERROR(INDEX('مانده سوفاله'!F:F,MATCH(Table230[[#This Row],[كد تفصيلي]],'مانده سوفاله'!A:A,0)),0)</f>
        <v>8</v>
      </c>
    </row>
    <row r="86" spans="1:7" ht="30" customHeight="1" x14ac:dyDescent="0.35">
      <c r="A86" s="74">
        <v>10014</v>
      </c>
      <c r="B86" s="73" t="s">
        <v>21</v>
      </c>
      <c r="C86" s="10">
        <f>IFERROR(INDEX('حسابهای دریافتنی'!H:H,MATCH(Table230[[#This Row],[كد تفصيلي]],'حسابهای دریافتنی'!A:A,0)),0)</f>
        <v>0</v>
      </c>
      <c r="D86" s="11">
        <f>IFERROR(INDEX('درجریان وصول'!F:F,MATCH(Table230[[#This Row],[كد تفصيلي]],'درجریان وصول'!A:A,0)),0)</f>
        <v>0</v>
      </c>
      <c r="E86" s="11">
        <f>IFERROR(INDEX('چکهای دریافتنی'!F:F,MATCH(Table230[[#This Row],[كد تفصيلي]],'چکهای دریافتنی'!A:A,0)),0)</f>
        <v>0</v>
      </c>
      <c r="F86" s="11">
        <f>Table230[[#This Row],[حسابهای دریافتنی]]+Table230[[#This Row],[چکهای در جریان وصول]]+Table230[[#This Row],[چکهای نزد صندوق]]</f>
        <v>0</v>
      </c>
      <c r="G86" s="12">
        <f>IFERROR(INDEX('مانده سوفاله'!F:F,MATCH(Table230[[#This Row],[كد تفصيلي]],'مانده سوفاله'!A:A,0)),0)</f>
        <v>21</v>
      </c>
    </row>
    <row r="87" spans="1:7" ht="30" customHeight="1" x14ac:dyDescent="0.35">
      <c r="A87" s="75">
        <v>10019</v>
      </c>
      <c r="B87" s="72" t="s">
        <v>26</v>
      </c>
      <c r="C87" s="10">
        <f>IFERROR(INDEX('حسابهای دریافتنی'!H:H,MATCH(Table230[[#This Row],[كد تفصيلي]],'حسابهای دریافتنی'!A:A,0)),0)</f>
        <v>0</v>
      </c>
      <c r="D87" s="11">
        <f>IFERROR(INDEX('درجریان وصول'!F:F,MATCH(Table230[[#This Row],[كد تفصيلي]],'درجریان وصول'!A:A,0)),0)</f>
        <v>0</v>
      </c>
      <c r="E87" s="11">
        <f>IFERROR(INDEX('چکهای دریافتنی'!F:F,MATCH(Table230[[#This Row],[كد تفصيلي]],'چکهای دریافتنی'!A:A,0)),0)</f>
        <v>0</v>
      </c>
      <c r="F87" s="11">
        <f>Table230[[#This Row],[حسابهای دریافتنی]]+Table230[[#This Row],[چکهای در جریان وصول]]+Table230[[#This Row],[چکهای نزد صندوق]]</f>
        <v>0</v>
      </c>
      <c r="G87" s="12">
        <f>IFERROR(INDEX('مانده سوفاله'!F:F,MATCH(Table230[[#This Row],[كد تفصيلي]],'مانده سوفاله'!A:A,0)),0)</f>
        <v>285</v>
      </c>
    </row>
    <row r="88" spans="1:7" ht="30" customHeight="1" x14ac:dyDescent="0.35">
      <c r="A88" s="75">
        <v>10023</v>
      </c>
      <c r="B88" s="72" t="s">
        <v>155</v>
      </c>
      <c r="C88" s="10">
        <f>IFERROR(INDEX('حسابهای دریافتنی'!H:H,MATCH(Table230[[#This Row],[كد تفصيلي]],'حسابهای دریافتنی'!A:A,0)),0)</f>
        <v>0</v>
      </c>
      <c r="D88" s="11">
        <f>IFERROR(INDEX('درجریان وصول'!F:F,MATCH(Table230[[#This Row],[كد تفصيلي]],'درجریان وصول'!A:A,0)),0)</f>
        <v>0</v>
      </c>
      <c r="E88" s="11">
        <f>IFERROR(INDEX('چکهای دریافتنی'!F:F,MATCH(Table230[[#This Row],[كد تفصيلي]],'چکهای دریافتنی'!A:A,0)),0)</f>
        <v>0</v>
      </c>
      <c r="F88" s="11">
        <f>Table230[[#This Row],[حسابهای دریافتنی]]+Table230[[#This Row],[چکهای در جریان وصول]]+Table230[[#This Row],[چکهای نزد صندوق]]</f>
        <v>0</v>
      </c>
      <c r="G88" s="12">
        <f>IFERROR(INDEX('مانده سوفاله'!F:F,MATCH(Table230[[#This Row],[كد تفصيلي]],'مانده سوفاله'!A:A,0)),0)</f>
        <v>6</v>
      </c>
    </row>
    <row r="89" spans="1:7" customFormat="1" ht="30" customHeight="1" x14ac:dyDescent="0.35">
      <c r="A89" s="76">
        <v>10039</v>
      </c>
      <c r="B89" s="72" t="s">
        <v>45</v>
      </c>
      <c r="C89" s="10">
        <f>IFERROR(INDEX('حسابهای دریافتنی'!H:H,MATCH(Table230[[#This Row],[كد تفصيلي]],'حسابهای دریافتنی'!A:A,0)),0)</f>
        <v>0</v>
      </c>
      <c r="D89" s="11">
        <f>IFERROR(INDEX('درجریان وصول'!F:F,MATCH(Table230[[#This Row],[كد تفصيلي]],'درجریان وصول'!A:A,0)),0)</f>
        <v>0</v>
      </c>
      <c r="E89" s="11">
        <f>IFERROR(INDEX('چکهای دریافتنی'!F:F,MATCH(Table230[[#This Row],[كد تفصيلي]],'چکهای دریافتنی'!A:A,0)),0)</f>
        <v>0</v>
      </c>
      <c r="F89" s="11">
        <f>Table230[[#This Row],[حسابهای دریافتنی]]+Table230[[#This Row],[چکهای در جریان وصول]]+Table230[[#This Row],[چکهای نزد صندوق]]</f>
        <v>0</v>
      </c>
      <c r="G89" s="12">
        <f>IFERROR(INDEX('مانده سوفاله'!F:F,MATCH(Table230[[#This Row],[كد تفصيلي]],'مانده سوفاله'!A:A,0)),0)</f>
        <v>4</v>
      </c>
    </row>
    <row r="90" spans="1:7" customFormat="1" ht="30" customHeight="1" x14ac:dyDescent="0.35">
      <c r="A90" s="77">
        <v>10046</v>
      </c>
      <c r="B90" s="73" t="s">
        <v>51</v>
      </c>
      <c r="C90" s="10">
        <f>IFERROR(INDEX('حسابهای دریافتنی'!H:H,MATCH(Table230[[#This Row],[كد تفصيلي]],'حسابهای دریافتنی'!A:A,0)),0)</f>
        <v>0</v>
      </c>
      <c r="D90" s="11">
        <f>IFERROR(INDEX('درجریان وصول'!F:F,MATCH(Table230[[#This Row],[كد تفصيلي]],'درجریان وصول'!A:A,0)),0)</f>
        <v>0</v>
      </c>
      <c r="E90" s="11">
        <f>IFERROR(INDEX('چکهای دریافتنی'!F:F,MATCH(Table230[[#This Row],[كد تفصيلي]],'چکهای دریافتنی'!A:A,0)),0)</f>
        <v>0</v>
      </c>
      <c r="F90" s="11">
        <f>Table230[[#This Row],[حسابهای دریافتنی]]+Table230[[#This Row],[چکهای در جریان وصول]]+Table230[[#This Row],[چکهای نزد صندوق]]</f>
        <v>0</v>
      </c>
      <c r="G90" s="12">
        <f>IFERROR(INDEX('مانده سوفاله'!F:F,MATCH(Table230[[#This Row],[كد تفصيلي]],'مانده سوفاله'!A:A,0)),0)</f>
        <v>118</v>
      </c>
    </row>
    <row r="91" spans="1:7" customFormat="1" ht="30" customHeight="1" x14ac:dyDescent="0.35">
      <c r="A91" s="76">
        <v>10065</v>
      </c>
      <c r="B91" s="72" t="s">
        <v>228</v>
      </c>
      <c r="C91" s="10">
        <f>IFERROR(INDEX('حسابهای دریافتنی'!H:H,MATCH(Table230[[#This Row],[كد تفصيلي]],'حسابهای دریافتنی'!A:A,0)),0)</f>
        <v>0</v>
      </c>
      <c r="D91" s="11">
        <f>IFERROR(INDEX('درجریان وصول'!F:F,MATCH(Table230[[#This Row],[كد تفصيلي]],'درجریان وصول'!A:A,0)),0)</f>
        <v>0</v>
      </c>
      <c r="E91" s="11">
        <f>IFERROR(INDEX('چکهای دریافتنی'!F:F,MATCH(Table230[[#This Row],[كد تفصيلي]],'چکهای دریافتنی'!A:A,0)),0)</f>
        <v>0</v>
      </c>
      <c r="F91" s="11">
        <f>Table230[[#This Row],[حسابهای دریافتنی]]+Table230[[#This Row],[چکهای در جریان وصول]]+Table230[[#This Row],[چکهای نزد صندوق]]</f>
        <v>0</v>
      </c>
      <c r="G91" s="12">
        <f>IFERROR(INDEX('مانده سوفاله'!F:F,MATCH(Table230[[#This Row],[كد تفصيلي]],'مانده سوفاله'!A:A,0)),0)</f>
        <v>127</v>
      </c>
    </row>
    <row r="92" spans="1:7" ht="30" customHeight="1" x14ac:dyDescent="0.35">
      <c r="A92" s="77">
        <v>10076</v>
      </c>
      <c r="B92" s="73" t="s">
        <v>182</v>
      </c>
      <c r="C92" s="10">
        <f>IFERROR(INDEX('حسابهای دریافتنی'!H:H,MATCH(Table230[[#This Row],[كد تفصيلي]],'حسابهای دریافتنی'!A:A,0)),0)</f>
        <v>0</v>
      </c>
      <c r="D92" s="11">
        <f>IFERROR(INDEX('درجریان وصول'!F:F,MATCH(Table230[[#This Row],[كد تفصيلي]],'درجریان وصول'!A:A,0)),0)</f>
        <v>0</v>
      </c>
      <c r="E92" s="11">
        <f>IFERROR(INDEX('چکهای دریافتنی'!F:F,MATCH(Table230[[#This Row],[كد تفصيلي]],'چکهای دریافتنی'!A:A,0)),0)</f>
        <v>0</v>
      </c>
      <c r="F92" s="11">
        <f>Table230[[#This Row],[حسابهای دریافتنی]]+Table230[[#This Row],[چکهای در جریان وصول]]+Table230[[#This Row],[چکهای نزد صندوق]]</f>
        <v>0</v>
      </c>
      <c r="G92" s="12">
        <f>IFERROR(INDEX('مانده سوفاله'!F:F,MATCH(Table230[[#This Row],[كد تفصيلي]],'مانده سوفاله'!A:A,0)),0)</f>
        <v>-13</v>
      </c>
    </row>
    <row r="93" spans="1:7" ht="30" customHeight="1" x14ac:dyDescent="0.35">
      <c r="A93" s="75">
        <v>30031</v>
      </c>
      <c r="B93" s="72" t="s">
        <v>78</v>
      </c>
      <c r="C93" s="10">
        <f>IFERROR(INDEX('حسابهای دریافتنی'!H:H,MATCH(Table230[[#This Row],[كد تفصيلي]],'حسابهای دریافتنی'!A:A,0)),0)</f>
        <v>0</v>
      </c>
      <c r="D93" s="11">
        <f>IFERROR(INDEX('درجریان وصول'!F:F,MATCH(Table230[[#This Row],[كد تفصيلي]],'درجریان وصول'!A:A,0)),0)</f>
        <v>0</v>
      </c>
      <c r="E93" s="11">
        <f>IFERROR(INDEX('چکهای دریافتنی'!F:F,MATCH(Table230[[#This Row],[كد تفصيلي]],'چکهای دریافتنی'!A:A,0)),0)</f>
        <v>0</v>
      </c>
      <c r="F93" s="11">
        <f>Table230[[#This Row],[حسابهای دریافتنی]]+Table230[[#This Row],[چکهای در جریان وصول]]+Table230[[#This Row],[چکهای نزد صندوق]]</f>
        <v>0</v>
      </c>
      <c r="G93" s="12">
        <f>IFERROR(INDEX('مانده سوفاله'!F:F,MATCH(Table230[[#This Row],[كد تفصيلي]],'مانده سوفاله'!A:A,0)),0)</f>
        <v>-1</v>
      </c>
    </row>
    <row r="94" spans="1:7" ht="30" customHeight="1" x14ac:dyDescent="0.35">
      <c r="A94" s="74">
        <v>30055</v>
      </c>
      <c r="B94" s="73" t="s">
        <v>100</v>
      </c>
      <c r="C94" s="10">
        <f>IFERROR(INDEX('حسابهای دریافتنی'!H:H,MATCH(Table230[[#This Row],[كد تفصيلي]],'حسابهای دریافتنی'!A:A,0)),0)</f>
        <v>0</v>
      </c>
      <c r="D94" s="11">
        <f>IFERROR(INDEX('درجریان وصول'!F:F,MATCH(Table230[[#This Row],[كد تفصيلي]],'درجریان وصول'!A:A,0)),0)</f>
        <v>0</v>
      </c>
      <c r="E94" s="11">
        <f>IFERROR(INDEX('چکهای دریافتنی'!F:F,MATCH(Table230[[#This Row],[كد تفصيلي]],'چکهای دریافتنی'!A:A,0)),0)</f>
        <v>0</v>
      </c>
      <c r="F94" s="11">
        <f>Table230[[#This Row],[حسابهای دریافتنی]]+Table230[[#This Row],[چکهای در جریان وصول]]+Table230[[#This Row],[چکهای نزد صندوق]]</f>
        <v>0</v>
      </c>
      <c r="G94" s="12">
        <f>IFERROR(INDEX('مانده سوفاله'!F:F,MATCH(Table230[[#This Row],[كد تفصيلي]],'مانده سوفاله'!A:A,0)),0)</f>
        <v>48</v>
      </c>
    </row>
    <row r="95" spans="1:7" ht="30" customHeight="1" x14ac:dyDescent="0.35">
      <c r="A95" s="74">
        <v>30065</v>
      </c>
      <c r="B95" s="73" t="s">
        <v>110</v>
      </c>
      <c r="C95" s="10">
        <f>IFERROR(INDEX('حسابهای دریافتنی'!H:H,MATCH(Table230[[#This Row],[كد تفصيلي]],'حسابهای دریافتنی'!A:A,0)),0)</f>
        <v>0</v>
      </c>
      <c r="D95" s="11">
        <f>IFERROR(INDEX('درجریان وصول'!F:F,MATCH(Table230[[#This Row],[كد تفصيلي]],'درجریان وصول'!A:A,0)),0)</f>
        <v>0</v>
      </c>
      <c r="E95" s="11">
        <f>IFERROR(INDEX('چکهای دریافتنی'!F:F,MATCH(Table230[[#This Row],[كد تفصيلي]],'چکهای دریافتنی'!A:A,0)),0)</f>
        <v>0</v>
      </c>
      <c r="F95" s="11">
        <f>Table230[[#This Row],[حسابهای دریافتنی]]+Table230[[#This Row],[چکهای در جریان وصول]]+Table230[[#This Row],[چکهای نزد صندوق]]</f>
        <v>0</v>
      </c>
      <c r="G95" s="12">
        <f>IFERROR(INDEX('مانده سوفاله'!F:F,MATCH(Table230[[#This Row],[كد تفصيلي]],'مانده سوفاله'!A:A,0)),0)</f>
        <v>33</v>
      </c>
    </row>
    <row r="96" spans="1:7" ht="30" customHeight="1" x14ac:dyDescent="0.35">
      <c r="A96" s="74">
        <v>30071</v>
      </c>
      <c r="B96" s="73" t="s">
        <v>116</v>
      </c>
      <c r="C96" s="10">
        <f>IFERROR(INDEX('حسابهای دریافتنی'!H:H,MATCH(Table230[[#This Row],[كد تفصيلي]],'حسابهای دریافتنی'!A:A,0)),0)</f>
        <v>0</v>
      </c>
      <c r="D96" s="11">
        <f>IFERROR(INDEX('درجریان وصول'!F:F,MATCH(Table230[[#This Row],[كد تفصيلي]],'درجریان وصول'!A:A,0)),0)</f>
        <v>0</v>
      </c>
      <c r="E96" s="11">
        <f>IFERROR(INDEX('چکهای دریافتنی'!F:F,MATCH(Table230[[#This Row],[كد تفصيلي]],'چکهای دریافتنی'!A:A,0)),0)</f>
        <v>0</v>
      </c>
      <c r="F96" s="11">
        <f>Table230[[#This Row],[حسابهای دریافتنی]]+Table230[[#This Row],[چکهای در جریان وصول]]+Table230[[#This Row],[چکهای نزد صندوق]]</f>
        <v>0</v>
      </c>
      <c r="G96" s="12">
        <f>IFERROR(INDEX('مانده سوفاله'!F:F,MATCH(Table230[[#This Row],[كد تفصيلي]],'مانده سوفاله'!A:A,0)),0)</f>
        <v>3</v>
      </c>
    </row>
    <row r="97" spans="1:7" ht="30" customHeight="1" x14ac:dyDescent="0.35">
      <c r="A97" s="74">
        <v>30079</v>
      </c>
      <c r="B97" s="73" t="s">
        <v>124</v>
      </c>
      <c r="C97" s="10">
        <f>IFERROR(INDEX('حسابهای دریافتنی'!H:H,MATCH(Table230[[#This Row],[كد تفصيلي]],'حسابهای دریافتنی'!A:A,0)),0)</f>
        <v>0</v>
      </c>
      <c r="D97" s="11">
        <f>IFERROR(INDEX('درجریان وصول'!F:F,MATCH(Table230[[#This Row],[كد تفصيلي]],'درجریان وصول'!A:A,0)),0)</f>
        <v>0</v>
      </c>
      <c r="E97" s="11">
        <f>IFERROR(INDEX('چکهای دریافتنی'!F:F,MATCH(Table230[[#This Row],[كد تفصيلي]],'چکهای دریافتنی'!A:A,0)),0)</f>
        <v>0</v>
      </c>
      <c r="F97" s="11">
        <f>Table230[[#This Row],[حسابهای دریافتنی]]+Table230[[#This Row],[چکهای در جریان وصول]]+Table230[[#This Row],[چکهای نزد صندوق]]</f>
        <v>0</v>
      </c>
      <c r="G97" s="12">
        <f>IFERROR(INDEX('مانده سوفاله'!F:F,MATCH(Table230[[#This Row],[كد تفصيلي]],'مانده سوفاله'!A:A,0)),0)</f>
        <v>-85</v>
      </c>
    </row>
    <row r="98" spans="1:7" ht="30" customHeight="1" x14ac:dyDescent="0.35">
      <c r="A98" s="74">
        <v>30097</v>
      </c>
      <c r="B98" s="73" t="s">
        <v>188</v>
      </c>
      <c r="C98" s="10">
        <f>IFERROR(INDEX('حسابهای دریافتنی'!H:H,MATCH(Table230[[#This Row],[كد تفصيلي]],'حسابهای دریافتنی'!A:A,0)),0)</f>
        <v>0</v>
      </c>
      <c r="D98" s="11">
        <f>IFERROR(INDEX('درجریان وصول'!F:F,MATCH(Table230[[#This Row],[كد تفصيلي]],'درجریان وصول'!A:A,0)),0)</f>
        <v>0</v>
      </c>
      <c r="E98" s="11">
        <f>IFERROR(INDEX('چکهای دریافتنی'!F:F,MATCH(Table230[[#This Row],[كد تفصيلي]],'چکهای دریافتنی'!A:A,0)),0)</f>
        <v>0</v>
      </c>
      <c r="F98" s="11">
        <f>Table230[[#This Row],[حسابهای دریافتنی]]+Table230[[#This Row],[چکهای در جریان وصول]]+Table230[[#This Row],[چکهای نزد صندوق]]</f>
        <v>0</v>
      </c>
      <c r="G98" s="12">
        <f>IFERROR(INDEX('مانده سوفاله'!F:F,MATCH(Table230[[#This Row],[كد تفصيلي]],'مانده سوفاله'!A:A,0)),0)</f>
        <v>-82</v>
      </c>
    </row>
    <row r="99" spans="1:7" ht="30" customHeight="1" x14ac:dyDescent="0.35">
      <c r="A99" s="75">
        <v>30118</v>
      </c>
      <c r="B99" s="72" t="s">
        <v>205</v>
      </c>
      <c r="C99" s="10">
        <f>IFERROR(INDEX('حسابهای دریافتنی'!H:H,MATCH(Table230[[#This Row],[كد تفصيلي]],'حسابهای دریافتنی'!A:A,0)),0)</f>
        <v>0</v>
      </c>
      <c r="D99" s="11">
        <f>IFERROR(INDEX('درجریان وصول'!F:F,MATCH(Table230[[#This Row],[كد تفصيلي]],'درجریان وصول'!A:A,0)),0)</f>
        <v>0</v>
      </c>
      <c r="E99" s="11">
        <f>IFERROR(INDEX('چکهای دریافتنی'!F:F,MATCH(Table230[[#This Row],[كد تفصيلي]],'چکهای دریافتنی'!A:A,0)),0)</f>
        <v>0</v>
      </c>
      <c r="F99" s="11">
        <f>Table230[[#This Row],[حسابهای دریافتنی]]+Table230[[#This Row],[چکهای در جریان وصول]]+Table230[[#This Row],[چکهای نزد صندوق]]</f>
        <v>0</v>
      </c>
      <c r="G99" s="12">
        <f>IFERROR(INDEX('مانده سوفاله'!F:F,MATCH(Table230[[#This Row],[كد تفصيلي]],'مانده سوفاله'!A:A,0)),0)</f>
        <v>-20</v>
      </c>
    </row>
    <row r="100" spans="1:7" ht="30" customHeight="1" x14ac:dyDescent="0.35">
      <c r="A100" s="74">
        <v>30141</v>
      </c>
      <c r="B100" s="73" t="s">
        <v>261</v>
      </c>
      <c r="C100" s="10">
        <f>IFERROR(INDEX('حسابهای دریافتنی'!H:H,MATCH(Table230[[#This Row],[كد تفصيلي]],'حسابهای دریافتنی'!A:A,0)),0)</f>
        <v>0</v>
      </c>
      <c r="D100" s="11">
        <f>IFERROR(INDEX('درجریان وصول'!F:F,MATCH(Table230[[#This Row],[كد تفصيلي]],'درجریان وصول'!A:A,0)),0)</f>
        <v>0</v>
      </c>
      <c r="E100" s="11">
        <f>IFERROR(INDEX('چکهای دریافتنی'!F:F,MATCH(Table230[[#This Row],[كد تفصيلي]],'چکهای دریافتنی'!A:A,0)),0)</f>
        <v>0</v>
      </c>
      <c r="F100" s="11">
        <f>Table230[[#This Row],[حسابهای دریافتنی]]+Table230[[#This Row],[چکهای در جریان وصول]]+Table230[[#This Row],[چکهای نزد صندوق]]</f>
        <v>0</v>
      </c>
      <c r="G100" s="12">
        <f>IFERROR(INDEX('مانده سوفاله'!F:F,MATCH(Table230[[#This Row],[كد تفصيلي]],'مانده سوفاله'!A:A,0)),0)</f>
        <v>-42</v>
      </c>
    </row>
    <row r="101" spans="1:7" ht="30" customHeight="1" x14ac:dyDescent="0.35">
      <c r="A101" s="75">
        <v>30160</v>
      </c>
      <c r="B101" s="72" t="s">
        <v>296</v>
      </c>
      <c r="C101" s="10">
        <f>IFERROR(INDEX('حسابهای دریافتنی'!H:H,MATCH(Table230[[#This Row],[كد تفصيلي]],'حسابهای دریافتنی'!A:A,0)),0)</f>
        <v>0</v>
      </c>
      <c r="D101" s="11">
        <f>IFERROR(INDEX('درجریان وصول'!F:F,MATCH(Table230[[#This Row],[كد تفصيلي]],'درجریان وصول'!A:A,0)),0)</f>
        <v>0</v>
      </c>
      <c r="E101" s="11">
        <f>IFERROR(INDEX('چکهای دریافتنی'!F:F,MATCH(Table230[[#This Row],[كد تفصيلي]],'چکهای دریافتنی'!A:A,0)),0)</f>
        <v>0</v>
      </c>
      <c r="F101" s="11">
        <f>Table230[[#This Row],[حسابهای دریافتنی]]+Table230[[#This Row],[چکهای در جریان وصول]]+Table230[[#This Row],[چکهای نزد صندوق]]</f>
        <v>0</v>
      </c>
      <c r="G101" s="12">
        <f>IFERROR(INDEX('مانده سوفاله'!F:F,MATCH(Table230[[#This Row],[كد تفصيلي]],'مانده سوفاله'!A:A,0)),0)</f>
        <v>-425</v>
      </c>
    </row>
    <row r="102" spans="1:7" ht="30" customHeight="1" x14ac:dyDescent="0.35">
      <c r="A102" s="74">
        <v>79010</v>
      </c>
      <c r="B102" s="73" t="s">
        <v>176</v>
      </c>
      <c r="C102" s="10">
        <f>IFERROR(INDEX('حسابهای دریافتنی'!H:H,MATCH(Table230[[#This Row],[كد تفصيلي]],'حسابهای دریافتنی'!A:A,0)),0)</f>
        <v>0</v>
      </c>
      <c r="D102" s="11">
        <f>IFERROR(INDEX('درجریان وصول'!F:F,MATCH(Table230[[#This Row],[كد تفصيلي]],'درجریان وصول'!A:A,0)),0)</f>
        <v>0</v>
      </c>
      <c r="E102" s="11">
        <f>IFERROR(INDEX('چکهای دریافتنی'!F:F,MATCH(Table230[[#This Row],[كد تفصيلي]],'چکهای دریافتنی'!A:A,0)),0)</f>
        <v>0</v>
      </c>
      <c r="F102" s="11">
        <f>Table230[[#This Row],[حسابهای دریافتنی]]+Table230[[#This Row],[چکهای در جریان وصول]]+Table230[[#This Row],[چکهای نزد صندوق]]</f>
        <v>0</v>
      </c>
      <c r="G102" s="12">
        <f>IFERROR(INDEX('مانده سوفاله'!F:F,MATCH(Table230[[#This Row],[كد تفصيلي]],'مانده سوفاله'!A:A,0)),0)</f>
        <v>-110</v>
      </c>
    </row>
    <row r="103" spans="1:7" ht="30" customHeight="1" x14ac:dyDescent="0.35">
      <c r="A103" s="74">
        <v>30142</v>
      </c>
      <c r="B103" s="73" t="s">
        <v>539</v>
      </c>
      <c r="C103" s="10">
        <f>IFERROR(INDEX('حسابهای دریافتنی'!H:H,MATCH(Table230[[#This Row],[كد تفصيلي]],'حسابهای دریافتنی'!A:A,0)),0)</f>
        <v>0</v>
      </c>
      <c r="D103" s="11">
        <f>IFERROR(INDEX('درجریان وصول'!F:F,MATCH(Table230[[#This Row],[كد تفصيلي]],'درجریان وصول'!A:A,0)),0)</f>
        <v>0</v>
      </c>
      <c r="E103" s="11">
        <f>IFERROR(INDEX('چکهای دریافتنی'!F:F,MATCH(Table230[[#This Row],[كد تفصيلي]],'چکهای دریافتنی'!A:A,0)),0)</f>
        <v>0</v>
      </c>
      <c r="F103" s="11">
        <f>Table230[[#This Row],[حسابهای دریافتنی]]+Table230[[#This Row],[چکهای در جریان وصول]]+Table230[[#This Row],[چکهای نزد صندوق]]</f>
        <v>0</v>
      </c>
      <c r="G103" s="12">
        <f>IFERROR(INDEX('مانده سوفاله'!F:F,MATCH(Table230[[#This Row],[كد تفصيلي]],'مانده سوفاله'!A:A,0)),0)</f>
        <v>13</v>
      </c>
    </row>
    <row r="104" spans="1:7" ht="30" customHeight="1" x14ac:dyDescent="0.35">
      <c r="A104" s="75">
        <v>30174</v>
      </c>
      <c r="B104" s="72" t="s">
        <v>327</v>
      </c>
      <c r="C104" s="10">
        <f>IFERROR(INDEX('حسابهای دریافتنی'!H:H,MATCH(Table230[[#This Row],[كد تفصيلي]],'حسابهای دریافتنی'!A:A,0)),0)</f>
        <v>-5000</v>
      </c>
      <c r="D104" s="11">
        <f>IFERROR(INDEX('درجریان وصول'!F:F,MATCH(Table230[[#This Row],[كد تفصيلي]],'درجریان وصول'!A:A,0)),0)</f>
        <v>0</v>
      </c>
      <c r="E104" s="11">
        <f>IFERROR(INDEX('چکهای دریافتنی'!F:F,MATCH(Table230[[#This Row],[كد تفصيلي]],'چکهای دریافتنی'!A:A,0)),0)</f>
        <v>0</v>
      </c>
      <c r="F104" s="11">
        <f>Table230[[#This Row],[حسابهای دریافتنی]]+Table230[[#This Row],[چکهای در جریان وصول]]+Table230[[#This Row],[چکهای نزد صندوق]]</f>
        <v>-5000</v>
      </c>
      <c r="G104" s="12">
        <f>IFERROR(INDEX('مانده سوفاله'!F:F,MATCH(Table230[[#This Row],[كد تفصيلي]],'مانده سوفاله'!A:A,0)),0)</f>
        <v>0</v>
      </c>
    </row>
    <row r="105" spans="1:7" ht="30" customHeight="1" x14ac:dyDescent="0.35">
      <c r="A105" s="74">
        <v>30195</v>
      </c>
      <c r="B105" s="73" t="s">
        <v>477</v>
      </c>
      <c r="C105" s="10">
        <f>IFERROR(INDEX('حسابهای دریافتنی'!H:H,MATCH(Table230[[#This Row],[كد تفصيلي]],'حسابهای دریافتنی'!A:A,0)),0)</f>
        <v>-1861000</v>
      </c>
      <c r="D105" s="11">
        <f>IFERROR(INDEX('درجریان وصول'!F:F,MATCH(Table230[[#This Row],[كد تفصيلي]],'درجریان وصول'!A:A,0)),0)</f>
        <v>0</v>
      </c>
      <c r="E105" s="11">
        <f>IFERROR(INDEX('چکهای دریافتنی'!F:F,MATCH(Table230[[#This Row],[كد تفصيلي]],'چکهای دریافتنی'!A:A,0)),0)</f>
        <v>0</v>
      </c>
      <c r="F105" s="11">
        <f>Table230[[#This Row],[حسابهای دریافتنی]]+Table230[[#This Row],[چکهای در جریان وصول]]+Table230[[#This Row],[چکهای نزد صندوق]]</f>
        <v>-1861000</v>
      </c>
      <c r="G105" s="12">
        <f>IFERROR(INDEX('مانده سوفاله'!F:F,MATCH(Table230[[#This Row],[كد تفصيلي]],'مانده سوفاله'!A:A,0)),0)</f>
        <v>0</v>
      </c>
    </row>
    <row r="106" spans="1:7" ht="30" customHeight="1" x14ac:dyDescent="0.35">
      <c r="A106" s="75">
        <v>10128</v>
      </c>
      <c r="B106" s="72" t="s">
        <v>372</v>
      </c>
      <c r="C106" s="10">
        <f>IFERROR(INDEX('حسابهای دریافتنی'!H:H,MATCH(Table230[[#This Row],[كد تفصيلي]],'حسابهای دریافتنی'!A:A,0)),0)</f>
        <v>-45000</v>
      </c>
      <c r="D106" s="11">
        <f>IFERROR(INDEX('درجریان وصول'!F:F,MATCH(Table230[[#This Row],[كد تفصيلي]],'درجریان وصول'!A:A,0)),0)</f>
        <v>0</v>
      </c>
      <c r="E106" s="11">
        <f>IFERROR(INDEX('چکهای دریافتنی'!F:F,MATCH(Table230[[#This Row],[كد تفصيلي]],'چکهای دریافتنی'!A:A,0)),0)</f>
        <v>0</v>
      </c>
      <c r="F106" s="11">
        <f>Table230[[#This Row],[حسابهای دریافتنی]]+Table230[[#This Row],[چکهای در جریان وصول]]+Table230[[#This Row],[چکهای نزد صندوق]]</f>
        <v>-45000</v>
      </c>
      <c r="G106" s="12">
        <f>IFERROR(INDEX('مانده سوفاله'!F:F,MATCH(Table230[[#This Row],[كد تفصيلي]],'مانده سوفاله'!A:A,0)),0)</f>
        <v>6</v>
      </c>
    </row>
    <row r="107" spans="1:7" ht="30" customHeight="1" x14ac:dyDescent="0.35">
      <c r="A107" s="75">
        <v>10139</v>
      </c>
      <c r="B107" s="72" t="s">
        <v>518</v>
      </c>
      <c r="C107" s="10">
        <f>IFERROR(INDEX('حسابهای دریافتنی'!H:H,MATCH(Table230[[#This Row],[كد تفصيلي]],'حسابهای دریافتنی'!A:A,0)),0)</f>
        <v>-267193000</v>
      </c>
      <c r="D107" s="11">
        <f>IFERROR(INDEX('درجریان وصول'!F:F,MATCH(Table230[[#This Row],[كد تفصيلي]],'درجریان وصول'!A:A,0)),0)</f>
        <v>0</v>
      </c>
      <c r="E107" s="11">
        <f>IFERROR(INDEX('چکهای دریافتنی'!F:F,MATCH(Table230[[#This Row],[كد تفصيلي]],'چکهای دریافتنی'!A:A,0)),0)</f>
        <v>0</v>
      </c>
      <c r="F107" s="11">
        <f>Table230[[#This Row],[حسابهای دریافتنی]]+Table230[[#This Row],[چکهای در جریان وصول]]+Table230[[#This Row],[چکهای نزد صندوق]]</f>
        <v>-267193000</v>
      </c>
      <c r="G107" s="12">
        <f>IFERROR(INDEX('مانده سوفاله'!F:F,MATCH(Table230[[#This Row],[كد تفصيلي]],'مانده سوفاله'!A:A,0)),0)</f>
        <v>0</v>
      </c>
    </row>
    <row r="108" spans="1:7" ht="30" customHeight="1" x14ac:dyDescent="0.35">
      <c r="A108" s="75">
        <v>30021</v>
      </c>
      <c r="B108" s="72" t="s">
        <v>69</v>
      </c>
      <c r="C108" s="10">
        <f>IFERROR(INDEX('حسابهای دریافتنی'!H:H,MATCH(Table230[[#This Row],[كد تفصيلي]],'حسابهای دریافتنی'!A:A,0)),0)</f>
        <v>-122000</v>
      </c>
      <c r="D108" s="11">
        <f>IFERROR(INDEX('درجریان وصول'!F:F,MATCH(Table230[[#This Row],[كد تفصيلي]],'درجریان وصول'!A:A,0)),0)</f>
        <v>0</v>
      </c>
      <c r="E108" s="11">
        <f>IFERROR(INDEX('چکهای دریافتنی'!F:F,MATCH(Table230[[#This Row],[كد تفصيلي]],'چکهای دریافتنی'!A:A,0)),0)</f>
        <v>0</v>
      </c>
      <c r="F108" s="11">
        <f>Table230[[#This Row],[حسابهای دریافتنی]]+Table230[[#This Row],[چکهای در جریان وصول]]+Table230[[#This Row],[چکهای نزد صندوق]]</f>
        <v>-122000</v>
      </c>
      <c r="G108" s="12">
        <f>IFERROR(INDEX('مانده سوفاله'!F:F,MATCH(Table230[[#This Row],[كد تفصيلي]],'مانده سوفاله'!A:A,0)),0)</f>
        <v>0</v>
      </c>
    </row>
    <row r="109" spans="1:7" ht="30" customHeight="1" x14ac:dyDescent="0.35">
      <c r="A109" s="74">
        <v>10066</v>
      </c>
      <c r="B109" s="73" t="s">
        <v>262</v>
      </c>
      <c r="C109" s="10">
        <f>IFERROR(INDEX('حسابهای دریافتنی'!H:H,MATCH(Table230[[#This Row],[كد تفصيلي]],'حسابهای دریافتنی'!A:A,0)),0)</f>
        <v>-191500</v>
      </c>
      <c r="D109" s="11">
        <f>IFERROR(INDEX('درجریان وصول'!F:F,MATCH(Table230[[#This Row],[كد تفصيلي]],'درجریان وصول'!A:A,0)),0)</f>
        <v>0</v>
      </c>
      <c r="E109" s="11">
        <f>IFERROR(INDEX('چکهای دریافتنی'!F:F,MATCH(Table230[[#This Row],[كد تفصيلي]],'چکهای دریافتنی'!A:A,0)),0)</f>
        <v>0</v>
      </c>
      <c r="F109" s="11">
        <f>Table230[[#This Row],[حسابهای دریافتنی]]+Table230[[#This Row],[چکهای در جریان وصول]]+Table230[[#This Row],[چکهای نزد صندوق]]</f>
        <v>-191500</v>
      </c>
      <c r="G109" s="12">
        <f>IFERROR(INDEX('مانده سوفاله'!F:F,MATCH(Table230[[#This Row],[كد تفصيلي]],'مانده سوفاله'!A:A,0)),0)</f>
        <v>2</v>
      </c>
    </row>
    <row r="110" spans="1:7" ht="30" customHeight="1" x14ac:dyDescent="0.35">
      <c r="A110" s="74">
        <v>30167</v>
      </c>
      <c r="B110" s="73" t="s">
        <v>311</v>
      </c>
      <c r="C110" s="10">
        <f>IFERROR(INDEX('حسابهای دریافتنی'!H:H,MATCH(Table230[[#This Row],[كد تفصيلي]],'حسابهای دریافتنی'!A:A,0)),0)</f>
        <v>-221000</v>
      </c>
      <c r="D110" s="11">
        <f>IFERROR(INDEX('درجریان وصول'!F:F,MATCH(Table230[[#This Row],[كد تفصيلي]],'درجریان وصول'!A:A,0)),0)</f>
        <v>0</v>
      </c>
      <c r="E110" s="11">
        <f>IFERROR(INDEX('چکهای دریافتنی'!F:F,MATCH(Table230[[#This Row],[كد تفصيلي]],'چکهای دریافتنی'!A:A,0)),0)</f>
        <v>0</v>
      </c>
      <c r="F110" s="11">
        <f>Table230[[#This Row],[حسابهای دریافتنی]]+Table230[[#This Row],[چکهای در جریان وصول]]+Table230[[#This Row],[چکهای نزد صندوق]]</f>
        <v>-221000</v>
      </c>
      <c r="G110" s="12">
        <f>IFERROR(INDEX('مانده سوفاله'!F:F,MATCH(Table230[[#This Row],[كد تفصيلي]],'مانده سوفاله'!A:A,0)),0)</f>
        <v>6</v>
      </c>
    </row>
    <row r="111" spans="1:7" ht="30" customHeight="1" x14ac:dyDescent="0.35">
      <c r="A111" s="75">
        <v>10077</v>
      </c>
      <c r="B111" s="72" t="s">
        <v>210</v>
      </c>
      <c r="C111" s="10">
        <f>IFERROR(INDEX('حسابهای دریافتنی'!H:H,MATCH(Table230[[#This Row],[كد تفصيلي]],'حسابهای دریافتنی'!A:A,0)),0)</f>
        <v>-238500</v>
      </c>
      <c r="D111" s="11">
        <f>IFERROR(INDEX('درجریان وصول'!F:F,MATCH(Table230[[#This Row],[كد تفصيلي]],'درجریان وصول'!A:A,0)),0)</f>
        <v>0</v>
      </c>
      <c r="E111" s="11">
        <f>IFERROR(INDEX('چکهای دریافتنی'!F:F,MATCH(Table230[[#This Row],[كد تفصيلي]],'چکهای دریافتنی'!A:A,0)),0)</f>
        <v>0</v>
      </c>
      <c r="F111" s="11">
        <f>Table230[[#This Row],[حسابهای دریافتنی]]+Table230[[#This Row],[چکهای در جریان وصول]]+Table230[[#This Row],[چکهای نزد صندوق]]</f>
        <v>-238500</v>
      </c>
      <c r="G111" s="12">
        <f>IFERROR(INDEX('مانده سوفاله'!F:F,MATCH(Table230[[#This Row],[كد تفصيلي]],'مانده سوفاله'!A:A,0)),0)</f>
        <v>0</v>
      </c>
    </row>
    <row r="112" spans="1:7" ht="30" customHeight="1" x14ac:dyDescent="0.35">
      <c r="A112" s="74">
        <v>10012</v>
      </c>
      <c r="B112" s="73" t="s">
        <v>19</v>
      </c>
      <c r="C112" s="10">
        <f>IFERROR(INDEX('حسابهای دریافتنی'!H:H,MATCH(Table230[[#This Row],[كد تفصيلي]],'حسابهای دریافتنی'!A:A,0)),0)</f>
        <v>-244000</v>
      </c>
      <c r="D112" s="11">
        <f>IFERROR(INDEX('درجریان وصول'!F:F,MATCH(Table230[[#This Row],[كد تفصيلي]],'درجریان وصول'!A:A,0)),0)</f>
        <v>0</v>
      </c>
      <c r="E112" s="11">
        <f>IFERROR(INDEX('چکهای دریافتنی'!F:F,MATCH(Table230[[#This Row],[كد تفصيلي]],'چکهای دریافتنی'!A:A,0)),0)</f>
        <v>0</v>
      </c>
      <c r="F112" s="11">
        <f>Table230[[#This Row],[حسابهای دریافتنی]]+Table230[[#This Row],[چکهای در جریان وصول]]+Table230[[#This Row],[چکهای نزد صندوق]]</f>
        <v>-244000</v>
      </c>
      <c r="G112" s="12">
        <f>IFERROR(INDEX('مانده سوفاله'!F:F,MATCH(Table230[[#This Row],[كد تفصيلي]],'مانده سوفاله'!A:A,0)),0)</f>
        <v>0</v>
      </c>
    </row>
    <row r="113" spans="1:7" ht="30" customHeight="1" x14ac:dyDescent="0.35">
      <c r="A113" s="75">
        <v>30088</v>
      </c>
      <c r="B113" s="72" t="s">
        <v>142</v>
      </c>
      <c r="C113" s="10">
        <f>IFERROR(INDEX('حسابهای دریافتنی'!H:H,MATCH(Table230[[#This Row],[كد تفصيلي]],'حسابهای دریافتنی'!A:A,0)),0)</f>
        <v>-252000</v>
      </c>
      <c r="D113" s="11">
        <f>IFERROR(INDEX('درجریان وصول'!F:F,MATCH(Table230[[#This Row],[كد تفصيلي]],'درجریان وصول'!A:A,0)),0)</f>
        <v>0</v>
      </c>
      <c r="E113" s="11">
        <f>IFERROR(INDEX('چکهای دریافتنی'!F:F,MATCH(Table230[[#This Row],[كد تفصيلي]],'چکهای دریافتنی'!A:A,0)),0)</f>
        <v>0</v>
      </c>
      <c r="F113" s="11">
        <f>Table230[[#This Row],[حسابهای دریافتنی]]+Table230[[#This Row],[چکهای در جریان وصول]]+Table230[[#This Row],[چکهای نزد صندوق]]</f>
        <v>-252000</v>
      </c>
      <c r="G113" s="12">
        <f>IFERROR(INDEX('مانده سوفاله'!F:F,MATCH(Table230[[#This Row],[كد تفصيلي]],'مانده سوفاله'!A:A,0)),0)</f>
        <v>0</v>
      </c>
    </row>
    <row r="114" spans="1:7" ht="30" customHeight="1" x14ac:dyDescent="0.35">
      <c r="A114" s="75">
        <v>10045</v>
      </c>
      <c r="B114" s="72" t="s">
        <v>50</v>
      </c>
      <c r="C114" s="10">
        <f>IFERROR(INDEX('حسابهای دریافتنی'!H:H,MATCH(Table230[[#This Row],[كد تفصيلي]],'حسابهای دریافتنی'!A:A,0)),0)</f>
        <v>-383000</v>
      </c>
      <c r="D114" s="11">
        <f>IFERROR(INDEX('درجریان وصول'!F:F,MATCH(Table230[[#This Row],[كد تفصيلي]],'درجریان وصول'!A:A,0)),0)</f>
        <v>0</v>
      </c>
      <c r="E114" s="11">
        <f>IFERROR(INDEX('چکهای دریافتنی'!F:F,MATCH(Table230[[#This Row],[كد تفصيلي]],'چکهای دریافتنی'!A:A,0)),0)</f>
        <v>0</v>
      </c>
      <c r="F114" s="11">
        <f>Table230[[#This Row],[حسابهای دریافتنی]]+Table230[[#This Row],[چکهای در جریان وصول]]+Table230[[#This Row],[چکهای نزد صندوق]]</f>
        <v>-383000</v>
      </c>
      <c r="G114" s="12">
        <f>IFERROR(INDEX('مانده سوفاله'!F:F,MATCH(Table230[[#This Row],[كد تفصيلي]],'مانده سوفاله'!A:A,0)),0)</f>
        <v>-30</v>
      </c>
    </row>
    <row r="115" spans="1:7" ht="30" customHeight="1" x14ac:dyDescent="0.35">
      <c r="A115" s="75">
        <v>30051</v>
      </c>
      <c r="B115" s="72" t="s">
        <v>98</v>
      </c>
      <c r="C115" s="10">
        <f>IFERROR(INDEX('حسابهای دریافتنی'!H:H,MATCH(Table230[[#This Row],[كد تفصيلي]],'حسابهای دریافتنی'!A:A,0)),0)</f>
        <v>-384000</v>
      </c>
      <c r="D115" s="11">
        <f>IFERROR(INDEX('درجریان وصول'!F:F,MATCH(Table230[[#This Row],[كد تفصيلي]],'درجریان وصول'!A:A,0)),0)</f>
        <v>0</v>
      </c>
      <c r="E115" s="11">
        <f>IFERROR(INDEX('چکهای دریافتنی'!F:F,MATCH(Table230[[#This Row],[كد تفصيلي]],'چکهای دریافتنی'!A:A,0)),0)</f>
        <v>0</v>
      </c>
      <c r="F115" s="11">
        <f>Table230[[#This Row],[حسابهای دریافتنی]]+Table230[[#This Row],[چکهای در جریان وصول]]+Table230[[#This Row],[چکهای نزد صندوق]]</f>
        <v>-384000</v>
      </c>
      <c r="G115" s="12">
        <f>IFERROR(INDEX('مانده سوفاله'!F:F,MATCH(Table230[[#This Row],[كد تفصيلي]],'مانده سوفاله'!A:A,0)),0)</f>
        <v>0</v>
      </c>
    </row>
    <row r="116" spans="1:7" ht="30" customHeight="1" x14ac:dyDescent="0.35">
      <c r="A116" s="74">
        <v>30044</v>
      </c>
      <c r="B116" s="73" t="s">
        <v>91</v>
      </c>
      <c r="C116" s="10">
        <f>IFERROR(INDEX('حسابهای دریافتنی'!H:H,MATCH(Table230[[#This Row],[كد تفصيلي]],'حسابهای دریافتنی'!A:A,0)),0)</f>
        <v>-492500</v>
      </c>
      <c r="D116" s="11">
        <f>IFERROR(INDEX('درجریان وصول'!F:F,MATCH(Table230[[#This Row],[كد تفصيلي]],'درجریان وصول'!A:A,0)),0)</f>
        <v>0</v>
      </c>
      <c r="E116" s="11">
        <f>IFERROR(INDEX('چکهای دریافتنی'!F:F,MATCH(Table230[[#This Row],[كد تفصيلي]],'چکهای دریافتنی'!A:A,0)),0)</f>
        <v>0</v>
      </c>
      <c r="F116" s="11">
        <f>Table230[[#This Row],[حسابهای دریافتنی]]+Table230[[#This Row],[چکهای در جریان وصول]]+Table230[[#This Row],[چکهای نزد صندوق]]</f>
        <v>-492500</v>
      </c>
      <c r="G116" s="12">
        <f>IFERROR(INDEX('مانده سوفاله'!F:F,MATCH(Table230[[#This Row],[كد تفصيلي]],'مانده سوفاله'!A:A,0)),0)</f>
        <v>2</v>
      </c>
    </row>
    <row r="117" spans="1:7" ht="30" customHeight="1" x14ac:dyDescent="0.35">
      <c r="A117" s="75">
        <v>10095</v>
      </c>
      <c r="B117" s="72" t="s">
        <v>268</v>
      </c>
      <c r="C117" s="10">
        <f>IFERROR(INDEX('حسابهای دریافتنی'!H:H,MATCH(Table230[[#This Row],[كد تفصيلي]],'حسابهای دریافتنی'!A:A,0)),0)</f>
        <v>-496500</v>
      </c>
      <c r="D117" s="11">
        <f>IFERROR(INDEX('درجریان وصول'!F:F,MATCH(Table230[[#This Row],[كد تفصيلي]],'درجریان وصول'!A:A,0)),0)</f>
        <v>0</v>
      </c>
      <c r="E117" s="11">
        <f>IFERROR(INDEX('چکهای دریافتنی'!F:F,MATCH(Table230[[#This Row],[كد تفصيلي]],'چکهای دریافتنی'!A:A,0)),0)</f>
        <v>0</v>
      </c>
      <c r="F117" s="11">
        <f>Table230[[#This Row],[حسابهای دریافتنی]]+Table230[[#This Row],[چکهای در جریان وصول]]+Table230[[#This Row],[چکهای نزد صندوق]]</f>
        <v>-496500</v>
      </c>
      <c r="G117" s="12">
        <f>IFERROR(INDEX('مانده سوفاله'!F:F,MATCH(Table230[[#This Row],[كد تفصيلي]],'مانده سوفاله'!A:A,0)),0)</f>
        <v>0</v>
      </c>
    </row>
    <row r="118" spans="1:7" ht="30" customHeight="1" x14ac:dyDescent="0.35">
      <c r="A118" s="74">
        <v>30052</v>
      </c>
      <c r="B118" s="73" t="s">
        <v>149</v>
      </c>
      <c r="C118" s="10">
        <f>IFERROR(INDEX('حسابهای دریافتنی'!H:H,MATCH(Table230[[#This Row],[كد تفصيلي]],'حسابهای دریافتنی'!A:A,0)),0)</f>
        <v>-539000</v>
      </c>
      <c r="D118" s="11">
        <f>IFERROR(INDEX('درجریان وصول'!F:F,MATCH(Table230[[#This Row],[كد تفصيلي]],'درجریان وصول'!A:A,0)),0)</f>
        <v>0</v>
      </c>
      <c r="E118" s="11">
        <f>IFERROR(INDEX('چکهای دریافتنی'!F:F,MATCH(Table230[[#This Row],[كد تفصيلي]],'چکهای دریافتنی'!A:A,0)),0)</f>
        <v>0</v>
      </c>
      <c r="F118" s="11">
        <f>Table230[[#This Row],[حسابهای دریافتنی]]+Table230[[#This Row],[چکهای در جریان وصول]]+Table230[[#This Row],[چکهای نزد صندوق]]</f>
        <v>-539000</v>
      </c>
      <c r="G118" s="12">
        <f>IFERROR(INDEX('مانده سوفاله'!F:F,MATCH(Table230[[#This Row],[كد تفصيلي]],'مانده سوفاله'!A:A,0)),0)</f>
        <v>0</v>
      </c>
    </row>
    <row r="119" spans="1:7" ht="30" customHeight="1" x14ac:dyDescent="0.35">
      <c r="A119" s="75">
        <v>10061</v>
      </c>
      <c r="B119" s="72" t="s">
        <v>194</v>
      </c>
      <c r="C119" s="10">
        <f>IFERROR(INDEX('حسابهای دریافتنی'!H:H,MATCH(Table230[[#This Row],[كد تفصيلي]],'حسابهای دریافتنی'!A:A,0)),0)</f>
        <v>-565500</v>
      </c>
      <c r="D119" s="11">
        <f>IFERROR(INDEX('درجریان وصول'!F:F,MATCH(Table230[[#This Row],[كد تفصيلي]],'درجریان وصول'!A:A,0)),0)</f>
        <v>0</v>
      </c>
      <c r="E119" s="11">
        <f>IFERROR(INDEX('چکهای دریافتنی'!F:F,MATCH(Table230[[#This Row],[كد تفصيلي]],'چکهای دریافتنی'!A:A,0)),0)</f>
        <v>0</v>
      </c>
      <c r="F119" s="11">
        <f>Table230[[#This Row],[حسابهای دریافتنی]]+Table230[[#This Row],[چکهای در جریان وصول]]+Table230[[#This Row],[چکهای نزد صندوق]]</f>
        <v>-565500</v>
      </c>
      <c r="G119" s="12">
        <f>IFERROR(INDEX('مانده سوفاله'!F:F,MATCH(Table230[[#This Row],[كد تفصيلي]],'مانده سوفاله'!A:A,0)),0)</f>
        <v>0</v>
      </c>
    </row>
    <row r="120" spans="1:7" ht="30" customHeight="1" x14ac:dyDescent="0.35">
      <c r="A120" s="75">
        <v>10118</v>
      </c>
      <c r="B120" s="72" t="s">
        <v>334</v>
      </c>
      <c r="C120" s="10">
        <f>IFERROR(INDEX('حسابهای دریافتنی'!H:H,MATCH(Table230[[#This Row],[كد تفصيلي]],'حسابهای دریافتنی'!A:A,0)),0)</f>
        <v>-587500</v>
      </c>
      <c r="D120" s="11">
        <f>IFERROR(INDEX('درجریان وصول'!F:F,MATCH(Table230[[#This Row],[كد تفصيلي]],'درجریان وصول'!A:A,0)),0)</f>
        <v>0</v>
      </c>
      <c r="E120" s="11">
        <f>IFERROR(INDEX('چکهای دریافتنی'!F:F,MATCH(Table230[[#This Row],[كد تفصيلي]],'چکهای دریافتنی'!A:A,0)),0)</f>
        <v>0</v>
      </c>
      <c r="F120" s="11">
        <f>Table230[[#This Row],[حسابهای دریافتنی]]+Table230[[#This Row],[چکهای در جریان وصول]]+Table230[[#This Row],[چکهای نزد صندوق]]</f>
        <v>-587500</v>
      </c>
      <c r="G120" s="12">
        <f>IFERROR(INDEX('مانده سوفاله'!F:F,MATCH(Table230[[#This Row],[كد تفصيلي]],'مانده سوفاله'!A:A,0)),0)</f>
        <v>0</v>
      </c>
    </row>
    <row r="121" spans="1:7" ht="30" customHeight="1" x14ac:dyDescent="0.35">
      <c r="A121" s="75">
        <v>30112</v>
      </c>
      <c r="B121" s="72" t="s">
        <v>201</v>
      </c>
      <c r="C121" s="10">
        <f>IFERROR(INDEX('حسابهای دریافتنی'!H:H,MATCH(Table230[[#This Row],[كد تفصيلي]],'حسابهای دریافتنی'!A:A,0)),0)</f>
        <v>-720500</v>
      </c>
      <c r="D121" s="11">
        <f>IFERROR(INDEX('درجریان وصول'!F:F,MATCH(Table230[[#This Row],[كد تفصيلي]],'درجریان وصول'!A:A,0)),0)</f>
        <v>0</v>
      </c>
      <c r="E121" s="11">
        <f>IFERROR(INDEX('چکهای دریافتنی'!F:F,MATCH(Table230[[#This Row],[كد تفصيلي]],'چکهای دریافتنی'!A:A,0)),0)</f>
        <v>0</v>
      </c>
      <c r="F121" s="11">
        <f>Table230[[#This Row],[حسابهای دریافتنی]]+Table230[[#This Row],[چکهای در جریان وصول]]+Table230[[#This Row],[چکهای نزد صندوق]]</f>
        <v>-720500</v>
      </c>
      <c r="G121" s="12">
        <f>IFERROR(INDEX('مانده سوفاله'!F:F,MATCH(Table230[[#This Row],[كد تفصيلي]],'مانده سوفاله'!A:A,0)),0)</f>
        <v>36</v>
      </c>
    </row>
    <row r="122" spans="1:7" ht="30" customHeight="1" x14ac:dyDescent="0.35">
      <c r="A122" s="75">
        <v>10013</v>
      </c>
      <c r="B122" s="72" t="s">
        <v>20</v>
      </c>
      <c r="C122" s="10">
        <f>IFERROR(INDEX('حسابهای دریافتنی'!H:H,MATCH(Table230[[#This Row],[كد تفصيلي]],'حسابهای دریافتنی'!A:A,0)),0)</f>
        <v>-915000</v>
      </c>
      <c r="D122" s="11">
        <f>IFERROR(INDEX('درجریان وصول'!F:F,MATCH(Table230[[#This Row],[كد تفصيلي]],'درجریان وصول'!A:A,0)),0)</f>
        <v>0</v>
      </c>
      <c r="E122" s="11">
        <f>IFERROR(INDEX('چکهای دریافتنی'!F:F,MATCH(Table230[[#This Row],[كد تفصيلي]],'چکهای دریافتنی'!A:A,0)),0)</f>
        <v>0</v>
      </c>
      <c r="F122" s="11">
        <f>Table230[[#This Row],[حسابهای دریافتنی]]+Table230[[#This Row],[چکهای در جریان وصول]]+Table230[[#This Row],[چکهای نزد صندوق]]</f>
        <v>-915000</v>
      </c>
      <c r="G122" s="12">
        <f>IFERROR(INDEX('مانده سوفاله'!F:F,MATCH(Table230[[#This Row],[كد تفصيلي]],'مانده سوفاله'!A:A,0)),0)</f>
        <v>0</v>
      </c>
    </row>
    <row r="123" spans="1:7" ht="30" customHeight="1" x14ac:dyDescent="0.35">
      <c r="A123" s="74">
        <v>10042</v>
      </c>
      <c r="B123" s="73" t="s">
        <v>47</v>
      </c>
      <c r="C123" s="10">
        <f>IFERROR(INDEX('حسابهای دریافتنی'!H:H,MATCH(Table230[[#This Row],[كد تفصيلي]],'حسابهای دریافتنی'!A:A,0)),0)</f>
        <v>-1120000</v>
      </c>
      <c r="D123" s="11">
        <f>IFERROR(INDEX('درجریان وصول'!F:F,MATCH(Table230[[#This Row],[كد تفصيلي]],'درجریان وصول'!A:A,0)),0)</f>
        <v>0</v>
      </c>
      <c r="E123" s="11">
        <f>IFERROR(INDEX('چکهای دریافتنی'!F:F,MATCH(Table230[[#This Row],[كد تفصيلي]],'چکهای دریافتنی'!A:A,0)),0)</f>
        <v>0</v>
      </c>
      <c r="F123" s="11">
        <f>Table230[[#This Row],[حسابهای دریافتنی]]+Table230[[#This Row],[چکهای در جریان وصول]]+Table230[[#This Row],[چکهای نزد صندوق]]</f>
        <v>-1120000</v>
      </c>
      <c r="G123" s="12">
        <f>IFERROR(INDEX('مانده سوفاله'!F:F,MATCH(Table230[[#This Row],[كد تفصيلي]],'مانده سوفاله'!A:A,0)),0)</f>
        <v>2</v>
      </c>
    </row>
    <row r="124" spans="1:7" ht="30" customHeight="1" x14ac:dyDescent="0.35">
      <c r="A124" s="75">
        <v>10131</v>
      </c>
      <c r="B124" s="72" t="s">
        <v>457</v>
      </c>
      <c r="C124" s="10">
        <f>IFERROR(INDEX('حسابهای دریافتنی'!H:H,MATCH(Table230[[#This Row],[كد تفصيلي]],'حسابهای دریافتنی'!A:A,0)),0)</f>
        <v>-1194000</v>
      </c>
      <c r="D124" s="11">
        <f>IFERROR(INDEX('درجریان وصول'!F:F,MATCH(Table230[[#This Row],[كد تفصيلي]],'درجریان وصول'!A:A,0)),0)</f>
        <v>0</v>
      </c>
      <c r="E124" s="11">
        <f>IFERROR(INDEX('چکهای دریافتنی'!F:F,MATCH(Table230[[#This Row],[كد تفصيلي]],'چکهای دریافتنی'!A:A,0)),0)</f>
        <v>0</v>
      </c>
      <c r="F124" s="11">
        <f>Table230[[#This Row],[حسابهای دریافتنی]]+Table230[[#This Row],[چکهای در جریان وصول]]+Table230[[#This Row],[چکهای نزد صندوق]]</f>
        <v>-1194000</v>
      </c>
      <c r="G124" s="12">
        <f>IFERROR(INDEX('مانده سوفاله'!F:F,MATCH(Table230[[#This Row],[كد تفصيلي]],'مانده سوفاله'!A:A,0)),0)</f>
        <v>1</v>
      </c>
    </row>
    <row r="125" spans="1:7" ht="30" customHeight="1" x14ac:dyDescent="0.35">
      <c r="A125" s="74">
        <v>30032</v>
      </c>
      <c r="B125" s="73" t="s">
        <v>79</v>
      </c>
      <c r="C125" s="10">
        <f>IFERROR(INDEX('حسابهای دریافتنی'!H:H,MATCH(Table230[[#This Row],[كد تفصيلي]],'حسابهای دریافتنی'!A:A,0)),0)</f>
        <v>-1347000</v>
      </c>
      <c r="D125" s="11">
        <f>IFERROR(INDEX('درجریان وصول'!F:F,MATCH(Table230[[#This Row],[كد تفصيلي]],'درجریان وصول'!A:A,0)),0)</f>
        <v>0</v>
      </c>
      <c r="E125" s="11">
        <f>IFERROR(INDEX('چکهای دریافتنی'!F:F,MATCH(Table230[[#This Row],[كد تفصيلي]],'چکهای دریافتنی'!A:A,0)),0)</f>
        <v>0</v>
      </c>
      <c r="F125" s="11">
        <f>Table230[[#This Row],[حسابهای دریافتنی]]+Table230[[#This Row],[چکهای در جریان وصول]]+Table230[[#This Row],[چکهای نزد صندوق]]</f>
        <v>-1347000</v>
      </c>
      <c r="G125" s="12">
        <f>IFERROR(INDEX('مانده سوفاله'!F:F,MATCH(Table230[[#This Row],[كد تفصيلي]],'مانده سوفاله'!A:A,0)),0)</f>
        <v>0</v>
      </c>
    </row>
    <row r="126" spans="1:7" ht="30" customHeight="1" x14ac:dyDescent="0.35">
      <c r="A126" s="74">
        <v>30171</v>
      </c>
      <c r="B126" s="73" t="s">
        <v>322</v>
      </c>
      <c r="C126" s="10">
        <f>IFERROR(INDEX('حسابهای دریافتنی'!H:H,MATCH(Table230[[#This Row],[كد تفصيلي]],'حسابهای دریافتنی'!A:A,0)),0)</f>
        <v>-1500000</v>
      </c>
      <c r="D126" s="11">
        <f>IFERROR(INDEX('درجریان وصول'!F:F,MATCH(Table230[[#This Row],[كد تفصيلي]],'درجریان وصول'!A:A,0)),0)</f>
        <v>0</v>
      </c>
      <c r="E126" s="11">
        <f>IFERROR(INDEX('چکهای دریافتنی'!F:F,MATCH(Table230[[#This Row],[كد تفصيلي]],'چکهای دریافتنی'!A:A,0)),0)</f>
        <v>0</v>
      </c>
      <c r="F126" s="11">
        <f>Table230[[#This Row],[حسابهای دریافتنی]]+Table230[[#This Row],[چکهای در جریان وصول]]+Table230[[#This Row],[چکهای نزد صندوق]]</f>
        <v>-1500000</v>
      </c>
      <c r="G126" s="12">
        <f>IFERROR(INDEX('مانده سوفاله'!F:F,MATCH(Table230[[#This Row],[كد تفصيلي]],'مانده سوفاله'!A:A,0)),0)</f>
        <v>0</v>
      </c>
    </row>
    <row r="127" spans="1:7" ht="30" customHeight="1" x14ac:dyDescent="0.35">
      <c r="A127" s="75">
        <v>10103</v>
      </c>
      <c r="B127" s="72" t="s">
        <v>283</v>
      </c>
      <c r="C127" s="10">
        <f>IFERROR(INDEX('حسابهای دریافتنی'!H:H,MATCH(Table230[[#This Row],[كد تفصيلي]],'حسابهای دریافتنی'!A:A,0)),0)</f>
        <v>-1580000</v>
      </c>
      <c r="D127" s="11">
        <f>IFERROR(INDEX('درجریان وصول'!F:F,MATCH(Table230[[#This Row],[كد تفصيلي]],'درجریان وصول'!A:A,0)),0)</f>
        <v>0</v>
      </c>
      <c r="E127" s="11">
        <f>IFERROR(INDEX('چکهای دریافتنی'!F:F,MATCH(Table230[[#This Row],[كد تفصيلي]],'چکهای دریافتنی'!A:A,0)),0)</f>
        <v>0</v>
      </c>
      <c r="F127" s="11">
        <f>Table230[[#This Row],[حسابهای دریافتنی]]+Table230[[#This Row],[چکهای در جریان وصول]]+Table230[[#This Row],[چکهای نزد صندوق]]</f>
        <v>-1580000</v>
      </c>
      <c r="G127" s="12">
        <f>IFERROR(INDEX('مانده سوفاله'!F:F,MATCH(Table230[[#This Row],[كد تفصيلي]],'مانده سوفاله'!A:A,0)),0)</f>
        <v>0</v>
      </c>
    </row>
    <row r="128" spans="1:7" ht="30" customHeight="1" x14ac:dyDescent="0.35">
      <c r="A128" s="74">
        <v>10125</v>
      </c>
      <c r="B128" s="73" t="s">
        <v>345</v>
      </c>
      <c r="C128" s="10">
        <f>IFERROR(INDEX('حسابهای دریافتنی'!H:H,MATCH(Table230[[#This Row],[كد تفصيلي]],'حسابهای دریافتنی'!A:A,0)),0)</f>
        <v>-1650000</v>
      </c>
      <c r="D128" s="11">
        <f>IFERROR(INDEX('درجریان وصول'!F:F,MATCH(Table230[[#This Row],[كد تفصيلي]],'درجریان وصول'!A:A,0)),0)</f>
        <v>0</v>
      </c>
      <c r="E128" s="11">
        <f>IFERROR(INDEX('چکهای دریافتنی'!F:F,MATCH(Table230[[#This Row],[كد تفصيلي]],'چکهای دریافتنی'!A:A,0)),0)</f>
        <v>0</v>
      </c>
      <c r="F128" s="11">
        <f>Table230[[#This Row],[حسابهای دریافتنی]]+Table230[[#This Row],[چکهای در جریان وصول]]+Table230[[#This Row],[چکهای نزد صندوق]]</f>
        <v>-1650000</v>
      </c>
      <c r="G128" s="12">
        <f>IFERROR(INDEX('مانده سوفاله'!F:F,MATCH(Table230[[#This Row],[كد تفصيلي]],'مانده سوفاله'!A:A,0)),0)</f>
        <v>0</v>
      </c>
    </row>
    <row r="129" spans="1:7" ht="30" customHeight="1" x14ac:dyDescent="0.35">
      <c r="A129" s="75">
        <v>10110</v>
      </c>
      <c r="B129" s="72" t="s">
        <v>306</v>
      </c>
      <c r="C129" s="10">
        <f>IFERROR(INDEX('حسابهای دریافتنی'!H:H,MATCH(Table230[[#This Row],[كد تفصيلي]],'حسابهای دریافتنی'!A:A,0)),0)</f>
        <v>-1817500</v>
      </c>
      <c r="D129" s="11">
        <f>IFERROR(INDEX('درجریان وصول'!F:F,MATCH(Table230[[#This Row],[كد تفصيلي]],'درجریان وصول'!A:A,0)),0)</f>
        <v>0</v>
      </c>
      <c r="E129" s="11">
        <f>IFERROR(INDEX('چکهای دریافتنی'!F:F,MATCH(Table230[[#This Row],[كد تفصيلي]],'چکهای دریافتنی'!A:A,0)),0)</f>
        <v>0</v>
      </c>
      <c r="F129" s="11">
        <f>Table230[[#This Row],[حسابهای دریافتنی]]+Table230[[#This Row],[چکهای در جریان وصول]]+Table230[[#This Row],[چکهای نزد صندوق]]</f>
        <v>-1817500</v>
      </c>
      <c r="G129" s="12">
        <f>IFERROR(INDEX('مانده سوفاله'!F:F,MATCH(Table230[[#This Row],[كد تفصيلي]],'مانده سوفاله'!A:A,0)),0)</f>
        <v>7</v>
      </c>
    </row>
    <row r="130" spans="1:7" ht="30" customHeight="1" x14ac:dyDescent="0.35">
      <c r="A130" s="74">
        <v>30103</v>
      </c>
      <c r="B130" s="73" t="s">
        <v>240</v>
      </c>
      <c r="C130" s="10">
        <f>IFERROR(INDEX('حسابهای دریافتنی'!H:H,MATCH(Table230[[#This Row],[كد تفصيلي]],'حسابهای دریافتنی'!A:A,0)),0)</f>
        <v>-1820000</v>
      </c>
      <c r="D130" s="11">
        <f>IFERROR(INDEX('درجریان وصول'!F:F,MATCH(Table230[[#This Row],[كد تفصيلي]],'درجریان وصول'!A:A,0)),0)</f>
        <v>0</v>
      </c>
      <c r="E130" s="11">
        <f>IFERROR(INDEX('چکهای دریافتنی'!F:F,MATCH(Table230[[#This Row],[كد تفصيلي]],'چکهای دریافتنی'!A:A,0)),0)</f>
        <v>0</v>
      </c>
      <c r="F130" s="11">
        <f>Table230[[#This Row],[حسابهای دریافتنی]]+Table230[[#This Row],[چکهای در جریان وصول]]+Table230[[#This Row],[چکهای نزد صندوق]]</f>
        <v>-1820000</v>
      </c>
      <c r="G130" s="12">
        <f>IFERROR(INDEX('مانده سوفاله'!F:F,MATCH(Table230[[#This Row],[كد تفصيلي]],'مانده سوفاله'!A:A,0)),0)</f>
        <v>0</v>
      </c>
    </row>
    <row r="131" spans="1:7" ht="30" customHeight="1" x14ac:dyDescent="0.35">
      <c r="A131" s="75">
        <v>10093</v>
      </c>
      <c r="B131" s="72" t="s">
        <v>264</v>
      </c>
      <c r="C131" s="10">
        <f>IFERROR(INDEX('حسابهای دریافتنی'!H:H,MATCH(Table230[[#This Row],[كد تفصيلي]],'حسابهای دریافتنی'!A:A,0)),0)</f>
        <v>-2214000</v>
      </c>
      <c r="D131" s="11">
        <f>IFERROR(INDEX('درجریان وصول'!F:F,MATCH(Table230[[#This Row],[كد تفصيلي]],'درجریان وصول'!A:A,0)),0)</f>
        <v>0</v>
      </c>
      <c r="E131" s="11">
        <f>IFERROR(INDEX('چکهای دریافتنی'!F:F,MATCH(Table230[[#This Row],[كد تفصيلي]],'چکهای دریافتنی'!A:A,0)),0)</f>
        <v>0</v>
      </c>
      <c r="F131" s="11">
        <f>Table230[[#This Row],[حسابهای دریافتنی]]+Table230[[#This Row],[چکهای در جریان وصول]]+Table230[[#This Row],[چکهای نزد صندوق]]</f>
        <v>-2214000</v>
      </c>
      <c r="G131" s="12">
        <f>IFERROR(INDEX('مانده سوفاله'!F:F,MATCH(Table230[[#This Row],[كد تفصيلي]],'مانده سوفاله'!A:A,0)),0)</f>
        <v>0</v>
      </c>
    </row>
    <row r="132" spans="1:7" ht="30" customHeight="1" x14ac:dyDescent="0.35">
      <c r="A132" s="75">
        <v>30128</v>
      </c>
      <c r="B132" s="72" t="s">
        <v>212</v>
      </c>
      <c r="C132" s="10">
        <f>IFERROR(INDEX('حسابهای دریافتنی'!H:H,MATCH(Table230[[#This Row],[كد تفصيلي]],'حسابهای دریافتنی'!A:A,0)),0)</f>
        <v>-2451320</v>
      </c>
      <c r="D132" s="11">
        <f>IFERROR(INDEX('درجریان وصول'!F:F,MATCH(Table230[[#This Row],[كد تفصيلي]],'درجریان وصول'!A:A,0)),0)</f>
        <v>0</v>
      </c>
      <c r="E132" s="11">
        <f>IFERROR(INDEX('چکهای دریافتنی'!F:F,MATCH(Table230[[#This Row],[كد تفصيلي]],'چکهای دریافتنی'!A:A,0)),0)</f>
        <v>0</v>
      </c>
      <c r="F132" s="11">
        <f>Table230[[#This Row],[حسابهای دریافتنی]]+Table230[[#This Row],[چکهای در جریان وصول]]+Table230[[#This Row],[چکهای نزد صندوق]]</f>
        <v>-2451320</v>
      </c>
      <c r="G132" s="12">
        <f>IFERROR(INDEX('مانده سوفاله'!F:F,MATCH(Table230[[#This Row],[كد تفصيلي]],'مانده سوفاله'!A:A,0)),0)</f>
        <v>0</v>
      </c>
    </row>
    <row r="133" spans="1:7" ht="30" customHeight="1" x14ac:dyDescent="0.35">
      <c r="A133" s="74">
        <v>10119</v>
      </c>
      <c r="B133" s="73" t="s">
        <v>333</v>
      </c>
      <c r="C133" s="10">
        <f>IFERROR(INDEX('حسابهای دریافتنی'!H:H,MATCH(Table230[[#This Row],[كد تفصيلي]],'حسابهای دریافتنی'!A:A,0)),0)</f>
        <v>-2592000</v>
      </c>
      <c r="D133" s="11">
        <f>IFERROR(INDEX('درجریان وصول'!F:F,MATCH(Table230[[#This Row],[كد تفصيلي]],'درجریان وصول'!A:A,0)),0)</f>
        <v>0</v>
      </c>
      <c r="E133" s="11">
        <f>IFERROR(INDEX('چکهای دریافتنی'!F:F,MATCH(Table230[[#This Row],[كد تفصيلي]],'چکهای دریافتنی'!A:A,0)),0)</f>
        <v>0</v>
      </c>
      <c r="F133" s="11">
        <f>Table230[[#This Row],[حسابهای دریافتنی]]+Table230[[#This Row],[چکهای در جریان وصول]]+Table230[[#This Row],[چکهای نزد صندوق]]</f>
        <v>-2592000</v>
      </c>
      <c r="G133" s="12">
        <f>IFERROR(INDEX('مانده سوفاله'!F:F,MATCH(Table230[[#This Row],[كد تفصيلي]],'مانده سوفاله'!A:A,0)),0)</f>
        <v>353</v>
      </c>
    </row>
    <row r="134" spans="1:7" ht="30" customHeight="1" x14ac:dyDescent="0.35">
      <c r="A134" s="75">
        <v>30013</v>
      </c>
      <c r="B134" s="72" t="s">
        <v>62</v>
      </c>
      <c r="C134" s="10">
        <f>IFERROR(INDEX('حسابهای دریافتنی'!H:H,MATCH(Table230[[#This Row],[كد تفصيلي]],'حسابهای دریافتنی'!A:A,0)),0)</f>
        <v>-2744620</v>
      </c>
      <c r="D134" s="11">
        <f>IFERROR(INDEX('درجریان وصول'!F:F,MATCH(Table230[[#This Row],[كد تفصيلي]],'درجریان وصول'!A:A,0)),0)</f>
        <v>0</v>
      </c>
      <c r="E134" s="11">
        <f>IFERROR(INDEX('چکهای دریافتنی'!F:F,MATCH(Table230[[#This Row],[كد تفصيلي]],'چکهای دریافتنی'!A:A,0)),0)</f>
        <v>0</v>
      </c>
      <c r="F134" s="11">
        <f>Table230[[#This Row],[حسابهای دریافتنی]]+Table230[[#This Row],[چکهای در جریان وصول]]+Table230[[#This Row],[چکهای نزد صندوق]]</f>
        <v>-2744620</v>
      </c>
      <c r="G134" s="12">
        <f>IFERROR(INDEX('مانده سوفاله'!F:F,MATCH(Table230[[#This Row],[كد تفصيلي]],'مانده سوفاله'!A:A,0)),0)</f>
        <v>0</v>
      </c>
    </row>
    <row r="135" spans="1:7" ht="30" customHeight="1" x14ac:dyDescent="0.35">
      <c r="A135" s="75">
        <v>30015</v>
      </c>
      <c r="B135" s="72" t="s">
        <v>64</v>
      </c>
      <c r="C135" s="10">
        <f>IFERROR(INDEX('حسابهای دریافتنی'!H:H,MATCH(Table230[[#This Row],[كد تفصيلي]],'حسابهای دریافتنی'!A:A,0)),0)</f>
        <v>-3105895</v>
      </c>
      <c r="D135" s="11">
        <f>IFERROR(INDEX('درجریان وصول'!F:F,MATCH(Table230[[#This Row],[كد تفصيلي]],'درجریان وصول'!A:A,0)),0)</f>
        <v>0</v>
      </c>
      <c r="E135" s="11">
        <f>IFERROR(INDEX('چکهای دریافتنی'!F:F,MATCH(Table230[[#This Row],[كد تفصيلي]],'چکهای دریافتنی'!A:A,0)),0)</f>
        <v>0</v>
      </c>
      <c r="F135" s="11">
        <f>Table230[[#This Row],[حسابهای دریافتنی]]+Table230[[#This Row],[چکهای در جریان وصول]]+Table230[[#This Row],[چکهای نزد صندوق]]</f>
        <v>-3105895</v>
      </c>
      <c r="G135" s="12">
        <f>IFERROR(INDEX('مانده سوفاله'!F:F,MATCH(Table230[[#This Row],[كد تفصيلي]],'مانده سوفاله'!A:A,0)),0)</f>
        <v>0</v>
      </c>
    </row>
    <row r="136" spans="1:7" ht="30" customHeight="1" x14ac:dyDescent="0.35">
      <c r="A136" s="75">
        <v>30110</v>
      </c>
      <c r="B136" s="72" t="s">
        <v>200</v>
      </c>
      <c r="C136" s="10">
        <f>IFERROR(INDEX('حسابهای دریافتنی'!H:H,MATCH(Table230[[#This Row],[كد تفصيلي]],'حسابهای دریافتنی'!A:A,0)),0)</f>
        <v>-3492360</v>
      </c>
      <c r="D136" s="11">
        <f>IFERROR(INDEX('درجریان وصول'!F:F,MATCH(Table230[[#This Row],[كد تفصيلي]],'درجریان وصول'!A:A,0)),0)</f>
        <v>0</v>
      </c>
      <c r="E136" s="11">
        <f>IFERROR(INDEX('چکهای دریافتنی'!F:F,MATCH(Table230[[#This Row],[كد تفصيلي]],'چکهای دریافتنی'!A:A,0)),0)</f>
        <v>0</v>
      </c>
      <c r="F136" s="11">
        <f>Table230[[#This Row],[حسابهای دریافتنی]]+Table230[[#This Row],[چکهای در جریان وصول]]+Table230[[#This Row],[چکهای نزد صندوق]]</f>
        <v>-3492360</v>
      </c>
      <c r="G136" s="12">
        <f>IFERROR(INDEX('مانده سوفاله'!F:F,MATCH(Table230[[#This Row],[كد تفصيلي]],'مانده سوفاله'!A:A,0)),0)</f>
        <v>0</v>
      </c>
    </row>
    <row r="137" spans="1:7" ht="30" customHeight="1" x14ac:dyDescent="0.35">
      <c r="A137" s="74">
        <v>10018</v>
      </c>
      <c r="B137" s="73" t="s">
        <v>25</v>
      </c>
      <c r="C137" s="10">
        <f>IFERROR(INDEX('حسابهای دریافتنی'!H:H,MATCH(Table230[[#This Row],[كد تفصيلي]],'حسابهای دریافتنی'!A:A,0)),0)</f>
        <v>95282000</v>
      </c>
      <c r="D137" s="11">
        <f>IFERROR(INDEX('درجریان وصول'!F:F,MATCH(Table230[[#This Row],[كد تفصيلي]],'درجریان وصول'!A:A,0)),0)</f>
        <v>0</v>
      </c>
      <c r="E137" s="11">
        <f>IFERROR(INDEX('چکهای دریافتنی'!F:F,MATCH(Table230[[#This Row],[كد تفصيلي]],'چکهای دریافتنی'!A:A,0)),0)</f>
        <v>0</v>
      </c>
      <c r="F137" s="11">
        <f>Table230[[#This Row],[حسابهای دریافتنی]]+Table230[[#This Row],[چکهای در جریان وصول]]+Table230[[#This Row],[چکهای نزد صندوق]]</f>
        <v>95282000</v>
      </c>
      <c r="G137" s="12">
        <f>IFERROR(INDEX('مانده سوفاله'!F:F,MATCH(Table230[[#This Row],[كد تفصيلي]],'مانده سوفاله'!A:A,0)),0)</f>
        <v>-32</v>
      </c>
    </row>
    <row r="138" spans="1:7" ht="30" customHeight="1" x14ac:dyDescent="0.35">
      <c r="A138" s="75">
        <v>10015</v>
      </c>
      <c r="B138" s="72" t="s">
        <v>22</v>
      </c>
      <c r="C138" s="10">
        <f>IFERROR(INDEX('حسابهای دریافتنی'!H:H,MATCH(Table230[[#This Row],[كد تفصيلي]],'حسابهای دریافتنی'!A:A,0)),0)</f>
        <v>-4735000</v>
      </c>
      <c r="D138" s="11">
        <f>IFERROR(INDEX('درجریان وصول'!F:F,MATCH(Table230[[#This Row],[كد تفصيلي]],'درجریان وصول'!A:A,0)),0)</f>
        <v>0</v>
      </c>
      <c r="E138" s="11">
        <f>IFERROR(INDEX('چکهای دریافتنی'!F:F,MATCH(Table230[[#This Row],[كد تفصيلي]],'چکهای دریافتنی'!A:A,0)),0)</f>
        <v>0</v>
      </c>
      <c r="F138" s="11">
        <f>Table230[[#This Row],[حسابهای دریافتنی]]+Table230[[#This Row],[چکهای در جریان وصول]]+Table230[[#This Row],[چکهای نزد صندوق]]</f>
        <v>-4735000</v>
      </c>
      <c r="G138" s="12">
        <f>IFERROR(INDEX('مانده سوفاله'!F:F,MATCH(Table230[[#This Row],[كد تفصيلي]],'مانده سوفاله'!A:A,0)),0)</f>
        <v>12</v>
      </c>
    </row>
    <row r="139" spans="1:7" ht="30" customHeight="1" x14ac:dyDescent="0.35">
      <c r="A139" s="74">
        <v>30153</v>
      </c>
      <c r="B139" s="73" t="s">
        <v>279</v>
      </c>
      <c r="C139" s="10">
        <f>IFERROR(INDEX('حسابهای دریافتنی'!H:H,MATCH(Table230[[#This Row],[كد تفصيلي]],'حسابهای دریافتنی'!A:A,0)),0)</f>
        <v>-4818000</v>
      </c>
      <c r="D139" s="11">
        <f>IFERROR(INDEX('درجریان وصول'!F:F,MATCH(Table230[[#This Row],[كد تفصيلي]],'درجریان وصول'!A:A,0)),0)</f>
        <v>0</v>
      </c>
      <c r="E139" s="11">
        <f>IFERROR(INDEX('چکهای دریافتنی'!F:F,MATCH(Table230[[#This Row],[كد تفصيلي]],'چکهای دریافتنی'!A:A,0)),0)</f>
        <v>0</v>
      </c>
      <c r="F139" s="11">
        <f>Table230[[#This Row],[حسابهای دریافتنی]]+Table230[[#This Row],[چکهای در جریان وصول]]+Table230[[#This Row],[چکهای نزد صندوق]]</f>
        <v>-4818000</v>
      </c>
      <c r="G139" s="12">
        <f>IFERROR(INDEX('مانده سوفاله'!F:F,MATCH(Table230[[#This Row],[كد تفصيلي]],'مانده سوفاله'!A:A,0)),0)</f>
        <v>0</v>
      </c>
    </row>
    <row r="140" spans="1:7" ht="30" customHeight="1" x14ac:dyDescent="0.35">
      <c r="A140" s="75">
        <v>30023</v>
      </c>
      <c r="B140" s="72" t="s">
        <v>71</v>
      </c>
      <c r="C140" s="10">
        <f>IFERROR(INDEX('حسابهای دریافتنی'!H:H,MATCH(Table230[[#This Row],[كد تفصيلي]],'حسابهای دریافتنی'!A:A,0)),0)</f>
        <v>-5793600</v>
      </c>
      <c r="D140" s="11">
        <f>IFERROR(INDEX('درجریان وصول'!F:F,MATCH(Table230[[#This Row],[كد تفصيلي]],'درجریان وصول'!A:A,0)),0)</f>
        <v>0</v>
      </c>
      <c r="E140" s="11">
        <f>IFERROR(INDEX('چکهای دریافتنی'!F:F,MATCH(Table230[[#This Row],[كد تفصيلي]],'چکهای دریافتنی'!A:A,0)),0)</f>
        <v>0</v>
      </c>
      <c r="F140" s="11">
        <f>Table230[[#This Row],[حسابهای دریافتنی]]+Table230[[#This Row],[چکهای در جریان وصول]]+Table230[[#This Row],[چکهای نزد صندوق]]</f>
        <v>-5793600</v>
      </c>
      <c r="G140" s="12">
        <f>IFERROR(INDEX('مانده سوفاله'!F:F,MATCH(Table230[[#This Row],[كد تفصيلي]],'مانده سوفاله'!A:A,0)),0)</f>
        <v>0</v>
      </c>
    </row>
    <row r="141" spans="1:7" ht="30" customHeight="1" x14ac:dyDescent="0.35">
      <c r="A141" s="75">
        <v>30176</v>
      </c>
      <c r="B141" s="72" t="s">
        <v>332</v>
      </c>
      <c r="C141" s="10">
        <f>IFERROR(INDEX('حسابهای دریافتنی'!H:H,MATCH(Table230[[#This Row],[كد تفصيلي]],'حسابهای دریافتنی'!A:A,0)),0)</f>
        <v>-7540075</v>
      </c>
      <c r="D141" s="11">
        <f>IFERROR(INDEX('درجریان وصول'!F:F,MATCH(Table230[[#This Row],[كد تفصيلي]],'درجریان وصول'!A:A,0)),0)</f>
        <v>0</v>
      </c>
      <c r="E141" s="11">
        <f>IFERROR(INDEX('چکهای دریافتنی'!F:F,MATCH(Table230[[#This Row],[كد تفصيلي]],'چکهای دریافتنی'!A:A,0)),0)</f>
        <v>0</v>
      </c>
      <c r="F141" s="11">
        <f>Table230[[#This Row],[حسابهای دریافتنی]]+Table230[[#This Row],[چکهای در جریان وصول]]+Table230[[#This Row],[چکهای نزد صندوق]]</f>
        <v>-7540075</v>
      </c>
      <c r="G141" s="12">
        <f>IFERROR(INDEX('مانده سوفاله'!F:F,MATCH(Table230[[#This Row],[كد تفصيلي]],'مانده سوفاله'!A:A,0)),0)</f>
        <v>0</v>
      </c>
    </row>
    <row r="142" spans="1:7" ht="30" customHeight="1" x14ac:dyDescent="0.35">
      <c r="A142" s="74">
        <v>30179</v>
      </c>
      <c r="B142" s="73" t="s">
        <v>336</v>
      </c>
      <c r="C142" s="10">
        <f>IFERROR(INDEX('حسابهای دریافتنی'!H:H,MATCH(Table230[[#This Row],[كد تفصيلي]],'حسابهای دریافتنی'!A:A,0)),0)</f>
        <v>-637200</v>
      </c>
      <c r="D142" s="11">
        <f>IFERROR(INDEX('درجریان وصول'!F:F,MATCH(Table230[[#This Row],[كد تفصيلي]],'درجریان وصول'!A:A,0)),0)</f>
        <v>0</v>
      </c>
      <c r="E142" s="11">
        <f>IFERROR(INDEX('چکهای دریافتنی'!F:F,MATCH(Table230[[#This Row],[كد تفصيلي]],'چکهای دریافتنی'!A:A,0)),0)</f>
        <v>0</v>
      </c>
      <c r="F142" s="11">
        <f>Table230[[#This Row],[حسابهای دریافتنی]]+Table230[[#This Row],[چکهای در جریان وصول]]+Table230[[#This Row],[چکهای نزد صندوق]]</f>
        <v>-637200</v>
      </c>
      <c r="G142" s="12">
        <f>IFERROR(INDEX('مانده سوفاله'!F:F,MATCH(Table230[[#This Row],[كد تفصيلي]],'مانده سوفاله'!A:A,0)),0)</f>
        <v>0</v>
      </c>
    </row>
    <row r="143" spans="1:7" ht="30" customHeight="1" x14ac:dyDescent="0.35">
      <c r="A143" s="75">
        <v>10106</v>
      </c>
      <c r="B143" s="72" t="s">
        <v>298</v>
      </c>
      <c r="C143" s="10">
        <f>IFERROR(INDEX('حسابهای دریافتنی'!H:H,MATCH(Table230[[#This Row],[كد تفصيلي]],'حسابهای دریافتنی'!A:A,0)),0)</f>
        <v>-9134000</v>
      </c>
      <c r="D143" s="11">
        <f>IFERROR(INDEX('درجریان وصول'!F:F,MATCH(Table230[[#This Row],[كد تفصيلي]],'درجریان وصول'!A:A,0)),0)</f>
        <v>0</v>
      </c>
      <c r="E143" s="11">
        <f>IFERROR(INDEX('چکهای دریافتنی'!F:F,MATCH(Table230[[#This Row],[كد تفصيلي]],'چکهای دریافتنی'!A:A,0)),0)</f>
        <v>0</v>
      </c>
      <c r="F143" s="11">
        <f>Table230[[#This Row],[حسابهای دریافتنی]]+Table230[[#This Row],[چکهای در جریان وصول]]+Table230[[#This Row],[چکهای نزد صندوق]]</f>
        <v>-9134000</v>
      </c>
      <c r="G143" s="12">
        <f>IFERROR(INDEX('مانده سوفاله'!F:F,MATCH(Table230[[#This Row],[كد تفصيلي]],'مانده سوفاله'!A:A,0)),0)</f>
        <v>0</v>
      </c>
    </row>
    <row r="144" spans="1:7" customFormat="1" ht="30" customHeight="1" x14ac:dyDescent="0.35">
      <c r="A144" s="77">
        <v>10102</v>
      </c>
      <c r="B144" s="73" t="s">
        <v>282</v>
      </c>
      <c r="C144" s="10">
        <f>IFERROR(INDEX('حسابهای دریافتنی'!H:H,MATCH(Table230[[#This Row],[كد تفصيلي]],'حسابهای دریافتنی'!A:A,0)),0)</f>
        <v>-10374000</v>
      </c>
      <c r="D144" s="11">
        <f>IFERROR(INDEX('درجریان وصول'!F:F,MATCH(Table230[[#This Row],[كد تفصيلي]],'درجریان وصول'!A:A,0)),0)</f>
        <v>0</v>
      </c>
      <c r="E144" s="11">
        <f>IFERROR(INDEX('چکهای دریافتنی'!F:F,MATCH(Table230[[#This Row],[كد تفصيلي]],'چکهای دریافتنی'!A:A,0)),0)</f>
        <v>0</v>
      </c>
      <c r="F144" s="11">
        <f>Table230[[#This Row],[حسابهای دریافتنی]]+Table230[[#This Row],[چکهای در جریان وصول]]+Table230[[#This Row],[چکهای نزد صندوق]]</f>
        <v>-10374000</v>
      </c>
      <c r="G144" s="12">
        <f>IFERROR(INDEX('مانده سوفاله'!F:F,MATCH(Table230[[#This Row],[كد تفصيلي]],'مانده سوفاله'!A:A,0)),0)</f>
        <v>0</v>
      </c>
    </row>
    <row r="145" spans="1:7" customFormat="1" ht="30" customHeight="1" x14ac:dyDescent="0.35">
      <c r="A145" s="77">
        <v>10058</v>
      </c>
      <c r="B145" s="73" t="s">
        <v>173</v>
      </c>
      <c r="C145" s="10">
        <f>IFERROR(INDEX('حسابهای دریافتنی'!H:H,MATCH(Table230[[#This Row],[كد تفصيلي]],'حسابهای دریافتنی'!A:A,0)),0)</f>
        <v>-13650000</v>
      </c>
      <c r="D145" s="11">
        <f>IFERROR(INDEX('درجریان وصول'!F:F,MATCH(Table230[[#This Row],[كد تفصيلي]],'درجریان وصول'!A:A,0)),0)</f>
        <v>0</v>
      </c>
      <c r="E145" s="11">
        <f>IFERROR(INDEX('چکهای دریافتنی'!F:F,MATCH(Table230[[#This Row],[كد تفصيلي]],'چکهای دریافتنی'!A:A,0)),0)</f>
        <v>0</v>
      </c>
      <c r="F145" s="11">
        <f>Table230[[#This Row],[حسابهای دریافتنی]]+Table230[[#This Row],[چکهای در جریان وصول]]+Table230[[#This Row],[چکهای نزد صندوق]]</f>
        <v>-13650000</v>
      </c>
      <c r="G145" s="12">
        <f>IFERROR(INDEX('مانده سوفاله'!F:F,MATCH(Table230[[#This Row],[كد تفصيلي]],'مانده سوفاله'!A:A,0)),0)</f>
        <v>0</v>
      </c>
    </row>
    <row r="146" spans="1:7" customFormat="1" ht="30" customHeight="1" x14ac:dyDescent="0.35">
      <c r="A146" s="76">
        <v>10126</v>
      </c>
      <c r="B146" s="72" t="s">
        <v>370</v>
      </c>
      <c r="C146" s="10">
        <f>IFERROR(INDEX('حسابهای دریافتنی'!H:H,MATCH(Table230[[#This Row],[كد تفصيلي]],'حسابهای دریافتنی'!A:A,0)),0)</f>
        <v>12165000</v>
      </c>
      <c r="D146" s="11">
        <f>IFERROR(INDEX('درجریان وصول'!F:F,MATCH(Table230[[#This Row],[كد تفصيلي]],'درجریان وصول'!A:A,0)),0)</f>
        <v>0</v>
      </c>
      <c r="E146" s="11">
        <f>IFERROR(INDEX('چکهای دریافتنی'!F:F,MATCH(Table230[[#This Row],[كد تفصيلي]],'چکهای دریافتنی'!A:A,0)),0)</f>
        <v>0</v>
      </c>
      <c r="F146" s="11">
        <f>Table230[[#This Row],[حسابهای دریافتنی]]+Table230[[#This Row],[چکهای در جریان وصول]]+Table230[[#This Row],[چکهای نزد صندوق]]</f>
        <v>12165000</v>
      </c>
      <c r="G146" s="12">
        <f>IFERROR(INDEX('مانده سوفاله'!F:F,MATCH(Table230[[#This Row],[كد تفصيلي]],'مانده سوفاله'!A:A,0)),0)</f>
        <v>0</v>
      </c>
    </row>
    <row r="147" spans="1:7" customFormat="1" ht="30" customHeight="1" x14ac:dyDescent="0.35">
      <c r="A147" s="76">
        <v>30082</v>
      </c>
      <c r="B147" s="72" t="s">
        <v>127</v>
      </c>
      <c r="C147" s="10">
        <f>IFERROR(INDEX('حسابهای دریافتنی'!H:H,MATCH(Table230[[#This Row],[كد تفصيلي]],'حسابهای دریافتنی'!A:A,0)),0)</f>
        <v>-15037000</v>
      </c>
      <c r="D147" s="11">
        <f>IFERROR(INDEX('درجریان وصول'!F:F,MATCH(Table230[[#This Row],[كد تفصيلي]],'درجریان وصول'!A:A,0)),0)</f>
        <v>0</v>
      </c>
      <c r="E147" s="11">
        <f>IFERROR(INDEX('چکهای دریافتنی'!F:F,MATCH(Table230[[#This Row],[كد تفصيلي]],'چکهای دریافتنی'!A:A,0)),0)</f>
        <v>0</v>
      </c>
      <c r="F147" s="11">
        <f>Table230[[#This Row],[حسابهای دریافتنی]]+Table230[[#This Row],[چکهای در جریان وصول]]+Table230[[#This Row],[چکهای نزد صندوق]]</f>
        <v>-15037000</v>
      </c>
      <c r="G147" s="12">
        <f>IFERROR(INDEX('مانده سوفاله'!F:F,MATCH(Table230[[#This Row],[كد تفصيلي]],'مانده سوفاله'!A:A,0)),0)</f>
        <v>-16</v>
      </c>
    </row>
    <row r="148" spans="1:7" customFormat="1" ht="30" customHeight="1" x14ac:dyDescent="0.35">
      <c r="A148" s="77">
        <v>30034</v>
      </c>
      <c r="B148" s="73" t="s">
        <v>81</v>
      </c>
      <c r="C148" s="10">
        <f>IFERROR(INDEX('حسابهای دریافتنی'!H:H,MATCH(Table230[[#This Row],[كد تفصيلي]],'حسابهای دریافتنی'!A:A,0)),0)</f>
        <v>388329200</v>
      </c>
      <c r="D148" s="11">
        <f>IFERROR(INDEX('درجریان وصول'!F:F,MATCH(Table230[[#This Row],[كد تفصيلي]],'درجریان وصول'!A:A,0)),0)</f>
        <v>0</v>
      </c>
      <c r="E148" s="11">
        <f>IFERROR(INDEX('چکهای دریافتنی'!F:F,MATCH(Table230[[#This Row],[كد تفصيلي]],'چکهای دریافتنی'!A:A,0)),0)</f>
        <v>0</v>
      </c>
      <c r="F148" s="11">
        <f>Table230[[#This Row],[حسابهای دریافتنی]]+Table230[[#This Row],[چکهای در جریان وصول]]+Table230[[#This Row],[چکهای نزد صندوق]]</f>
        <v>388329200</v>
      </c>
      <c r="G148" s="12">
        <f>IFERROR(INDEX('مانده سوفاله'!F:F,MATCH(Table230[[#This Row],[كد تفصيلي]],'مانده سوفاله'!A:A,0)),0)</f>
        <v>2886</v>
      </c>
    </row>
    <row r="149" spans="1:7" customFormat="1" ht="30" customHeight="1" x14ac:dyDescent="0.35">
      <c r="A149" s="77">
        <v>30042</v>
      </c>
      <c r="B149" s="73" t="s">
        <v>89</v>
      </c>
      <c r="C149" s="10">
        <f>IFERROR(INDEX('حسابهای دریافتنی'!H:H,MATCH(Table230[[#This Row],[كد تفصيلي]],'حسابهای دریافتنی'!A:A,0)),0)</f>
        <v>-18303540</v>
      </c>
      <c r="D149" s="11">
        <f>IFERROR(INDEX('درجریان وصول'!F:F,MATCH(Table230[[#This Row],[كد تفصيلي]],'درجریان وصول'!A:A,0)),0)</f>
        <v>0</v>
      </c>
      <c r="E149" s="11">
        <f>IFERROR(INDEX('چکهای دریافتنی'!F:F,MATCH(Table230[[#This Row],[كد تفصيلي]],'چکهای دریافتنی'!A:A,0)),0)</f>
        <v>0</v>
      </c>
      <c r="F149" s="11">
        <f>Table230[[#This Row],[حسابهای دریافتنی]]+Table230[[#This Row],[چکهای در جریان وصول]]+Table230[[#This Row],[چکهای نزد صندوق]]</f>
        <v>-18303540</v>
      </c>
      <c r="G149" s="12">
        <f>IFERROR(INDEX('مانده سوفاله'!F:F,MATCH(Table230[[#This Row],[كد تفصيلي]],'مانده سوفاله'!A:A,0)),0)</f>
        <v>0</v>
      </c>
    </row>
    <row r="150" spans="1:7" customFormat="1" ht="30" customHeight="1" x14ac:dyDescent="0.35">
      <c r="A150" s="77">
        <v>30028</v>
      </c>
      <c r="B150" s="73" t="s">
        <v>76</v>
      </c>
      <c r="C150" s="10">
        <f>IFERROR(INDEX('حسابهای دریافتنی'!H:H,MATCH(Table230[[#This Row],[كد تفصيلي]],'حسابهای دریافتنی'!A:A,0)),0)</f>
        <v>-23665000</v>
      </c>
      <c r="D150" s="11">
        <f>IFERROR(INDEX('درجریان وصول'!F:F,MATCH(Table230[[#This Row],[كد تفصيلي]],'درجریان وصول'!A:A,0)),0)</f>
        <v>0</v>
      </c>
      <c r="E150" s="11">
        <f>IFERROR(INDEX('چکهای دریافتنی'!F:F,MATCH(Table230[[#This Row],[كد تفصيلي]],'چکهای دریافتنی'!A:A,0)),0)</f>
        <v>0</v>
      </c>
      <c r="F150" s="11">
        <f>Table230[[#This Row],[حسابهای دریافتنی]]+Table230[[#This Row],[چکهای در جریان وصول]]+Table230[[#This Row],[چکهای نزد صندوق]]</f>
        <v>-23665000</v>
      </c>
      <c r="G150" s="12">
        <f>IFERROR(INDEX('مانده سوفاله'!F:F,MATCH(Table230[[#This Row],[كد تفصيلي]],'مانده سوفاله'!A:A,0)),0)</f>
        <v>0</v>
      </c>
    </row>
    <row r="151" spans="1:7" customFormat="1" ht="30" customHeight="1" x14ac:dyDescent="0.35">
      <c r="A151" s="76">
        <v>30072</v>
      </c>
      <c r="B151" s="72" t="s">
        <v>117</v>
      </c>
      <c r="C151" s="10">
        <f>IFERROR(INDEX('حسابهای دریافتنی'!H:H,MATCH(Table230[[#This Row],[كد تفصيلي]],'حسابهای دریافتنی'!A:A,0)),0)</f>
        <v>-30178900</v>
      </c>
      <c r="D151" s="11">
        <f>IFERROR(INDEX('درجریان وصول'!F:F,MATCH(Table230[[#This Row],[كد تفصيلي]],'درجریان وصول'!A:A,0)),0)</f>
        <v>0</v>
      </c>
      <c r="E151" s="11">
        <f>IFERROR(INDEX('چکهای دریافتنی'!F:F,MATCH(Table230[[#This Row],[كد تفصيلي]],'چکهای دریافتنی'!A:A,0)),0)</f>
        <v>0</v>
      </c>
      <c r="F151" s="11">
        <f>Table230[[#This Row],[حسابهای دریافتنی]]+Table230[[#This Row],[چکهای در جریان وصول]]+Table230[[#This Row],[چکهای نزد صندوق]]</f>
        <v>-30178900</v>
      </c>
      <c r="G151" s="12">
        <f>IFERROR(INDEX('مانده سوفاله'!F:F,MATCH(Table230[[#This Row],[كد تفصيلي]],'مانده سوفاله'!A:A,0)),0)</f>
        <v>-79</v>
      </c>
    </row>
    <row r="152" spans="1:7" customFormat="1" ht="30" customHeight="1" x14ac:dyDescent="0.35">
      <c r="A152" s="76">
        <v>10049</v>
      </c>
      <c r="B152" s="72" t="s">
        <v>157</v>
      </c>
      <c r="C152" s="10">
        <f>IFERROR(INDEX('حسابهای دریافتنی'!H:H,MATCH(Table230[[#This Row],[كد تفصيلي]],'حسابهای دریافتنی'!A:A,0)),0)</f>
        <v>-32909500</v>
      </c>
      <c r="D152" s="11">
        <f>IFERROR(INDEX('درجریان وصول'!F:F,MATCH(Table230[[#This Row],[كد تفصيلي]],'درجریان وصول'!A:A,0)),0)</f>
        <v>0</v>
      </c>
      <c r="E152" s="11">
        <f>IFERROR(INDEX('چکهای دریافتنی'!F:F,MATCH(Table230[[#This Row],[كد تفصيلي]],'چکهای دریافتنی'!A:A,0)),0)</f>
        <v>0</v>
      </c>
      <c r="F152" s="11">
        <f>Table230[[#This Row],[حسابهای دریافتنی]]+Table230[[#This Row],[چکهای در جریان وصول]]+Table230[[#This Row],[چکهای نزد صندوق]]</f>
        <v>-32909500</v>
      </c>
      <c r="G152" s="12">
        <f>IFERROR(INDEX('مانده سوفاله'!F:F,MATCH(Table230[[#This Row],[كد تفصيلي]],'مانده سوفاله'!A:A,0)),0)</f>
        <v>0</v>
      </c>
    </row>
    <row r="153" spans="1:7" customFormat="1" ht="30" customHeight="1" x14ac:dyDescent="0.35">
      <c r="A153" s="76">
        <v>30098</v>
      </c>
      <c r="B153" s="72" t="s">
        <v>238</v>
      </c>
      <c r="C153" s="10">
        <f>IFERROR(INDEX('حسابهای دریافتنی'!H:H,MATCH(Table230[[#This Row],[كد تفصيلي]],'حسابهای دریافتنی'!A:A,0)),0)</f>
        <v>-45125000</v>
      </c>
      <c r="D153" s="11">
        <f>IFERROR(INDEX('درجریان وصول'!F:F,MATCH(Table230[[#This Row],[كد تفصيلي]],'درجریان وصول'!A:A,0)),0)</f>
        <v>0</v>
      </c>
      <c r="E153" s="11">
        <f>IFERROR(INDEX('چکهای دریافتنی'!F:F,MATCH(Table230[[#This Row],[كد تفصيلي]],'چکهای دریافتنی'!A:A,0)),0)</f>
        <v>0</v>
      </c>
      <c r="F153" s="11">
        <f>Table230[[#This Row],[حسابهای دریافتنی]]+Table230[[#This Row],[چکهای در جریان وصول]]+Table230[[#This Row],[چکهای نزد صندوق]]</f>
        <v>-45125000</v>
      </c>
      <c r="G153" s="12">
        <f>IFERROR(INDEX('مانده سوفاله'!F:F,MATCH(Table230[[#This Row],[كد تفصيلي]],'مانده سوفاله'!A:A,0)),0)</f>
        <v>0</v>
      </c>
    </row>
    <row r="154" spans="1:7" customFormat="1" ht="30" customHeight="1" x14ac:dyDescent="0.35">
      <c r="A154" s="76">
        <v>30064</v>
      </c>
      <c r="B154" s="72" t="s">
        <v>109</v>
      </c>
      <c r="C154" s="10">
        <f>IFERROR(INDEX('حسابهای دریافتنی'!H:H,MATCH(Table230[[#This Row],[كد تفصيلي]],'حسابهای دریافتنی'!A:A,0)),0)</f>
        <v>-49679500</v>
      </c>
      <c r="D154" s="11">
        <f>IFERROR(INDEX('درجریان وصول'!F:F,MATCH(Table230[[#This Row],[كد تفصيلي]],'درجریان وصول'!A:A,0)),0)</f>
        <v>0</v>
      </c>
      <c r="E154" s="11">
        <f>IFERROR(INDEX('چکهای دریافتنی'!F:F,MATCH(Table230[[#This Row],[كد تفصيلي]],'چکهای دریافتنی'!A:A,0)),0)</f>
        <v>0</v>
      </c>
      <c r="F154" s="11">
        <f>Table230[[#This Row],[حسابهای دریافتنی]]+Table230[[#This Row],[چکهای در جریان وصول]]+Table230[[#This Row],[چکهای نزد صندوق]]</f>
        <v>-49679500</v>
      </c>
      <c r="G154" s="12">
        <f>IFERROR(INDEX('مانده سوفاله'!F:F,MATCH(Table230[[#This Row],[كد تفصيلي]],'مانده سوفاله'!A:A,0)),0)</f>
        <v>0</v>
      </c>
    </row>
    <row r="155" spans="1:7" customFormat="1" ht="30" customHeight="1" x14ac:dyDescent="0.35">
      <c r="A155" s="77">
        <v>10123</v>
      </c>
      <c r="B155" s="73" t="s">
        <v>340</v>
      </c>
      <c r="C155" s="10">
        <f>IFERROR(INDEX('حسابهای دریافتنی'!H:H,MATCH(Table230[[#This Row],[كد تفصيلي]],'حسابهای دریافتنی'!A:A,0)),0)</f>
        <v>-50813000</v>
      </c>
      <c r="D155" s="11">
        <f>IFERROR(INDEX('درجریان وصول'!F:F,MATCH(Table230[[#This Row],[كد تفصيلي]],'درجریان وصول'!A:A,0)),0)</f>
        <v>0</v>
      </c>
      <c r="E155" s="11">
        <f>IFERROR(INDEX('چکهای دریافتنی'!F:F,MATCH(Table230[[#This Row],[كد تفصيلي]],'چکهای دریافتنی'!A:A,0)),0)</f>
        <v>0</v>
      </c>
      <c r="F155" s="11">
        <f>Table230[[#This Row],[حسابهای دریافتنی]]+Table230[[#This Row],[چکهای در جریان وصول]]+Table230[[#This Row],[چکهای نزد صندوق]]</f>
        <v>-50813000</v>
      </c>
      <c r="G155" s="12">
        <f>IFERROR(INDEX('مانده سوفاله'!F:F,MATCH(Table230[[#This Row],[كد تفصيلي]],'مانده سوفاله'!A:A,0)),0)</f>
        <v>0</v>
      </c>
    </row>
    <row r="156" spans="1:7" customFormat="1" ht="30" customHeight="1" x14ac:dyDescent="0.35">
      <c r="A156" s="77">
        <v>30000</v>
      </c>
      <c r="B156" s="73" t="s">
        <v>189</v>
      </c>
      <c r="C156" s="10">
        <f>IFERROR(INDEX('حسابهای دریافتنی'!H:H,MATCH(Table230[[#This Row],[كد تفصيلي]],'حسابهای دریافتنی'!A:A,0)),0)</f>
        <v>-55440000</v>
      </c>
      <c r="D156" s="11">
        <f>IFERROR(INDEX('درجریان وصول'!F:F,MATCH(Table230[[#This Row],[كد تفصيلي]],'درجریان وصول'!A:A,0)),0)</f>
        <v>0</v>
      </c>
      <c r="E156" s="11">
        <f>IFERROR(INDEX('چکهای دریافتنی'!F:F,MATCH(Table230[[#This Row],[كد تفصيلي]],'چکهای دریافتنی'!A:A,0)),0)</f>
        <v>0</v>
      </c>
      <c r="F156" s="11">
        <f>Table230[[#This Row],[حسابهای دریافتنی]]+Table230[[#This Row],[چکهای در جریان وصول]]+Table230[[#This Row],[چکهای نزد صندوق]]</f>
        <v>-55440000</v>
      </c>
      <c r="G156" s="12">
        <f>IFERROR(INDEX('مانده سوفاله'!F:F,MATCH(Table230[[#This Row],[كد تفصيلي]],'مانده سوفاله'!A:A,0)),0)</f>
        <v>0</v>
      </c>
    </row>
    <row r="157" spans="1:7" customFormat="1" ht="30" customHeight="1" x14ac:dyDescent="0.35">
      <c r="A157" s="76">
        <v>30205</v>
      </c>
      <c r="B157" s="72" t="s">
        <v>531</v>
      </c>
      <c r="C157" s="10">
        <f>IFERROR(INDEX('حسابهای دریافتنی'!H:H,MATCH(Table230[[#This Row],[كد تفصيلي]],'حسابهای دریافتنی'!A:A,0)),0)</f>
        <v>-66014320</v>
      </c>
      <c r="D157" s="11">
        <f>IFERROR(INDEX('درجریان وصول'!F:F,MATCH(Table230[[#This Row],[كد تفصيلي]],'درجریان وصول'!A:A,0)),0)</f>
        <v>0</v>
      </c>
      <c r="E157" s="11">
        <f>IFERROR(INDEX('چکهای دریافتنی'!F:F,MATCH(Table230[[#This Row],[كد تفصيلي]],'چکهای دریافتنی'!A:A,0)),0)</f>
        <v>0</v>
      </c>
      <c r="F157" s="11">
        <f>Table230[[#This Row],[حسابهای دریافتنی]]+Table230[[#This Row],[چکهای در جریان وصول]]+Table230[[#This Row],[چکهای نزد صندوق]]</f>
        <v>-66014320</v>
      </c>
      <c r="G157" s="12">
        <f>IFERROR(INDEX('مانده سوفاله'!F:F,MATCH(Table230[[#This Row],[كد تفصيلي]],'مانده سوفاله'!A:A,0)),0)</f>
        <v>0</v>
      </c>
    </row>
    <row r="158" spans="1:7" customFormat="1" ht="30" customHeight="1" x14ac:dyDescent="0.35">
      <c r="A158" s="77">
        <v>30133</v>
      </c>
      <c r="B158" s="73" t="s">
        <v>251</v>
      </c>
      <c r="C158" s="10">
        <f>IFERROR(INDEX('حسابهای دریافتنی'!H:H,MATCH(Table230[[#This Row],[كد تفصيلي]],'حسابهای دریافتنی'!A:A,0)),0)</f>
        <v>-66889500</v>
      </c>
      <c r="D158" s="11">
        <f>IFERROR(INDEX('درجریان وصول'!F:F,MATCH(Table230[[#This Row],[كد تفصيلي]],'درجریان وصول'!A:A,0)),0)</f>
        <v>0</v>
      </c>
      <c r="E158" s="11">
        <f>IFERROR(INDEX('چکهای دریافتنی'!F:F,MATCH(Table230[[#This Row],[كد تفصيلي]],'چکهای دریافتنی'!A:A,0)),0)</f>
        <v>0</v>
      </c>
      <c r="F158" s="11">
        <f>Table230[[#This Row],[حسابهای دریافتنی]]+Table230[[#This Row],[چکهای در جریان وصول]]+Table230[[#This Row],[چکهای نزد صندوق]]</f>
        <v>-66889500</v>
      </c>
      <c r="G158" s="12">
        <f>IFERROR(INDEX('مانده سوفاله'!F:F,MATCH(Table230[[#This Row],[كد تفصيلي]],'مانده سوفاله'!A:A,0)),0)</f>
        <v>0</v>
      </c>
    </row>
    <row r="159" spans="1:7" customFormat="1" ht="30" customHeight="1" x14ac:dyDescent="0.35">
      <c r="A159" s="76">
        <v>30168</v>
      </c>
      <c r="B159" s="72" t="s">
        <v>313</v>
      </c>
      <c r="C159" s="10">
        <f>IFERROR(INDEX('حسابهای دریافتنی'!H:H,MATCH(Table230[[#This Row],[كد تفصيلي]],'حسابهای دریافتنی'!A:A,0)),0)</f>
        <v>-104220000</v>
      </c>
      <c r="D159" s="11">
        <f>IFERROR(INDEX('درجریان وصول'!F:F,MATCH(Table230[[#This Row],[كد تفصيلي]],'درجریان وصول'!A:A,0)),0)</f>
        <v>0</v>
      </c>
      <c r="E159" s="11">
        <f>IFERROR(INDEX('چکهای دریافتنی'!F:F,MATCH(Table230[[#This Row],[كد تفصيلي]],'چکهای دریافتنی'!A:A,0)),0)</f>
        <v>0</v>
      </c>
      <c r="F159" s="11">
        <f>Table230[[#This Row],[حسابهای دریافتنی]]+Table230[[#This Row],[چکهای در جریان وصول]]+Table230[[#This Row],[چکهای نزد صندوق]]</f>
        <v>-104220000</v>
      </c>
      <c r="G159" s="12">
        <f>IFERROR(INDEX('مانده سوفاله'!F:F,MATCH(Table230[[#This Row],[كد تفصيلي]],'مانده سوفاله'!A:A,0)),0)</f>
        <v>0</v>
      </c>
    </row>
    <row r="160" spans="1:7" customFormat="1" ht="30" customHeight="1" x14ac:dyDescent="0.35">
      <c r="A160" s="76">
        <v>30164</v>
      </c>
      <c r="B160" s="72" t="s">
        <v>304</v>
      </c>
      <c r="C160" s="10">
        <f>IFERROR(INDEX('حسابهای دریافتنی'!H:H,MATCH(Table230[[#This Row],[كد تفصيلي]],'حسابهای دریافتنی'!A:A,0)),0)</f>
        <v>184944000</v>
      </c>
      <c r="D160" s="11">
        <f>IFERROR(INDEX('درجریان وصول'!F:F,MATCH(Table230[[#This Row],[كد تفصيلي]],'درجریان وصول'!A:A,0)),0)</f>
        <v>0</v>
      </c>
      <c r="E160" s="11">
        <f>IFERROR(INDEX('چکهای دریافتنی'!F:F,MATCH(Table230[[#This Row],[كد تفصيلي]],'چکهای دریافتنی'!A:A,0)),0)</f>
        <v>0</v>
      </c>
      <c r="F160" s="11">
        <f>Table230[[#This Row],[حسابهای دریافتنی]]+Table230[[#This Row],[چکهای در جریان وصول]]+Table230[[#This Row],[چکهای نزد صندوق]]</f>
        <v>184944000</v>
      </c>
      <c r="G160" s="12">
        <f>IFERROR(INDEX('مانده سوفاله'!F:F,MATCH(Table230[[#This Row],[كد تفصيلي]],'مانده سوفاله'!A:A,0)),0)</f>
        <v>561</v>
      </c>
    </row>
    <row r="161" spans="1:7" customFormat="1" ht="30" customHeight="1" x14ac:dyDescent="0.35">
      <c r="A161" s="76">
        <v>10089</v>
      </c>
      <c r="B161" s="72" t="s">
        <v>255</v>
      </c>
      <c r="C161" s="10">
        <f>IFERROR(INDEX('حسابهای دریافتنی'!H:H,MATCH(Table230[[#This Row],[كد تفصيلي]],'حسابهای دریافتنی'!A:A,0)),0)</f>
        <v>-143944000</v>
      </c>
      <c r="D161" s="11">
        <f>IFERROR(INDEX('درجریان وصول'!F:F,MATCH(Table230[[#This Row],[كد تفصيلي]],'درجریان وصول'!A:A,0)),0)</f>
        <v>0</v>
      </c>
      <c r="E161" s="11">
        <f>IFERROR(INDEX('چکهای دریافتنی'!F:F,MATCH(Table230[[#This Row],[كد تفصيلي]],'چکهای دریافتنی'!A:A,0)),0)</f>
        <v>0</v>
      </c>
      <c r="F161" s="11">
        <f>Table230[[#This Row],[حسابهای دریافتنی]]+Table230[[#This Row],[چکهای در جریان وصول]]+Table230[[#This Row],[چکهای نزد صندوق]]</f>
        <v>-143944000</v>
      </c>
      <c r="G161" s="12">
        <f>IFERROR(INDEX('مانده سوفاله'!F:F,MATCH(Table230[[#This Row],[كد تفصيلي]],'مانده سوفاله'!A:A,0)),0)</f>
        <v>-948</v>
      </c>
    </row>
    <row r="162" spans="1:7" customFormat="1" ht="30" customHeight="1" x14ac:dyDescent="0.35">
      <c r="A162" s="76">
        <v>30156</v>
      </c>
      <c r="B162" s="72" t="s">
        <v>290</v>
      </c>
      <c r="C162" s="10">
        <f>IFERROR(INDEX('حسابهای دریافتنی'!H:H,MATCH(Table230[[#This Row],[كد تفصيلي]],'حسابهای دریافتنی'!A:A,0)),0)</f>
        <v>-180917500</v>
      </c>
      <c r="D162" s="11">
        <f>IFERROR(INDEX('درجریان وصول'!F:F,MATCH(Table230[[#This Row],[كد تفصيلي]],'درجریان وصول'!A:A,0)),0)</f>
        <v>0</v>
      </c>
      <c r="E162" s="11">
        <f>IFERROR(INDEX('چکهای دریافتنی'!F:F,MATCH(Table230[[#This Row],[كد تفصيلي]],'چکهای دریافتنی'!A:A,0)),0)</f>
        <v>0</v>
      </c>
      <c r="F162" s="11">
        <f>Table230[[#This Row],[حسابهای دریافتنی]]+Table230[[#This Row],[چکهای در جریان وصول]]+Table230[[#This Row],[چکهای نزد صندوق]]</f>
        <v>-180917500</v>
      </c>
      <c r="G162" s="12">
        <f>IFERROR(INDEX('مانده سوفاله'!F:F,MATCH(Table230[[#This Row],[كد تفصيلي]],'مانده سوفاله'!A:A,0)),0)</f>
        <v>0</v>
      </c>
    </row>
    <row r="163" spans="1:7" customFormat="1" ht="30" customHeight="1" x14ac:dyDescent="0.35">
      <c r="A163" s="77">
        <v>30183</v>
      </c>
      <c r="B163" s="73" t="s">
        <v>343</v>
      </c>
      <c r="C163" s="10">
        <f>IFERROR(INDEX('حسابهای دریافتنی'!H:H,MATCH(Table230[[#This Row],[كد تفصيلي]],'حسابهای دریافتنی'!A:A,0)),0)</f>
        <v>-5000</v>
      </c>
      <c r="D163" s="11">
        <f>IFERROR(INDEX('درجریان وصول'!F:F,MATCH(Table230[[#This Row],[كد تفصيلي]],'درجریان وصول'!A:A,0)),0)</f>
        <v>0</v>
      </c>
      <c r="E163" s="11">
        <f>IFERROR(INDEX('چکهای دریافتنی'!F:F,MATCH(Table230[[#This Row],[كد تفصيلي]],'چکهای دریافتنی'!A:A,0)),0)</f>
        <v>0</v>
      </c>
      <c r="F163" s="11">
        <f>Table230[[#This Row],[حسابهای دریافتنی]]+Table230[[#This Row],[چکهای در جریان وصول]]+Table230[[#This Row],[چکهای نزد صندوق]]</f>
        <v>-5000</v>
      </c>
      <c r="G163" s="12">
        <f>IFERROR(INDEX('مانده سوفاله'!F:F,MATCH(Table230[[#This Row],[كد تفصيلي]],'مانده سوفاله'!A:A,0)),0)</f>
        <v>0</v>
      </c>
    </row>
    <row r="164" spans="1:7" customFormat="1" ht="30" customHeight="1" x14ac:dyDescent="0.35">
      <c r="A164" s="76">
        <v>10079</v>
      </c>
      <c r="B164" s="72" t="s">
        <v>174</v>
      </c>
      <c r="C164" s="10">
        <f>IFERROR(INDEX('حسابهای دریافتنی'!H:H,MATCH(Table230[[#This Row],[كد تفصيلي]],'حسابهای دریافتنی'!A:A,0)),0)</f>
        <v>-226593500</v>
      </c>
      <c r="D164" s="11">
        <f>IFERROR(INDEX('درجریان وصول'!F:F,MATCH(Table230[[#This Row],[كد تفصيلي]],'درجریان وصول'!A:A,0)),0)</f>
        <v>0</v>
      </c>
      <c r="E164" s="11">
        <f>IFERROR(INDEX('چکهای دریافتنی'!F:F,MATCH(Table230[[#This Row],[كد تفصيلي]],'چکهای دریافتنی'!A:A,0)),0)</f>
        <v>0</v>
      </c>
      <c r="F164" s="11">
        <f>Table230[[#This Row],[حسابهای دریافتنی]]+Table230[[#This Row],[چکهای در جریان وصول]]+Table230[[#This Row],[چکهای نزد صندوق]]</f>
        <v>-226593500</v>
      </c>
      <c r="G164" s="12">
        <f>IFERROR(INDEX('مانده سوفاله'!F:F,MATCH(Table230[[#This Row],[كد تفصيلي]],'مانده سوفاله'!A:A,0)),0)</f>
        <v>0</v>
      </c>
    </row>
    <row r="165" spans="1:7" customFormat="1" ht="30" customHeight="1" x14ac:dyDescent="0.35">
      <c r="A165" s="76">
        <v>10101</v>
      </c>
      <c r="B165" s="72" t="s">
        <v>281</v>
      </c>
      <c r="C165" s="10">
        <f>IFERROR(INDEX('حسابهای دریافتنی'!H:H,MATCH(Table230[[#This Row],[كد تفصيلي]],'حسابهای دریافتنی'!A:A,0)),0)</f>
        <v>0</v>
      </c>
      <c r="D165" s="11">
        <f>IFERROR(INDEX('درجریان وصول'!F:F,MATCH(Table230[[#This Row],[كد تفصيلي]],'درجریان وصول'!A:A,0)),0)</f>
        <v>0</v>
      </c>
      <c r="E165" s="11">
        <f>IFERROR(INDEX('چکهای دریافتنی'!F:F,MATCH(Table230[[#This Row],[كد تفصيلي]],'چکهای دریافتنی'!A:A,0)),0)</f>
        <v>0</v>
      </c>
      <c r="F165" s="11">
        <f>Table230[[#This Row],[حسابهای دریافتنی]]+Table230[[#This Row],[چکهای در جریان وصول]]+Table230[[#This Row],[چکهای نزد صندوق]]</f>
        <v>0</v>
      </c>
      <c r="G165" s="12">
        <f>IFERROR(INDEX('مانده سوفاله'!F:F,MATCH(Table230[[#This Row],[كد تفصيلي]],'مانده سوفاله'!A:A,0)),0)</f>
        <v>0</v>
      </c>
    </row>
    <row r="166" spans="1:7" customFormat="1" ht="30" customHeight="1" x14ac:dyDescent="0.35">
      <c r="A166" s="77">
        <v>50008</v>
      </c>
      <c r="B166" s="73" t="s">
        <v>146</v>
      </c>
      <c r="C166" s="10">
        <f>IFERROR(INDEX('حسابهای دریافتنی'!H:H,MATCH(Table230[[#This Row],[كد تفصيلي]],'حسابهای دریافتنی'!A:A,0)),0)</f>
        <v>-406230000</v>
      </c>
      <c r="D166" s="11">
        <f>IFERROR(INDEX('درجریان وصول'!F:F,MATCH(Table230[[#This Row],[كد تفصيلي]],'درجریان وصول'!A:A,0)),0)</f>
        <v>0</v>
      </c>
      <c r="E166" s="11">
        <f>IFERROR(INDEX('چکهای دریافتنی'!F:F,MATCH(Table230[[#This Row],[كد تفصيلي]],'چکهای دریافتنی'!A:A,0)),0)</f>
        <v>0</v>
      </c>
      <c r="F166" s="11">
        <f>Table230[[#This Row],[حسابهای دریافتنی]]+Table230[[#This Row],[چکهای در جریان وصول]]+Table230[[#This Row],[چکهای نزد صندوق]]</f>
        <v>-406230000</v>
      </c>
      <c r="G166" s="12">
        <f>IFERROR(INDEX('مانده سوفاله'!F:F,MATCH(Table230[[#This Row],[كد تفصيلي]],'مانده سوفاله'!A:A,0)),0)</f>
        <v>0</v>
      </c>
    </row>
    <row r="167" spans="1:7" customFormat="1" ht="30" customHeight="1" x14ac:dyDescent="0.35">
      <c r="A167" s="76">
        <v>30182</v>
      </c>
      <c r="B167" s="72" t="s">
        <v>342</v>
      </c>
      <c r="C167" s="10">
        <f>IFERROR(INDEX('حسابهای دریافتنی'!H:H,MATCH(Table230[[#This Row],[كد تفصيلي]],'حسابهای دریافتنی'!A:A,0)),0)</f>
        <v>-528256400</v>
      </c>
      <c r="D167" s="11">
        <f>IFERROR(INDEX('درجریان وصول'!F:F,MATCH(Table230[[#This Row],[كد تفصيلي]],'درجریان وصول'!A:A,0)),0)</f>
        <v>0</v>
      </c>
      <c r="E167" s="11">
        <f>IFERROR(INDEX('چکهای دریافتنی'!F:F,MATCH(Table230[[#This Row],[كد تفصيلي]],'چکهای دریافتنی'!A:A,0)),0)</f>
        <v>0</v>
      </c>
      <c r="F167" s="11">
        <f>Table230[[#This Row],[حسابهای دریافتنی]]+Table230[[#This Row],[چکهای در جریان وصول]]+Table230[[#This Row],[چکهای نزد صندوق]]</f>
        <v>-528256400</v>
      </c>
      <c r="G167" s="12">
        <f>IFERROR(INDEX('مانده سوفاله'!F:F,MATCH(Table230[[#This Row],[كد تفصيلي]],'مانده سوفاله'!A:A,0)),0)</f>
        <v>0</v>
      </c>
    </row>
    <row r="168" spans="1:7" customFormat="1" ht="30" customHeight="1" x14ac:dyDescent="0.35">
      <c r="A168" s="77">
        <v>30155</v>
      </c>
      <c r="B168" s="73" t="s">
        <v>289</v>
      </c>
      <c r="C168" s="10">
        <f>IFERROR(INDEX('حسابهای دریافتنی'!H:H,MATCH(Table230[[#This Row],[كد تفصيلي]],'حسابهای دریافتنی'!A:A,0)),0)</f>
        <v>-454985417</v>
      </c>
      <c r="D168" s="11">
        <f>IFERROR(INDEX('درجریان وصول'!F:F,MATCH(Table230[[#This Row],[كد تفصيلي]],'درجریان وصول'!A:A,0)),0)</f>
        <v>0</v>
      </c>
      <c r="E168" s="11">
        <f>IFERROR(INDEX('چکهای دریافتنی'!F:F,MATCH(Table230[[#This Row],[كد تفصيلي]],'چکهای دریافتنی'!A:A,0)),0)</f>
        <v>1379936267</v>
      </c>
      <c r="F168" s="11">
        <f>Table230[[#This Row],[حسابهای دریافتنی]]+Table230[[#This Row],[چکهای در جریان وصول]]+Table230[[#This Row],[چکهای نزد صندوق]]</f>
        <v>924950850</v>
      </c>
      <c r="G168" s="12">
        <f>IFERROR(INDEX('مانده سوفاله'!F:F,MATCH(Table230[[#This Row],[كد تفصيلي]],'مانده سوفاله'!A:A,0)),0)</f>
        <v>0</v>
      </c>
    </row>
    <row r="169" spans="1:7" customFormat="1" ht="30" customHeight="1" x14ac:dyDescent="0.35">
      <c r="A169" s="77">
        <v>30006</v>
      </c>
      <c r="B169" s="73" t="s">
        <v>56</v>
      </c>
      <c r="C169" s="10">
        <f>IFERROR(INDEX('حسابهای دریافتنی'!H:H,MATCH(Table230[[#This Row],[كد تفصيلي]],'حسابهای دریافتنی'!A:A,0)),0)</f>
        <v>-162677545</v>
      </c>
      <c r="D169" s="11">
        <f>IFERROR(INDEX('درجریان وصول'!F:F,MATCH(Table230[[#This Row],[كد تفصيلي]],'درجریان وصول'!A:A,0)),0)</f>
        <v>0</v>
      </c>
      <c r="E169" s="11">
        <f>IFERROR(INDEX('چکهای دریافتنی'!F:F,MATCH(Table230[[#This Row],[كد تفصيلي]],'چکهای دریافتنی'!A:A,0)),0)</f>
        <v>0</v>
      </c>
      <c r="F169" s="11">
        <f>Table230[[#This Row],[حسابهای دریافتنی]]+Table230[[#This Row],[چکهای در جریان وصول]]+Table230[[#This Row],[چکهای نزد صندوق]]</f>
        <v>-162677545</v>
      </c>
      <c r="G169" s="12">
        <f>IFERROR(INDEX('مانده سوفاله'!F:F,MATCH(Table230[[#This Row],[كد تفصيلي]],'مانده سوفاله'!A:A,0)),0)</f>
        <v>-6</v>
      </c>
    </row>
    <row r="170" spans="1:7" ht="30" customHeight="1" x14ac:dyDescent="0.35">
      <c r="A170" s="74">
        <v>30040</v>
      </c>
      <c r="B170" s="73" t="s">
        <v>87</v>
      </c>
      <c r="C170" s="10">
        <f>IFERROR(INDEX('حسابهای دریافتنی'!H:H,MATCH(Table230[[#This Row],[كد تفصيلي]],'حسابهای دریافتنی'!A:A,0)),0)</f>
        <v>0</v>
      </c>
      <c r="D170" s="11">
        <f>IFERROR(INDEX('درجریان وصول'!F:F,MATCH(Table230[[#This Row],[كد تفصيلي]],'درجریان وصول'!A:A,0)),0)</f>
        <v>0</v>
      </c>
      <c r="E170" s="11">
        <f>IFERROR(INDEX('چکهای دریافتنی'!F:F,MATCH(Table230[[#This Row],[كد تفصيلي]],'چکهای دریافتنی'!A:A,0)),0)</f>
        <v>0</v>
      </c>
      <c r="F170" s="11">
        <f>Table230[[#This Row],[حسابهای دریافتنی]]+Table230[[#This Row],[چکهای در جریان وصول]]+Table230[[#This Row],[چکهای نزد صندوق]]</f>
        <v>0</v>
      </c>
      <c r="G170" s="12">
        <f>IFERROR(INDEX('مانده سوفاله'!F:F,MATCH(Table230[[#This Row],[كد تفصيلي]],'مانده سوفاله'!A:A,0)),0)</f>
        <v>0</v>
      </c>
    </row>
    <row r="171" spans="1:7" ht="30" customHeight="1" x14ac:dyDescent="0.35">
      <c r="A171" s="75">
        <v>30189</v>
      </c>
      <c r="B171" s="72" t="s">
        <v>458</v>
      </c>
      <c r="C171" s="10">
        <f>IFERROR(INDEX('حسابهای دریافتنی'!H:H,MATCH(Table230[[#This Row],[كد تفصيلي]],'حسابهای دریافتنی'!A:A,0)),0)</f>
        <v>20776490</v>
      </c>
      <c r="D171" s="11">
        <f>IFERROR(INDEX('درجریان وصول'!F:F,MATCH(Table230[[#This Row],[كد تفصيلي]],'درجریان وصول'!A:A,0)),0)</f>
        <v>0</v>
      </c>
      <c r="E171" s="11">
        <f>IFERROR(INDEX('چکهای دریافتنی'!F:F,MATCH(Table230[[#This Row],[كد تفصيلي]],'چکهای دریافتنی'!A:A,0)),0)</f>
        <v>0</v>
      </c>
      <c r="F171" s="11">
        <f>Table230[[#This Row],[حسابهای دریافتنی]]+Table230[[#This Row],[چکهای در جریان وصول]]+Table230[[#This Row],[چکهای نزد صندوق]]</f>
        <v>20776490</v>
      </c>
      <c r="G171" s="12">
        <f>IFERROR(INDEX('مانده سوفاله'!F:F,MATCH(Table230[[#This Row],[كد تفصيلي]],'مانده سوفاله'!A:A,0)),0)</f>
        <v>0</v>
      </c>
    </row>
    <row r="172" spans="1:7" ht="30" customHeight="1" x14ac:dyDescent="0.35">
      <c r="A172" s="75">
        <v>10105</v>
      </c>
      <c r="B172" s="72" t="s">
        <v>294</v>
      </c>
      <c r="C172" s="10">
        <f>IFERROR(INDEX('حسابهای دریافتنی'!H:H,MATCH(Table230[[#This Row],[كد تفصيلي]],'حسابهای دریافتنی'!A:A,0)),0)</f>
        <v>7630000</v>
      </c>
      <c r="D172" s="11">
        <f>IFERROR(INDEX('درجریان وصول'!F:F,MATCH(Table230[[#This Row],[كد تفصيلي]],'درجریان وصول'!A:A,0)),0)</f>
        <v>0</v>
      </c>
      <c r="E172" s="11">
        <f>IFERROR(INDEX('چکهای دریافتنی'!F:F,MATCH(Table230[[#This Row],[كد تفصيلي]],'چکهای دریافتنی'!A:A,0)),0)</f>
        <v>0</v>
      </c>
      <c r="F172" s="11">
        <f>Table230[[#This Row],[حسابهای دریافتنی]]+Table230[[#This Row],[چکهای در جریان وصول]]+Table230[[#This Row],[چکهای نزد صندوق]]</f>
        <v>7630000</v>
      </c>
      <c r="G172" s="12">
        <f>IFERROR(INDEX('مانده سوفاله'!F:F,MATCH(Table230[[#This Row],[كد تفصيلي]],'مانده سوفاله'!A:A,0)),0)</f>
        <v>0</v>
      </c>
    </row>
    <row r="173" spans="1:7" ht="30" customHeight="1" x14ac:dyDescent="0.35">
      <c r="A173" s="75">
        <v>30184</v>
      </c>
      <c r="B173" s="72" t="s">
        <v>368</v>
      </c>
      <c r="C173" s="10">
        <f>IFERROR(INDEX('حسابهای دریافتنی'!H:H,MATCH(Table230[[#This Row],[كد تفصيلي]],'حسابهای دریافتنی'!A:A,0)),0)</f>
        <v>904890480</v>
      </c>
      <c r="D173" s="11">
        <f>IFERROR(INDEX('درجریان وصول'!F:F,MATCH(Table230[[#This Row],[كد تفصيلي]],'درجریان وصول'!A:A,0)),0)</f>
        <v>0</v>
      </c>
      <c r="E173" s="11">
        <f>IFERROR(INDEX('چکهای دریافتنی'!F:F,MATCH(Table230[[#This Row],[كد تفصيلي]],'چکهای دریافتنی'!A:A,0)),0)</f>
        <v>0</v>
      </c>
      <c r="F173" s="11">
        <f>Table230[[#This Row],[حسابهای دریافتنی]]+Table230[[#This Row],[چکهای در جریان وصول]]+Table230[[#This Row],[چکهای نزد صندوق]]</f>
        <v>904890480</v>
      </c>
      <c r="G173" s="12">
        <f>IFERROR(INDEX('مانده سوفاله'!F:F,MATCH(Table230[[#This Row],[كد تفصيلي]],'مانده سوفاله'!A:A,0)),0)</f>
        <v>-100</v>
      </c>
    </row>
    <row r="174" spans="1:7" ht="30" customHeight="1" x14ac:dyDescent="0.35">
      <c r="A174" s="75">
        <v>10029</v>
      </c>
      <c r="B174" s="72" t="s">
        <v>35</v>
      </c>
      <c r="C174" s="10">
        <f>IFERROR(INDEX('حسابهای دریافتنی'!H:H,MATCH(Table230[[#This Row],[كد تفصيلي]],'حسابهای دریافتنی'!A:A,0)),0)</f>
        <v>-1038298620</v>
      </c>
      <c r="D174" s="11">
        <f>IFERROR(INDEX('درجریان وصول'!F:F,MATCH(Table230[[#This Row],[كد تفصيلي]],'درجریان وصول'!A:A,0)),0)</f>
        <v>0</v>
      </c>
      <c r="E174" s="11">
        <f>IFERROR(INDEX('چکهای دریافتنی'!F:F,MATCH(Table230[[#This Row],[كد تفصيلي]],'چکهای دریافتنی'!A:A,0)),0)</f>
        <v>2019000000</v>
      </c>
      <c r="F174" s="11">
        <f>Table230[[#This Row],[حسابهای دریافتنی]]+Table230[[#This Row],[چکهای در جریان وصول]]+Table230[[#This Row],[چکهای نزد صندوق]]</f>
        <v>980701380</v>
      </c>
      <c r="G174" s="12">
        <f>IFERROR(INDEX('مانده سوفاله'!F:F,MATCH(Table230[[#This Row],[كد تفصيلي]],'مانده سوفاله'!A:A,0)),0)</f>
        <v>6603</v>
      </c>
    </row>
    <row r="175" spans="1:7" ht="30" customHeight="1" x14ac:dyDescent="0.35">
      <c r="A175" s="74">
        <v>10044</v>
      </c>
      <c r="B175" s="73" t="s">
        <v>49</v>
      </c>
      <c r="C175" s="10">
        <f>IFERROR(INDEX('حسابهای دریافتنی'!H:H,MATCH(Table230[[#This Row],[كد تفصيلي]],'حسابهای دریافتنی'!A:A,0)),0)</f>
        <v>0</v>
      </c>
      <c r="D175" s="11">
        <f>IFERROR(INDEX('درجریان وصول'!F:F,MATCH(Table230[[#This Row],[كد تفصيلي]],'درجریان وصول'!A:A,0)),0)</f>
        <v>0</v>
      </c>
      <c r="E175" s="11">
        <f>IFERROR(INDEX('چکهای دریافتنی'!F:F,MATCH(Table230[[#This Row],[كد تفصيلي]],'چکهای دریافتنی'!A:A,0)),0)</f>
        <v>0</v>
      </c>
      <c r="F175" s="11">
        <f>Table230[[#This Row],[حسابهای دریافتنی]]+Table230[[#This Row],[چکهای در جریان وصول]]+Table230[[#This Row],[چکهای نزد صندوق]]</f>
        <v>0</v>
      </c>
      <c r="G175" s="12">
        <f>IFERROR(INDEX('مانده سوفاله'!F:F,MATCH(Table230[[#This Row],[كد تفصيلي]],'مانده سوفاله'!A:A,0)),0)</f>
        <v>0</v>
      </c>
    </row>
    <row r="176" spans="1:7" ht="30" customHeight="1" x14ac:dyDescent="0.35">
      <c r="A176" s="74">
        <v>30165</v>
      </c>
      <c r="B176" s="73" t="s">
        <v>310</v>
      </c>
      <c r="C176" s="10">
        <f>IFERROR(INDEX('حسابهای دریافتنی'!H:H,MATCH(Table230[[#This Row],[كد تفصيلي]],'حسابهای دریافتنی'!A:A,0)),0)</f>
        <v>-1139268000</v>
      </c>
      <c r="D176" s="11">
        <f>IFERROR(INDEX('درجریان وصول'!F:F,MATCH(Table230[[#This Row],[كد تفصيلي]],'درجریان وصول'!A:A,0)),0)</f>
        <v>0</v>
      </c>
      <c r="E176" s="11">
        <f>IFERROR(INDEX('چکهای دریافتنی'!F:F,MATCH(Table230[[#This Row],[كد تفصيلي]],'چکهای دریافتنی'!A:A,0)),0)</f>
        <v>0</v>
      </c>
      <c r="F176" s="11">
        <f>Table230[[#This Row],[حسابهای دریافتنی]]+Table230[[#This Row],[چکهای در جریان وصول]]+Table230[[#This Row],[چکهای نزد صندوق]]</f>
        <v>-1139268000</v>
      </c>
      <c r="G176" s="12">
        <f>IFERROR(INDEX('مانده سوفاله'!F:F,MATCH(Table230[[#This Row],[كد تفصيلي]],'مانده سوفاله'!A:A,0)),0)</f>
        <v>0</v>
      </c>
    </row>
    <row r="177" spans="1:7" ht="30" customHeight="1" x14ac:dyDescent="0.35">
      <c r="A177" s="74">
        <v>10109</v>
      </c>
      <c r="B177" s="73" t="s">
        <v>303</v>
      </c>
      <c r="C177" s="10">
        <f>IFERROR(INDEX('حسابهای دریافتنی'!H:H,MATCH(Table230[[#This Row],[كد تفصيلي]],'حسابهای دریافتنی'!A:A,0)),0)</f>
        <v>-1124737000</v>
      </c>
      <c r="D177" s="11">
        <f>IFERROR(INDEX('درجریان وصول'!F:F,MATCH(Table230[[#This Row],[كد تفصيلي]],'درجریان وصول'!A:A,0)),0)</f>
        <v>0</v>
      </c>
      <c r="E177" s="11">
        <f>IFERROR(INDEX('چکهای دریافتنی'!F:F,MATCH(Table230[[#This Row],[كد تفصيلي]],'چکهای دریافتنی'!A:A,0)),0)</f>
        <v>0</v>
      </c>
      <c r="F177" s="11">
        <f>Table230[[#This Row],[حسابهای دریافتنی]]+Table230[[#This Row],[چکهای در جریان وصول]]+Table230[[#This Row],[چکهای نزد صندوق]]</f>
        <v>-1124737000</v>
      </c>
      <c r="G177" s="12">
        <f>IFERROR(INDEX('مانده سوفاله'!F:F,MATCH(Table230[[#This Row],[كد تفصيلي]],'مانده سوفاله'!A:A,0)),0)</f>
        <v>-241</v>
      </c>
    </row>
    <row r="178" spans="1:7" ht="30" customHeight="1" x14ac:dyDescent="0.35">
      <c r="A178" s="74">
        <v>10142</v>
      </c>
      <c r="B178" s="73" t="s">
        <v>538</v>
      </c>
      <c r="C178" s="10">
        <f>IFERROR(INDEX('حسابهای دریافتنی'!H:H,MATCH(Table230[[#This Row],[كد تفصيلي]],'حسابهای دریافتنی'!A:A,0)),0)</f>
        <v>3502000</v>
      </c>
      <c r="D178" s="11">
        <f>IFERROR(INDEX('درجریان وصول'!F:F,MATCH(Table230[[#This Row],[كد تفصيلي]],'درجریان وصول'!A:A,0)),0)</f>
        <v>0</v>
      </c>
      <c r="E178" s="11">
        <f>IFERROR(INDEX('چکهای دریافتنی'!F:F,MATCH(Table230[[#This Row],[كد تفصيلي]],'چکهای دریافتنی'!A:A,0)),0)</f>
        <v>0</v>
      </c>
      <c r="F178" s="11">
        <f>Table230[[#This Row],[حسابهای دریافتنی]]+Table230[[#This Row],[چکهای در جریان وصول]]+Table230[[#This Row],[چکهای نزد صندوق]]</f>
        <v>3502000</v>
      </c>
      <c r="G178" s="12">
        <f>IFERROR(INDEX('مانده سوفاله'!F:F,MATCH(Table230[[#This Row],[كد تفصيلي]],'مانده سوفاله'!A:A,0)),0)</f>
        <v>0</v>
      </c>
    </row>
    <row r="179" spans="1:7" ht="30" customHeight="1" x14ac:dyDescent="0.35">
      <c r="A179" s="75">
        <v>10069</v>
      </c>
      <c r="B179" s="72" t="s">
        <v>204</v>
      </c>
      <c r="C179" s="10">
        <f>IFERROR(INDEX('حسابهای دریافتنی'!H:H,MATCH(Table230[[#This Row],[كد تفصيلي]],'حسابهای دریافتنی'!A:A,0)),0)</f>
        <v>952500</v>
      </c>
      <c r="D179" s="11">
        <f>IFERROR(INDEX('درجریان وصول'!F:F,MATCH(Table230[[#This Row],[كد تفصيلي]],'درجریان وصول'!A:A,0)),0)</f>
        <v>0</v>
      </c>
      <c r="E179" s="11">
        <f>IFERROR(INDEX('چکهای دریافتنی'!F:F,MATCH(Table230[[#This Row],[كد تفصيلي]],'چکهای دریافتنی'!A:A,0)),0)</f>
        <v>73000000</v>
      </c>
      <c r="F179" s="11">
        <f>Table230[[#This Row],[حسابهای دریافتنی]]+Table230[[#This Row],[چکهای در جریان وصول]]+Table230[[#This Row],[چکهای نزد صندوق]]</f>
        <v>73952500</v>
      </c>
      <c r="G179" s="12">
        <f>IFERROR(INDEX('مانده سوفاله'!F:F,MATCH(Table230[[#This Row],[كد تفصيلي]],'مانده سوفاله'!A:A,0)),0)</f>
        <v>339</v>
      </c>
    </row>
    <row r="180" spans="1:7" ht="30" customHeight="1" x14ac:dyDescent="0.35">
      <c r="A180" s="75">
        <v>10009</v>
      </c>
      <c r="B180" s="72" t="s">
        <v>16</v>
      </c>
      <c r="C180" s="10">
        <f>IFERROR(INDEX('حسابهای دریافتنی'!H:H,MATCH(Table230[[#This Row],[كد تفصيلي]],'حسابهای دریافتنی'!A:A,0)),0)</f>
        <v>-4260580000</v>
      </c>
      <c r="D180" s="11">
        <f>IFERROR(INDEX('درجریان وصول'!F:F,MATCH(Table230[[#This Row],[كد تفصيلي]],'درجریان وصول'!A:A,0)),0)</f>
        <v>0</v>
      </c>
      <c r="E180" s="11">
        <f>IFERROR(INDEX('چکهای دریافتنی'!F:F,MATCH(Table230[[#This Row],[كد تفصيلي]],'چکهای دریافتنی'!A:A,0)),0)</f>
        <v>1600000000</v>
      </c>
      <c r="F180" s="11">
        <f>Table230[[#This Row],[حسابهای دریافتنی]]+Table230[[#This Row],[چکهای در جریان وصول]]+Table230[[#This Row],[چکهای نزد صندوق]]</f>
        <v>-2660580000</v>
      </c>
      <c r="G180" s="12">
        <f>IFERROR(INDEX('مانده سوفاله'!F:F,MATCH(Table230[[#This Row],[كد تفصيلي]],'مانده سوفاله'!A:A,0)),0)</f>
        <v>9952</v>
      </c>
    </row>
    <row r="181" spans="1:7" ht="30" customHeight="1" x14ac:dyDescent="0.35">
      <c r="A181" s="75">
        <v>30146</v>
      </c>
      <c r="B181" s="72" t="s">
        <v>266</v>
      </c>
      <c r="C181" s="10">
        <f>IFERROR(INDEX('حسابهای دریافتنی'!H:H,MATCH(Table230[[#This Row],[كد تفصيلي]],'حسابهای دریافتنی'!A:A,0)),0)</f>
        <v>-4146512500</v>
      </c>
      <c r="D181" s="11">
        <f>IFERROR(INDEX('درجریان وصول'!F:F,MATCH(Table230[[#This Row],[كد تفصيلي]],'درجریان وصول'!A:A,0)),0)</f>
        <v>0</v>
      </c>
      <c r="E181" s="11">
        <f>IFERROR(INDEX('چکهای دریافتنی'!F:F,MATCH(Table230[[#This Row],[كد تفصيلي]],'چکهای دریافتنی'!A:A,0)),0)</f>
        <v>0</v>
      </c>
      <c r="F181" s="11">
        <f>Table230[[#This Row],[حسابهای دریافتنی]]+Table230[[#This Row],[چکهای در جریان وصول]]+Table230[[#This Row],[چکهای نزد صندوق]]</f>
        <v>-4146512500</v>
      </c>
      <c r="G181" s="12">
        <f>IFERROR(INDEX('مانده سوفاله'!F:F,MATCH(Table230[[#This Row],[كد تفصيلي]],'مانده سوفاله'!A:A,0)),0)</f>
        <v>2823</v>
      </c>
    </row>
    <row r="182" spans="1:7" ht="30" customHeight="1" x14ac:dyDescent="0.35">
      <c r="A182" s="75">
        <v>79120</v>
      </c>
      <c r="B182" s="72" t="s">
        <v>195</v>
      </c>
      <c r="C182" s="10">
        <f>IFERROR(INDEX('حسابهای دریافتنی'!H:H,MATCH(Table230[[#This Row],[كد تفصيلي]],'حسابهای دریافتنی'!A:A,0)),0)</f>
        <v>-15776160000</v>
      </c>
      <c r="D182" s="11">
        <f>IFERROR(INDEX('درجریان وصول'!F:F,MATCH(Table230[[#This Row],[كد تفصيلي]],'درجریان وصول'!A:A,0)),0)</f>
        <v>0</v>
      </c>
      <c r="E182" s="11">
        <f>IFERROR(INDEX('چکهای دریافتنی'!F:F,MATCH(Table230[[#This Row],[كد تفصيلي]],'چکهای دریافتنی'!A:A,0)),0)</f>
        <v>0</v>
      </c>
      <c r="F182" s="11">
        <f>Table230[[#This Row],[حسابهای دریافتنی]]+Table230[[#This Row],[چکهای در جریان وصول]]+Table230[[#This Row],[چکهای نزد صندوق]]</f>
        <v>-15776160000</v>
      </c>
      <c r="G182" s="12">
        <f>IFERROR(INDEX('مانده سوفاله'!F:F,MATCH(Table230[[#This Row],[كد تفصيلي]],'مانده سوفاله'!A:A,0)),0)</f>
        <v>0</v>
      </c>
    </row>
    <row r="183" spans="1:7" ht="30" customHeight="1" x14ac:dyDescent="0.35">
      <c r="A183" s="74">
        <v>79043</v>
      </c>
      <c r="B183" s="73" t="s">
        <v>156</v>
      </c>
      <c r="C183" s="10">
        <f>IFERROR(INDEX('حسابهای دریافتنی'!H:H,MATCH(Table230[[#This Row],[كد تفصيلي]],'حسابهای دریافتنی'!A:A,0)),0)</f>
        <v>-16110730000</v>
      </c>
      <c r="D183" s="11">
        <f>IFERROR(INDEX('درجریان وصول'!F:F,MATCH(Table230[[#This Row],[كد تفصيلي]],'درجریان وصول'!A:A,0)),0)</f>
        <v>0</v>
      </c>
      <c r="E183" s="11">
        <f>IFERROR(INDEX('چکهای دریافتنی'!F:F,MATCH(Table230[[#This Row],[كد تفصيلي]],'چکهای دریافتنی'!A:A,0)),0)</f>
        <v>0</v>
      </c>
      <c r="F183" s="11">
        <f>Table230[[#This Row],[حسابهای دریافتنی]]+Table230[[#This Row],[چکهای در جریان وصول]]+Table230[[#This Row],[چکهای نزد صندوق]]</f>
        <v>-16110730000</v>
      </c>
      <c r="G183" s="12">
        <f>IFERROR(INDEX('مانده سوفاله'!F:F,MATCH(Table230[[#This Row],[كد تفصيلي]],'مانده سوفاله'!A:A,0)),0)</f>
        <v>0</v>
      </c>
    </row>
    <row r="184" spans="1:7" ht="30" customHeight="1" x14ac:dyDescent="0.35">
      <c r="A184" s="13"/>
      <c r="B184" s="14"/>
      <c r="C184" s="38">
        <f>SUBTOTAL(109,Table230[حسابهای دریافتنی])</f>
        <v>58571306959</v>
      </c>
      <c r="D184" s="38">
        <f>SUBTOTAL(109,Table230[چکهای در جریان وصول])</f>
        <v>0</v>
      </c>
      <c r="E184" s="38">
        <f>SUBTOTAL(109,Table230[چکهای نزد صندوق])</f>
        <v>62002152942</v>
      </c>
      <c r="F184" s="38"/>
      <c r="G184" s="39">
        <f>SUBTOTAL(109,Table230[مانده سوفاله])</f>
        <v>-133696.5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78"/>
  <sheetViews>
    <sheetView rightToLeft="1" topLeftCell="K169" workbookViewId="0">
      <selection activeCell="A75" sqref="A75:XFD75"/>
    </sheetView>
  </sheetViews>
  <sheetFormatPr defaultColWidth="9.08984375" defaultRowHeight="21.75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5" customHeight="1" thickBot="1" x14ac:dyDescent="0.4">
      <c r="A1" s="97" t="s">
        <v>540</v>
      </c>
      <c r="B1" s="98"/>
      <c r="C1" s="98"/>
      <c r="D1" s="98"/>
      <c r="E1" s="98"/>
      <c r="F1" s="98"/>
      <c r="G1" s="99"/>
    </row>
    <row r="2" spans="1:7" s="2" customFormat="1" ht="51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1.75" customHeight="1" x14ac:dyDescent="0.35">
      <c r="A3" s="74">
        <v>30127</v>
      </c>
      <c r="B3" s="73" t="s">
        <v>163</v>
      </c>
      <c r="C3" s="10">
        <f>IFERROR(INDEX('حسابهای دریافتنی'!H:H,MATCH(Table231[[#This Row],[كد تفصيلي]],'حسابهای دریافتنی'!A:A,0)),0)</f>
        <v>31800110000</v>
      </c>
      <c r="D3" s="11">
        <f>IFERROR(INDEX('درجریان وصول'!F:F,MATCH(Table231[[#This Row],[كد تفصيلي]],'درجریان وصول'!A:A,0)),0)</f>
        <v>0</v>
      </c>
      <c r="E3" s="11">
        <f>IFERROR(INDEX('چکهای دریافتنی'!F:F,MATCH(Table231[[#This Row],[كد تفصيلي]],'چکهای دریافتنی'!A:A,0)),0)</f>
        <v>0</v>
      </c>
      <c r="F3" s="11">
        <f>Table231[[#This Row],[حسابهای دریافتنی]]+Table231[[#This Row],[چکهای در جریان وصول]]+Table231[[#This Row],[چکهای نزد صندوق]]</f>
        <v>31800110000</v>
      </c>
      <c r="G3" s="12">
        <f>IFERROR(INDEX('مانده سوفاله'!F:F,MATCH(Table231[[#This Row],[كد تفصيلي]],'مانده سوفاله'!A:A,0)),0)</f>
        <v>-18472</v>
      </c>
    </row>
    <row r="4" spans="1:7" ht="21.75" customHeight="1" x14ac:dyDescent="0.35">
      <c r="A4" s="75">
        <v>10003</v>
      </c>
      <c r="B4" s="72" t="s">
        <v>10</v>
      </c>
      <c r="C4" s="10">
        <f>IFERROR(INDEX('حسابهای دریافتنی'!H:H,MATCH(Table231[[#This Row],[كد تفصيلي]],'حسابهای دریافتنی'!A:A,0)),0)</f>
        <v>10804267992</v>
      </c>
      <c r="D4" s="11">
        <f>IFERROR(INDEX('درجریان وصول'!F:F,MATCH(Table231[[#This Row],[كد تفصيلي]],'درجریان وصول'!A:A,0)),0)</f>
        <v>0</v>
      </c>
      <c r="E4" s="11">
        <f>IFERROR(INDEX('چکهای دریافتنی'!F:F,MATCH(Table231[[#This Row],[كد تفصيلي]],'چکهای دریافتنی'!A:A,0)),0)</f>
        <v>13698001280</v>
      </c>
      <c r="F4" s="11">
        <f>Table231[[#This Row],[حسابهای دریافتنی]]+Table231[[#This Row],[چکهای در جریان وصول]]+Table231[[#This Row],[چکهای نزد صندوق]]</f>
        <v>24502269272</v>
      </c>
      <c r="G4" s="12">
        <f>IFERROR(INDEX('مانده سوفاله'!F:F,MATCH(Table231[[#This Row],[كد تفصيلي]],'مانده سوفاله'!A:A,0)),0)</f>
        <v>-39886</v>
      </c>
    </row>
    <row r="5" spans="1:7" ht="21.75" customHeight="1" x14ac:dyDescent="0.35">
      <c r="A5" s="75">
        <v>30009</v>
      </c>
      <c r="B5" s="72" t="s">
        <v>164</v>
      </c>
      <c r="C5" s="10">
        <f>IFERROR(INDEX('حسابهای دریافتنی'!H:H,MATCH(Table231[[#This Row],[كد تفصيلي]],'حسابهای دریافتنی'!A:A,0)),0)</f>
        <v>7853844277</v>
      </c>
      <c r="D5" s="11">
        <f>IFERROR(INDEX('درجریان وصول'!F:F,MATCH(Table231[[#This Row],[كد تفصيلي]],'درجریان وصول'!A:A,0)),0)</f>
        <v>0</v>
      </c>
      <c r="E5" s="11">
        <f>IFERROR(INDEX('چکهای دریافتنی'!F:F,MATCH(Table231[[#This Row],[كد تفصيلي]],'چکهای دریافتنی'!A:A,0)),0)</f>
        <v>6474835380</v>
      </c>
      <c r="F5" s="11">
        <f>Table231[[#This Row],[حسابهای دریافتنی]]+Table231[[#This Row],[چکهای در جریان وصول]]+Table231[[#This Row],[چکهای نزد صندوق]]</f>
        <v>14328679657</v>
      </c>
      <c r="G5" s="12">
        <f>IFERROR(INDEX('مانده سوفاله'!F:F,MATCH(Table231[[#This Row],[كد تفصيلي]],'مانده سوفاله'!A:A,0)),0)</f>
        <v>-11452</v>
      </c>
    </row>
    <row r="6" spans="1:7" ht="21.75" customHeight="1" x14ac:dyDescent="0.35">
      <c r="A6" s="75">
        <v>10055</v>
      </c>
      <c r="B6" s="72" t="s">
        <v>162</v>
      </c>
      <c r="C6" s="10">
        <f>IFERROR(INDEX('حسابهای دریافتنی'!H:H,MATCH(Table231[[#This Row],[كد تفصيلي]],'حسابهای دریافتنی'!A:A,0)),0)</f>
        <v>10460111325</v>
      </c>
      <c r="D6" s="11">
        <f>IFERROR(INDEX('درجریان وصول'!F:F,MATCH(Table231[[#This Row],[كد تفصيلي]],'درجریان وصول'!A:A,0)),0)</f>
        <v>0</v>
      </c>
      <c r="E6" s="11">
        <f>IFERROR(INDEX('چکهای دریافتنی'!F:F,MATCH(Table231[[#This Row],[كد تفصيلي]],'چکهای دریافتنی'!A:A,0)),0)</f>
        <v>2783298655</v>
      </c>
      <c r="F6" s="11">
        <f>Table231[[#This Row],[حسابهای دریافتنی]]+Table231[[#This Row],[چکهای در جریان وصول]]+Table231[[#This Row],[چکهای نزد صندوق]]</f>
        <v>13243409980</v>
      </c>
      <c r="G6" s="12">
        <f>IFERROR(INDEX('مانده سوفاله'!F:F,MATCH(Table231[[#This Row],[كد تفصيلي]],'مانده سوفاله'!A:A,0)),0)</f>
        <v>-12714</v>
      </c>
    </row>
    <row r="7" spans="1:7" ht="21.75" customHeight="1" x14ac:dyDescent="0.35">
      <c r="A7" s="75">
        <v>30066</v>
      </c>
      <c r="B7" s="72" t="s">
        <v>111</v>
      </c>
      <c r="C7" s="10">
        <f>IFERROR(INDEX('حسابهای دریافتنی'!H:H,MATCH(Table231[[#This Row],[كد تفصيلي]],'حسابهای دریافتنی'!A:A,0)),0)</f>
        <v>6484147500</v>
      </c>
      <c r="D7" s="11">
        <f>IFERROR(INDEX('درجریان وصول'!F:F,MATCH(Table231[[#This Row],[كد تفصيلي]],'درجریان وصول'!A:A,0)),0)</f>
        <v>0</v>
      </c>
      <c r="E7" s="11">
        <f>IFERROR(INDEX('چکهای دریافتنی'!F:F,MATCH(Table231[[#This Row],[كد تفصيلي]],'چکهای دریافتنی'!A:A,0)),0)</f>
        <v>0</v>
      </c>
      <c r="F7" s="11">
        <f>Table231[[#This Row],[حسابهای دریافتنی]]+Table231[[#This Row],[چکهای در جریان وصول]]+Table231[[#This Row],[چکهای نزد صندوق]]</f>
        <v>6484147500</v>
      </c>
      <c r="G7" s="12">
        <f>IFERROR(INDEX('مانده سوفاله'!F:F,MATCH(Table231[[#This Row],[كد تفصيلي]],'مانده سوفاله'!A:A,0)),0)</f>
        <v>-1320</v>
      </c>
    </row>
    <row r="8" spans="1:7" ht="21.75" customHeight="1" x14ac:dyDescent="0.35">
      <c r="A8" s="74">
        <v>50016</v>
      </c>
      <c r="B8" s="73" t="s">
        <v>160</v>
      </c>
      <c r="C8" s="10">
        <f>IFERROR(INDEX('حسابهای دریافتنی'!H:H,MATCH(Table231[[#This Row],[كد تفصيلي]],'حسابهای دریافتنی'!A:A,0)),0)</f>
        <v>6344545550</v>
      </c>
      <c r="D8" s="11">
        <f>IFERROR(INDEX('درجریان وصول'!F:F,MATCH(Table231[[#This Row],[كد تفصيلي]],'درجریان وصول'!A:A,0)),0)</f>
        <v>0</v>
      </c>
      <c r="E8" s="11">
        <f>IFERROR(INDEX('چکهای دریافتنی'!F:F,MATCH(Table231[[#This Row],[كد تفصيلي]],'چکهای دریافتنی'!A:A,0)),0)</f>
        <v>0</v>
      </c>
      <c r="F8" s="11">
        <f>Table231[[#This Row],[حسابهای دریافتنی]]+Table231[[#This Row],[چکهای در جریان وصول]]+Table231[[#This Row],[چکهای نزد صندوق]]</f>
        <v>6344545550</v>
      </c>
      <c r="G8" s="12">
        <f>IFERROR(INDEX('مانده سوفاله'!F:F,MATCH(Table231[[#This Row],[كد تفصيلي]],'مانده سوفاله'!A:A,0)),0)</f>
        <v>5508</v>
      </c>
    </row>
    <row r="9" spans="1:7" ht="21.75" customHeight="1" x14ac:dyDescent="0.35">
      <c r="A9" s="75">
        <v>10097</v>
      </c>
      <c r="B9" s="72" t="s">
        <v>270</v>
      </c>
      <c r="C9" s="10">
        <f>IFERROR(INDEX('حسابهای دریافتنی'!H:H,MATCH(Table231[[#This Row],[كد تفصيلي]],'حسابهای دریافتنی'!A:A,0)),0)</f>
        <v>270642500</v>
      </c>
      <c r="D9" s="11">
        <f>IFERROR(INDEX('درجریان وصول'!F:F,MATCH(Table231[[#This Row],[كد تفصيلي]],'درجریان وصول'!A:A,0)),0)</f>
        <v>0</v>
      </c>
      <c r="E9" s="11">
        <f>IFERROR(INDEX('چکهای دریافتنی'!F:F,MATCH(Table231[[#This Row],[كد تفصيلي]],'چکهای دریافتنی'!A:A,0)),0)</f>
        <v>287000000</v>
      </c>
      <c r="F9" s="11">
        <f>Table231[[#This Row],[حسابهای دریافتنی]]+Table231[[#This Row],[چکهای در جریان وصول]]+Table231[[#This Row],[چکهای نزد صندوق]]</f>
        <v>557642500</v>
      </c>
      <c r="G9" s="12">
        <f>IFERROR(INDEX('مانده سوفاله'!F:F,MATCH(Table231[[#This Row],[كد تفصيلي]],'مانده سوفاله'!A:A,0)),0)</f>
        <v>0</v>
      </c>
    </row>
    <row r="10" spans="1:7" ht="21.75" customHeight="1" x14ac:dyDescent="0.35">
      <c r="A10" s="74">
        <v>30004</v>
      </c>
      <c r="B10" s="73" t="s">
        <v>54</v>
      </c>
      <c r="C10" s="10">
        <f>IFERROR(INDEX('حسابهای دریافتنی'!H:H,MATCH(Table231[[#This Row],[كد تفصيلي]],'حسابهای دریافتنی'!A:A,0)),0)</f>
        <v>7598548260</v>
      </c>
      <c r="D10" s="11">
        <f>IFERROR(INDEX('درجریان وصول'!F:F,MATCH(Table231[[#This Row],[كد تفصيلي]],'درجریان وصول'!A:A,0)),0)</f>
        <v>0</v>
      </c>
      <c r="E10" s="11">
        <f>IFERROR(INDEX('چکهای دریافتنی'!F:F,MATCH(Table231[[#This Row],[كد تفصيلي]],'چکهای دریافتنی'!A:A,0)),0)</f>
        <v>11698760000</v>
      </c>
      <c r="F10" s="11">
        <f>Table231[[#This Row],[حسابهای دریافتنی]]+Table231[[#This Row],[چکهای در جریان وصول]]+Table231[[#This Row],[چکهای نزد صندوق]]</f>
        <v>19297308260</v>
      </c>
      <c r="G10" s="12">
        <f>IFERROR(INDEX('مانده سوفاله'!F:F,MATCH(Table231[[#This Row],[كد تفصيلي]],'مانده سوفاله'!A:A,0)),0)</f>
        <v>-4237</v>
      </c>
    </row>
    <row r="11" spans="1:7" ht="21.75" customHeight="1" x14ac:dyDescent="0.35">
      <c r="A11" s="74">
        <v>10026</v>
      </c>
      <c r="B11" s="73" t="s">
        <v>32</v>
      </c>
      <c r="C11" s="10">
        <f>IFERROR(INDEX('حسابهای دریافتنی'!H:H,MATCH(Table231[[#This Row],[كد تفصيلي]],'حسابهای دریافتنی'!A:A,0)),0)</f>
        <v>3795031844</v>
      </c>
      <c r="D11" s="11">
        <f>IFERROR(INDEX('درجریان وصول'!F:F,MATCH(Table231[[#This Row],[كد تفصيلي]],'درجریان وصول'!A:A,0)),0)</f>
        <v>0</v>
      </c>
      <c r="E11" s="11">
        <f>IFERROR(INDEX('چکهای دریافتنی'!F:F,MATCH(Table231[[#This Row],[كد تفصيلي]],'چکهای دریافتنی'!A:A,0)),0)</f>
        <v>2690000000</v>
      </c>
      <c r="F11" s="11">
        <f>Table231[[#This Row],[حسابهای دریافتنی]]+Table231[[#This Row],[چکهای در جریان وصول]]+Table231[[#This Row],[چکهای نزد صندوق]]</f>
        <v>6485031844</v>
      </c>
      <c r="G11" s="12">
        <f>IFERROR(INDEX('مانده سوفاله'!F:F,MATCH(Table231[[#This Row],[كد تفصيلي]],'مانده سوفاله'!A:A,0)),0)</f>
        <v>-12543</v>
      </c>
    </row>
    <row r="12" spans="1:7" ht="21.75" customHeight="1" x14ac:dyDescent="0.35">
      <c r="A12" s="75">
        <v>30186</v>
      </c>
      <c r="B12" s="72" t="s">
        <v>367</v>
      </c>
      <c r="C12" s="10">
        <f>IFERROR(INDEX('حسابهای دریافتنی'!H:H,MATCH(Table231[[#This Row],[كد تفصيلي]],'حسابهای دریافتنی'!A:A,0)),0)</f>
        <v>986425000</v>
      </c>
      <c r="D12" s="11">
        <f>IFERROR(INDEX('درجریان وصول'!F:F,MATCH(Table231[[#This Row],[كد تفصيلي]],'درجریان وصول'!A:A,0)),0)</f>
        <v>0</v>
      </c>
      <c r="E12" s="11">
        <f>IFERROR(INDEX('چکهای دریافتنی'!F:F,MATCH(Table231[[#This Row],[كد تفصيلي]],'چکهای دریافتنی'!A:A,0)),0)</f>
        <v>5982430000</v>
      </c>
      <c r="F12" s="11">
        <f>Table231[[#This Row],[حسابهای دریافتنی]]+Table231[[#This Row],[چکهای در جریان وصول]]+Table231[[#This Row],[چکهای نزد صندوق]]</f>
        <v>6968855000</v>
      </c>
      <c r="G12" s="12">
        <f>IFERROR(INDEX('مانده سوفاله'!F:F,MATCH(Table231[[#This Row],[كد تفصيلي]],'مانده سوفاله'!A:A,0)),0)</f>
        <v>-7388</v>
      </c>
    </row>
    <row r="13" spans="1:7" ht="21.75" customHeight="1" x14ac:dyDescent="0.35">
      <c r="A13" s="74">
        <v>30022</v>
      </c>
      <c r="B13" s="73" t="s">
        <v>70</v>
      </c>
      <c r="C13" s="10">
        <f>IFERROR(INDEX('حسابهای دریافتنی'!H:H,MATCH(Table231[[#This Row],[كد تفصيلي]],'حسابهای دریافتنی'!A:A,0)),0)</f>
        <v>2933770530</v>
      </c>
      <c r="D13" s="11">
        <f>IFERROR(INDEX('درجریان وصول'!F:F,MATCH(Table231[[#This Row],[كد تفصيلي]],'درجریان وصول'!A:A,0)),0)</f>
        <v>0</v>
      </c>
      <c r="E13" s="11">
        <f>IFERROR(INDEX('چکهای دریافتنی'!F:F,MATCH(Table231[[#This Row],[كد تفصيلي]],'چکهای دریافتنی'!A:A,0)),0)</f>
        <v>0</v>
      </c>
      <c r="F13" s="11">
        <f>Table231[[#This Row],[حسابهای دریافتنی]]+Table231[[#This Row],[چکهای در جریان وصول]]+Table231[[#This Row],[چکهای نزد صندوق]]</f>
        <v>2933770530</v>
      </c>
      <c r="G13" s="12">
        <f>IFERROR(INDEX('مانده سوفاله'!F:F,MATCH(Table231[[#This Row],[كد تفصيلي]],'مانده سوفاله'!A:A,0)),0)</f>
        <v>-14747</v>
      </c>
    </row>
    <row r="14" spans="1:7" ht="21.75" customHeight="1" x14ac:dyDescent="0.35">
      <c r="A14" s="75">
        <v>30196</v>
      </c>
      <c r="B14" s="72" t="s">
        <v>481</v>
      </c>
      <c r="C14" s="10">
        <f>IFERROR(INDEX('حسابهای دریافتنی'!H:H,MATCH(Table231[[#This Row],[كد تفصيلي]],'حسابهای دریافتنی'!A:A,0)),0)</f>
        <v>3592950000</v>
      </c>
      <c r="D14" s="11">
        <f>IFERROR(INDEX('درجریان وصول'!F:F,MATCH(Table231[[#This Row],[كد تفصيلي]],'درجریان وصول'!A:A,0)),0)</f>
        <v>0</v>
      </c>
      <c r="E14" s="11">
        <f>IFERROR(INDEX('چکهای دریافتنی'!F:F,MATCH(Table231[[#This Row],[كد تفصيلي]],'چکهای دریافتنی'!A:A,0)),0)</f>
        <v>0</v>
      </c>
      <c r="F14" s="11">
        <f>Table231[[#This Row],[حسابهای دریافتنی]]+Table231[[#This Row],[چکهای در جریان وصول]]+Table231[[#This Row],[چکهای نزد صندوق]]</f>
        <v>3592950000</v>
      </c>
      <c r="G14" s="12">
        <f>IFERROR(INDEX('مانده سوفاله'!F:F,MATCH(Table231[[#This Row],[كد تفصيلي]],'مانده سوفاله'!A:A,0)),0)</f>
        <v>-8965</v>
      </c>
    </row>
    <row r="15" spans="1:7" ht="21.75" customHeight="1" x14ac:dyDescent="0.35">
      <c r="A15" s="75">
        <v>30058</v>
      </c>
      <c r="B15" s="72" t="s">
        <v>103</v>
      </c>
      <c r="C15" s="10">
        <f>IFERROR(INDEX('حسابهای دریافتنی'!H:H,MATCH(Table231[[#This Row],[كد تفصيلي]],'حسابهای دریافتنی'!A:A,0)),0)</f>
        <v>1700045560</v>
      </c>
      <c r="D15" s="11">
        <f>IFERROR(INDEX('درجریان وصول'!F:F,MATCH(Table231[[#This Row],[كد تفصيلي]],'درجریان وصول'!A:A,0)),0)</f>
        <v>0</v>
      </c>
      <c r="E15" s="11">
        <f>IFERROR(INDEX('چکهای دریافتنی'!F:F,MATCH(Table231[[#This Row],[كد تفصيلي]],'چکهای دریافتنی'!A:A,0)),0)</f>
        <v>0</v>
      </c>
      <c r="F15" s="11">
        <f>Table231[[#This Row],[حسابهای دریافتنی]]+Table231[[#This Row],[چکهای در جریان وصول]]+Table231[[#This Row],[چکهای نزد صندوق]]</f>
        <v>1700045560</v>
      </c>
      <c r="G15" s="12">
        <f>IFERROR(INDEX('مانده سوفاله'!F:F,MATCH(Table231[[#This Row],[كد تفصيلي]],'مانده سوفاله'!A:A,0)),0)</f>
        <v>-225</v>
      </c>
    </row>
    <row r="16" spans="1:7" ht="21.75" customHeight="1" x14ac:dyDescent="0.35">
      <c r="A16" s="75">
        <v>10027</v>
      </c>
      <c r="B16" s="72" t="s">
        <v>33</v>
      </c>
      <c r="C16" s="10">
        <f>IFERROR(INDEX('حسابهای دریافتنی'!H:H,MATCH(Table231[[#This Row],[كد تفصيلي]],'حسابهای دریافتنی'!A:A,0)),0)</f>
        <v>33078340</v>
      </c>
      <c r="D16" s="11">
        <f>IFERROR(INDEX('درجریان وصول'!F:F,MATCH(Table231[[#This Row],[كد تفصيلي]],'درجریان وصول'!A:A,0)),0)</f>
        <v>0</v>
      </c>
      <c r="E16" s="11">
        <f>IFERROR(INDEX('چکهای دریافتنی'!F:F,MATCH(Table231[[#This Row],[كد تفصيلي]],'چکهای دریافتنی'!A:A,0)),0)</f>
        <v>1588359160</v>
      </c>
      <c r="F16" s="11">
        <f>Table231[[#This Row],[حسابهای دریافتنی]]+Table231[[#This Row],[چکهای در جریان وصول]]+Table231[[#This Row],[چکهای نزد صندوق]]</f>
        <v>1621437500</v>
      </c>
      <c r="G16" s="12">
        <f>IFERROR(INDEX('مانده سوفاله'!F:F,MATCH(Table231[[#This Row],[كد تفصيلي]],'مانده سوفاله'!A:A,0)),0)</f>
        <v>-647</v>
      </c>
    </row>
    <row r="17" spans="1:7" ht="21.75" customHeight="1" x14ac:dyDescent="0.35">
      <c r="A17" s="74">
        <v>30014</v>
      </c>
      <c r="B17" s="73" t="s">
        <v>63</v>
      </c>
      <c r="C17" s="10">
        <f>IFERROR(INDEX('حسابهای دریافتنی'!H:H,MATCH(Table231[[#This Row],[كد تفصيلي]],'حسابهای دریافتنی'!A:A,0)),0)</f>
        <v>1762223932</v>
      </c>
      <c r="D17" s="11">
        <f>IFERROR(INDEX('درجریان وصول'!F:F,MATCH(Table231[[#This Row],[كد تفصيلي]],'درجریان وصول'!A:A,0)),0)</f>
        <v>0</v>
      </c>
      <c r="E17" s="11">
        <f>IFERROR(INDEX('چکهای دریافتنی'!F:F,MATCH(Table231[[#This Row],[كد تفصيلي]],'چکهای دریافتنی'!A:A,0)),0)</f>
        <v>0</v>
      </c>
      <c r="F17" s="11">
        <f>Table231[[#This Row],[حسابهای دریافتنی]]+Table231[[#This Row],[چکهای در جریان وصول]]+Table231[[#This Row],[چکهای نزد صندوق]]</f>
        <v>1762223932</v>
      </c>
      <c r="G17" s="12">
        <f>IFERROR(INDEX('مانده سوفاله'!F:F,MATCH(Table231[[#This Row],[كد تفصيلي]],'مانده سوفاله'!A:A,0)),0)</f>
        <v>-1368</v>
      </c>
    </row>
    <row r="18" spans="1:7" ht="21.75" customHeight="1" x14ac:dyDescent="0.35">
      <c r="A18" s="74">
        <v>30099</v>
      </c>
      <c r="B18" s="73" t="s">
        <v>167</v>
      </c>
      <c r="C18" s="10">
        <f>IFERROR(INDEX('حسابهای دریافتنی'!H:H,MATCH(Table231[[#This Row],[كد تفصيلي]],'حسابهای دریافتنی'!A:A,0)),0)</f>
        <v>1398393484</v>
      </c>
      <c r="D18" s="11">
        <f>IFERROR(INDEX('درجریان وصول'!F:F,MATCH(Table231[[#This Row],[كد تفصيلي]],'درجریان وصول'!A:A,0)),0)</f>
        <v>0</v>
      </c>
      <c r="E18" s="11">
        <f>IFERROR(INDEX('چکهای دریافتنی'!F:F,MATCH(Table231[[#This Row],[كد تفصيلي]],'چکهای دریافتنی'!A:A,0)),0)</f>
        <v>583000000</v>
      </c>
      <c r="F18" s="11">
        <f>Table231[[#This Row],[حسابهای دریافتنی]]+Table231[[#This Row],[چکهای در جریان وصول]]+Table231[[#This Row],[چکهای نزد صندوق]]</f>
        <v>1981393484</v>
      </c>
      <c r="G18" s="12">
        <f>IFERROR(INDEX('مانده سوفاله'!F:F,MATCH(Table231[[#This Row],[كد تفصيلي]],'مانده سوفاله'!A:A,0)),0)</f>
        <v>-332</v>
      </c>
    </row>
    <row r="19" spans="1:7" ht="21.75" customHeight="1" x14ac:dyDescent="0.35">
      <c r="A19" s="75">
        <v>10057</v>
      </c>
      <c r="B19" s="72" t="s">
        <v>225</v>
      </c>
      <c r="C19" s="10">
        <f>IFERROR(INDEX('حسابهای دریافتنی'!H:H,MATCH(Table231[[#This Row],[كد تفصيلي]],'حسابهای دریافتنی'!A:A,0)),0)</f>
        <v>1390485500</v>
      </c>
      <c r="D19" s="11">
        <f>IFERROR(INDEX('درجریان وصول'!F:F,MATCH(Table231[[#This Row],[كد تفصيلي]],'درجریان وصول'!A:A,0)),0)</f>
        <v>0</v>
      </c>
      <c r="E19" s="11">
        <f>IFERROR(INDEX('چکهای دریافتنی'!F:F,MATCH(Table231[[#This Row],[كد تفصيلي]],'چکهای دریافتنی'!A:A,0)),0)</f>
        <v>0</v>
      </c>
      <c r="F19" s="11">
        <f>Table231[[#This Row],[حسابهای دریافتنی]]+Table231[[#This Row],[چکهای در جریان وصول]]+Table231[[#This Row],[چکهای نزد صندوق]]</f>
        <v>1390485500</v>
      </c>
      <c r="G19" s="12">
        <f>IFERROR(INDEX('مانده سوفاله'!F:F,MATCH(Table231[[#This Row],[كد تفصيلي]],'مانده سوفاله'!A:A,0)),0)</f>
        <v>-2044</v>
      </c>
    </row>
    <row r="20" spans="1:7" ht="21.75" customHeight="1" x14ac:dyDescent="0.35">
      <c r="A20" s="74">
        <v>30018</v>
      </c>
      <c r="B20" s="73" t="s">
        <v>66</v>
      </c>
      <c r="C20" s="10">
        <f>IFERROR(INDEX('حسابهای دریافتنی'!H:H,MATCH(Table231[[#This Row],[كد تفصيلي]],'حسابهای دریافتنی'!A:A,0)),0)</f>
        <v>1901077182</v>
      </c>
      <c r="D20" s="11">
        <f>IFERROR(INDEX('درجریان وصول'!F:F,MATCH(Table231[[#This Row],[كد تفصيلي]],'درجریان وصول'!A:A,0)),0)</f>
        <v>0</v>
      </c>
      <c r="E20" s="11">
        <f>IFERROR(INDEX('چکهای دریافتنی'!F:F,MATCH(Table231[[#This Row],[كد تفصيلي]],'چکهای دریافتنی'!A:A,0)),0)</f>
        <v>0</v>
      </c>
      <c r="F20" s="11">
        <f>Table231[[#This Row],[حسابهای دریافتنی]]+Table231[[#This Row],[چکهای در جریان وصول]]+Table231[[#This Row],[چکهای نزد صندوق]]</f>
        <v>1901077182</v>
      </c>
      <c r="G20" s="12">
        <f>IFERROR(INDEX('مانده سوفاله'!F:F,MATCH(Table231[[#This Row],[كد تفصيلي]],'مانده سوفاله'!A:A,0)),0)</f>
        <v>-3024</v>
      </c>
    </row>
    <row r="21" spans="1:7" ht="21.75" customHeight="1" x14ac:dyDescent="0.35">
      <c r="A21" s="74">
        <v>30081</v>
      </c>
      <c r="B21" s="73" t="s">
        <v>126</v>
      </c>
      <c r="C21" s="10">
        <f>IFERROR(INDEX('حسابهای دریافتنی'!H:H,MATCH(Table231[[#This Row],[كد تفصيلي]],'حسابهای دریافتنی'!A:A,0)),0)</f>
        <v>1148992373</v>
      </c>
      <c r="D21" s="11">
        <f>IFERROR(INDEX('درجریان وصول'!F:F,MATCH(Table231[[#This Row],[كد تفصيلي]],'درجریان وصول'!A:A,0)),0)</f>
        <v>0</v>
      </c>
      <c r="E21" s="11">
        <f>IFERROR(INDEX('چکهای دریافتنی'!F:F,MATCH(Table231[[#This Row],[كد تفصيلي]],'چکهای دریافتنی'!A:A,0)),0)</f>
        <v>0</v>
      </c>
      <c r="F21" s="11">
        <f>Table231[[#This Row],[حسابهای دریافتنی]]+Table231[[#This Row],[چکهای در جریان وصول]]+Table231[[#This Row],[چکهای نزد صندوق]]</f>
        <v>1148992373</v>
      </c>
      <c r="G21" s="12">
        <f>IFERROR(INDEX('مانده سوفاله'!F:F,MATCH(Table231[[#This Row],[كد تفصيلي]],'مانده سوفاله'!A:A,0)),0)</f>
        <v>-6924</v>
      </c>
    </row>
    <row r="22" spans="1:7" ht="21.75" customHeight="1" x14ac:dyDescent="0.35">
      <c r="A22" s="75">
        <v>30017</v>
      </c>
      <c r="B22" s="72" t="s">
        <v>65</v>
      </c>
      <c r="C22" s="10">
        <f>IFERROR(INDEX('حسابهای دریافتنی'!H:H,MATCH(Table231[[#This Row],[كد تفصيلي]],'حسابهای دریافتنی'!A:A,0)),0)</f>
        <v>905000830</v>
      </c>
      <c r="D22" s="11">
        <f>IFERROR(INDEX('درجریان وصول'!F:F,MATCH(Table231[[#This Row],[كد تفصيلي]],'درجریان وصول'!A:A,0)),0)</f>
        <v>0</v>
      </c>
      <c r="E22" s="11">
        <f>IFERROR(INDEX('چکهای دریافتنی'!F:F,MATCH(Table231[[#This Row],[كد تفصيلي]],'چکهای دریافتنی'!A:A,0)),0)</f>
        <v>0</v>
      </c>
      <c r="F22" s="11">
        <f>Table231[[#This Row],[حسابهای دریافتنی]]+Table231[[#This Row],[چکهای در جریان وصول]]+Table231[[#This Row],[چکهای نزد صندوق]]</f>
        <v>905000830</v>
      </c>
      <c r="G22" s="12">
        <f>IFERROR(INDEX('مانده سوفاله'!F:F,MATCH(Table231[[#This Row],[كد تفصيلي]],'مانده سوفاله'!A:A,0)),0)</f>
        <v>-2186</v>
      </c>
    </row>
    <row r="23" spans="1:7" ht="21.75" customHeight="1" x14ac:dyDescent="0.35">
      <c r="A23" s="75">
        <v>50011</v>
      </c>
      <c r="B23" s="72" t="s">
        <v>147</v>
      </c>
      <c r="C23" s="10">
        <f>IFERROR(INDEX('حسابهای دریافتنی'!H:H,MATCH(Table231[[#This Row],[كد تفصيلي]],'حسابهای دریافتنی'!A:A,0)),0)</f>
        <v>832182413</v>
      </c>
      <c r="D23" s="11">
        <f>IFERROR(INDEX('درجریان وصول'!F:F,MATCH(Table231[[#This Row],[كد تفصيلي]],'درجریان وصول'!A:A,0)),0)</f>
        <v>0</v>
      </c>
      <c r="E23" s="11">
        <f>IFERROR(INDEX('چکهای دریافتنی'!F:F,MATCH(Table231[[#This Row],[كد تفصيلي]],'چکهای دریافتنی'!A:A,0)),0)</f>
        <v>0</v>
      </c>
      <c r="F23" s="11">
        <f>Table231[[#This Row],[حسابهای دریافتنی]]+Table231[[#This Row],[چکهای در جریان وصول]]+Table231[[#This Row],[چکهای نزد صندوق]]</f>
        <v>832182413</v>
      </c>
      <c r="G23" s="12">
        <f>IFERROR(INDEX('مانده سوفاله'!F:F,MATCH(Table231[[#This Row],[كد تفصيلي]],'مانده سوفاله'!A:A,0)),0)</f>
        <v>30</v>
      </c>
    </row>
    <row r="24" spans="1:7" ht="21.75" customHeight="1" x14ac:dyDescent="0.35">
      <c r="A24" s="75">
        <v>30019</v>
      </c>
      <c r="B24" s="72" t="s">
        <v>67</v>
      </c>
      <c r="C24" s="10">
        <f>IFERROR(INDEX('حسابهای دریافتنی'!H:H,MATCH(Table231[[#This Row],[كد تفصيلي]],'حسابهای دریافتنی'!A:A,0)),0)</f>
        <v>823484840</v>
      </c>
      <c r="D24" s="11">
        <f>IFERROR(INDEX('درجریان وصول'!F:F,MATCH(Table231[[#This Row],[كد تفصيلي]],'درجریان وصول'!A:A,0)),0)</f>
        <v>0</v>
      </c>
      <c r="E24" s="11">
        <f>IFERROR(INDEX('چکهای دریافتنی'!F:F,MATCH(Table231[[#This Row],[كد تفصيلي]],'چکهای دریافتنی'!A:A,0)),0)</f>
        <v>0</v>
      </c>
      <c r="F24" s="11">
        <f>Table231[[#This Row],[حسابهای دریافتنی]]+Table231[[#This Row],[چکهای در جریان وصول]]+Table231[[#This Row],[چکهای نزد صندوق]]</f>
        <v>823484840</v>
      </c>
      <c r="G24" s="12">
        <f>IFERROR(INDEX('مانده سوفاله'!F:F,MATCH(Table231[[#This Row],[كد تفصيلي]],'مانده سوفاله'!A:A,0)),0)</f>
        <v>612</v>
      </c>
    </row>
    <row r="25" spans="1:7" ht="21.75" customHeight="1" x14ac:dyDescent="0.35">
      <c r="A25" s="74">
        <v>10020</v>
      </c>
      <c r="B25" s="73" t="s">
        <v>27</v>
      </c>
      <c r="C25" s="10">
        <f>IFERROR(INDEX('حسابهای دریافتنی'!H:H,MATCH(Table231[[#This Row],[كد تفصيلي]],'حسابهای دریافتنی'!A:A,0)),0)</f>
        <v>57999963</v>
      </c>
      <c r="D25" s="11">
        <f>IFERROR(INDEX('درجریان وصول'!F:F,MATCH(Table231[[#This Row],[كد تفصيلي]],'درجریان وصول'!A:A,0)),0)</f>
        <v>0</v>
      </c>
      <c r="E25" s="11">
        <f>IFERROR(INDEX('چکهای دریافتنی'!F:F,MATCH(Table231[[#This Row],[كد تفصيلي]],'چکهای دریافتنی'!A:A,0)),0)</f>
        <v>728000000</v>
      </c>
      <c r="F25" s="11">
        <f>Table231[[#This Row],[حسابهای دریافتنی]]+Table231[[#This Row],[چکهای در جریان وصول]]+Table231[[#This Row],[چکهای نزد صندوق]]</f>
        <v>785999963</v>
      </c>
      <c r="G25" s="12">
        <f>IFERROR(INDEX('مانده سوفاله'!F:F,MATCH(Table231[[#This Row],[كد تفصيلي]],'مانده سوفاله'!A:A,0)),0)</f>
        <v>-1031</v>
      </c>
    </row>
    <row r="26" spans="1:7" ht="21.75" customHeight="1" x14ac:dyDescent="0.35">
      <c r="A26" s="75">
        <v>30190</v>
      </c>
      <c r="B26" s="72" t="s">
        <v>459</v>
      </c>
      <c r="C26" s="10">
        <f>IFERROR(INDEX('حسابهای دریافتنی'!H:H,MATCH(Table231[[#This Row],[كد تفصيلي]],'حسابهای دریافتنی'!A:A,0)),0)</f>
        <v>328477520</v>
      </c>
      <c r="D26" s="11">
        <f>IFERROR(INDEX('درجریان وصول'!F:F,MATCH(Table231[[#This Row],[كد تفصيلي]],'درجریان وصول'!A:A,0)),0)</f>
        <v>0</v>
      </c>
      <c r="E26" s="11">
        <f>IFERROR(INDEX('چکهای دریافتنی'!F:F,MATCH(Table231[[#This Row],[كد تفصيلي]],'چکهای دریافتنی'!A:A,0)),0)</f>
        <v>0</v>
      </c>
      <c r="F26" s="11">
        <f>Table231[[#This Row],[حسابهای دریافتنی]]+Table231[[#This Row],[چکهای در جریان وصول]]+Table231[[#This Row],[چکهای نزد صندوق]]</f>
        <v>328477520</v>
      </c>
      <c r="G26" s="12">
        <f>IFERROR(INDEX('مانده سوفاله'!F:F,MATCH(Table231[[#This Row],[كد تفصيلي]],'مانده سوفاله'!A:A,0)),0)</f>
        <v>1790</v>
      </c>
    </row>
    <row r="27" spans="1:7" ht="21.75" customHeight="1" x14ac:dyDescent="0.35">
      <c r="A27" s="74">
        <v>30012</v>
      </c>
      <c r="B27" s="73" t="s">
        <v>61</v>
      </c>
      <c r="C27" s="10">
        <f>IFERROR(INDEX('حسابهای دریافتنی'!H:H,MATCH(Table231[[#This Row],[كد تفصيلي]],'حسابهای دریافتنی'!A:A,0)),0)</f>
        <v>-46099000</v>
      </c>
      <c r="D27" s="11">
        <f>IFERROR(INDEX('درجریان وصول'!F:F,MATCH(Table231[[#This Row],[كد تفصيلي]],'درجریان وصول'!A:A,0)),0)</f>
        <v>0</v>
      </c>
      <c r="E27" s="11">
        <f>IFERROR(INDEX('چکهای دریافتنی'!F:F,MATCH(Table231[[#This Row],[كد تفصيلي]],'چکهای دریافتنی'!A:A,0)),0)</f>
        <v>348650000</v>
      </c>
      <c r="F27" s="11">
        <f>Table231[[#This Row],[حسابهای دریافتنی]]+Table231[[#This Row],[چکهای در جریان وصول]]+Table231[[#This Row],[چکهای نزد صندوق]]</f>
        <v>302551000</v>
      </c>
      <c r="G27" s="12">
        <f>IFERROR(INDEX('مانده سوفاله'!F:F,MATCH(Table231[[#This Row],[كد تفصيلي]],'مانده سوفاله'!A:A,0)),0)</f>
        <v>141</v>
      </c>
    </row>
    <row r="28" spans="1:7" ht="21.75" customHeight="1" x14ac:dyDescent="0.35">
      <c r="A28" s="74">
        <v>10008</v>
      </c>
      <c r="B28" s="73" t="s">
        <v>15</v>
      </c>
      <c r="C28" s="10">
        <f>IFERROR(INDEX('حسابهای دریافتنی'!H:H,MATCH(Table231[[#This Row],[كد تفصيلي]],'حسابهای دریافتنی'!A:A,0)),0)</f>
        <v>597342000</v>
      </c>
      <c r="D28" s="11">
        <f>IFERROR(INDEX('درجریان وصول'!F:F,MATCH(Table231[[#This Row],[كد تفصيلي]],'درجریان وصول'!A:A,0)),0)</f>
        <v>0</v>
      </c>
      <c r="E28" s="11">
        <f>IFERROR(INDEX('چکهای دریافتنی'!F:F,MATCH(Table231[[#This Row],[كد تفصيلي]],'چکهای دریافتنی'!A:A,0)),0)</f>
        <v>0</v>
      </c>
      <c r="F28" s="11">
        <f>Table231[[#This Row],[حسابهای دریافتنی]]+Table231[[#This Row],[چکهای در جریان وصول]]+Table231[[#This Row],[چکهای نزد صندوق]]</f>
        <v>597342000</v>
      </c>
      <c r="G28" s="12">
        <f>IFERROR(INDEX('مانده سوفاله'!F:F,MATCH(Table231[[#This Row],[كد تفصيلي]],'مانده سوفاله'!A:A,0)),0)</f>
        <v>-578</v>
      </c>
    </row>
    <row r="29" spans="1:7" ht="21.75" customHeight="1" x14ac:dyDescent="0.35">
      <c r="A29" s="74">
        <v>10127</v>
      </c>
      <c r="B29" s="73" t="s">
        <v>371</v>
      </c>
      <c r="C29" s="10">
        <f>IFERROR(INDEX('حسابهای دریافتنی'!H:H,MATCH(Table231[[#This Row],[كد تفصيلي]],'حسابهای دریافتنی'!A:A,0)),0)</f>
        <v>803728000</v>
      </c>
      <c r="D29" s="11">
        <f>IFERROR(INDEX('درجریان وصول'!F:F,MATCH(Table231[[#This Row],[كد تفصيلي]],'درجریان وصول'!A:A,0)),0)</f>
        <v>0</v>
      </c>
      <c r="E29" s="11">
        <f>IFERROR(INDEX('چکهای دریافتنی'!F:F,MATCH(Table231[[#This Row],[كد تفصيلي]],'چکهای دریافتنی'!A:A,0)),0)</f>
        <v>0</v>
      </c>
      <c r="F29" s="11">
        <f>Table231[[#This Row],[حسابهای دریافتنی]]+Table231[[#This Row],[چکهای در جریان وصول]]+Table231[[#This Row],[چکهای نزد صندوق]]</f>
        <v>803728000</v>
      </c>
      <c r="G29" s="12">
        <f>IFERROR(INDEX('مانده سوفاله'!F:F,MATCH(Table231[[#This Row],[كد تفصيلي]],'مانده سوفاله'!A:A,0)),0)</f>
        <v>-1469</v>
      </c>
    </row>
    <row r="30" spans="1:7" ht="21.75" customHeight="1" x14ac:dyDescent="0.35">
      <c r="A30" s="75">
        <v>30140</v>
      </c>
      <c r="B30" s="72" t="s">
        <v>259</v>
      </c>
      <c r="C30" s="10">
        <f>IFERROR(INDEX('حسابهای دریافتنی'!H:H,MATCH(Table231[[#This Row],[كد تفصيلي]],'حسابهای دریافتنی'!A:A,0)),0)</f>
        <v>553728200</v>
      </c>
      <c r="D30" s="11">
        <f>IFERROR(INDEX('درجریان وصول'!F:F,MATCH(Table231[[#This Row],[كد تفصيلي]],'درجریان وصول'!A:A,0)),0)</f>
        <v>0</v>
      </c>
      <c r="E30" s="11">
        <f>IFERROR(INDEX('چکهای دریافتنی'!F:F,MATCH(Table231[[#This Row],[كد تفصيلي]],'چکهای دریافتنی'!A:A,0)),0)</f>
        <v>1030000000</v>
      </c>
      <c r="F30" s="11">
        <f>Table231[[#This Row],[حسابهای دریافتنی]]+Table231[[#This Row],[چکهای در جریان وصول]]+Table231[[#This Row],[چکهای نزد صندوق]]</f>
        <v>1583728200</v>
      </c>
      <c r="G30" s="12">
        <f>IFERROR(INDEX('مانده سوفاله'!F:F,MATCH(Table231[[#This Row],[كد تفصيلي]],'مانده سوفاله'!A:A,0)),0)</f>
        <v>-12630</v>
      </c>
    </row>
    <row r="31" spans="1:7" ht="21.75" customHeight="1" x14ac:dyDescent="0.35">
      <c r="A31" s="75">
        <v>30003</v>
      </c>
      <c r="B31" s="72" t="s">
        <v>53</v>
      </c>
      <c r="C31" s="10">
        <f>IFERROR(INDEX('حسابهای دریافتنی'!H:H,MATCH(Table231[[#This Row],[كد تفصيلي]],'حسابهای دریافتنی'!A:A,0)),0)</f>
        <v>754765900</v>
      </c>
      <c r="D31" s="11">
        <f>IFERROR(INDEX('درجریان وصول'!F:F,MATCH(Table231[[#This Row],[كد تفصيلي]],'درجریان وصول'!A:A,0)),0)</f>
        <v>0</v>
      </c>
      <c r="E31" s="11">
        <f>IFERROR(INDEX('چکهای دریافتنی'!F:F,MATCH(Table231[[#This Row],[كد تفصيلي]],'چکهای دریافتنی'!A:A,0)),0)</f>
        <v>571000000</v>
      </c>
      <c r="F31" s="11">
        <f>Table231[[#This Row],[حسابهای دریافتنی]]+Table231[[#This Row],[چکهای در جریان وصول]]+Table231[[#This Row],[چکهای نزد صندوق]]</f>
        <v>1325765900</v>
      </c>
      <c r="G31" s="12">
        <f>IFERROR(INDEX('مانده سوفاله'!F:F,MATCH(Table231[[#This Row],[كد تفصيلي]],'مانده سوفاله'!A:A,0)),0)</f>
        <v>-3538</v>
      </c>
    </row>
    <row r="32" spans="1:7" ht="21.75" customHeight="1" x14ac:dyDescent="0.35">
      <c r="A32" s="75">
        <v>30070</v>
      </c>
      <c r="B32" s="72" t="s">
        <v>115</v>
      </c>
      <c r="C32" s="10">
        <f>IFERROR(INDEX('حسابهای دریافتنی'!H:H,MATCH(Table231[[#This Row],[كد تفصيلي]],'حسابهای دریافتنی'!A:A,0)),0)</f>
        <v>2651728820</v>
      </c>
      <c r="D32" s="11">
        <f>IFERROR(INDEX('درجریان وصول'!F:F,MATCH(Table231[[#This Row],[كد تفصيلي]],'درجریان وصول'!A:A,0)),0)</f>
        <v>0</v>
      </c>
      <c r="E32" s="11">
        <f>IFERROR(INDEX('چکهای دریافتنی'!F:F,MATCH(Table231[[#This Row],[كد تفصيلي]],'چکهای دریافتنی'!A:A,0)),0)</f>
        <v>3660000000</v>
      </c>
      <c r="F32" s="11">
        <f>Table231[[#This Row],[حسابهای دریافتنی]]+Table231[[#This Row],[چکهای در جریان وصول]]+Table231[[#This Row],[چکهای نزد صندوق]]</f>
        <v>6311728820</v>
      </c>
      <c r="G32" s="12">
        <f>IFERROR(INDEX('مانده سوفاله'!F:F,MATCH(Table231[[#This Row],[كد تفصيلي]],'مانده سوفاله'!A:A,0)),0)</f>
        <v>4378</v>
      </c>
    </row>
    <row r="33" spans="1:7" ht="21.75" customHeight="1" x14ac:dyDescent="0.35">
      <c r="A33" s="74">
        <v>30191</v>
      </c>
      <c r="B33" s="73" t="s">
        <v>460</v>
      </c>
      <c r="C33" s="10">
        <f>IFERROR(INDEX('حسابهای دریافتنی'!H:H,MATCH(Table231[[#This Row],[كد تفصيلي]],'حسابهای دریافتنی'!A:A,0)),0)</f>
        <v>792933000</v>
      </c>
      <c r="D33" s="11">
        <f>IFERROR(INDEX('درجریان وصول'!F:F,MATCH(Table231[[#This Row],[كد تفصيلي]],'درجریان وصول'!A:A,0)),0)</f>
        <v>0</v>
      </c>
      <c r="E33" s="11">
        <f>IFERROR(INDEX('چکهای دریافتنی'!F:F,MATCH(Table231[[#This Row],[كد تفصيلي]],'چکهای دریافتنی'!A:A,0)),0)</f>
        <v>0</v>
      </c>
      <c r="F33" s="11">
        <f>Table231[[#This Row],[حسابهای دریافتنی]]+Table231[[#This Row],[چکهای در جریان وصول]]+Table231[[#This Row],[چکهای نزد صندوق]]</f>
        <v>792933000</v>
      </c>
      <c r="G33" s="12">
        <f>IFERROR(INDEX('مانده سوفاله'!F:F,MATCH(Table231[[#This Row],[كد تفصيلي]],'مانده سوفاله'!A:A,0)),0)</f>
        <v>134</v>
      </c>
    </row>
    <row r="34" spans="1:7" ht="21.75" customHeight="1" x14ac:dyDescent="0.35">
      <c r="A34" s="74">
        <v>30034</v>
      </c>
      <c r="B34" s="73" t="s">
        <v>81</v>
      </c>
      <c r="C34" s="10">
        <f>IFERROR(INDEX('حسابهای دریافتنی'!H:H,MATCH(Table231[[#This Row],[كد تفصيلي]],'حسابهای دریافتنی'!A:A,0)),0)</f>
        <v>388329200</v>
      </c>
      <c r="D34" s="11">
        <f>IFERROR(INDEX('درجریان وصول'!F:F,MATCH(Table231[[#This Row],[كد تفصيلي]],'درجریان وصول'!A:A,0)),0)</f>
        <v>0</v>
      </c>
      <c r="E34" s="11">
        <f>IFERROR(INDEX('چکهای دریافتنی'!F:F,MATCH(Table231[[#This Row],[كد تفصيلي]],'چکهای دریافتنی'!A:A,0)),0)</f>
        <v>0</v>
      </c>
      <c r="F34" s="11">
        <f>Table231[[#This Row],[حسابهای دریافتنی]]+Table231[[#This Row],[چکهای در جریان وصول]]+Table231[[#This Row],[چکهای نزد صندوق]]</f>
        <v>388329200</v>
      </c>
      <c r="G34" s="12">
        <f>IFERROR(INDEX('مانده سوفاله'!F:F,MATCH(Table231[[#This Row],[كد تفصيلي]],'مانده سوفاله'!A:A,0)),0)</f>
        <v>2886</v>
      </c>
    </row>
    <row r="35" spans="1:7" ht="21.75" customHeight="1" x14ac:dyDescent="0.35">
      <c r="A35" s="74">
        <v>30069</v>
      </c>
      <c r="B35" s="73" t="s">
        <v>114</v>
      </c>
      <c r="C35" s="10">
        <f>IFERROR(INDEX('حسابهای دریافتنی'!H:H,MATCH(Table231[[#This Row],[كد تفصيلي]],'حسابهای دریافتنی'!A:A,0)),0)</f>
        <v>377909400</v>
      </c>
      <c r="D35" s="11">
        <f>IFERROR(INDEX('درجریان وصول'!F:F,MATCH(Table231[[#This Row],[كد تفصيلي]],'درجریان وصول'!A:A,0)),0)</f>
        <v>0</v>
      </c>
      <c r="E35" s="11">
        <f>IFERROR(INDEX('چکهای دریافتنی'!F:F,MATCH(Table231[[#This Row],[كد تفصيلي]],'چکهای دریافتنی'!A:A,0)),0)</f>
        <v>0</v>
      </c>
      <c r="F35" s="11">
        <f>Table231[[#This Row],[حسابهای دریافتنی]]+Table231[[#This Row],[چکهای در جریان وصول]]+Table231[[#This Row],[چکهای نزد صندوق]]</f>
        <v>377909400</v>
      </c>
      <c r="G35" s="12">
        <f>IFERROR(INDEX('مانده سوفاله'!F:F,MATCH(Table231[[#This Row],[كد تفصيلي]],'مانده سوفاله'!A:A,0)),0)</f>
        <v>66</v>
      </c>
    </row>
    <row r="36" spans="1:7" ht="21.75" customHeight="1" x14ac:dyDescent="0.35">
      <c r="A36" s="74">
        <v>30187</v>
      </c>
      <c r="B36" s="73" t="s">
        <v>369</v>
      </c>
      <c r="C36" s="10">
        <f>IFERROR(INDEX('حسابهای دریافتنی'!H:H,MATCH(Table231[[#This Row],[كد تفصيلي]],'حسابهای دریافتنی'!A:A,0)),0)</f>
        <v>337825500</v>
      </c>
      <c r="D36" s="11">
        <f>IFERROR(INDEX('درجریان وصول'!F:F,MATCH(Table231[[#This Row],[كد تفصيلي]],'درجریان وصول'!A:A,0)),0)</f>
        <v>0</v>
      </c>
      <c r="E36" s="11">
        <f>IFERROR(INDEX('چکهای دریافتنی'!F:F,MATCH(Table231[[#This Row],[كد تفصيلي]],'چکهای دریافتنی'!A:A,0)),0)</f>
        <v>0</v>
      </c>
      <c r="F36" s="11">
        <f>Table231[[#This Row],[حسابهای دریافتنی]]+Table231[[#This Row],[چکهای در جریان وصول]]+Table231[[#This Row],[چکهای نزد صندوق]]</f>
        <v>337825500</v>
      </c>
      <c r="G36" s="12">
        <f>IFERROR(INDEX('مانده سوفاله'!F:F,MATCH(Table231[[#This Row],[كد تفصيلي]],'مانده سوفاله'!A:A,0)),0)</f>
        <v>-108</v>
      </c>
    </row>
    <row r="37" spans="1:7" ht="21.75" customHeight="1" x14ac:dyDescent="0.35">
      <c r="A37" s="74">
        <v>10070</v>
      </c>
      <c r="B37" s="73" t="s">
        <v>230</v>
      </c>
      <c r="C37" s="10">
        <f>IFERROR(INDEX('حسابهای دریافتنی'!H:H,MATCH(Table231[[#This Row],[كد تفصيلي]],'حسابهای دریافتنی'!A:A,0)),0)</f>
        <v>508152500</v>
      </c>
      <c r="D37" s="11">
        <f>IFERROR(INDEX('درجریان وصول'!F:F,MATCH(Table231[[#This Row],[كد تفصيلي]],'درجریان وصول'!A:A,0)),0)</f>
        <v>0</v>
      </c>
      <c r="E37" s="11">
        <f>IFERROR(INDEX('چکهای دریافتنی'!F:F,MATCH(Table231[[#This Row],[كد تفصيلي]],'چکهای دریافتنی'!A:A,0)),0)</f>
        <v>570000000</v>
      </c>
      <c r="F37" s="11">
        <f>Table231[[#This Row],[حسابهای دریافتنی]]+Table231[[#This Row],[چکهای در جریان وصول]]+Table231[[#This Row],[چکهای نزد صندوق]]</f>
        <v>1078152500</v>
      </c>
      <c r="G37" s="12">
        <f>IFERROR(INDEX('مانده سوفاله'!F:F,MATCH(Table231[[#This Row],[كد تفصيلي]],'مانده سوفاله'!A:A,0)),0)</f>
        <v>-3170</v>
      </c>
    </row>
    <row r="38" spans="1:7" ht="21.75" customHeight="1" x14ac:dyDescent="0.35">
      <c r="A38" s="74">
        <v>30169</v>
      </c>
      <c r="B38" s="73" t="s">
        <v>318</v>
      </c>
      <c r="C38" s="10">
        <f>IFERROR(INDEX('حسابهای دریافتنی'!H:H,MATCH(Table231[[#This Row],[كد تفصيلي]],'حسابهای دریافتنی'!A:A,0)),0)</f>
        <v>-658993316</v>
      </c>
      <c r="D38" s="11">
        <f>IFERROR(INDEX('درجریان وصول'!F:F,MATCH(Table231[[#This Row],[كد تفصيلي]],'درجریان وصول'!A:A,0)),0)</f>
        <v>0</v>
      </c>
      <c r="E38" s="11">
        <f>IFERROR(INDEX('چکهای دریافتنی'!F:F,MATCH(Table231[[#This Row],[كد تفصيلي]],'چکهای دریافتنی'!A:A,0)),0)</f>
        <v>2085000000</v>
      </c>
      <c r="F38" s="11">
        <f>Table231[[#This Row],[حسابهای دریافتنی]]+Table231[[#This Row],[چکهای در جریان وصول]]+Table231[[#This Row],[چکهای نزد صندوق]]</f>
        <v>1426006684</v>
      </c>
      <c r="G38" s="12">
        <f>IFERROR(INDEX('مانده سوفاله'!F:F,MATCH(Table231[[#This Row],[كد تفصيلي]],'مانده سوفاله'!A:A,0)),0)</f>
        <v>0</v>
      </c>
    </row>
    <row r="39" spans="1:7" ht="21.75" customHeight="1" x14ac:dyDescent="0.35">
      <c r="A39" s="75">
        <v>30162</v>
      </c>
      <c r="B39" s="72" t="s">
        <v>301</v>
      </c>
      <c r="C39" s="10">
        <f>IFERROR(INDEX('حسابهای دریافتنی'!H:H,MATCH(Table231[[#This Row],[كد تفصيلي]],'حسابهای دریافتنی'!A:A,0)),0)</f>
        <v>204890235</v>
      </c>
      <c r="D39" s="11">
        <f>IFERROR(INDEX('درجریان وصول'!F:F,MATCH(Table231[[#This Row],[كد تفصيلي]],'درجریان وصول'!A:A,0)),0)</f>
        <v>0</v>
      </c>
      <c r="E39" s="11">
        <f>IFERROR(INDEX('چکهای دریافتنی'!F:F,MATCH(Table231[[#This Row],[كد تفصيلي]],'چکهای دریافتنی'!A:A,0)),0)</f>
        <v>0</v>
      </c>
      <c r="F39" s="11">
        <f>Table231[[#This Row],[حسابهای دریافتنی]]+Table231[[#This Row],[چکهای در جریان وصول]]+Table231[[#This Row],[چکهای نزد صندوق]]</f>
        <v>204890235</v>
      </c>
      <c r="G39" s="12">
        <f>IFERROR(INDEX('مانده سوفاله'!F:F,MATCH(Table231[[#This Row],[كد تفصيلي]],'مانده سوفاله'!A:A,0)),0)</f>
        <v>-251</v>
      </c>
    </row>
    <row r="40" spans="1:7" ht="21.75" customHeight="1" x14ac:dyDescent="0.35">
      <c r="A40" s="74">
        <v>30137</v>
      </c>
      <c r="B40" s="73" t="s">
        <v>218</v>
      </c>
      <c r="C40" s="10">
        <f>IFERROR(INDEX('حسابهای دریافتنی'!H:H,MATCH(Table231[[#This Row],[كد تفصيلي]],'حسابهای دریافتنی'!A:A,0)),0)</f>
        <v>0</v>
      </c>
      <c r="D40" s="11">
        <f>IFERROR(INDEX('درجریان وصول'!F:F,MATCH(Table231[[#This Row],[كد تفصيلي]],'درجریان وصول'!A:A,0)),0)</f>
        <v>0</v>
      </c>
      <c r="E40" s="11">
        <f>IFERROR(INDEX('چکهای دریافتنی'!F:F,MATCH(Table231[[#This Row],[كد تفصيلي]],'چکهای دریافتنی'!A:A,0)),0)</f>
        <v>213182200</v>
      </c>
      <c r="F40" s="11">
        <f>Table231[[#This Row],[حسابهای دریافتنی]]+Table231[[#This Row],[چکهای در جریان وصول]]+Table231[[#This Row],[چکهای نزد صندوق]]</f>
        <v>213182200</v>
      </c>
      <c r="G40" s="12">
        <f>IFERROR(INDEX('مانده سوفاله'!F:F,MATCH(Table231[[#This Row],[كد تفصيلي]],'مانده سوفاله'!A:A,0)),0)</f>
        <v>0</v>
      </c>
    </row>
    <row r="41" spans="1:7" ht="21.75" customHeight="1" x14ac:dyDescent="0.35">
      <c r="A41" s="75">
        <v>30086</v>
      </c>
      <c r="B41" s="72" t="s">
        <v>131</v>
      </c>
      <c r="C41" s="10">
        <f>IFERROR(INDEX('حسابهای دریافتنی'!H:H,MATCH(Table231[[#This Row],[كد تفصيلي]],'حسابهای دریافتنی'!A:A,0)),0)</f>
        <v>187376603</v>
      </c>
      <c r="D41" s="11">
        <f>IFERROR(INDEX('درجریان وصول'!F:F,MATCH(Table231[[#This Row],[كد تفصيلي]],'درجریان وصول'!A:A,0)),0)</f>
        <v>0</v>
      </c>
      <c r="E41" s="11">
        <f>IFERROR(INDEX('چکهای دریافتنی'!F:F,MATCH(Table231[[#This Row],[كد تفصيلي]],'چکهای دریافتنی'!A:A,0)),0)</f>
        <v>0</v>
      </c>
      <c r="F41" s="11">
        <f>Table231[[#This Row],[حسابهای دریافتنی]]+Table231[[#This Row],[چکهای در جریان وصول]]+Table231[[#This Row],[چکهای نزد صندوق]]</f>
        <v>187376603</v>
      </c>
      <c r="G41" s="12">
        <f>IFERROR(INDEX('مانده سوفاله'!F:F,MATCH(Table231[[#This Row],[كد تفصيلي]],'مانده سوفاله'!A:A,0)),0)</f>
        <v>1549</v>
      </c>
    </row>
    <row r="42" spans="1:7" ht="21.75" customHeight="1" x14ac:dyDescent="0.35">
      <c r="A42" s="75">
        <v>30001</v>
      </c>
      <c r="B42" s="72" t="s">
        <v>190</v>
      </c>
      <c r="C42" s="10">
        <f>IFERROR(INDEX('حسابهای دریافتنی'!H:H,MATCH(Table231[[#This Row],[كد تفصيلي]],'حسابهای دریافتنی'!A:A,0)),0)</f>
        <v>119647176</v>
      </c>
      <c r="D42" s="11">
        <f>IFERROR(INDEX('درجریان وصول'!F:F,MATCH(Table231[[#This Row],[كد تفصيلي]],'درجریان وصول'!A:A,0)),0)</f>
        <v>0</v>
      </c>
      <c r="E42" s="11">
        <f>IFERROR(INDEX('چکهای دریافتنی'!F:F,MATCH(Table231[[#This Row],[كد تفصيلي]],'چکهای دریافتنی'!A:A,0)),0)</f>
        <v>0</v>
      </c>
      <c r="F42" s="11">
        <f>Table231[[#This Row],[حسابهای دریافتنی]]+Table231[[#This Row],[چکهای در جریان وصول]]+Table231[[#This Row],[چکهای نزد صندوق]]</f>
        <v>119647176</v>
      </c>
      <c r="G42" s="12">
        <f>IFERROR(INDEX('مانده سوفاله'!F:F,MATCH(Table231[[#This Row],[كد تفصيلي]],'مانده سوفاله'!A:A,0)),0)</f>
        <v>123</v>
      </c>
    </row>
    <row r="43" spans="1:7" ht="21.75" customHeight="1" x14ac:dyDescent="0.35">
      <c r="A43" s="74">
        <v>30101</v>
      </c>
      <c r="B43" s="73" t="s">
        <v>196</v>
      </c>
      <c r="C43" s="10">
        <f>IFERROR(INDEX('حسابهای دریافتنی'!H:H,MATCH(Table231[[#This Row],[كد تفصيلي]],'حسابهای دریافتنی'!A:A,0)),0)</f>
        <v>203336095</v>
      </c>
      <c r="D43" s="11">
        <f>IFERROR(INDEX('درجریان وصول'!F:F,MATCH(Table231[[#This Row],[كد تفصيلي]],'درجریان وصول'!A:A,0)),0)</f>
        <v>0</v>
      </c>
      <c r="E43" s="11">
        <f>IFERROR(INDEX('چکهای دریافتنی'!F:F,MATCH(Table231[[#This Row],[كد تفصيلي]],'چکهای دریافتنی'!A:A,0)),0)</f>
        <v>0</v>
      </c>
      <c r="F43" s="11">
        <f>Table231[[#This Row],[حسابهای دریافتنی]]+Table231[[#This Row],[چکهای در جریان وصول]]+Table231[[#This Row],[چکهای نزد صندوق]]</f>
        <v>203336095</v>
      </c>
      <c r="G43" s="12">
        <f>IFERROR(INDEX('مانده سوفاله'!F:F,MATCH(Table231[[#This Row],[كد تفصيلي]],'مانده سوفاله'!A:A,0)),0)</f>
        <v>15</v>
      </c>
    </row>
    <row r="44" spans="1:7" ht="21.75" customHeight="1" x14ac:dyDescent="0.35">
      <c r="A44" s="74">
        <v>10141</v>
      </c>
      <c r="B44" s="73" t="s">
        <v>541</v>
      </c>
      <c r="C44" s="10">
        <f>IFERROR(INDEX('حسابهای دریافتنی'!H:H,MATCH(Table231[[#This Row],[كد تفصيلي]],'حسابهای دریافتنی'!A:A,0)),0)</f>
        <v>116510000</v>
      </c>
      <c r="D44" s="11">
        <f>IFERROR(INDEX('درجریان وصول'!F:F,MATCH(Table231[[#This Row],[كد تفصيلي]],'درجریان وصول'!A:A,0)),0)</f>
        <v>0</v>
      </c>
      <c r="E44" s="11">
        <f>IFERROR(INDEX('چکهای دریافتنی'!F:F,MATCH(Table231[[#This Row],[كد تفصيلي]],'چکهای دریافتنی'!A:A,0)),0)</f>
        <v>0</v>
      </c>
      <c r="F44" s="11">
        <f>Table231[[#This Row],[حسابهای دریافتنی]]+Table231[[#This Row],[چکهای در جریان وصول]]+Table231[[#This Row],[چکهای نزد صندوق]]</f>
        <v>116510000</v>
      </c>
      <c r="G44" s="12">
        <f>IFERROR(INDEX('مانده سوفاله'!F:F,MATCH(Table231[[#This Row],[كد تفصيلي]],'مانده سوفاله'!A:A,0)),0)</f>
        <v>0</v>
      </c>
    </row>
    <row r="45" spans="1:7" ht="21.75" customHeight="1" x14ac:dyDescent="0.35">
      <c r="A45" s="75">
        <v>30204</v>
      </c>
      <c r="B45" s="72" t="s">
        <v>530</v>
      </c>
      <c r="C45" s="10">
        <f>IFERROR(INDEX('حسابهای دریافتنی'!H:H,MATCH(Table231[[#This Row],[كد تفصيلي]],'حسابهای دریافتنی'!A:A,0)),0)</f>
        <v>-1354830000</v>
      </c>
      <c r="D45" s="11">
        <f>IFERROR(INDEX('درجریان وصول'!F:F,MATCH(Table231[[#This Row],[كد تفصيلي]],'درجریان وصول'!A:A,0)),0)</f>
        <v>0</v>
      </c>
      <c r="E45" s="11">
        <f>IFERROR(INDEX('چکهای دریافتنی'!F:F,MATCH(Table231[[#This Row],[كد تفصيلي]],'چکهای دریافتنی'!A:A,0)),0)</f>
        <v>0</v>
      </c>
      <c r="F45" s="11">
        <f>Table231[[#This Row],[حسابهای دریافتنی]]+Table231[[#This Row],[چکهای در جریان وصول]]+Table231[[#This Row],[چکهای نزد صندوق]]</f>
        <v>-1354830000</v>
      </c>
      <c r="G45" s="12">
        <f>IFERROR(INDEX('مانده سوفاله'!F:F,MATCH(Table231[[#This Row],[كد تفصيلي]],'مانده سوفاله'!A:A,0)),0)</f>
        <v>0</v>
      </c>
    </row>
    <row r="46" spans="1:7" ht="21.75" customHeight="1" x14ac:dyDescent="0.35">
      <c r="A46" s="74">
        <v>10048</v>
      </c>
      <c r="B46" s="73" t="s">
        <v>191</v>
      </c>
      <c r="C46" s="10">
        <f>IFERROR(INDEX('حسابهای دریافتنی'!H:H,MATCH(Table231[[#This Row],[كد تفصيلي]],'حسابهای دریافتنی'!A:A,0)),0)</f>
        <v>0</v>
      </c>
      <c r="D46" s="11">
        <f>IFERROR(INDEX('درجریان وصول'!F:F,MATCH(Table231[[#This Row],[كد تفصيلي]],'درجریان وصول'!A:A,0)),0)</f>
        <v>0</v>
      </c>
      <c r="E46" s="11">
        <f>IFERROR(INDEX('چکهای دریافتنی'!F:F,MATCH(Table231[[#This Row],[كد تفصيلي]],'چکهای دریافتنی'!A:A,0)),0)</f>
        <v>0</v>
      </c>
      <c r="F46" s="11">
        <f>Table231[[#This Row],[حسابهای دریافتنی]]+Table231[[#This Row],[چکهای در جریان وصول]]+Table231[[#This Row],[چکهای نزد صندوق]]</f>
        <v>0</v>
      </c>
      <c r="G46" s="12">
        <f>IFERROR(INDEX('مانده سوفاله'!F:F,MATCH(Table231[[#This Row],[كد تفصيلي]],'مانده سوفاله'!A:A,0)),0)</f>
        <v>-1097</v>
      </c>
    </row>
    <row r="47" spans="1:7" ht="21.75" customHeight="1" x14ac:dyDescent="0.35">
      <c r="A47" s="74">
        <v>10056</v>
      </c>
      <c r="B47" s="73" t="s">
        <v>166</v>
      </c>
      <c r="C47" s="10">
        <f>IFERROR(INDEX('حسابهای دریافتنی'!H:H,MATCH(Table231[[#This Row],[كد تفصيلي]],'حسابهای دریافتنی'!A:A,0)),0)</f>
        <v>812653500</v>
      </c>
      <c r="D47" s="11">
        <f>IFERROR(INDEX('درجریان وصول'!F:F,MATCH(Table231[[#This Row],[كد تفصيلي]],'درجریان وصول'!A:A,0)),0)</f>
        <v>0</v>
      </c>
      <c r="E47" s="11">
        <f>IFERROR(INDEX('چکهای دریافتنی'!F:F,MATCH(Table231[[#This Row],[كد تفصيلي]],'چکهای دریافتنی'!A:A,0)),0)</f>
        <v>0</v>
      </c>
      <c r="F47" s="11">
        <f>Table231[[#This Row],[حسابهای دریافتنی]]+Table231[[#This Row],[چکهای در جریان وصول]]+Table231[[#This Row],[چکهای نزد صندوق]]</f>
        <v>812653500</v>
      </c>
      <c r="G47" s="12">
        <f>IFERROR(INDEX('مانده سوفاله'!F:F,MATCH(Table231[[#This Row],[كد تفصيلي]],'مانده سوفاله'!A:A,0)),0)</f>
        <v>0</v>
      </c>
    </row>
    <row r="48" spans="1:7" ht="21.75" customHeight="1" x14ac:dyDescent="0.35">
      <c r="A48" s="75">
        <v>10091</v>
      </c>
      <c r="B48" s="72" t="s">
        <v>258</v>
      </c>
      <c r="C48" s="10">
        <f>IFERROR(INDEX('حسابهای دریافتنی'!H:H,MATCH(Table231[[#This Row],[كد تفصيلي]],'حسابهای دریافتنی'!A:A,0)),0)</f>
        <v>59321500</v>
      </c>
      <c r="D48" s="11">
        <f>IFERROR(INDEX('درجریان وصول'!F:F,MATCH(Table231[[#This Row],[كد تفصيلي]],'درجریان وصول'!A:A,0)),0)</f>
        <v>0</v>
      </c>
      <c r="E48" s="11">
        <f>IFERROR(INDEX('چکهای دریافتنی'!F:F,MATCH(Table231[[#This Row],[كد تفصيلي]],'چکهای دریافتنی'!A:A,0)),0)</f>
        <v>0</v>
      </c>
      <c r="F48" s="11">
        <f>Table231[[#This Row],[حسابهای دریافتنی]]+Table231[[#This Row],[چکهای در جریان وصول]]+Table231[[#This Row],[چکهای نزد صندوق]]</f>
        <v>59321500</v>
      </c>
      <c r="G48" s="12">
        <f>IFERROR(INDEX('مانده سوفاله'!F:F,MATCH(Table231[[#This Row],[كد تفصيلي]],'مانده سوفاله'!A:A,0)),0)</f>
        <v>0</v>
      </c>
    </row>
    <row r="49" spans="1:7" ht="21.75" customHeight="1" x14ac:dyDescent="0.35">
      <c r="A49" s="74">
        <v>10104</v>
      </c>
      <c r="B49" s="73" t="s">
        <v>293</v>
      </c>
      <c r="C49" s="10">
        <f>IFERROR(INDEX('حسابهای دریافتنی'!H:H,MATCH(Table231[[#This Row],[كد تفصيلي]],'حسابهای دریافتنی'!A:A,0)),0)</f>
        <v>0</v>
      </c>
      <c r="D49" s="11">
        <f>IFERROR(INDEX('درجریان وصول'!F:F,MATCH(Table231[[#This Row],[كد تفصيلي]],'درجریان وصول'!A:A,0)),0)</f>
        <v>0</v>
      </c>
      <c r="E49" s="11">
        <f>IFERROR(INDEX('چکهای دریافتنی'!F:F,MATCH(Table231[[#This Row],[كد تفصيلي]],'چکهای دریافتنی'!A:A,0)),0)</f>
        <v>0</v>
      </c>
      <c r="F49" s="11">
        <f>Table231[[#This Row],[حسابهای دریافتنی]]+Table231[[#This Row],[چکهای در جریان وصول]]+Table231[[#This Row],[چکهای نزد صندوق]]</f>
        <v>0</v>
      </c>
      <c r="G49" s="12">
        <f>IFERROR(INDEX('مانده سوفاله'!F:F,MATCH(Table231[[#This Row],[كد تفصيلي]],'مانده سوفاله'!A:A,0)),0)</f>
        <v>4065</v>
      </c>
    </row>
    <row r="50" spans="1:7" ht="21.75" customHeight="1" x14ac:dyDescent="0.35">
      <c r="A50" s="74">
        <v>10096</v>
      </c>
      <c r="B50" s="73" t="s">
        <v>271</v>
      </c>
      <c r="C50" s="10">
        <f>IFERROR(INDEX('حسابهای دریافتنی'!H:H,MATCH(Table231[[#This Row],[كد تفصيلي]],'حسابهای دریافتنی'!A:A,0)),0)</f>
        <v>36455500</v>
      </c>
      <c r="D50" s="11">
        <f>IFERROR(INDEX('درجریان وصول'!F:F,MATCH(Table231[[#This Row],[كد تفصيلي]],'درجریان وصول'!A:A,0)),0)</f>
        <v>0</v>
      </c>
      <c r="E50" s="11">
        <f>IFERROR(INDEX('چکهای دریافتنی'!F:F,MATCH(Table231[[#This Row],[كد تفصيلي]],'چکهای دریافتنی'!A:A,0)),0)</f>
        <v>0</v>
      </c>
      <c r="F50" s="11">
        <f>Table231[[#This Row],[حسابهای دریافتنی]]+Table231[[#This Row],[چکهای در جریان وصول]]+Table231[[#This Row],[چکهای نزد صندوق]]</f>
        <v>36455500</v>
      </c>
      <c r="G50" s="12">
        <f>IFERROR(INDEX('مانده سوفاله'!F:F,MATCH(Table231[[#This Row],[كد تفصيلي]],'مانده سوفاله'!A:A,0)),0)</f>
        <v>0</v>
      </c>
    </row>
    <row r="51" spans="1:7" ht="21.75" customHeight="1" x14ac:dyDescent="0.35">
      <c r="A51" s="75">
        <v>30025</v>
      </c>
      <c r="B51" s="72" t="s">
        <v>73</v>
      </c>
      <c r="C51" s="10">
        <f>IFERROR(INDEX('حسابهای دریافتنی'!H:H,MATCH(Table231[[#This Row],[كد تفصيلي]],'حسابهای دریافتنی'!A:A,0)),0)</f>
        <v>35598920</v>
      </c>
      <c r="D51" s="11">
        <f>IFERROR(INDEX('درجریان وصول'!F:F,MATCH(Table231[[#This Row],[كد تفصيلي]],'درجریان وصول'!A:A,0)),0)</f>
        <v>0</v>
      </c>
      <c r="E51" s="11">
        <f>IFERROR(INDEX('چکهای دریافتنی'!F:F,MATCH(Table231[[#This Row],[كد تفصيلي]],'چکهای دریافتنی'!A:A,0)),0)</f>
        <v>0</v>
      </c>
      <c r="F51" s="11">
        <f>Table231[[#This Row],[حسابهای دریافتنی]]+Table231[[#This Row],[چکهای در جریان وصول]]+Table231[[#This Row],[چکهای نزد صندوق]]</f>
        <v>35598920</v>
      </c>
      <c r="G51" s="12">
        <f>IFERROR(INDEX('مانده سوفاله'!F:F,MATCH(Table231[[#This Row],[كد تفصيلي]],'مانده سوفاله'!A:A,0)),0)</f>
        <v>-165</v>
      </c>
    </row>
    <row r="52" spans="1:7" ht="21.75" customHeight="1" x14ac:dyDescent="0.35">
      <c r="A52" s="75">
        <v>30005</v>
      </c>
      <c r="B52" s="72" t="s">
        <v>55</v>
      </c>
      <c r="C52" s="10">
        <f>IFERROR(INDEX('حسابهای دریافتنی'!H:H,MATCH(Table231[[#This Row],[كد تفصيلي]],'حسابهای دریافتنی'!A:A,0)),0)</f>
        <v>35368209</v>
      </c>
      <c r="D52" s="11">
        <f>IFERROR(INDEX('درجریان وصول'!F:F,MATCH(Table231[[#This Row],[كد تفصيلي]],'درجریان وصول'!A:A,0)),0)</f>
        <v>0</v>
      </c>
      <c r="E52" s="11">
        <f>IFERROR(INDEX('چکهای دریافتنی'!F:F,MATCH(Table231[[#This Row],[كد تفصيلي]],'چکهای دریافتنی'!A:A,0)),0)</f>
        <v>0</v>
      </c>
      <c r="F52" s="11">
        <f>Table231[[#This Row],[حسابهای دریافتنی]]+Table231[[#This Row],[چکهای در جریان وصول]]+Table231[[#This Row],[چکهای نزد صندوق]]</f>
        <v>35368209</v>
      </c>
      <c r="G52" s="12">
        <f>IFERROR(INDEX('مانده سوفاله'!F:F,MATCH(Table231[[#This Row],[كد تفصيلي]],'مانده سوفاله'!A:A,0)),0)</f>
        <v>61</v>
      </c>
    </row>
    <row r="53" spans="1:7" ht="21.75" customHeight="1" x14ac:dyDescent="0.35">
      <c r="A53" s="74">
        <v>10018</v>
      </c>
      <c r="B53" s="73" t="s">
        <v>25</v>
      </c>
      <c r="C53" s="10">
        <f>IFERROR(INDEX('حسابهای دریافتنی'!H:H,MATCH(Table231[[#This Row],[كد تفصيلي]],'حسابهای دریافتنی'!A:A,0)),0)</f>
        <v>95282000</v>
      </c>
      <c r="D53" s="11">
        <f>IFERROR(INDEX('درجریان وصول'!F:F,MATCH(Table231[[#This Row],[كد تفصيلي]],'درجریان وصول'!A:A,0)),0)</f>
        <v>0</v>
      </c>
      <c r="E53" s="11">
        <f>IFERROR(INDEX('چکهای دریافتنی'!F:F,MATCH(Table231[[#This Row],[كد تفصيلي]],'چکهای دریافتنی'!A:A,0)),0)</f>
        <v>0</v>
      </c>
      <c r="F53" s="11">
        <f>Table231[[#This Row],[حسابهای دریافتنی]]+Table231[[#This Row],[چکهای در جریان وصول]]+Table231[[#This Row],[چکهای نزد صندوق]]</f>
        <v>95282000</v>
      </c>
      <c r="G53" s="12">
        <f>IFERROR(INDEX('مانده سوفاله'!F:F,MATCH(Table231[[#This Row],[كد تفصيلي]],'مانده سوفاله'!A:A,0)),0)</f>
        <v>-32</v>
      </c>
    </row>
    <row r="54" spans="1:7" ht="21.75" customHeight="1" x14ac:dyDescent="0.35">
      <c r="A54" s="74">
        <v>30024</v>
      </c>
      <c r="B54" s="73" t="s">
        <v>72</v>
      </c>
      <c r="C54" s="10">
        <f>IFERROR(INDEX('حسابهای دریافتنی'!H:H,MATCH(Table231[[#This Row],[كد تفصيلي]],'حسابهای دریافتنی'!A:A,0)),0)</f>
        <v>16135000</v>
      </c>
      <c r="D54" s="11">
        <f>IFERROR(INDEX('درجریان وصول'!F:F,MATCH(Table231[[#This Row],[كد تفصيلي]],'درجریان وصول'!A:A,0)),0)</f>
        <v>0</v>
      </c>
      <c r="E54" s="11">
        <f>IFERROR(INDEX('چکهای دریافتنی'!F:F,MATCH(Table231[[#This Row],[كد تفصيلي]],'چکهای دریافتنی'!A:A,0)),0)</f>
        <v>0</v>
      </c>
      <c r="F54" s="11">
        <f>Table231[[#This Row],[حسابهای دریافتنی]]+Table231[[#This Row],[چکهای در جریان وصول]]+Table231[[#This Row],[چکهای نزد صندوق]]</f>
        <v>16135000</v>
      </c>
      <c r="G54" s="12">
        <f>IFERROR(INDEX('مانده سوفاله'!F:F,MATCH(Table231[[#This Row],[كد تفصيلي]],'مانده سوفاله'!A:A,0)),0)</f>
        <v>0</v>
      </c>
    </row>
    <row r="55" spans="1:7" ht="21.75" customHeight="1" x14ac:dyDescent="0.35">
      <c r="A55" s="74">
        <v>30008</v>
      </c>
      <c r="B55" s="73" t="s">
        <v>58</v>
      </c>
      <c r="C55" s="10">
        <f>IFERROR(INDEX('حسابهای دریافتنی'!H:H,MATCH(Table231[[#This Row],[كد تفصيلي]],'حسابهای دریافتنی'!A:A,0)),0)</f>
        <v>15520000</v>
      </c>
      <c r="D55" s="11">
        <f>IFERROR(INDEX('درجریان وصول'!F:F,MATCH(Table231[[#This Row],[كد تفصيلي]],'درجریان وصول'!A:A,0)),0)</f>
        <v>0</v>
      </c>
      <c r="E55" s="11">
        <f>IFERROR(INDEX('چکهای دریافتنی'!F:F,MATCH(Table231[[#This Row],[كد تفصيلي]],'چکهای دریافتنی'!A:A,0)),0)</f>
        <v>0</v>
      </c>
      <c r="F55" s="11">
        <f>Table231[[#This Row],[حسابهای دریافتنی]]+Table231[[#This Row],[چکهای در جریان وصول]]+Table231[[#This Row],[چکهای نزد صندوق]]</f>
        <v>15520000</v>
      </c>
      <c r="G55" s="12">
        <f>IFERROR(INDEX('مانده سوفاله'!F:F,MATCH(Table231[[#This Row],[كد تفصيلي]],'مانده سوفاله'!A:A,0)),0)</f>
        <v>0</v>
      </c>
    </row>
    <row r="56" spans="1:7" ht="21.75" customHeight="1" x14ac:dyDescent="0.35">
      <c r="A56" s="75">
        <v>10007</v>
      </c>
      <c r="B56" s="72" t="s">
        <v>14</v>
      </c>
      <c r="C56" s="10">
        <f>IFERROR(INDEX('حسابهای دریافتنی'!H:H,MATCH(Table231[[#This Row],[كد تفصيلي]],'حسابهای دریافتنی'!A:A,0)),0)</f>
        <v>12770000</v>
      </c>
      <c r="D56" s="11">
        <f>IFERROR(INDEX('درجریان وصول'!F:F,MATCH(Table231[[#This Row],[كد تفصيلي]],'درجریان وصول'!A:A,0)),0)</f>
        <v>0</v>
      </c>
      <c r="E56" s="11">
        <f>IFERROR(INDEX('چکهای دریافتنی'!F:F,MATCH(Table231[[#This Row],[كد تفصيلي]],'چکهای دریافتنی'!A:A,0)),0)</f>
        <v>0</v>
      </c>
      <c r="F56" s="11">
        <f>Table231[[#This Row],[حسابهای دریافتنی]]+Table231[[#This Row],[چکهای در جریان وصول]]+Table231[[#This Row],[چکهای نزد صندوق]]</f>
        <v>12770000</v>
      </c>
      <c r="G56" s="12">
        <f>IFERROR(INDEX('مانده سوفاله'!F:F,MATCH(Table231[[#This Row],[كد تفصيلي]],'مانده سوفاله'!A:A,0)),0)</f>
        <v>-52.5</v>
      </c>
    </row>
    <row r="57" spans="1:7" ht="21.75" customHeight="1" x14ac:dyDescent="0.35">
      <c r="A57" s="75">
        <v>10105</v>
      </c>
      <c r="B57" s="72" t="s">
        <v>294</v>
      </c>
      <c r="C57" s="10">
        <f>IFERROR(INDEX('حسابهای دریافتنی'!H:H,MATCH(Table231[[#This Row],[كد تفصيلي]],'حسابهای دریافتنی'!A:A,0)),0)</f>
        <v>7630000</v>
      </c>
      <c r="D57" s="11">
        <f>IFERROR(INDEX('درجریان وصول'!F:F,MATCH(Table231[[#This Row],[كد تفصيلي]],'درجریان وصول'!A:A,0)),0)</f>
        <v>0</v>
      </c>
      <c r="E57" s="11">
        <f>IFERROR(INDEX('چکهای دریافتنی'!F:F,MATCH(Table231[[#This Row],[كد تفصيلي]],'چکهای دریافتنی'!A:A,0)),0)</f>
        <v>0</v>
      </c>
      <c r="F57" s="11">
        <f>Table231[[#This Row],[حسابهای دریافتنی]]+Table231[[#This Row],[چکهای در جریان وصول]]+Table231[[#This Row],[چکهای نزد صندوق]]</f>
        <v>7630000</v>
      </c>
      <c r="G57" s="12">
        <f>IFERROR(INDEX('مانده سوفاله'!F:F,MATCH(Table231[[#This Row],[كد تفصيلي]],'مانده سوفاله'!A:A,0)),0)</f>
        <v>0</v>
      </c>
    </row>
    <row r="58" spans="1:7" ht="21.75" customHeight="1" x14ac:dyDescent="0.35">
      <c r="A58" s="74">
        <v>10084</v>
      </c>
      <c r="B58" s="73" t="s">
        <v>217</v>
      </c>
      <c r="C58" s="10">
        <f>IFERROR(INDEX('حسابهای دریافتنی'!H:H,MATCH(Table231[[#This Row],[كد تفصيلي]],'حسابهای دریافتنی'!A:A,0)),0)</f>
        <v>358092810</v>
      </c>
      <c r="D58" s="11">
        <f>IFERROR(INDEX('درجریان وصول'!F:F,MATCH(Table231[[#This Row],[كد تفصيلي]],'درجریان وصول'!A:A,0)),0)</f>
        <v>0</v>
      </c>
      <c r="E58" s="11">
        <f>IFERROR(INDEX('چکهای دریافتنی'!F:F,MATCH(Table231[[#This Row],[كد تفصيلي]],'چکهای دریافتنی'!A:A,0)),0)</f>
        <v>870000000</v>
      </c>
      <c r="F58" s="11">
        <f>Table231[[#This Row],[حسابهای دریافتنی]]+Table231[[#This Row],[چکهای در جریان وصول]]+Table231[[#This Row],[چکهای نزد صندوق]]</f>
        <v>1228092810</v>
      </c>
      <c r="G58" s="12">
        <f>IFERROR(INDEX('مانده سوفاله'!F:F,MATCH(Table231[[#This Row],[كد تفصيلي]],'مانده سوفاله'!A:A,0)),0)</f>
        <v>-1656</v>
      </c>
    </row>
    <row r="59" spans="1:7" ht="21.75" customHeight="1" x14ac:dyDescent="0.35">
      <c r="A59" s="74">
        <v>30145</v>
      </c>
      <c r="B59" s="73" t="s">
        <v>265</v>
      </c>
      <c r="C59" s="10">
        <f>IFERROR(INDEX('حسابهای دریافتنی'!H:H,MATCH(Table231[[#This Row],[كد تفصيلي]],'حسابهای دریافتنی'!A:A,0)),0)</f>
        <v>6442500</v>
      </c>
      <c r="D59" s="11">
        <f>IFERROR(INDEX('درجریان وصول'!F:F,MATCH(Table231[[#This Row],[كد تفصيلي]],'درجریان وصول'!A:A,0)),0)</f>
        <v>0</v>
      </c>
      <c r="E59" s="11">
        <f>IFERROR(INDEX('چکهای دریافتنی'!F:F,MATCH(Table231[[#This Row],[كد تفصيلي]],'چکهای دریافتنی'!A:A,0)),0)</f>
        <v>0</v>
      </c>
      <c r="F59" s="11">
        <f>Table231[[#This Row],[حسابهای دریافتنی]]+Table231[[#This Row],[چکهای در جریان وصول]]+Table231[[#This Row],[چکهای نزد صندوق]]</f>
        <v>6442500</v>
      </c>
      <c r="G59" s="12">
        <f>IFERROR(INDEX('مانده سوفاله'!F:F,MATCH(Table231[[#This Row],[كد تفصيلي]],'مانده سوفاله'!A:A,0)),0)</f>
        <v>0</v>
      </c>
    </row>
    <row r="60" spans="1:7" ht="21.75" customHeight="1" x14ac:dyDescent="0.35">
      <c r="A60" s="75">
        <v>30047</v>
      </c>
      <c r="B60" s="72" t="s">
        <v>94</v>
      </c>
      <c r="C60" s="10">
        <f>IFERROR(INDEX('حسابهای دریافتنی'!H:H,MATCH(Table231[[#This Row],[كد تفصيلي]],'حسابهای دریافتنی'!A:A,0)),0)</f>
        <v>5794900</v>
      </c>
      <c r="D60" s="11">
        <f>IFERROR(INDEX('درجریان وصول'!F:F,MATCH(Table231[[#This Row],[كد تفصيلي]],'درجریان وصول'!A:A,0)),0)</f>
        <v>0</v>
      </c>
      <c r="E60" s="11">
        <f>IFERROR(INDEX('چکهای دریافتنی'!F:F,MATCH(Table231[[#This Row],[كد تفصيلي]],'چکهای دریافتنی'!A:A,0)),0)</f>
        <v>0</v>
      </c>
      <c r="F60" s="11">
        <f>Table231[[#This Row],[حسابهای دریافتنی]]+Table231[[#This Row],[چکهای در جریان وصول]]+Table231[[#This Row],[چکهای نزد صندوق]]</f>
        <v>5794900</v>
      </c>
      <c r="G60" s="12">
        <f>IFERROR(INDEX('مانده سوفاله'!F:F,MATCH(Table231[[#This Row],[كد تفصيلي]],'مانده سوفاله'!A:A,0)),0)</f>
        <v>-630</v>
      </c>
    </row>
    <row r="61" spans="1:7" ht="21.75" customHeight="1" x14ac:dyDescent="0.35">
      <c r="A61" s="74">
        <v>30026</v>
      </c>
      <c r="B61" s="73" t="s">
        <v>74</v>
      </c>
      <c r="C61" s="10">
        <f>IFERROR(INDEX('حسابهای دریافتنی'!H:H,MATCH(Table231[[#This Row],[كد تفصيلي]],'حسابهای دریافتنی'!A:A,0)),0)</f>
        <v>5689439</v>
      </c>
      <c r="D61" s="11">
        <f>IFERROR(INDEX('درجریان وصول'!F:F,MATCH(Table231[[#This Row],[كد تفصيلي]],'درجریان وصول'!A:A,0)),0)</f>
        <v>0</v>
      </c>
      <c r="E61" s="11">
        <f>IFERROR(INDEX('چکهای دریافتنی'!F:F,MATCH(Table231[[#This Row],[كد تفصيلي]],'چکهای دریافتنی'!A:A,0)),0)</f>
        <v>0</v>
      </c>
      <c r="F61" s="11">
        <f>Table231[[#This Row],[حسابهای دریافتنی]]+Table231[[#This Row],[چکهای در جریان وصول]]+Table231[[#This Row],[چکهای نزد صندوق]]</f>
        <v>5689439</v>
      </c>
      <c r="G61" s="12">
        <f>IFERROR(INDEX('مانده سوفاله'!F:F,MATCH(Table231[[#This Row],[كد تفصيلي]],'مانده سوفاله'!A:A,0)),0)</f>
        <v>764</v>
      </c>
    </row>
    <row r="62" spans="1:7" ht="21.75" customHeight="1" x14ac:dyDescent="0.35">
      <c r="A62" s="75">
        <v>30011</v>
      </c>
      <c r="B62" s="72" t="s">
        <v>60</v>
      </c>
      <c r="C62" s="10">
        <f>IFERROR(INDEX('حسابهای دریافتنی'!H:H,MATCH(Table231[[#This Row],[كد تفصيلي]],'حسابهای دریافتنی'!A:A,0)),0)</f>
        <v>5595200</v>
      </c>
      <c r="D62" s="11">
        <f>IFERROR(INDEX('درجریان وصول'!F:F,MATCH(Table231[[#This Row],[كد تفصيلي]],'درجریان وصول'!A:A,0)),0)</f>
        <v>0</v>
      </c>
      <c r="E62" s="11">
        <f>IFERROR(INDEX('چکهای دریافتنی'!F:F,MATCH(Table231[[#This Row],[كد تفصيلي]],'چکهای دریافتنی'!A:A,0)),0)</f>
        <v>0</v>
      </c>
      <c r="F62" s="11">
        <f>Table231[[#This Row],[حسابهای دریافتنی]]+Table231[[#This Row],[چکهای در جریان وصول]]+Table231[[#This Row],[چکهای نزد صندوق]]</f>
        <v>5595200</v>
      </c>
      <c r="G62" s="12">
        <f>IFERROR(INDEX('مانده سوفاله'!F:F,MATCH(Table231[[#This Row],[كد تفصيلي]],'مانده سوفاله'!A:A,0)),0)</f>
        <v>-5</v>
      </c>
    </row>
    <row r="63" spans="1:7" ht="21.75" customHeight="1" x14ac:dyDescent="0.35">
      <c r="A63" s="74">
        <v>10080</v>
      </c>
      <c r="B63" s="73" t="s">
        <v>214</v>
      </c>
      <c r="C63" s="10">
        <f>IFERROR(INDEX('حسابهای دریافتنی'!H:H,MATCH(Table231[[#This Row],[كد تفصيلي]],'حسابهای دریافتنی'!A:A,0)),0)</f>
        <v>5395000</v>
      </c>
      <c r="D63" s="11">
        <f>IFERROR(INDEX('درجریان وصول'!F:F,MATCH(Table231[[#This Row],[كد تفصيلي]],'درجریان وصول'!A:A,0)),0)</f>
        <v>0</v>
      </c>
      <c r="E63" s="11">
        <f>IFERROR(INDEX('چکهای دریافتنی'!F:F,MATCH(Table231[[#This Row],[كد تفصيلي]],'چکهای دریافتنی'!A:A,0)),0)</f>
        <v>0</v>
      </c>
      <c r="F63" s="11">
        <f>Table231[[#This Row],[حسابهای دریافتنی]]+Table231[[#This Row],[چکهای در جریان وصول]]+Table231[[#This Row],[چکهای نزد صندوق]]</f>
        <v>5395000</v>
      </c>
      <c r="G63" s="12">
        <f>IFERROR(INDEX('مانده سوفاله'!F:F,MATCH(Table231[[#This Row],[كد تفصيلي]],'مانده سوفاله'!A:A,0)),0)</f>
        <v>0</v>
      </c>
    </row>
    <row r="64" spans="1:7" ht="21.75" customHeight="1" x14ac:dyDescent="0.35">
      <c r="A64" s="75">
        <v>30114</v>
      </c>
      <c r="B64" s="72" t="s">
        <v>175</v>
      </c>
      <c r="C64" s="10">
        <f>IFERROR(INDEX('حسابهای دریافتنی'!H:H,MATCH(Table231[[#This Row],[كد تفصيلي]],'حسابهای دریافتنی'!A:A,0)),0)</f>
        <v>5385600</v>
      </c>
      <c r="D64" s="11">
        <f>IFERROR(INDEX('درجریان وصول'!F:F,MATCH(Table231[[#This Row],[كد تفصيلي]],'درجریان وصول'!A:A,0)),0)</f>
        <v>0</v>
      </c>
      <c r="E64" s="11">
        <f>IFERROR(INDEX('چکهای دریافتنی'!F:F,MATCH(Table231[[#This Row],[كد تفصيلي]],'چکهای دریافتنی'!A:A,0)),0)</f>
        <v>0</v>
      </c>
      <c r="F64" s="11">
        <f>Table231[[#This Row],[حسابهای دریافتنی]]+Table231[[#This Row],[چکهای در جریان وصول]]+Table231[[#This Row],[چکهای نزد صندوق]]</f>
        <v>5385600</v>
      </c>
      <c r="G64" s="12">
        <f>IFERROR(INDEX('مانده سوفاله'!F:F,MATCH(Table231[[#This Row],[كد تفصيلي]],'مانده سوفاله'!A:A,0)),0)</f>
        <v>0</v>
      </c>
    </row>
    <row r="65" spans="1:7" ht="21.75" customHeight="1" x14ac:dyDescent="0.35">
      <c r="A65" s="74">
        <v>30123</v>
      </c>
      <c r="B65" s="73" t="s">
        <v>208</v>
      </c>
      <c r="C65" s="10">
        <f>IFERROR(INDEX('حسابهای دریافتنی'!H:H,MATCH(Table231[[#This Row],[كد تفصيلي]],'حسابهای دریافتنی'!A:A,0)),0)</f>
        <v>4138250</v>
      </c>
      <c r="D65" s="11">
        <f>IFERROR(INDEX('درجریان وصول'!F:F,MATCH(Table231[[#This Row],[كد تفصيلي]],'درجریان وصول'!A:A,0)),0)</f>
        <v>0</v>
      </c>
      <c r="E65" s="11">
        <f>IFERROR(INDEX('چکهای دریافتنی'!F:F,MATCH(Table231[[#This Row],[كد تفصيلي]],'چکهای دریافتنی'!A:A,0)),0)</f>
        <v>0</v>
      </c>
      <c r="F65" s="11">
        <f>Table231[[#This Row],[حسابهای دریافتنی]]+Table231[[#This Row],[چکهای در جریان وصول]]+Table231[[#This Row],[چکهای نزد صندوق]]</f>
        <v>4138250</v>
      </c>
      <c r="G65" s="12">
        <f>IFERROR(INDEX('مانده سوفاله'!F:F,MATCH(Table231[[#This Row],[كد تفصيلي]],'مانده سوفاله'!A:A,0)),0)</f>
        <v>-20</v>
      </c>
    </row>
    <row r="66" spans="1:7" ht="21.75" customHeight="1" x14ac:dyDescent="0.35">
      <c r="A66" s="75">
        <v>10116</v>
      </c>
      <c r="B66" s="72" t="s">
        <v>321</v>
      </c>
      <c r="C66" s="10">
        <f>IFERROR(INDEX('حسابهای دریافتنی'!H:H,MATCH(Table231[[#This Row],[كد تفصيلي]],'حسابهای دریافتنی'!A:A,0)),0)</f>
        <v>3892500</v>
      </c>
      <c r="D66" s="11">
        <f>IFERROR(INDEX('درجریان وصول'!F:F,MATCH(Table231[[#This Row],[كد تفصيلي]],'درجریان وصول'!A:A,0)),0)</f>
        <v>0</v>
      </c>
      <c r="E66" s="11">
        <f>IFERROR(INDEX('چکهای دریافتنی'!F:F,MATCH(Table231[[#This Row],[كد تفصيلي]],'چکهای دریافتنی'!A:A,0)),0)</f>
        <v>0</v>
      </c>
      <c r="F66" s="11">
        <f>Table231[[#This Row],[حسابهای دریافتنی]]+Table231[[#This Row],[چکهای در جریان وصول]]+Table231[[#This Row],[چکهای نزد صندوق]]</f>
        <v>3892500</v>
      </c>
      <c r="G66" s="12">
        <f>IFERROR(INDEX('مانده سوفاله'!F:F,MATCH(Table231[[#This Row],[كد تفصيلي]],'مانده سوفاله'!A:A,0)),0)</f>
        <v>0</v>
      </c>
    </row>
    <row r="67" spans="1:7" ht="21.75" customHeight="1" x14ac:dyDescent="0.35">
      <c r="A67" s="75">
        <v>10142</v>
      </c>
      <c r="B67" s="72" t="s">
        <v>538</v>
      </c>
      <c r="C67" s="10">
        <f>IFERROR(INDEX('حسابهای دریافتنی'!H:H,MATCH(Table231[[#This Row],[كد تفصيلي]],'حسابهای دریافتنی'!A:A,0)),0)</f>
        <v>3502000</v>
      </c>
      <c r="D67" s="11">
        <f>IFERROR(INDEX('درجریان وصول'!F:F,MATCH(Table231[[#This Row],[كد تفصيلي]],'درجریان وصول'!A:A,0)),0)</f>
        <v>0</v>
      </c>
      <c r="E67" s="11">
        <f>IFERROR(INDEX('چکهای دریافتنی'!F:F,MATCH(Table231[[#This Row],[كد تفصيلي]],'چکهای دریافتنی'!A:A,0)),0)</f>
        <v>0</v>
      </c>
      <c r="F67" s="11">
        <f>Table231[[#This Row],[حسابهای دریافتنی]]+Table231[[#This Row],[چکهای در جریان وصول]]+Table231[[#This Row],[چکهای نزد صندوق]]</f>
        <v>3502000</v>
      </c>
      <c r="G67" s="12">
        <f>IFERROR(INDEX('مانده سوفاله'!F:F,MATCH(Table231[[#This Row],[كد تفصيلي]],'مانده سوفاله'!A:A,0)),0)</f>
        <v>0</v>
      </c>
    </row>
    <row r="68" spans="1:7" ht="21.75" customHeight="1" x14ac:dyDescent="0.35">
      <c r="A68" s="75">
        <v>10122</v>
      </c>
      <c r="B68" s="72" t="s">
        <v>339</v>
      </c>
      <c r="C68" s="10">
        <f>IFERROR(INDEX('حسابهای دریافتنی'!H:H,MATCH(Table231[[#This Row],[كد تفصيلي]],'حسابهای دریافتنی'!A:A,0)),0)</f>
        <v>3375000</v>
      </c>
      <c r="D68" s="11">
        <f>IFERROR(INDEX('درجریان وصول'!F:F,MATCH(Table231[[#This Row],[كد تفصيلي]],'درجریان وصول'!A:A,0)),0)</f>
        <v>0</v>
      </c>
      <c r="E68" s="11">
        <f>IFERROR(INDEX('چکهای دریافتنی'!F:F,MATCH(Table231[[#This Row],[كد تفصيلي]],'چکهای دریافتنی'!A:A,0)),0)</f>
        <v>0</v>
      </c>
      <c r="F68" s="11">
        <f>Table231[[#This Row],[حسابهای دریافتنی]]+Table231[[#This Row],[چکهای در جریان وصول]]+Table231[[#This Row],[چکهای نزد صندوق]]</f>
        <v>3375000</v>
      </c>
      <c r="G68" s="12">
        <f>IFERROR(INDEX('مانده سوفاله'!F:F,MATCH(Table231[[#This Row],[كد تفصيلي]],'مانده سوفاله'!A:A,0)),0)</f>
        <v>0</v>
      </c>
    </row>
    <row r="69" spans="1:7" ht="21.75" customHeight="1" x14ac:dyDescent="0.35">
      <c r="A69" s="74">
        <v>10030</v>
      </c>
      <c r="B69" s="73" t="s">
        <v>36</v>
      </c>
      <c r="C69" s="10">
        <f>IFERROR(INDEX('حسابهای دریافتنی'!H:H,MATCH(Table231[[#This Row],[كد تفصيلي]],'حسابهای دریافتنی'!A:A,0)),0)</f>
        <v>3272000</v>
      </c>
      <c r="D69" s="11">
        <f>IFERROR(INDEX('درجریان وصول'!F:F,MATCH(Table231[[#This Row],[كد تفصيلي]],'درجریان وصول'!A:A,0)),0)</f>
        <v>0</v>
      </c>
      <c r="E69" s="11">
        <f>IFERROR(INDEX('چکهای دریافتنی'!F:F,MATCH(Table231[[#This Row],[كد تفصيلي]],'چکهای دریافتنی'!A:A,0)),0)</f>
        <v>0</v>
      </c>
      <c r="F69" s="11">
        <f>Table231[[#This Row],[حسابهای دریافتنی]]+Table231[[#This Row],[چکهای در جریان وصول]]+Table231[[#This Row],[چکهای نزد صندوق]]</f>
        <v>3272000</v>
      </c>
      <c r="G69" s="12">
        <f>IFERROR(INDEX('مانده سوفاله'!F:F,MATCH(Table231[[#This Row],[كد تفصيلي]],'مانده سوفاله'!A:A,0)),0)</f>
        <v>-222</v>
      </c>
    </row>
    <row r="70" spans="1:7" ht="21.75" customHeight="1" x14ac:dyDescent="0.35">
      <c r="A70" s="75">
        <v>30178</v>
      </c>
      <c r="B70" s="72" t="s">
        <v>335</v>
      </c>
      <c r="C70" s="10">
        <f>IFERROR(INDEX('حسابهای دریافتنی'!H:H,MATCH(Table231[[#This Row],[كد تفصيلي]],'حسابهای دریافتنی'!A:A,0)),0)</f>
        <v>3040000</v>
      </c>
      <c r="D70" s="11">
        <f>IFERROR(INDEX('درجریان وصول'!F:F,MATCH(Table231[[#This Row],[كد تفصيلي]],'درجریان وصول'!A:A,0)),0)</f>
        <v>0</v>
      </c>
      <c r="E70" s="11">
        <f>IFERROR(INDEX('چکهای دریافتنی'!F:F,MATCH(Table231[[#This Row],[كد تفصيلي]],'چکهای دریافتنی'!A:A,0)),0)</f>
        <v>0</v>
      </c>
      <c r="F70" s="11">
        <f>Table231[[#This Row],[حسابهای دریافتنی]]+Table231[[#This Row],[چکهای در جریان وصول]]+Table231[[#This Row],[چکهای نزد صندوق]]</f>
        <v>3040000</v>
      </c>
      <c r="G70" s="12">
        <f>IFERROR(INDEX('مانده سوفاله'!F:F,MATCH(Table231[[#This Row],[كد تفصيلي]],'مانده سوفاله'!A:A,0)),0)</f>
        <v>0</v>
      </c>
    </row>
    <row r="71" spans="1:7" ht="21.75" customHeight="1" x14ac:dyDescent="0.35">
      <c r="A71" s="74">
        <v>30020</v>
      </c>
      <c r="B71" s="73" t="s">
        <v>68</v>
      </c>
      <c r="C71" s="10">
        <f>IFERROR(INDEX('حسابهای دریافتنی'!H:H,MATCH(Table231[[#This Row],[كد تفصيلي]],'حسابهای دریافتنی'!A:A,0)),0)</f>
        <v>2253500</v>
      </c>
      <c r="D71" s="11">
        <f>IFERROR(INDEX('درجریان وصول'!F:F,MATCH(Table231[[#This Row],[كد تفصيلي]],'درجریان وصول'!A:A,0)),0)</f>
        <v>0</v>
      </c>
      <c r="E71" s="11">
        <f>IFERROR(INDEX('چکهای دریافتنی'!F:F,MATCH(Table231[[#This Row],[كد تفصيلي]],'چکهای دریافتنی'!A:A,0)),0)</f>
        <v>0</v>
      </c>
      <c r="F71" s="11">
        <f>Table231[[#This Row],[حسابهای دریافتنی]]+Table231[[#This Row],[چکهای در جریان وصول]]+Table231[[#This Row],[چکهای نزد صندوق]]</f>
        <v>2253500</v>
      </c>
      <c r="G71" s="12">
        <f>IFERROR(INDEX('مانده سوفاله'!F:F,MATCH(Table231[[#This Row],[كد تفصيلي]],'مانده سوفاله'!A:A,0)),0)</f>
        <v>4</v>
      </c>
    </row>
    <row r="72" spans="1:7" ht="21.75" customHeight="1" x14ac:dyDescent="0.35">
      <c r="A72" s="75">
        <v>30084</v>
      </c>
      <c r="B72" s="72" t="s">
        <v>129</v>
      </c>
      <c r="C72" s="10">
        <f>IFERROR(INDEX('حسابهای دریافتنی'!H:H,MATCH(Table231[[#This Row],[كد تفصيلي]],'حسابهای دریافتنی'!A:A,0)),0)</f>
        <v>1220000</v>
      </c>
      <c r="D72" s="11">
        <f>IFERROR(INDEX('درجریان وصول'!F:F,MATCH(Table231[[#This Row],[كد تفصيلي]],'درجریان وصول'!A:A,0)),0)</f>
        <v>0</v>
      </c>
      <c r="E72" s="11">
        <f>IFERROR(INDEX('چکهای دریافتنی'!F:F,MATCH(Table231[[#This Row],[كد تفصيلي]],'چکهای دریافتنی'!A:A,0)),0)</f>
        <v>0</v>
      </c>
      <c r="F72" s="11">
        <f>Table231[[#This Row],[حسابهای دریافتنی]]+Table231[[#This Row],[چکهای در جریان وصول]]+Table231[[#This Row],[چکهای نزد صندوق]]</f>
        <v>1220000</v>
      </c>
      <c r="G72" s="12">
        <f>IFERROR(INDEX('مانده سوفاله'!F:F,MATCH(Table231[[#This Row],[كد تفصيلي]],'مانده سوفاله'!A:A,0)),0)</f>
        <v>0</v>
      </c>
    </row>
    <row r="73" spans="1:7" ht="21.75" customHeight="1" x14ac:dyDescent="0.35">
      <c r="A73" s="74">
        <v>30195</v>
      </c>
      <c r="B73" s="73" t="s">
        <v>477</v>
      </c>
      <c r="C73" s="10">
        <f>IFERROR(INDEX('حسابهای دریافتنی'!H:H,MATCH(Table231[[#This Row],[كد تفصيلي]],'حسابهای دریافتنی'!A:A,0)),0)</f>
        <v>-1861000</v>
      </c>
      <c r="D73" s="11">
        <f>IFERROR(INDEX('درجریان وصول'!F:F,MATCH(Table231[[#This Row],[كد تفصيلي]],'درجریان وصول'!A:A,0)),0)</f>
        <v>0</v>
      </c>
      <c r="E73" s="11">
        <f>IFERROR(INDEX('چکهای دریافتنی'!F:F,MATCH(Table231[[#This Row],[كد تفصيلي]],'چکهای دریافتنی'!A:A,0)),0)</f>
        <v>0</v>
      </c>
      <c r="F73" s="11">
        <f>Table231[[#This Row],[حسابهای دریافتنی]]+Table231[[#This Row],[چکهای در جریان وصول]]+Table231[[#This Row],[چکهای نزد صندوق]]</f>
        <v>-1861000</v>
      </c>
      <c r="G73" s="12">
        <f>IFERROR(INDEX('مانده سوفاله'!F:F,MATCH(Table231[[#This Row],[كد تفصيلي]],'مانده سوفاله'!A:A,0)),0)</f>
        <v>0</v>
      </c>
    </row>
    <row r="74" spans="1:7" ht="21.75" customHeight="1" x14ac:dyDescent="0.35">
      <c r="A74" s="74">
        <v>10133</v>
      </c>
      <c r="B74" s="73" t="s">
        <v>465</v>
      </c>
      <c r="C74" s="10">
        <f>IFERROR(INDEX('حسابهای دریافتنی'!H:H,MATCH(Table231[[#This Row],[كد تفصيلي]],'حسابهای دریافتنی'!A:A,0)),0)</f>
        <v>-1249039000</v>
      </c>
      <c r="D74" s="11">
        <f>IFERROR(INDEX('درجریان وصول'!F:F,MATCH(Table231[[#This Row],[كد تفصيلي]],'درجریان وصول'!A:A,0)),0)</f>
        <v>0</v>
      </c>
      <c r="E74" s="11">
        <f>IFERROR(INDEX('چکهای دریافتنی'!F:F,MATCH(Table231[[#This Row],[كد تفصيلي]],'چکهای دریافتنی'!A:A,0)),0)</f>
        <v>0</v>
      </c>
      <c r="F74" s="11">
        <f>Table231[[#This Row],[حسابهای دریافتنی]]+Table231[[#This Row],[چکهای در جریان وصول]]+Table231[[#This Row],[چکهای نزد صندوق]]</f>
        <v>-1249039000</v>
      </c>
      <c r="G74" s="12">
        <f>IFERROR(INDEX('مانده سوفاله'!F:F,MATCH(Table231[[#This Row],[كد تفصيلي]],'مانده سوفاله'!A:A,0)),0)</f>
        <v>0</v>
      </c>
    </row>
    <row r="75" spans="1:7" ht="21.75" customHeight="1" x14ac:dyDescent="0.35">
      <c r="A75" s="75">
        <v>10069</v>
      </c>
      <c r="B75" s="72" t="s">
        <v>204</v>
      </c>
      <c r="C75" s="10">
        <f>IFERROR(INDEX('حسابهای دریافتنی'!H:H,MATCH(Table231[[#This Row],[كد تفصيلي]],'حسابهای دریافتنی'!A:A,0)),0)</f>
        <v>952500</v>
      </c>
      <c r="D75" s="11">
        <f>IFERROR(INDEX('درجریان وصول'!F:F,MATCH(Table231[[#This Row],[كد تفصيلي]],'درجریان وصول'!A:A,0)),0)</f>
        <v>0</v>
      </c>
      <c r="E75" s="11">
        <f>IFERROR(INDEX('چکهای دریافتنی'!F:F,MATCH(Table231[[#This Row],[كد تفصيلي]],'چکهای دریافتنی'!A:A,0)),0)</f>
        <v>73000000</v>
      </c>
      <c r="F75" s="11">
        <f>Table231[[#This Row],[حسابهای دریافتنی]]+Table231[[#This Row],[چکهای در جریان وصول]]+Table231[[#This Row],[چکهای نزد صندوق]]</f>
        <v>73952500</v>
      </c>
      <c r="G75" s="12">
        <f>IFERROR(INDEX('مانده سوفاله'!F:F,MATCH(Table231[[#This Row],[كد تفصيلي]],'مانده سوفاله'!A:A,0)),0)</f>
        <v>339</v>
      </c>
    </row>
    <row r="76" spans="1:7" ht="21.75" customHeight="1" x14ac:dyDescent="0.35">
      <c r="A76" s="74">
        <v>79055</v>
      </c>
      <c r="B76" s="73" t="s">
        <v>297</v>
      </c>
      <c r="C76" s="10">
        <f>IFERROR(INDEX('حسابهای دریافتنی'!H:H,MATCH(Table231[[#This Row],[كد تفصيلي]],'حسابهای دریافتنی'!A:A,0)),0)</f>
        <v>896500</v>
      </c>
      <c r="D76" s="11">
        <f>IFERROR(INDEX('درجریان وصول'!F:F,MATCH(Table231[[#This Row],[كد تفصيلي]],'درجریان وصول'!A:A,0)),0)</f>
        <v>0</v>
      </c>
      <c r="E76" s="11">
        <f>IFERROR(INDEX('چکهای دریافتنی'!F:F,MATCH(Table231[[#This Row],[كد تفصيلي]],'چکهای دریافتنی'!A:A,0)),0)</f>
        <v>0</v>
      </c>
      <c r="F76" s="11">
        <f>Table231[[#This Row],[حسابهای دریافتنی]]+Table231[[#This Row],[چکهای در جریان وصول]]+Table231[[#This Row],[چکهای نزد صندوق]]</f>
        <v>896500</v>
      </c>
      <c r="G76" s="12">
        <f>IFERROR(INDEX('مانده سوفاله'!F:F,MATCH(Table231[[#This Row],[كد تفصيلي]],'مانده سوفاله'!A:A,0)),0)</f>
        <v>0</v>
      </c>
    </row>
    <row r="77" spans="1:7" ht="21.75" customHeight="1" x14ac:dyDescent="0.35">
      <c r="A77" s="74">
        <v>30030</v>
      </c>
      <c r="B77" s="73" t="s">
        <v>77</v>
      </c>
      <c r="C77" s="10">
        <f>IFERROR(INDEX('حسابهای دریافتنی'!H:H,MATCH(Table231[[#This Row],[كد تفصيلي]],'حسابهای دریافتنی'!A:A,0)),0)</f>
        <v>850500</v>
      </c>
      <c r="D77" s="11">
        <f>IFERROR(INDEX('درجریان وصول'!F:F,MATCH(Table231[[#This Row],[كد تفصيلي]],'درجریان وصول'!A:A,0)),0)</f>
        <v>0</v>
      </c>
      <c r="E77" s="11">
        <f>IFERROR(INDEX('چکهای دریافتنی'!F:F,MATCH(Table231[[#This Row],[كد تفصيلي]],'چکهای دریافتنی'!A:A,0)),0)</f>
        <v>0</v>
      </c>
      <c r="F77" s="11">
        <f>Table231[[#This Row],[حسابهای دریافتنی]]+Table231[[#This Row],[چکهای در جریان وصول]]+Table231[[#This Row],[چکهای نزد صندوق]]</f>
        <v>850500</v>
      </c>
      <c r="G77" s="12">
        <f>IFERROR(INDEX('مانده سوفاله'!F:F,MATCH(Table231[[#This Row],[كد تفصيلي]],'مانده سوفاله'!A:A,0)),0)</f>
        <v>-49</v>
      </c>
    </row>
    <row r="78" spans="1:7" ht="21.75" customHeight="1" x14ac:dyDescent="0.35">
      <c r="A78" s="74">
        <v>30129</v>
      </c>
      <c r="B78" s="73" t="s">
        <v>178</v>
      </c>
      <c r="C78" s="10">
        <f>IFERROR(INDEX('حسابهای دریافتنی'!H:H,MATCH(Table231[[#This Row],[كد تفصيلي]],'حسابهای دریافتنی'!A:A,0)),0)</f>
        <v>783000</v>
      </c>
      <c r="D78" s="11">
        <f>IFERROR(INDEX('درجریان وصول'!F:F,MATCH(Table231[[#This Row],[كد تفصيلي]],'درجریان وصول'!A:A,0)),0)</f>
        <v>0</v>
      </c>
      <c r="E78" s="11">
        <f>IFERROR(INDEX('چکهای دریافتنی'!F:F,MATCH(Table231[[#This Row],[كد تفصيلي]],'چکهای دریافتنی'!A:A,0)),0)</f>
        <v>0</v>
      </c>
      <c r="F78" s="11">
        <f>Table231[[#This Row],[حسابهای دریافتنی]]+Table231[[#This Row],[چکهای در جریان وصول]]+Table231[[#This Row],[چکهای نزد صندوق]]</f>
        <v>783000</v>
      </c>
      <c r="G78" s="12">
        <f>IFERROR(INDEX('مانده سوفاله'!F:F,MATCH(Table231[[#This Row],[كد تفصيلي]],'مانده سوفاله'!A:A,0)),0)</f>
        <v>0</v>
      </c>
    </row>
    <row r="79" spans="1:7" ht="21.75" customHeight="1" x14ac:dyDescent="0.35">
      <c r="A79" s="75">
        <v>30090</v>
      </c>
      <c r="B79" s="72" t="s">
        <v>144</v>
      </c>
      <c r="C79" s="10">
        <f>IFERROR(INDEX('حسابهای دریافتنی'!H:H,MATCH(Table231[[#This Row],[كد تفصيلي]],'حسابهای دریافتنی'!A:A,0)),0)</f>
        <v>640100</v>
      </c>
      <c r="D79" s="11">
        <f>IFERROR(INDEX('درجریان وصول'!F:F,MATCH(Table231[[#This Row],[كد تفصيلي]],'درجریان وصول'!A:A,0)),0)</f>
        <v>0</v>
      </c>
      <c r="E79" s="11">
        <f>IFERROR(INDEX('چکهای دریافتنی'!F:F,MATCH(Table231[[#This Row],[كد تفصيلي]],'چکهای دریافتنی'!A:A,0)),0)</f>
        <v>0</v>
      </c>
      <c r="F79" s="11">
        <f>Table231[[#This Row],[حسابهای دریافتنی]]+Table231[[#This Row],[چکهای در جریان وصول]]+Table231[[#This Row],[چکهای نزد صندوق]]</f>
        <v>640100</v>
      </c>
      <c r="G79" s="12">
        <f>IFERROR(INDEX('مانده سوفاله'!F:F,MATCH(Table231[[#This Row],[كد تفصيلي]],'مانده سوفاله'!A:A,0)),0)</f>
        <v>0</v>
      </c>
    </row>
    <row r="80" spans="1:7" ht="21.75" customHeight="1" x14ac:dyDescent="0.35">
      <c r="A80" s="74">
        <v>30109</v>
      </c>
      <c r="B80" s="73" t="s">
        <v>165</v>
      </c>
      <c r="C80" s="10">
        <f>IFERROR(INDEX('حسابهای دریافتنی'!H:H,MATCH(Table231[[#This Row],[كد تفصيلي]],'حسابهای دریافتنی'!A:A,0)),0)</f>
        <v>607300</v>
      </c>
      <c r="D80" s="11">
        <f>IFERROR(INDEX('درجریان وصول'!F:F,MATCH(Table231[[#This Row],[كد تفصيلي]],'درجریان وصول'!A:A,0)),0)</f>
        <v>0</v>
      </c>
      <c r="E80" s="11">
        <f>IFERROR(INDEX('چکهای دریافتنی'!F:F,MATCH(Table231[[#This Row],[كد تفصيلي]],'چکهای دریافتنی'!A:A,0)),0)</f>
        <v>0</v>
      </c>
      <c r="F80" s="11">
        <f>Table231[[#This Row],[حسابهای دریافتنی]]+Table231[[#This Row],[چکهای در جریان وصول]]+Table231[[#This Row],[چکهای نزد صندوق]]</f>
        <v>607300</v>
      </c>
      <c r="G80" s="12">
        <f>IFERROR(INDEX('مانده سوفاله'!F:F,MATCH(Table231[[#This Row],[كد تفصيلي]],'مانده سوفاله'!A:A,0)),0)</f>
        <v>0</v>
      </c>
    </row>
    <row r="81" spans="1:7" ht="21.75" customHeight="1" x14ac:dyDescent="0.35">
      <c r="A81" s="74">
        <v>30010</v>
      </c>
      <c r="B81" s="73" t="s">
        <v>59</v>
      </c>
      <c r="C81" s="10">
        <f>IFERROR(INDEX('حسابهای دریافتنی'!H:H,MATCH(Table231[[#This Row],[كد تفصيلي]],'حسابهای دریافتنی'!A:A,0)),0)</f>
        <v>366215</v>
      </c>
      <c r="D81" s="11">
        <f>IFERROR(INDEX('درجریان وصول'!F:F,MATCH(Table231[[#This Row],[كد تفصيلي]],'درجریان وصول'!A:A,0)),0)</f>
        <v>0</v>
      </c>
      <c r="E81" s="11">
        <f>IFERROR(INDEX('چکهای دریافتنی'!F:F,MATCH(Table231[[#This Row],[كد تفصيلي]],'چکهای دریافتنی'!A:A,0)),0)</f>
        <v>0</v>
      </c>
      <c r="F81" s="11">
        <f>Table231[[#This Row],[حسابهای دریافتنی]]+Table231[[#This Row],[چکهای در جریان وصول]]+Table231[[#This Row],[چکهای نزد صندوق]]</f>
        <v>366215</v>
      </c>
      <c r="G81" s="12">
        <f>IFERROR(INDEX('مانده سوفاله'!F:F,MATCH(Table231[[#This Row],[كد تفصيلي]],'مانده سوفاله'!A:A,0)),0)</f>
        <v>8</v>
      </c>
    </row>
    <row r="82" spans="1:7" ht="21.75" customHeight="1" x14ac:dyDescent="0.35">
      <c r="A82" s="74">
        <v>30077</v>
      </c>
      <c r="B82" s="73" t="s">
        <v>122</v>
      </c>
      <c r="C82" s="10">
        <f>IFERROR(INDEX('حسابهای دریافتنی'!H:H,MATCH(Table231[[#This Row],[كد تفصيلي]],'حسابهای دریافتنی'!A:A,0)),0)</f>
        <v>360000</v>
      </c>
      <c r="D82" s="11">
        <f>IFERROR(INDEX('درجریان وصول'!F:F,MATCH(Table231[[#This Row],[كد تفصيلي]],'درجریان وصول'!A:A,0)),0)</f>
        <v>0</v>
      </c>
      <c r="E82" s="11">
        <f>IFERROR(INDEX('چکهای دریافتنی'!F:F,MATCH(Table231[[#This Row],[كد تفصيلي]],'چکهای دریافتنی'!A:A,0)),0)</f>
        <v>0</v>
      </c>
      <c r="F82" s="11">
        <f>Table231[[#This Row],[حسابهای دریافتنی]]+Table231[[#This Row],[چکهای در جریان وصول]]+Table231[[#This Row],[چکهای نزد صندوق]]</f>
        <v>360000</v>
      </c>
      <c r="G82" s="12">
        <f>IFERROR(INDEX('مانده سوفاله'!F:F,MATCH(Table231[[#This Row],[كد تفصيلي]],'مانده سوفاله'!A:A,0)),0)</f>
        <v>-32</v>
      </c>
    </row>
    <row r="83" spans="1:7" ht="21.75" customHeight="1" x14ac:dyDescent="0.35">
      <c r="A83" s="75">
        <v>30027</v>
      </c>
      <c r="B83" s="72" t="s">
        <v>75</v>
      </c>
      <c r="C83" s="10">
        <f>IFERROR(INDEX('حسابهای دریافتنی'!H:H,MATCH(Table231[[#This Row],[كد تفصيلي]],'حسابهای دریافتنی'!A:A,0)),0)</f>
        <v>326950</v>
      </c>
      <c r="D83" s="11">
        <f>IFERROR(INDEX('درجریان وصول'!F:F,MATCH(Table231[[#This Row],[كد تفصيلي]],'درجریان وصول'!A:A,0)),0)</f>
        <v>0</v>
      </c>
      <c r="E83" s="11">
        <f>IFERROR(INDEX('چکهای دریافتنی'!F:F,MATCH(Table231[[#This Row],[كد تفصيلي]],'چکهای دریافتنی'!A:A,0)),0)</f>
        <v>0</v>
      </c>
      <c r="F83" s="11">
        <f>Table231[[#This Row],[حسابهای دریافتنی]]+Table231[[#This Row],[چکهای در جریان وصول]]+Table231[[#This Row],[چکهای نزد صندوق]]</f>
        <v>326950</v>
      </c>
      <c r="G83" s="12">
        <f>IFERROR(INDEX('مانده سوفاله'!F:F,MATCH(Table231[[#This Row],[كد تفصيلي]],'مانده سوفاله'!A:A,0)),0)</f>
        <v>0</v>
      </c>
    </row>
    <row r="84" spans="1:7" ht="21.75" customHeight="1" x14ac:dyDescent="0.35">
      <c r="A84" s="74">
        <v>30135</v>
      </c>
      <c r="B84" s="73" t="s">
        <v>179</v>
      </c>
      <c r="C84" s="10">
        <f>IFERROR(INDEX('حسابهای دریافتنی'!H:H,MATCH(Table231[[#This Row],[كد تفصيلي]],'حسابهای دریافتنی'!A:A,0)),0)</f>
        <v>195000</v>
      </c>
      <c r="D84" s="11">
        <f>IFERROR(INDEX('درجریان وصول'!F:F,MATCH(Table231[[#This Row],[كد تفصيلي]],'درجریان وصول'!A:A,0)),0)</f>
        <v>0</v>
      </c>
      <c r="E84" s="11">
        <f>IFERROR(INDEX('چکهای دریافتنی'!F:F,MATCH(Table231[[#This Row],[كد تفصيلي]],'چکهای دریافتنی'!A:A,0)),0)</f>
        <v>0</v>
      </c>
      <c r="F84" s="11">
        <f>Table231[[#This Row],[حسابهای دریافتنی]]+Table231[[#This Row],[چکهای در جریان وصول]]+Table231[[#This Row],[چکهای نزد صندوق]]</f>
        <v>195000</v>
      </c>
      <c r="G84" s="12">
        <f>IFERROR(INDEX('مانده سوفاله'!F:F,MATCH(Table231[[#This Row],[كد تفصيلي]],'مانده سوفاله'!A:A,0)),0)</f>
        <v>-5</v>
      </c>
    </row>
    <row r="85" spans="1:7" ht="21.75" customHeight="1" x14ac:dyDescent="0.35">
      <c r="A85" s="75">
        <v>10019</v>
      </c>
      <c r="B85" s="72" t="s">
        <v>26</v>
      </c>
      <c r="C85" s="10">
        <f>IFERROR(INDEX('حسابهای دریافتنی'!H:H,MATCH(Table231[[#This Row],[كد تفصيلي]],'حسابهای دریافتنی'!A:A,0)),0)</f>
        <v>0</v>
      </c>
      <c r="D85" s="11">
        <f>IFERROR(INDEX('درجریان وصول'!F:F,MATCH(Table231[[#This Row],[كد تفصيلي]],'درجریان وصول'!A:A,0)),0)</f>
        <v>0</v>
      </c>
      <c r="E85" s="11">
        <f>IFERROR(INDEX('چکهای دریافتنی'!F:F,MATCH(Table231[[#This Row],[كد تفصيلي]],'چکهای دریافتنی'!A:A,0)),0)</f>
        <v>0</v>
      </c>
      <c r="F85" s="11">
        <f>Table231[[#This Row],[حسابهای دریافتنی]]+Table231[[#This Row],[چکهای در جریان وصول]]+Table231[[#This Row],[چکهای نزد صندوق]]</f>
        <v>0</v>
      </c>
      <c r="G85" s="12">
        <f>IFERROR(INDEX('مانده سوفاله'!F:F,MATCH(Table231[[#This Row],[كد تفصيلي]],'مانده سوفاله'!A:A,0)),0)</f>
        <v>285</v>
      </c>
    </row>
    <row r="86" spans="1:7" ht="21.75" customHeight="1" x14ac:dyDescent="0.35">
      <c r="A86" s="75">
        <v>10065</v>
      </c>
      <c r="B86" s="72" t="s">
        <v>228</v>
      </c>
      <c r="C86" s="10">
        <f>IFERROR(INDEX('حسابهای دریافتنی'!H:H,MATCH(Table231[[#This Row],[كد تفصيلي]],'حسابهای دریافتنی'!A:A,0)),0)</f>
        <v>0</v>
      </c>
      <c r="D86" s="11">
        <f>IFERROR(INDEX('درجریان وصول'!F:F,MATCH(Table231[[#This Row],[كد تفصيلي]],'درجریان وصول'!A:A,0)),0)</f>
        <v>0</v>
      </c>
      <c r="E86" s="11">
        <f>IFERROR(INDEX('چکهای دریافتنی'!F:F,MATCH(Table231[[#This Row],[كد تفصيلي]],'چکهای دریافتنی'!A:A,0)),0)</f>
        <v>0</v>
      </c>
      <c r="F86" s="11">
        <f>Table231[[#This Row],[حسابهای دریافتنی]]+Table231[[#This Row],[چکهای در جریان وصول]]+Table231[[#This Row],[چکهای نزد صندوق]]</f>
        <v>0</v>
      </c>
      <c r="G86" s="12">
        <f>IFERROR(INDEX('مانده سوفاله'!F:F,MATCH(Table231[[#This Row],[كد تفصيلي]],'مانده سوفاله'!A:A,0)),0)</f>
        <v>127</v>
      </c>
    </row>
    <row r="87" spans="1:7" ht="21.75" customHeight="1" x14ac:dyDescent="0.35">
      <c r="A87" s="74">
        <v>10046</v>
      </c>
      <c r="B87" s="73" t="s">
        <v>51</v>
      </c>
      <c r="C87" s="10">
        <f>IFERROR(INDEX('حسابهای دریافتنی'!H:H,MATCH(Table231[[#This Row],[كد تفصيلي]],'حسابهای دریافتنی'!A:A,0)),0)</f>
        <v>0</v>
      </c>
      <c r="D87" s="11">
        <f>IFERROR(INDEX('درجریان وصول'!F:F,MATCH(Table231[[#This Row],[كد تفصيلي]],'درجریان وصول'!A:A,0)),0)</f>
        <v>0</v>
      </c>
      <c r="E87" s="11">
        <f>IFERROR(INDEX('چکهای دریافتنی'!F:F,MATCH(Table231[[#This Row],[كد تفصيلي]],'چکهای دریافتنی'!A:A,0)),0)</f>
        <v>0</v>
      </c>
      <c r="F87" s="11">
        <f>Table231[[#This Row],[حسابهای دریافتنی]]+Table231[[#This Row],[چکهای در جریان وصول]]+Table231[[#This Row],[چکهای نزد صندوق]]</f>
        <v>0</v>
      </c>
      <c r="G87" s="12">
        <f>IFERROR(INDEX('مانده سوفاله'!F:F,MATCH(Table231[[#This Row],[كد تفصيلي]],'مانده سوفاله'!A:A,0)),0)</f>
        <v>118</v>
      </c>
    </row>
    <row r="88" spans="1:7" ht="21.75" customHeight="1" x14ac:dyDescent="0.35">
      <c r="A88" s="74">
        <v>30055</v>
      </c>
      <c r="B88" s="73" t="s">
        <v>100</v>
      </c>
      <c r="C88" s="10">
        <f>IFERROR(INDEX('حسابهای دریافتنی'!H:H,MATCH(Table231[[#This Row],[كد تفصيلي]],'حسابهای دریافتنی'!A:A,0)),0)</f>
        <v>0</v>
      </c>
      <c r="D88" s="11">
        <f>IFERROR(INDEX('درجریان وصول'!F:F,MATCH(Table231[[#This Row],[كد تفصيلي]],'درجریان وصول'!A:A,0)),0)</f>
        <v>0</v>
      </c>
      <c r="E88" s="11">
        <f>IFERROR(INDEX('چکهای دریافتنی'!F:F,MATCH(Table231[[#This Row],[كد تفصيلي]],'چکهای دریافتنی'!A:A,0)),0)</f>
        <v>0</v>
      </c>
      <c r="F88" s="11">
        <f>Table231[[#This Row],[حسابهای دریافتنی]]+Table231[[#This Row],[چکهای در جریان وصول]]+Table231[[#This Row],[چکهای نزد صندوق]]</f>
        <v>0</v>
      </c>
      <c r="G88" s="12">
        <f>IFERROR(INDEX('مانده سوفاله'!F:F,MATCH(Table231[[#This Row],[كد تفصيلي]],'مانده سوفاله'!A:A,0)),0)</f>
        <v>48</v>
      </c>
    </row>
    <row r="89" spans="1:7" ht="21.75" customHeight="1" x14ac:dyDescent="0.35">
      <c r="A89" s="74">
        <v>30065</v>
      </c>
      <c r="B89" s="73" t="s">
        <v>110</v>
      </c>
      <c r="C89" s="10">
        <f>IFERROR(INDEX('حسابهای دریافتنی'!H:H,MATCH(Table231[[#This Row],[كد تفصيلي]],'حسابهای دریافتنی'!A:A,0)),0)</f>
        <v>0</v>
      </c>
      <c r="D89" s="11">
        <f>IFERROR(INDEX('درجریان وصول'!F:F,MATCH(Table231[[#This Row],[كد تفصيلي]],'درجریان وصول'!A:A,0)),0)</f>
        <v>0</v>
      </c>
      <c r="E89" s="11">
        <f>IFERROR(INDEX('چکهای دریافتنی'!F:F,MATCH(Table231[[#This Row],[كد تفصيلي]],'چکهای دریافتنی'!A:A,0)),0)</f>
        <v>0</v>
      </c>
      <c r="F89" s="11">
        <f>Table231[[#This Row],[حسابهای دریافتنی]]+Table231[[#This Row],[چکهای در جریان وصول]]+Table231[[#This Row],[چکهای نزد صندوق]]</f>
        <v>0</v>
      </c>
      <c r="G89" s="12">
        <f>IFERROR(INDEX('مانده سوفاله'!F:F,MATCH(Table231[[#This Row],[كد تفصيلي]],'مانده سوفاله'!A:A,0)),0)</f>
        <v>33</v>
      </c>
    </row>
    <row r="90" spans="1:7" ht="21.75" customHeight="1" x14ac:dyDescent="0.35">
      <c r="A90" s="74">
        <v>10014</v>
      </c>
      <c r="B90" s="73" t="s">
        <v>21</v>
      </c>
      <c r="C90" s="10">
        <f>IFERROR(INDEX('حسابهای دریافتنی'!H:H,MATCH(Table231[[#This Row],[كد تفصيلي]],'حسابهای دریافتنی'!A:A,0)),0)</f>
        <v>0</v>
      </c>
      <c r="D90" s="11">
        <f>IFERROR(INDEX('درجریان وصول'!F:F,MATCH(Table231[[#This Row],[كد تفصيلي]],'درجریان وصول'!A:A,0)),0)</f>
        <v>0</v>
      </c>
      <c r="E90" s="11">
        <f>IFERROR(INDEX('چکهای دریافتنی'!F:F,MATCH(Table231[[#This Row],[كد تفصيلي]],'چکهای دریافتنی'!A:A,0)),0)</f>
        <v>0</v>
      </c>
      <c r="F90" s="11">
        <f>Table231[[#This Row],[حسابهای دریافتنی]]+Table231[[#This Row],[چکهای در جریان وصول]]+Table231[[#This Row],[چکهای نزد صندوق]]</f>
        <v>0</v>
      </c>
      <c r="G90" s="12">
        <f>IFERROR(INDEX('مانده سوفاله'!F:F,MATCH(Table231[[#This Row],[كد تفصيلي]],'مانده سوفاله'!A:A,0)),0)</f>
        <v>21</v>
      </c>
    </row>
    <row r="91" spans="1:7" ht="21.75" customHeight="1" x14ac:dyDescent="0.35">
      <c r="A91" s="75">
        <v>30142</v>
      </c>
      <c r="B91" s="72" t="s">
        <v>263</v>
      </c>
      <c r="C91" s="10">
        <f>IFERROR(INDEX('حسابهای دریافتنی'!H:H,MATCH(Table231[[#This Row],[كد تفصيلي]],'حسابهای دریافتنی'!A:A,0)),0)</f>
        <v>0</v>
      </c>
      <c r="D91" s="11">
        <f>IFERROR(INDEX('درجریان وصول'!F:F,MATCH(Table231[[#This Row],[كد تفصيلي]],'درجریان وصول'!A:A,0)),0)</f>
        <v>0</v>
      </c>
      <c r="E91" s="11">
        <f>IFERROR(INDEX('چکهای دریافتنی'!F:F,MATCH(Table231[[#This Row],[كد تفصيلي]],'چکهای دریافتنی'!A:A,0)),0)</f>
        <v>0</v>
      </c>
      <c r="F91" s="11">
        <f>Table231[[#This Row],[حسابهای دریافتنی]]+Table231[[#This Row],[چکهای در جریان وصول]]+Table231[[#This Row],[چکهای نزد صندوق]]</f>
        <v>0</v>
      </c>
      <c r="G91" s="12">
        <f>IFERROR(INDEX('مانده سوفاله'!F:F,MATCH(Table231[[#This Row],[كد تفصيلي]],'مانده سوفاله'!A:A,0)),0)</f>
        <v>13</v>
      </c>
    </row>
    <row r="92" spans="1:7" ht="21.75" customHeight="1" x14ac:dyDescent="0.35">
      <c r="A92" s="74">
        <v>10010</v>
      </c>
      <c r="B92" s="73" t="s">
        <v>17</v>
      </c>
      <c r="C92" s="10">
        <f>IFERROR(INDEX('حسابهای دریافتنی'!H:H,MATCH(Table231[[#This Row],[كد تفصيلي]],'حسابهای دریافتنی'!A:A,0)),0)</f>
        <v>0</v>
      </c>
      <c r="D92" s="11">
        <f>IFERROR(INDEX('درجریان وصول'!F:F,MATCH(Table231[[#This Row],[كد تفصيلي]],'درجریان وصول'!A:A,0)),0)</f>
        <v>0</v>
      </c>
      <c r="E92" s="11">
        <f>IFERROR(INDEX('چکهای دریافتنی'!F:F,MATCH(Table231[[#This Row],[كد تفصيلي]],'چکهای دریافتنی'!A:A,0)),0)</f>
        <v>0</v>
      </c>
      <c r="F92" s="11">
        <f>Table231[[#This Row],[حسابهای دریافتنی]]+Table231[[#This Row],[چکهای در جریان وصول]]+Table231[[#This Row],[چکهای نزد صندوق]]</f>
        <v>0</v>
      </c>
      <c r="G92" s="12">
        <f>IFERROR(INDEX('مانده سوفاله'!F:F,MATCH(Table231[[#This Row],[كد تفصيلي]],'مانده سوفاله'!A:A,0)),0)</f>
        <v>8</v>
      </c>
    </row>
    <row r="93" spans="1:7" ht="21.75" customHeight="1" x14ac:dyDescent="0.35">
      <c r="A93" s="75">
        <v>10023</v>
      </c>
      <c r="B93" s="72" t="s">
        <v>155</v>
      </c>
      <c r="C93" s="10">
        <f>IFERROR(INDEX('حسابهای دریافتنی'!H:H,MATCH(Table231[[#This Row],[كد تفصيلي]],'حسابهای دریافتنی'!A:A,0)),0)</f>
        <v>0</v>
      </c>
      <c r="D93" s="11">
        <f>IFERROR(INDEX('درجریان وصول'!F:F,MATCH(Table231[[#This Row],[كد تفصيلي]],'درجریان وصول'!A:A,0)),0)</f>
        <v>0</v>
      </c>
      <c r="E93" s="11">
        <f>IFERROR(INDEX('چکهای دریافتنی'!F:F,MATCH(Table231[[#This Row],[كد تفصيلي]],'چکهای دریافتنی'!A:A,0)),0)</f>
        <v>0</v>
      </c>
      <c r="F93" s="11">
        <f>Table231[[#This Row],[حسابهای دریافتنی]]+Table231[[#This Row],[چکهای در جریان وصول]]+Table231[[#This Row],[چکهای نزد صندوق]]</f>
        <v>0</v>
      </c>
      <c r="G93" s="12">
        <f>IFERROR(INDEX('مانده سوفاله'!F:F,MATCH(Table231[[#This Row],[كد تفصيلي]],'مانده سوفاله'!A:A,0)),0)</f>
        <v>6</v>
      </c>
    </row>
    <row r="94" spans="1:7" ht="21.75" customHeight="1" x14ac:dyDescent="0.35">
      <c r="A94" s="75">
        <v>10039</v>
      </c>
      <c r="B94" s="72" t="s">
        <v>45</v>
      </c>
      <c r="C94" s="10">
        <f>IFERROR(INDEX('حسابهای دریافتنی'!H:H,MATCH(Table231[[#This Row],[كد تفصيلي]],'حسابهای دریافتنی'!A:A,0)),0)</f>
        <v>0</v>
      </c>
      <c r="D94" s="11">
        <f>IFERROR(INDEX('درجریان وصول'!F:F,MATCH(Table231[[#This Row],[كد تفصيلي]],'درجریان وصول'!A:A,0)),0)</f>
        <v>0</v>
      </c>
      <c r="E94" s="11">
        <f>IFERROR(INDEX('چکهای دریافتنی'!F:F,MATCH(Table231[[#This Row],[كد تفصيلي]],'چکهای دریافتنی'!A:A,0)),0)</f>
        <v>0</v>
      </c>
      <c r="F94" s="11">
        <f>Table231[[#This Row],[حسابهای دریافتنی]]+Table231[[#This Row],[چکهای در جریان وصول]]+Table231[[#This Row],[چکهای نزد صندوق]]</f>
        <v>0</v>
      </c>
      <c r="G94" s="12">
        <f>IFERROR(INDEX('مانده سوفاله'!F:F,MATCH(Table231[[#This Row],[كد تفصيلي]],'مانده سوفاله'!A:A,0)),0)</f>
        <v>4</v>
      </c>
    </row>
    <row r="95" spans="1:7" ht="21.75" customHeight="1" x14ac:dyDescent="0.35">
      <c r="A95" s="74">
        <v>30071</v>
      </c>
      <c r="B95" s="73" t="s">
        <v>116</v>
      </c>
      <c r="C95" s="10">
        <f>IFERROR(INDEX('حسابهای دریافتنی'!H:H,MATCH(Table231[[#This Row],[كد تفصيلي]],'حسابهای دریافتنی'!A:A,0)),0)</f>
        <v>0</v>
      </c>
      <c r="D95" s="11">
        <f>IFERROR(INDEX('درجریان وصول'!F:F,MATCH(Table231[[#This Row],[كد تفصيلي]],'درجریان وصول'!A:A,0)),0)</f>
        <v>0</v>
      </c>
      <c r="E95" s="11">
        <f>IFERROR(INDEX('چکهای دریافتنی'!F:F,MATCH(Table231[[#This Row],[كد تفصيلي]],'چکهای دریافتنی'!A:A,0)),0)</f>
        <v>0</v>
      </c>
      <c r="F95" s="11">
        <f>Table231[[#This Row],[حسابهای دریافتنی]]+Table231[[#This Row],[چکهای در جریان وصول]]+Table231[[#This Row],[چکهای نزد صندوق]]</f>
        <v>0</v>
      </c>
      <c r="G95" s="12">
        <f>IFERROR(INDEX('مانده سوفاله'!F:F,MATCH(Table231[[#This Row],[كد تفصيلي]],'مانده سوفاله'!A:A,0)),0)</f>
        <v>3</v>
      </c>
    </row>
    <row r="96" spans="1:7" ht="21.75" customHeight="1" x14ac:dyDescent="0.35">
      <c r="A96" s="75">
        <v>30062</v>
      </c>
      <c r="B96" s="72" t="s">
        <v>107</v>
      </c>
      <c r="C96" s="10">
        <f>IFERROR(INDEX('حسابهای دریافتنی'!H:H,MATCH(Table231[[#This Row],[كد تفصيلي]],'حسابهای دریافتنی'!A:A,0)),0)</f>
        <v>0</v>
      </c>
      <c r="D96" s="11">
        <f>IFERROR(INDEX('درجریان وصول'!F:F,MATCH(Table231[[#This Row],[كد تفصيلي]],'درجریان وصول'!A:A,0)),0)</f>
        <v>0</v>
      </c>
      <c r="E96" s="11">
        <f>IFERROR(INDEX('چکهای دریافتنی'!F:F,MATCH(Table231[[#This Row],[كد تفصيلي]],'چکهای دریافتنی'!A:A,0)),0)</f>
        <v>0</v>
      </c>
      <c r="F96" s="11">
        <f>Table231[[#This Row],[حسابهای دریافتنی]]+Table231[[#This Row],[چکهای در جریان وصول]]+Table231[[#This Row],[چکهای نزد صندوق]]</f>
        <v>0</v>
      </c>
      <c r="G96" s="12">
        <f>IFERROR(INDEX('مانده سوفاله'!F:F,MATCH(Table231[[#This Row],[كد تفصيلي]],'مانده سوفاله'!A:A,0)),0)</f>
        <v>1</v>
      </c>
    </row>
    <row r="97" spans="1:7" ht="21.75" customHeight="1" x14ac:dyDescent="0.35">
      <c r="A97" s="75">
        <v>30202</v>
      </c>
      <c r="B97" s="72" t="s">
        <v>525</v>
      </c>
      <c r="C97" s="10">
        <f>IFERROR(INDEX('حسابهای دریافتنی'!H:H,MATCH(Table231[[#This Row],[كد تفصيلي]],'حسابهای دریافتنی'!A:A,0)),0)</f>
        <v>0</v>
      </c>
      <c r="D97" s="11">
        <f>IFERROR(INDEX('درجریان وصول'!F:F,MATCH(Table231[[#This Row],[كد تفصيلي]],'درجریان وصول'!A:A,0)),0)</f>
        <v>0</v>
      </c>
      <c r="E97" s="11">
        <f>IFERROR(INDEX('چکهای دریافتنی'!F:F,MATCH(Table231[[#This Row],[كد تفصيلي]],'چکهای دریافتنی'!A:A,0)),0)</f>
        <v>0</v>
      </c>
      <c r="F97" s="11">
        <f>Table231[[#This Row],[حسابهای دریافتنی]]+Table231[[#This Row],[چکهای در جریان وصول]]+Table231[[#This Row],[چکهای نزد صندوق]]</f>
        <v>0</v>
      </c>
      <c r="G97" s="12">
        <f>IFERROR(INDEX('مانده سوفاله'!F:F,MATCH(Table231[[#This Row],[كد تفصيلي]],'مانده سوفاله'!A:A,0)),0)</f>
        <v>1</v>
      </c>
    </row>
    <row r="98" spans="1:7" ht="21.75" customHeight="1" x14ac:dyDescent="0.35">
      <c r="A98" s="75">
        <v>30031</v>
      </c>
      <c r="B98" s="72" t="s">
        <v>78</v>
      </c>
      <c r="C98" s="10">
        <f>IFERROR(INDEX('حسابهای دریافتنی'!H:H,MATCH(Table231[[#This Row],[كد تفصيلي]],'حسابهای دریافتنی'!A:A,0)),0)</f>
        <v>0</v>
      </c>
      <c r="D98" s="11">
        <f>IFERROR(INDEX('درجریان وصول'!F:F,MATCH(Table231[[#This Row],[كد تفصيلي]],'درجریان وصول'!A:A,0)),0)</f>
        <v>0</v>
      </c>
      <c r="E98" s="11">
        <f>IFERROR(INDEX('چکهای دریافتنی'!F:F,MATCH(Table231[[#This Row],[كد تفصيلي]],'چکهای دریافتنی'!A:A,0)),0)</f>
        <v>0</v>
      </c>
      <c r="F98" s="11">
        <f>Table231[[#This Row],[حسابهای دریافتنی]]+Table231[[#This Row],[چکهای در جریان وصول]]+Table231[[#This Row],[چکهای نزد صندوق]]</f>
        <v>0</v>
      </c>
      <c r="G98" s="12">
        <f>IFERROR(INDEX('مانده سوفاله'!F:F,MATCH(Table231[[#This Row],[كد تفصيلي]],'مانده سوفاله'!A:A,0)),0)</f>
        <v>-1</v>
      </c>
    </row>
    <row r="99" spans="1:7" ht="21.75" customHeight="1" x14ac:dyDescent="0.35">
      <c r="A99" s="74">
        <v>10076</v>
      </c>
      <c r="B99" s="73" t="s">
        <v>182</v>
      </c>
      <c r="C99" s="10">
        <f>IFERROR(INDEX('حسابهای دریافتنی'!H:H,MATCH(Table231[[#This Row],[كد تفصيلي]],'حسابهای دریافتنی'!A:A,0)),0)</f>
        <v>0</v>
      </c>
      <c r="D99" s="11">
        <f>IFERROR(INDEX('درجریان وصول'!F:F,MATCH(Table231[[#This Row],[كد تفصيلي]],'درجریان وصول'!A:A,0)),0)</f>
        <v>0</v>
      </c>
      <c r="E99" s="11">
        <f>IFERROR(INDEX('چکهای دریافتنی'!F:F,MATCH(Table231[[#This Row],[كد تفصيلي]],'چکهای دریافتنی'!A:A,0)),0)</f>
        <v>0</v>
      </c>
      <c r="F99" s="11">
        <f>Table231[[#This Row],[حسابهای دریافتنی]]+Table231[[#This Row],[چکهای در جریان وصول]]+Table231[[#This Row],[چکهای نزد صندوق]]</f>
        <v>0</v>
      </c>
      <c r="G99" s="12">
        <f>IFERROR(INDEX('مانده سوفاله'!F:F,MATCH(Table231[[#This Row],[كد تفصيلي]],'مانده سوفاله'!A:A,0)),0)</f>
        <v>-13</v>
      </c>
    </row>
    <row r="100" spans="1:7" ht="21.75" customHeight="1" x14ac:dyDescent="0.35">
      <c r="A100" s="75">
        <v>30118</v>
      </c>
      <c r="B100" s="72" t="s">
        <v>205</v>
      </c>
      <c r="C100" s="10">
        <f>IFERROR(INDEX('حسابهای دریافتنی'!H:H,MATCH(Table231[[#This Row],[كد تفصيلي]],'حسابهای دریافتنی'!A:A,0)),0)</f>
        <v>0</v>
      </c>
      <c r="D100" s="11">
        <f>IFERROR(INDEX('درجریان وصول'!F:F,MATCH(Table231[[#This Row],[كد تفصيلي]],'درجریان وصول'!A:A,0)),0)</f>
        <v>0</v>
      </c>
      <c r="E100" s="11">
        <f>IFERROR(INDEX('چکهای دریافتنی'!F:F,MATCH(Table231[[#This Row],[كد تفصيلي]],'چکهای دریافتنی'!A:A,0)),0)</f>
        <v>0</v>
      </c>
      <c r="F100" s="11">
        <f>Table231[[#This Row],[حسابهای دریافتنی]]+Table231[[#This Row],[چکهای در جریان وصول]]+Table231[[#This Row],[چکهای نزد صندوق]]</f>
        <v>0</v>
      </c>
      <c r="G100" s="12">
        <f>IFERROR(INDEX('مانده سوفاله'!F:F,MATCH(Table231[[#This Row],[كد تفصيلي]],'مانده سوفاله'!A:A,0)),0)</f>
        <v>-20</v>
      </c>
    </row>
    <row r="101" spans="1:7" ht="21.75" customHeight="1" x14ac:dyDescent="0.35">
      <c r="A101" s="74">
        <v>30141</v>
      </c>
      <c r="B101" s="73" t="s">
        <v>261</v>
      </c>
      <c r="C101" s="10">
        <f>IFERROR(INDEX('حسابهای دریافتنی'!H:H,MATCH(Table231[[#This Row],[كد تفصيلي]],'حسابهای دریافتنی'!A:A,0)),0)</f>
        <v>0</v>
      </c>
      <c r="D101" s="11">
        <f>IFERROR(INDEX('درجریان وصول'!F:F,MATCH(Table231[[#This Row],[كد تفصيلي]],'درجریان وصول'!A:A,0)),0)</f>
        <v>0</v>
      </c>
      <c r="E101" s="11">
        <f>IFERROR(INDEX('چکهای دریافتنی'!F:F,MATCH(Table231[[#This Row],[كد تفصيلي]],'چکهای دریافتنی'!A:A,0)),0)</f>
        <v>0</v>
      </c>
      <c r="F101" s="11">
        <f>Table231[[#This Row],[حسابهای دریافتنی]]+Table231[[#This Row],[چکهای در جریان وصول]]+Table231[[#This Row],[چکهای نزد صندوق]]</f>
        <v>0</v>
      </c>
      <c r="G101" s="12">
        <f>IFERROR(INDEX('مانده سوفاله'!F:F,MATCH(Table231[[#This Row],[كد تفصيلي]],'مانده سوفاله'!A:A,0)),0)</f>
        <v>-42</v>
      </c>
    </row>
    <row r="102" spans="1:7" ht="21.75" customHeight="1" x14ac:dyDescent="0.35">
      <c r="A102" s="74">
        <v>30097</v>
      </c>
      <c r="B102" s="73" t="s">
        <v>188</v>
      </c>
      <c r="C102" s="10">
        <f>IFERROR(INDEX('حسابهای دریافتنی'!H:H,MATCH(Table231[[#This Row],[كد تفصيلي]],'حسابهای دریافتنی'!A:A,0)),0)</f>
        <v>0</v>
      </c>
      <c r="D102" s="11">
        <f>IFERROR(INDEX('درجریان وصول'!F:F,MATCH(Table231[[#This Row],[كد تفصيلي]],'درجریان وصول'!A:A,0)),0)</f>
        <v>0</v>
      </c>
      <c r="E102" s="11">
        <f>IFERROR(INDEX('چکهای دریافتنی'!F:F,MATCH(Table231[[#This Row],[كد تفصيلي]],'چکهای دریافتنی'!A:A,0)),0)</f>
        <v>0</v>
      </c>
      <c r="F102" s="11">
        <f>Table231[[#This Row],[حسابهای دریافتنی]]+Table231[[#This Row],[چکهای در جریان وصول]]+Table231[[#This Row],[چکهای نزد صندوق]]</f>
        <v>0</v>
      </c>
      <c r="G102" s="12">
        <f>IFERROR(INDEX('مانده سوفاله'!F:F,MATCH(Table231[[#This Row],[كد تفصيلي]],'مانده سوفاله'!A:A,0)),0)</f>
        <v>-82</v>
      </c>
    </row>
    <row r="103" spans="1:7" ht="21.75" customHeight="1" x14ac:dyDescent="0.35">
      <c r="A103" s="74">
        <v>30079</v>
      </c>
      <c r="B103" s="73" t="s">
        <v>124</v>
      </c>
      <c r="C103" s="10">
        <f>IFERROR(INDEX('حسابهای دریافتنی'!H:H,MATCH(Table231[[#This Row],[كد تفصيلي]],'حسابهای دریافتنی'!A:A,0)),0)</f>
        <v>0</v>
      </c>
      <c r="D103" s="11">
        <f>IFERROR(INDEX('درجریان وصول'!F:F,MATCH(Table231[[#This Row],[كد تفصيلي]],'درجریان وصول'!A:A,0)),0)</f>
        <v>0</v>
      </c>
      <c r="E103" s="11">
        <f>IFERROR(INDEX('چکهای دریافتنی'!F:F,MATCH(Table231[[#This Row],[كد تفصيلي]],'چکهای دریافتنی'!A:A,0)),0)</f>
        <v>0</v>
      </c>
      <c r="F103" s="11">
        <f>Table231[[#This Row],[حسابهای دریافتنی]]+Table231[[#This Row],[چکهای در جریان وصول]]+Table231[[#This Row],[چکهای نزد صندوق]]</f>
        <v>0</v>
      </c>
      <c r="G103" s="12">
        <f>IFERROR(INDEX('مانده سوفاله'!F:F,MATCH(Table231[[#This Row],[كد تفصيلي]],'مانده سوفاله'!A:A,0)),0)</f>
        <v>-85</v>
      </c>
    </row>
    <row r="104" spans="1:7" ht="21.75" customHeight="1" x14ac:dyDescent="0.35">
      <c r="A104" s="74">
        <v>79010</v>
      </c>
      <c r="B104" s="73" t="s">
        <v>176</v>
      </c>
      <c r="C104" s="10">
        <f>IFERROR(INDEX('حسابهای دریافتنی'!H:H,MATCH(Table231[[#This Row],[كد تفصيلي]],'حسابهای دریافتنی'!A:A,0)),0)</f>
        <v>0</v>
      </c>
      <c r="D104" s="11">
        <f>IFERROR(INDEX('درجریان وصول'!F:F,MATCH(Table231[[#This Row],[كد تفصيلي]],'درجریان وصول'!A:A,0)),0)</f>
        <v>0</v>
      </c>
      <c r="E104" s="11">
        <f>IFERROR(INDEX('چکهای دریافتنی'!F:F,MATCH(Table231[[#This Row],[كد تفصيلي]],'چکهای دریافتنی'!A:A,0)),0)</f>
        <v>0</v>
      </c>
      <c r="F104" s="11">
        <f>Table231[[#This Row],[حسابهای دریافتنی]]+Table231[[#This Row],[چکهای در جریان وصول]]+Table231[[#This Row],[چکهای نزد صندوق]]</f>
        <v>0</v>
      </c>
      <c r="G104" s="12">
        <f>IFERROR(INDEX('مانده سوفاله'!F:F,MATCH(Table231[[#This Row],[كد تفصيلي]],'مانده سوفاله'!A:A,0)),0)</f>
        <v>-110</v>
      </c>
    </row>
    <row r="105" spans="1:7" ht="21.75" customHeight="1" x14ac:dyDescent="0.35">
      <c r="A105" s="75">
        <v>30160</v>
      </c>
      <c r="B105" s="72" t="s">
        <v>296</v>
      </c>
      <c r="C105" s="10">
        <f>IFERROR(INDEX('حسابهای دریافتنی'!H:H,MATCH(Table231[[#This Row],[كد تفصيلي]],'حسابهای دریافتنی'!A:A,0)),0)</f>
        <v>0</v>
      </c>
      <c r="D105" s="11">
        <f>IFERROR(INDEX('درجریان وصول'!F:F,MATCH(Table231[[#This Row],[كد تفصيلي]],'درجریان وصول'!A:A,0)),0)</f>
        <v>0</v>
      </c>
      <c r="E105" s="11">
        <f>IFERROR(INDEX('چکهای دریافتنی'!F:F,MATCH(Table231[[#This Row],[كد تفصيلي]],'چکهای دریافتنی'!A:A,0)),0)</f>
        <v>0</v>
      </c>
      <c r="F105" s="11">
        <f>Table231[[#This Row],[حسابهای دریافتنی]]+Table231[[#This Row],[چکهای در جریان وصول]]+Table231[[#This Row],[چکهای نزد صندوق]]</f>
        <v>0</v>
      </c>
      <c r="G105" s="12">
        <f>IFERROR(INDEX('مانده سوفاله'!F:F,MATCH(Table231[[#This Row],[كد تفصيلي]],'مانده سوفاله'!A:A,0)),0)</f>
        <v>-425</v>
      </c>
    </row>
    <row r="106" spans="1:7" ht="21.75" customHeight="1" x14ac:dyDescent="0.35">
      <c r="A106" s="75">
        <v>10128</v>
      </c>
      <c r="B106" s="72" t="s">
        <v>372</v>
      </c>
      <c r="C106" s="10">
        <f>IFERROR(INDEX('حسابهای دریافتنی'!H:H,MATCH(Table231[[#This Row],[كد تفصيلي]],'حسابهای دریافتنی'!A:A,0)),0)</f>
        <v>-45000</v>
      </c>
      <c r="D106" s="11">
        <f>IFERROR(INDEX('درجریان وصول'!F:F,MATCH(Table231[[#This Row],[كد تفصيلي]],'درجریان وصول'!A:A,0)),0)</f>
        <v>0</v>
      </c>
      <c r="E106" s="11">
        <f>IFERROR(INDEX('چکهای دریافتنی'!F:F,MATCH(Table231[[#This Row],[كد تفصيلي]],'چکهای دریافتنی'!A:A,0)),0)</f>
        <v>0</v>
      </c>
      <c r="F106" s="11">
        <f>Table231[[#This Row],[حسابهای دریافتنی]]+Table231[[#This Row],[چکهای در جریان وصول]]+Table231[[#This Row],[چکهای نزد صندوق]]</f>
        <v>-45000</v>
      </c>
      <c r="G106" s="12">
        <f>IFERROR(INDEX('مانده سوفاله'!F:F,MATCH(Table231[[#This Row],[كد تفصيلي]],'مانده سوفاله'!A:A,0)),0)</f>
        <v>6</v>
      </c>
    </row>
    <row r="107" spans="1:7" ht="21.75" customHeight="1" x14ac:dyDescent="0.35">
      <c r="A107" s="74">
        <v>10066</v>
      </c>
      <c r="B107" s="73" t="s">
        <v>262</v>
      </c>
      <c r="C107" s="10">
        <f>IFERROR(INDEX('حسابهای دریافتنی'!H:H,MATCH(Table231[[#This Row],[كد تفصيلي]],'حسابهای دریافتنی'!A:A,0)),0)</f>
        <v>-191500</v>
      </c>
      <c r="D107" s="11">
        <f>IFERROR(INDEX('درجریان وصول'!F:F,MATCH(Table231[[#This Row],[كد تفصيلي]],'درجریان وصول'!A:A,0)),0)</f>
        <v>0</v>
      </c>
      <c r="E107" s="11">
        <f>IFERROR(INDEX('چکهای دریافتنی'!F:F,MATCH(Table231[[#This Row],[كد تفصيلي]],'چکهای دریافتنی'!A:A,0)),0)</f>
        <v>0</v>
      </c>
      <c r="F107" s="11">
        <f>Table231[[#This Row],[حسابهای دریافتنی]]+Table231[[#This Row],[چکهای در جریان وصول]]+Table231[[#This Row],[چکهای نزد صندوق]]</f>
        <v>-191500</v>
      </c>
      <c r="G107" s="12">
        <f>IFERROR(INDEX('مانده سوفاله'!F:F,MATCH(Table231[[#This Row],[كد تفصيلي]],'مانده سوفاله'!A:A,0)),0)</f>
        <v>2</v>
      </c>
    </row>
    <row r="108" spans="1:7" ht="21.75" customHeight="1" x14ac:dyDescent="0.35">
      <c r="A108" s="74">
        <v>30167</v>
      </c>
      <c r="B108" s="73" t="s">
        <v>311</v>
      </c>
      <c r="C108" s="10">
        <f>IFERROR(INDEX('حسابهای دریافتنی'!H:H,MATCH(Table231[[#This Row],[كد تفصيلي]],'حسابهای دریافتنی'!A:A,0)),0)</f>
        <v>-221000</v>
      </c>
      <c r="D108" s="11">
        <f>IFERROR(INDEX('درجریان وصول'!F:F,MATCH(Table231[[#This Row],[كد تفصيلي]],'درجریان وصول'!A:A,0)),0)</f>
        <v>0</v>
      </c>
      <c r="E108" s="11">
        <f>IFERROR(INDEX('چکهای دریافتنی'!F:F,MATCH(Table231[[#This Row],[كد تفصيلي]],'چکهای دریافتنی'!A:A,0)),0)</f>
        <v>0</v>
      </c>
      <c r="F108" s="11">
        <f>Table231[[#This Row],[حسابهای دریافتنی]]+Table231[[#This Row],[چکهای در جریان وصول]]+Table231[[#This Row],[چکهای نزد صندوق]]</f>
        <v>-221000</v>
      </c>
      <c r="G108" s="12">
        <f>IFERROR(INDEX('مانده سوفاله'!F:F,MATCH(Table231[[#This Row],[كد تفصيلي]],'مانده سوفاله'!A:A,0)),0)</f>
        <v>6</v>
      </c>
    </row>
    <row r="109" spans="1:7" ht="21.75" customHeight="1" x14ac:dyDescent="0.35">
      <c r="A109" s="75">
        <v>10077</v>
      </c>
      <c r="B109" s="72" t="s">
        <v>210</v>
      </c>
      <c r="C109" s="10">
        <f>IFERROR(INDEX('حسابهای دریافتنی'!H:H,MATCH(Table231[[#This Row],[كد تفصيلي]],'حسابهای دریافتنی'!A:A,0)),0)</f>
        <v>-238500</v>
      </c>
      <c r="D109" s="11">
        <f>IFERROR(INDEX('درجریان وصول'!F:F,MATCH(Table231[[#This Row],[كد تفصيلي]],'درجریان وصول'!A:A,0)),0)</f>
        <v>0</v>
      </c>
      <c r="E109" s="11">
        <f>IFERROR(INDEX('چکهای دریافتنی'!F:F,MATCH(Table231[[#This Row],[كد تفصيلي]],'چکهای دریافتنی'!A:A,0)),0)</f>
        <v>0</v>
      </c>
      <c r="F109" s="11">
        <f>Table231[[#This Row],[حسابهای دریافتنی]]+Table231[[#This Row],[چکهای در جریان وصول]]+Table231[[#This Row],[چکهای نزد صندوق]]</f>
        <v>-238500</v>
      </c>
      <c r="G109" s="12">
        <f>IFERROR(INDEX('مانده سوفاله'!F:F,MATCH(Table231[[#This Row],[كد تفصيلي]],'مانده سوفاله'!A:A,0)),0)</f>
        <v>0</v>
      </c>
    </row>
    <row r="110" spans="1:7" ht="21.75" customHeight="1" x14ac:dyDescent="0.35">
      <c r="A110" s="74">
        <v>10012</v>
      </c>
      <c r="B110" s="73" t="s">
        <v>19</v>
      </c>
      <c r="C110" s="10">
        <f>IFERROR(INDEX('حسابهای دریافتنی'!H:H,MATCH(Table231[[#This Row],[كد تفصيلي]],'حسابهای دریافتنی'!A:A,0)),0)</f>
        <v>-244000</v>
      </c>
      <c r="D110" s="11">
        <f>IFERROR(INDEX('درجریان وصول'!F:F,MATCH(Table231[[#This Row],[كد تفصيلي]],'درجریان وصول'!A:A,0)),0)</f>
        <v>0</v>
      </c>
      <c r="E110" s="11">
        <f>IFERROR(INDEX('چکهای دریافتنی'!F:F,MATCH(Table231[[#This Row],[كد تفصيلي]],'چکهای دریافتنی'!A:A,0)),0)</f>
        <v>0</v>
      </c>
      <c r="F110" s="11">
        <f>Table231[[#This Row],[حسابهای دریافتنی]]+Table231[[#This Row],[چکهای در جریان وصول]]+Table231[[#This Row],[چکهای نزد صندوق]]</f>
        <v>-244000</v>
      </c>
      <c r="G110" s="12">
        <f>IFERROR(INDEX('مانده سوفاله'!F:F,MATCH(Table231[[#This Row],[كد تفصيلي]],'مانده سوفاله'!A:A,0)),0)</f>
        <v>0</v>
      </c>
    </row>
    <row r="111" spans="1:7" ht="21.75" customHeight="1" x14ac:dyDescent="0.35">
      <c r="A111" s="75">
        <v>30088</v>
      </c>
      <c r="B111" s="72" t="s">
        <v>142</v>
      </c>
      <c r="C111" s="10">
        <f>IFERROR(INDEX('حسابهای دریافتنی'!H:H,MATCH(Table231[[#This Row],[كد تفصيلي]],'حسابهای دریافتنی'!A:A,0)),0)</f>
        <v>-252000</v>
      </c>
      <c r="D111" s="11">
        <f>IFERROR(INDEX('درجریان وصول'!F:F,MATCH(Table231[[#This Row],[كد تفصيلي]],'درجریان وصول'!A:A,0)),0)</f>
        <v>0</v>
      </c>
      <c r="E111" s="11">
        <f>IFERROR(INDEX('چکهای دریافتنی'!F:F,MATCH(Table231[[#This Row],[كد تفصيلي]],'چکهای دریافتنی'!A:A,0)),0)</f>
        <v>0</v>
      </c>
      <c r="F111" s="11">
        <f>Table231[[#This Row],[حسابهای دریافتنی]]+Table231[[#This Row],[چکهای در جریان وصول]]+Table231[[#This Row],[چکهای نزد صندوق]]</f>
        <v>-252000</v>
      </c>
      <c r="G111" s="12">
        <f>IFERROR(INDEX('مانده سوفاله'!F:F,MATCH(Table231[[#This Row],[كد تفصيلي]],'مانده سوفاله'!A:A,0)),0)</f>
        <v>0</v>
      </c>
    </row>
    <row r="112" spans="1:7" ht="21.75" customHeight="1" x14ac:dyDescent="0.35">
      <c r="A112" s="75">
        <v>10045</v>
      </c>
      <c r="B112" s="72" t="s">
        <v>50</v>
      </c>
      <c r="C112" s="10">
        <f>IFERROR(INDEX('حسابهای دریافتنی'!H:H,MATCH(Table231[[#This Row],[كد تفصيلي]],'حسابهای دریافتنی'!A:A,0)),0)</f>
        <v>-383000</v>
      </c>
      <c r="D112" s="11">
        <f>IFERROR(INDEX('درجریان وصول'!F:F,MATCH(Table231[[#This Row],[كد تفصيلي]],'درجریان وصول'!A:A,0)),0)</f>
        <v>0</v>
      </c>
      <c r="E112" s="11">
        <f>IFERROR(INDEX('چکهای دریافتنی'!F:F,MATCH(Table231[[#This Row],[كد تفصيلي]],'چکهای دریافتنی'!A:A,0)),0)</f>
        <v>0</v>
      </c>
      <c r="F112" s="11">
        <f>Table231[[#This Row],[حسابهای دریافتنی]]+Table231[[#This Row],[چکهای در جریان وصول]]+Table231[[#This Row],[چکهای نزد صندوق]]</f>
        <v>-383000</v>
      </c>
      <c r="G112" s="12">
        <f>IFERROR(INDEX('مانده سوفاله'!F:F,MATCH(Table231[[#This Row],[كد تفصيلي]],'مانده سوفاله'!A:A,0)),0)</f>
        <v>-30</v>
      </c>
    </row>
    <row r="113" spans="1:7" ht="21.75" customHeight="1" x14ac:dyDescent="0.35">
      <c r="A113" s="75">
        <v>30051</v>
      </c>
      <c r="B113" s="72" t="s">
        <v>98</v>
      </c>
      <c r="C113" s="10">
        <f>IFERROR(INDEX('حسابهای دریافتنی'!H:H,MATCH(Table231[[#This Row],[كد تفصيلي]],'حسابهای دریافتنی'!A:A,0)),0)</f>
        <v>-384000</v>
      </c>
      <c r="D113" s="11">
        <f>IFERROR(INDEX('درجریان وصول'!F:F,MATCH(Table231[[#This Row],[كد تفصيلي]],'درجریان وصول'!A:A,0)),0)</f>
        <v>0</v>
      </c>
      <c r="E113" s="11">
        <f>IFERROR(INDEX('چکهای دریافتنی'!F:F,MATCH(Table231[[#This Row],[كد تفصيلي]],'چکهای دریافتنی'!A:A,0)),0)</f>
        <v>0</v>
      </c>
      <c r="F113" s="11">
        <f>Table231[[#This Row],[حسابهای دریافتنی]]+Table231[[#This Row],[چکهای در جریان وصول]]+Table231[[#This Row],[چکهای نزد صندوق]]</f>
        <v>-384000</v>
      </c>
      <c r="G113" s="12">
        <f>IFERROR(INDEX('مانده سوفاله'!F:F,MATCH(Table231[[#This Row],[كد تفصيلي]],'مانده سوفاله'!A:A,0)),0)</f>
        <v>0</v>
      </c>
    </row>
    <row r="114" spans="1:7" ht="21.75" customHeight="1" x14ac:dyDescent="0.35">
      <c r="A114" s="74">
        <v>30044</v>
      </c>
      <c r="B114" s="73" t="s">
        <v>91</v>
      </c>
      <c r="C114" s="10">
        <f>IFERROR(INDEX('حسابهای دریافتنی'!H:H,MATCH(Table231[[#This Row],[كد تفصيلي]],'حسابهای دریافتنی'!A:A,0)),0)</f>
        <v>-492500</v>
      </c>
      <c r="D114" s="11">
        <f>IFERROR(INDEX('درجریان وصول'!F:F,MATCH(Table231[[#This Row],[كد تفصيلي]],'درجریان وصول'!A:A,0)),0)</f>
        <v>0</v>
      </c>
      <c r="E114" s="11">
        <f>IFERROR(INDEX('چکهای دریافتنی'!F:F,MATCH(Table231[[#This Row],[كد تفصيلي]],'چکهای دریافتنی'!A:A,0)),0)</f>
        <v>0</v>
      </c>
      <c r="F114" s="11">
        <f>Table231[[#This Row],[حسابهای دریافتنی]]+Table231[[#This Row],[چکهای در جریان وصول]]+Table231[[#This Row],[چکهای نزد صندوق]]</f>
        <v>-492500</v>
      </c>
      <c r="G114" s="12">
        <f>IFERROR(INDEX('مانده سوفاله'!F:F,MATCH(Table231[[#This Row],[كد تفصيلي]],'مانده سوفاله'!A:A,0)),0)</f>
        <v>2</v>
      </c>
    </row>
    <row r="115" spans="1:7" ht="21.75" customHeight="1" x14ac:dyDescent="0.35">
      <c r="A115" s="75">
        <v>10095</v>
      </c>
      <c r="B115" s="72" t="s">
        <v>268</v>
      </c>
      <c r="C115" s="10">
        <f>IFERROR(INDEX('حسابهای دریافتنی'!H:H,MATCH(Table231[[#This Row],[كد تفصيلي]],'حسابهای دریافتنی'!A:A,0)),0)</f>
        <v>-496500</v>
      </c>
      <c r="D115" s="11">
        <f>IFERROR(INDEX('درجریان وصول'!F:F,MATCH(Table231[[#This Row],[كد تفصيلي]],'درجریان وصول'!A:A,0)),0)</f>
        <v>0</v>
      </c>
      <c r="E115" s="11">
        <f>IFERROR(INDEX('چکهای دریافتنی'!F:F,MATCH(Table231[[#This Row],[كد تفصيلي]],'چکهای دریافتنی'!A:A,0)),0)</f>
        <v>0</v>
      </c>
      <c r="F115" s="11">
        <f>Table231[[#This Row],[حسابهای دریافتنی]]+Table231[[#This Row],[چکهای در جریان وصول]]+Table231[[#This Row],[چکهای نزد صندوق]]</f>
        <v>-496500</v>
      </c>
      <c r="G115" s="12">
        <f>IFERROR(INDEX('مانده سوفاله'!F:F,MATCH(Table231[[#This Row],[كد تفصيلي]],'مانده سوفاله'!A:A,0)),0)</f>
        <v>0</v>
      </c>
    </row>
    <row r="116" spans="1:7" ht="21.75" customHeight="1" x14ac:dyDescent="0.35">
      <c r="A116" s="74">
        <v>30052</v>
      </c>
      <c r="B116" s="73" t="s">
        <v>149</v>
      </c>
      <c r="C116" s="10">
        <f>IFERROR(INDEX('حسابهای دریافتنی'!H:H,MATCH(Table231[[#This Row],[كد تفصيلي]],'حسابهای دریافتنی'!A:A,0)),0)</f>
        <v>-539000</v>
      </c>
      <c r="D116" s="11">
        <f>IFERROR(INDEX('درجریان وصول'!F:F,MATCH(Table231[[#This Row],[كد تفصيلي]],'درجریان وصول'!A:A,0)),0)</f>
        <v>0</v>
      </c>
      <c r="E116" s="11">
        <f>IFERROR(INDEX('چکهای دریافتنی'!F:F,MATCH(Table231[[#This Row],[كد تفصيلي]],'چکهای دریافتنی'!A:A,0)),0)</f>
        <v>0</v>
      </c>
      <c r="F116" s="11">
        <f>Table231[[#This Row],[حسابهای دریافتنی]]+Table231[[#This Row],[چکهای در جریان وصول]]+Table231[[#This Row],[چکهای نزد صندوق]]</f>
        <v>-539000</v>
      </c>
      <c r="G116" s="12">
        <f>IFERROR(INDEX('مانده سوفاله'!F:F,MATCH(Table231[[#This Row],[كد تفصيلي]],'مانده سوفاله'!A:A,0)),0)</f>
        <v>0</v>
      </c>
    </row>
    <row r="117" spans="1:7" ht="21.75" customHeight="1" x14ac:dyDescent="0.35">
      <c r="A117" s="75">
        <v>10061</v>
      </c>
      <c r="B117" s="72" t="s">
        <v>194</v>
      </c>
      <c r="C117" s="10">
        <f>IFERROR(INDEX('حسابهای دریافتنی'!H:H,MATCH(Table231[[#This Row],[كد تفصيلي]],'حسابهای دریافتنی'!A:A,0)),0)</f>
        <v>-565500</v>
      </c>
      <c r="D117" s="11">
        <f>IFERROR(INDEX('درجریان وصول'!F:F,MATCH(Table231[[#This Row],[كد تفصيلي]],'درجریان وصول'!A:A,0)),0)</f>
        <v>0</v>
      </c>
      <c r="E117" s="11">
        <f>IFERROR(INDEX('چکهای دریافتنی'!F:F,MATCH(Table231[[#This Row],[كد تفصيلي]],'چکهای دریافتنی'!A:A,0)),0)</f>
        <v>0</v>
      </c>
      <c r="F117" s="11">
        <f>Table231[[#This Row],[حسابهای دریافتنی]]+Table231[[#This Row],[چکهای در جریان وصول]]+Table231[[#This Row],[چکهای نزد صندوق]]</f>
        <v>-565500</v>
      </c>
      <c r="G117" s="12">
        <f>IFERROR(INDEX('مانده سوفاله'!F:F,MATCH(Table231[[#This Row],[كد تفصيلي]],'مانده سوفاله'!A:A,0)),0)</f>
        <v>0</v>
      </c>
    </row>
    <row r="118" spans="1:7" ht="21.75" customHeight="1" x14ac:dyDescent="0.35">
      <c r="A118" s="75">
        <v>10118</v>
      </c>
      <c r="B118" s="72" t="s">
        <v>334</v>
      </c>
      <c r="C118" s="10">
        <f>IFERROR(INDEX('حسابهای دریافتنی'!H:H,MATCH(Table231[[#This Row],[كد تفصيلي]],'حسابهای دریافتنی'!A:A,0)),0)</f>
        <v>-587500</v>
      </c>
      <c r="D118" s="11">
        <f>IFERROR(INDEX('درجریان وصول'!F:F,MATCH(Table231[[#This Row],[كد تفصيلي]],'درجریان وصول'!A:A,0)),0)</f>
        <v>0</v>
      </c>
      <c r="E118" s="11">
        <f>IFERROR(INDEX('چکهای دریافتنی'!F:F,MATCH(Table231[[#This Row],[كد تفصيلي]],'چکهای دریافتنی'!A:A,0)),0)</f>
        <v>0</v>
      </c>
      <c r="F118" s="11">
        <f>Table231[[#This Row],[حسابهای دریافتنی]]+Table231[[#This Row],[چکهای در جریان وصول]]+Table231[[#This Row],[چکهای نزد صندوق]]</f>
        <v>-587500</v>
      </c>
      <c r="G118" s="12">
        <f>IFERROR(INDEX('مانده سوفاله'!F:F,MATCH(Table231[[#This Row],[كد تفصيلي]],'مانده سوفاله'!A:A,0)),0)</f>
        <v>0</v>
      </c>
    </row>
    <row r="119" spans="1:7" ht="21.75" customHeight="1" x14ac:dyDescent="0.35">
      <c r="A119" s="75">
        <v>30112</v>
      </c>
      <c r="B119" s="72" t="s">
        <v>201</v>
      </c>
      <c r="C119" s="10">
        <f>IFERROR(INDEX('حسابهای دریافتنی'!H:H,MATCH(Table231[[#This Row],[كد تفصيلي]],'حسابهای دریافتنی'!A:A,0)),0)</f>
        <v>-720500</v>
      </c>
      <c r="D119" s="11">
        <f>IFERROR(INDEX('درجریان وصول'!F:F,MATCH(Table231[[#This Row],[كد تفصيلي]],'درجریان وصول'!A:A,0)),0)</f>
        <v>0</v>
      </c>
      <c r="E119" s="11">
        <f>IFERROR(INDEX('چکهای دریافتنی'!F:F,MATCH(Table231[[#This Row],[كد تفصيلي]],'چکهای دریافتنی'!A:A,0)),0)</f>
        <v>0</v>
      </c>
      <c r="F119" s="11">
        <f>Table231[[#This Row],[حسابهای دریافتنی]]+Table231[[#This Row],[چکهای در جریان وصول]]+Table231[[#This Row],[چکهای نزد صندوق]]</f>
        <v>-720500</v>
      </c>
      <c r="G119" s="12">
        <f>IFERROR(INDEX('مانده سوفاله'!F:F,MATCH(Table231[[#This Row],[كد تفصيلي]],'مانده سوفاله'!A:A,0)),0)</f>
        <v>36</v>
      </c>
    </row>
    <row r="120" spans="1:7" ht="21.75" customHeight="1" x14ac:dyDescent="0.35">
      <c r="A120" s="75">
        <v>10013</v>
      </c>
      <c r="B120" s="72" t="s">
        <v>20</v>
      </c>
      <c r="C120" s="10">
        <f>IFERROR(INDEX('حسابهای دریافتنی'!H:H,MATCH(Table231[[#This Row],[كد تفصيلي]],'حسابهای دریافتنی'!A:A,0)),0)</f>
        <v>-915000</v>
      </c>
      <c r="D120" s="11">
        <f>IFERROR(INDEX('درجریان وصول'!F:F,MATCH(Table231[[#This Row],[كد تفصيلي]],'درجریان وصول'!A:A,0)),0)</f>
        <v>0</v>
      </c>
      <c r="E120" s="11">
        <f>IFERROR(INDEX('چکهای دریافتنی'!F:F,MATCH(Table231[[#This Row],[كد تفصيلي]],'چکهای دریافتنی'!A:A,0)),0)</f>
        <v>0</v>
      </c>
      <c r="F120" s="11">
        <f>Table231[[#This Row],[حسابهای دریافتنی]]+Table231[[#This Row],[چکهای در جریان وصول]]+Table231[[#This Row],[چکهای نزد صندوق]]</f>
        <v>-915000</v>
      </c>
      <c r="G120" s="12">
        <f>IFERROR(INDEX('مانده سوفاله'!F:F,MATCH(Table231[[#This Row],[كد تفصيلي]],'مانده سوفاله'!A:A,0)),0)</f>
        <v>0</v>
      </c>
    </row>
    <row r="121" spans="1:7" ht="21.75" customHeight="1" x14ac:dyDescent="0.35">
      <c r="A121" s="74">
        <v>10042</v>
      </c>
      <c r="B121" s="73" t="s">
        <v>47</v>
      </c>
      <c r="C121" s="10">
        <f>IFERROR(INDEX('حسابهای دریافتنی'!H:H,MATCH(Table231[[#This Row],[كد تفصيلي]],'حسابهای دریافتنی'!A:A,0)),0)</f>
        <v>-1120000</v>
      </c>
      <c r="D121" s="11">
        <f>IFERROR(INDEX('درجریان وصول'!F:F,MATCH(Table231[[#This Row],[كد تفصيلي]],'درجریان وصول'!A:A,0)),0)</f>
        <v>0</v>
      </c>
      <c r="E121" s="11">
        <f>IFERROR(INDEX('چکهای دریافتنی'!F:F,MATCH(Table231[[#This Row],[كد تفصيلي]],'چکهای دریافتنی'!A:A,0)),0)</f>
        <v>0</v>
      </c>
      <c r="F121" s="11">
        <f>Table231[[#This Row],[حسابهای دریافتنی]]+Table231[[#This Row],[چکهای در جریان وصول]]+Table231[[#This Row],[چکهای نزد صندوق]]</f>
        <v>-1120000</v>
      </c>
      <c r="G121" s="12">
        <f>IFERROR(INDEX('مانده سوفاله'!F:F,MATCH(Table231[[#This Row],[كد تفصيلي]],'مانده سوفاله'!A:A,0)),0)</f>
        <v>2</v>
      </c>
    </row>
    <row r="122" spans="1:7" ht="21.75" customHeight="1" x14ac:dyDescent="0.35">
      <c r="A122" s="75">
        <v>10131</v>
      </c>
      <c r="B122" s="72" t="s">
        <v>473</v>
      </c>
      <c r="C122" s="10">
        <f>IFERROR(INDEX('حسابهای دریافتنی'!H:H,MATCH(Table231[[#This Row],[كد تفصيلي]],'حسابهای دریافتنی'!A:A,0)),0)</f>
        <v>-1194000</v>
      </c>
      <c r="D122" s="11">
        <f>IFERROR(INDEX('درجریان وصول'!F:F,MATCH(Table231[[#This Row],[كد تفصيلي]],'درجریان وصول'!A:A,0)),0)</f>
        <v>0</v>
      </c>
      <c r="E122" s="11">
        <f>IFERROR(INDEX('چکهای دریافتنی'!F:F,MATCH(Table231[[#This Row],[كد تفصيلي]],'چکهای دریافتنی'!A:A,0)),0)</f>
        <v>0</v>
      </c>
      <c r="F122" s="11">
        <f>Table231[[#This Row],[حسابهای دریافتنی]]+Table231[[#This Row],[چکهای در جریان وصول]]+Table231[[#This Row],[چکهای نزد صندوق]]</f>
        <v>-1194000</v>
      </c>
      <c r="G122" s="12">
        <f>IFERROR(INDEX('مانده سوفاله'!F:F,MATCH(Table231[[#This Row],[كد تفصيلي]],'مانده سوفاله'!A:A,0)),0)</f>
        <v>1</v>
      </c>
    </row>
    <row r="123" spans="1:7" ht="21.75" customHeight="1" x14ac:dyDescent="0.35">
      <c r="A123" s="74">
        <v>30032</v>
      </c>
      <c r="B123" s="73" t="s">
        <v>79</v>
      </c>
      <c r="C123" s="10">
        <f>IFERROR(INDEX('حسابهای دریافتنی'!H:H,MATCH(Table231[[#This Row],[كد تفصيلي]],'حسابهای دریافتنی'!A:A,0)),0)</f>
        <v>-1347000</v>
      </c>
      <c r="D123" s="11">
        <f>IFERROR(INDEX('درجریان وصول'!F:F,MATCH(Table231[[#This Row],[كد تفصيلي]],'درجریان وصول'!A:A,0)),0)</f>
        <v>0</v>
      </c>
      <c r="E123" s="11">
        <f>IFERROR(INDEX('چکهای دریافتنی'!F:F,MATCH(Table231[[#This Row],[كد تفصيلي]],'چکهای دریافتنی'!A:A,0)),0)</f>
        <v>0</v>
      </c>
      <c r="F123" s="11">
        <f>Table231[[#This Row],[حسابهای دریافتنی]]+Table231[[#This Row],[چکهای در جریان وصول]]+Table231[[#This Row],[چکهای نزد صندوق]]</f>
        <v>-1347000</v>
      </c>
      <c r="G123" s="12">
        <f>IFERROR(INDEX('مانده سوفاله'!F:F,MATCH(Table231[[#This Row],[كد تفصيلي]],'مانده سوفاله'!A:A,0)),0)</f>
        <v>0</v>
      </c>
    </row>
    <row r="124" spans="1:7" ht="21.75" customHeight="1" x14ac:dyDescent="0.35">
      <c r="A124" s="74">
        <v>30171</v>
      </c>
      <c r="B124" s="73" t="s">
        <v>322</v>
      </c>
      <c r="C124" s="10">
        <f>IFERROR(INDEX('حسابهای دریافتنی'!H:H,MATCH(Table231[[#This Row],[كد تفصيلي]],'حسابهای دریافتنی'!A:A,0)),0)</f>
        <v>-1500000</v>
      </c>
      <c r="D124" s="11">
        <f>IFERROR(INDEX('درجریان وصول'!F:F,MATCH(Table231[[#This Row],[كد تفصيلي]],'درجریان وصول'!A:A,0)),0)</f>
        <v>0</v>
      </c>
      <c r="E124" s="11">
        <f>IFERROR(INDEX('چکهای دریافتنی'!F:F,MATCH(Table231[[#This Row],[كد تفصيلي]],'چکهای دریافتنی'!A:A,0)),0)</f>
        <v>0</v>
      </c>
      <c r="F124" s="11">
        <f>Table231[[#This Row],[حسابهای دریافتنی]]+Table231[[#This Row],[چکهای در جریان وصول]]+Table231[[#This Row],[چکهای نزد صندوق]]</f>
        <v>-1500000</v>
      </c>
      <c r="G124" s="12">
        <f>IFERROR(INDEX('مانده سوفاله'!F:F,MATCH(Table231[[#This Row],[كد تفصيلي]],'مانده سوفاله'!A:A,0)),0)</f>
        <v>0</v>
      </c>
    </row>
    <row r="125" spans="1:7" ht="21.75" customHeight="1" x14ac:dyDescent="0.35">
      <c r="A125" s="75">
        <v>10103</v>
      </c>
      <c r="B125" s="72" t="s">
        <v>283</v>
      </c>
      <c r="C125" s="10">
        <f>IFERROR(INDEX('حسابهای دریافتنی'!H:H,MATCH(Table231[[#This Row],[كد تفصيلي]],'حسابهای دریافتنی'!A:A,0)),0)</f>
        <v>-1580000</v>
      </c>
      <c r="D125" s="11">
        <f>IFERROR(INDEX('درجریان وصول'!F:F,MATCH(Table231[[#This Row],[كد تفصيلي]],'درجریان وصول'!A:A,0)),0)</f>
        <v>0</v>
      </c>
      <c r="E125" s="11">
        <f>IFERROR(INDEX('چکهای دریافتنی'!F:F,MATCH(Table231[[#This Row],[كد تفصيلي]],'چکهای دریافتنی'!A:A,0)),0)</f>
        <v>0</v>
      </c>
      <c r="F125" s="11">
        <f>Table231[[#This Row],[حسابهای دریافتنی]]+Table231[[#This Row],[چکهای در جریان وصول]]+Table231[[#This Row],[چکهای نزد صندوق]]</f>
        <v>-1580000</v>
      </c>
      <c r="G125" s="12">
        <f>IFERROR(INDEX('مانده سوفاله'!F:F,MATCH(Table231[[#This Row],[كد تفصيلي]],'مانده سوفاله'!A:A,0)),0)</f>
        <v>0</v>
      </c>
    </row>
    <row r="126" spans="1:7" ht="21.75" customHeight="1" x14ac:dyDescent="0.35">
      <c r="A126" s="74">
        <v>10125</v>
      </c>
      <c r="B126" s="73" t="s">
        <v>345</v>
      </c>
      <c r="C126" s="10">
        <f>IFERROR(INDEX('حسابهای دریافتنی'!H:H,MATCH(Table231[[#This Row],[كد تفصيلي]],'حسابهای دریافتنی'!A:A,0)),0)</f>
        <v>-1650000</v>
      </c>
      <c r="D126" s="11">
        <f>IFERROR(INDEX('درجریان وصول'!F:F,MATCH(Table231[[#This Row],[كد تفصيلي]],'درجریان وصول'!A:A,0)),0)</f>
        <v>0</v>
      </c>
      <c r="E126" s="11">
        <f>IFERROR(INDEX('چکهای دریافتنی'!F:F,MATCH(Table231[[#This Row],[كد تفصيلي]],'چکهای دریافتنی'!A:A,0)),0)</f>
        <v>0</v>
      </c>
      <c r="F126" s="11">
        <f>Table231[[#This Row],[حسابهای دریافتنی]]+Table231[[#This Row],[چکهای در جریان وصول]]+Table231[[#This Row],[چکهای نزد صندوق]]</f>
        <v>-1650000</v>
      </c>
      <c r="G126" s="12">
        <f>IFERROR(INDEX('مانده سوفاله'!F:F,MATCH(Table231[[#This Row],[كد تفصيلي]],'مانده سوفاله'!A:A,0)),0)</f>
        <v>0</v>
      </c>
    </row>
    <row r="127" spans="1:7" ht="21.75" customHeight="1" x14ac:dyDescent="0.35">
      <c r="A127" s="75">
        <v>10110</v>
      </c>
      <c r="B127" s="72" t="s">
        <v>306</v>
      </c>
      <c r="C127" s="10">
        <f>IFERROR(INDEX('حسابهای دریافتنی'!H:H,MATCH(Table231[[#This Row],[كد تفصيلي]],'حسابهای دریافتنی'!A:A,0)),0)</f>
        <v>-1817500</v>
      </c>
      <c r="D127" s="11">
        <f>IFERROR(INDEX('درجریان وصول'!F:F,MATCH(Table231[[#This Row],[كد تفصيلي]],'درجریان وصول'!A:A,0)),0)</f>
        <v>0</v>
      </c>
      <c r="E127" s="11">
        <f>IFERROR(INDEX('چکهای دریافتنی'!F:F,MATCH(Table231[[#This Row],[كد تفصيلي]],'چکهای دریافتنی'!A:A,0)),0)</f>
        <v>0</v>
      </c>
      <c r="F127" s="11">
        <f>Table231[[#This Row],[حسابهای دریافتنی]]+Table231[[#This Row],[چکهای در جریان وصول]]+Table231[[#This Row],[چکهای نزد صندوق]]</f>
        <v>-1817500</v>
      </c>
      <c r="G127" s="12">
        <f>IFERROR(INDEX('مانده سوفاله'!F:F,MATCH(Table231[[#This Row],[كد تفصيلي]],'مانده سوفاله'!A:A,0)),0)</f>
        <v>7</v>
      </c>
    </row>
    <row r="128" spans="1:7" ht="21.75" customHeight="1" x14ac:dyDescent="0.35">
      <c r="A128" s="74">
        <v>30103</v>
      </c>
      <c r="B128" s="73" t="s">
        <v>240</v>
      </c>
      <c r="C128" s="10">
        <f>IFERROR(INDEX('حسابهای دریافتنی'!H:H,MATCH(Table231[[#This Row],[كد تفصيلي]],'حسابهای دریافتنی'!A:A,0)),0)</f>
        <v>-1820000</v>
      </c>
      <c r="D128" s="11">
        <f>IFERROR(INDEX('درجریان وصول'!F:F,MATCH(Table231[[#This Row],[كد تفصيلي]],'درجریان وصول'!A:A,0)),0)</f>
        <v>0</v>
      </c>
      <c r="E128" s="11">
        <f>IFERROR(INDEX('چکهای دریافتنی'!F:F,MATCH(Table231[[#This Row],[كد تفصيلي]],'چکهای دریافتنی'!A:A,0)),0)</f>
        <v>0</v>
      </c>
      <c r="F128" s="11">
        <f>Table231[[#This Row],[حسابهای دریافتنی]]+Table231[[#This Row],[چکهای در جریان وصول]]+Table231[[#This Row],[چکهای نزد صندوق]]</f>
        <v>-1820000</v>
      </c>
      <c r="G128" s="12">
        <f>IFERROR(INDEX('مانده سوفاله'!F:F,MATCH(Table231[[#This Row],[كد تفصيلي]],'مانده سوفاله'!A:A,0)),0)</f>
        <v>0</v>
      </c>
    </row>
    <row r="129" spans="1:7" ht="21.75" customHeight="1" x14ac:dyDescent="0.35">
      <c r="A129" s="75">
        <v>10093</v>
      </c>
      <c r="B129" s="72" t="s">
        <v>264</v>
      </c>
      <c r="C129" s="10">
        <f>IFERROR(INDEX('حسابهای دریافتنی'!H:H,MATCH(Table231[[#This Row],[كد تفصيلي]],'حسابهای دریافتنی'!A:A,0)),0)</f>
        <v>-2214000</v>
      </c>
      <c r="D129" s="11">
        <f>IFERROR(INDEX('درجریان وصول'!F:F,MATCH(Table231[[#This Row],[كد تفصيلي]],'درجریان وصول'!A:A,0)),0)</f>
        <v>0</v>
      </c>
      <c r="E129" s="11">
        <f>IFERROR(INDEX('چکهای دریافتنی'!F:F,MATCH(Table231[[#This Row],[كد تفصيلي]],'چکهای دریافتنی'!A:A,0)),0)</f>
        <v>0</v>
      </c>
      <c r="F129" s="11">
        <f>Table231[[#This Row],[حسابهای دریافتنی]]+Table231[[#This Row],[چکهای در جریان وصول]]+Table231[[#This Row],[چکهای نزد صندوق]]</f>
        <v>-2214000</v>
      </c>
      <c r="G129" s="12">
        <f>IFERROR(INDEX('مانده سوفاله'!F:F,MATCH(Table231[[#This Row],[كد تفصيلي]],'مانده سوفاله'!A:A,0)),0)</f>
        <v>0</v>
      </c>
    </row>
    <row r="130" spans="1:7" ht="21.75" customHeight="1" x14ac:dyDescent="0.35">
      <c r="A130" s="75">
        <v>30128</v>
      </c>
      <c r="B130" s="72" t="s">
        <v>212</v>
      </c>
      <c r="C130" s="10">
        <f>IFERROR(INDEX('حسابهای دریافتنی'!H:H,MATCH(Table231[[#This Row],[كد تفصيلي]],'حسابهای دریافتنی'!A:A,0)),0)</f>
        <v>-2451320</v>
      </c>
      <c r="D130" s="11">
        <f>IFERROR(INDEX('درجریان وصول'!F:F,MATCH(Table231[[#This Row],[كد تفصيلي]],'درجریان وصول'!A:A,0)),0)</f>
        <v>0</v>
      </c>
      <c r="E130" s="11">
        <f>IFERROR(INDEX('چکهای دریافتنی'!F:F,MATCH(Table231[[#This Row],[كد تفصيلي]],'چکهای دریافتنی'!A:A,0)),0)</f>
        <v>0</v>
      </c>
      <c r="F130" s="11">
        <f>Table231[[#This Row],[حسابهای دریافتنی]]+Table231[[#This Row],[چکهای در جریان وصول]]+Table231[[#This Row],[چکهای نزد صندوق]]</f>
        <v>-2451320</v>
      </c>
      <c r="G130" s="12">
        <f>IFERROR(INDEX('مانده سوفاله'!F:F,MATCH(Table231[[#This Row],[كد تفصيلي]],'مانده سوفاله'!A:A,0)),0)</f>
        <v>0</v>
      </c>
    </row>
    <row r="131" spans="1:7" ht="21.75" customHeight="1" x14ac:dyDescent="0.35">
      <c r="A131" s="74">
        <v>10119</v>
      </c>
      <c r="B131" s="73" t="s">
        <v>333</v>
      </c>
      <c r="C131" s="10">
        <f>IFERROR(INDEX('حسابهای دریافتنی'!H:H,MATCH(Table231[[#This Row],[كد تفصيلي]],'حسابهای دریافتنی'!A:A,0)),0)</f>
        <v>-2592000</v>
      </c>
      <c r="D131" s="11">
        <f>IFERROR(INDEX('درجریان وصول'!F:F,MATCH(Table231[[#This Row],[كد تفصيلي]],'درجریان وصول'!A:A,0)),0)</f>
        <v>0</v>
      </c>
      <c r="E131" s="11">
        <f>IFERROR(INDEX('چکهای دریافتنی'!F:F,MATCH(Table231[[#This Row],[كد تفصيلي]],'چکهای دریافتنی'!A:A,0)),0)</f>
        <v>0</v>
      </c>
      <c r="F131" s="11">
        <f>Table231[[#This Row],[حسابهای دریافتنی]]+Table231[[#This Row],[چکهای در جریان وصول]]+Table231[[#This Row],[چکهای نزد صندوق]]</f>
        <v>-2592000</v>
      </c>
      <c r="G131" s="12">
        <f>IFERROR(INDEX('مانده سوفاله'!F:F,MATCH(Table231[[#This Row],[كد تفصيلي]],'مانده سوفاله'!A:A,0)),0)</f>
        <v>353</v>
      </c>
    </row>
    <row r="132" spans="1:7" ht="21.75" customHeight="1" x14ac:dyDescent="0.35">
      <c r="A132" s="75">
        <v>30013</v>
      </c>
      <c r="B132" s="72" t="s">
        <v>62</v>
      </c>
      <c r="C132" s="10">
        <f>IFERROR(INDEX('حسابهای دریافتنی'!H:H,MATCH(Table231[[#This Row],[كد تفصيلي]],'حسابهای دریافتنی'!A:A,0)),0)</f>
        <v>-2744620</v>
      </c>
      <c r="D132" s="11">
        <f>IFERROR(INDEX('درجریان وصول'!F:F,MATCH(Table231[[#This Row],[كد تفصيلي]],'درجریان وصول'!A:A,0)),0)</f>
        <v>0</v>
      </c>
      <c r="E132" s="11">
        <f>IFERROR(INDEX('چکهای دریافتنی'!F:F,MATCH(Table231[[#This Row],[كد تفصيلي]],'چکهای دریافتنی'!A:A,0)),0)</f>
        <v>0</v>
      </c>
      <c r="F132" s="11">
        <f>Table231[[#This Row],[حسابهای دریافتنی]]+Table231[[#This Row],[چکهای در جریان وصول]]+Table231[[#This Row],[چکهای نزد صندوق]]</f>
        <v>-2744620</v>
      </c>
      <c r="G132" s="12">
        <f>IFERROR(INDEX('مانده سوفاله'!F:F,MATCH(Table231[[#This Row],[كد تفصيلي]],'مانده سوفاله'!A:A,0)),0)</f>
        <v>0</v>
      </c>
    </row>
    <row r="133" spans="1:7" ht="21.75" customHeight="1" x14ac:dyDescent="0.35">
      <c r="A133" s="75">
        <v>30015</v>
      </c>
      <c r="B133" s="72" t="s">
        <v>64</v>
      </c>
      <c r="C133" s="10">
        <f>IFERROR(INDEX('حسابهای دریافتنی'!H:H,MATCH(Table231[[#This Row],[كد تفصيلي]],'حسابهای دریافتنی'!A:A,0)),0)</f>
        <v>-3105895</v>
      </c>
      <c r="D133" s="11">
        <f>IFERROR(INDEX('درجریان وصول'!F:F,MATCH(Table231[[#This Row],[كد تفصيلي]],'درجریان وصول'!A:A,0)),0)</f>
        <v>0</v>
      </c>
      <c r="E133" s="11">
        <f>IFERROR(INDEX('چکهای دریافتنی'!F:F,MATCH(Table231[[#This Row],[كد تفصيلي]],'چکهای دریافتنی'!A:A,0)),0)</f>
        <v>0</v>
      </c>
      <c r="F133" s="11">
        <f>Table231[[#This Row],[حسابهای دریافتنی]]+Table231[[#This Row],[چکهای در جریان وصول]]+Table231[[#This Row],[چکهای نزد صندوق]]</f>
        <v>-3105895</v>
      </c>
      <c r="G133" s="12">
        <f>IFERROR(INDEX('مانده سوفاله'!F:F,MATCH(Table231[[#This Row],[كد تفصيلي]],'مانده سوفاله'!A:A,0)),0)</f>
        <v>0</v>
      </c>
    </row>
    <row r="134" spans="1:7" ht="21.75" customHeight="1" x14ac:dyDescent="0.35">
      <c r="A134" s="75">
        <v>30110</v>
      </c>
      <c r="B134" s="72" t="s">
        <v>200</v>
      </c>
      <c r="C134" s="10">
        <f>IFERROR(INDEX('حسابهای دریافتنی'!H:H,MATCH(Table231[[#This Row],[كد تفصيلي]],'حسابهای دریافتنی'!A:A,0)),0)</f>
        <v>-3492360</v>
      </c>
      <c r="D134" s="11">
        <f>IFERROR(INDEX('درجریان وصول'!F:F,MATCH(Table231[[#This Row],[كد تفصيلي]],'درجریان وصول'!A:A,0)),0)</f>
        <v>0</v>
      </c>
      <c r="E134" s="11">
        <f>IFERROR(INDEX('چکهای دریافتنی'!F:F,MATCH(Table231[[#This Row],[كد تفصيلي]],'چکهای دریافتنی'!A:A,0)),0)</f>
        <v>0</v>
      </c>
      <c r="F134" s="11">
        <f>Table231[[#This Row],[حسابهای دریافتنی]]+Table231[[#This Row],[چکهای در جریان وصول]]+Table231[[#This Row],[چکهای نزد صندوق]]</f>
        <v>-3492360</v>
      </c>
      <c r="G134" s="12">
        <f>IFERROR(INDEX('مانده سوفاله'!F:F,MATCH(Table231[[#This Row],[كد تفصيلي]],'مانده سوفاله'!A:A,0)),0)</f>
        <v>0</v>
      </c>
    </row>
    <row r="135" spans="1:7" ht="21.75" customHeight="1" x14ac:dyDescent="0.35">
      <c r="A135" s="75">
        <v>10015</v>
      </c>
      <c r="B135" s="72" t="s">
        <v>22</v>
      </c>
      <c r="C135" s="10">
        <f>IFERROR(INDEX('حسابهای دریافتنی'!H:H,MATCH(Table231[[#This Row],[كد تفصيلي]],'حسابهای دریافتنی'!A:A,0)),0)</f>
        <v>-4735000</v>
      </c>
      <c r="D135" s="11">
        <f>IFERROR(INDEX('درجریان وصول'!F:F,MATCH(Table231[[#This Row],[كد تفصيلي]],'درجریان وصول'!A:A,0)),0)</f>
        <v>0</v>
      </c>
      <c r="E135" s="11">
        <f>IFERROR(INDEX('چکهای دریافتنی'!F:F,MATCH(Table231[[#This Row],[كد تفصيلي]],'چکهای دریافتنی'!A:A,0)),0)</f>
        <v>0</v>
      </c>
      <c r="F135" s="11">
        <f>Table231[[#This Row],[حسابهای دریافتنی]]+Table231[[#This Row],[چکهای در جریان وصول]]+Table231[[#This Row],[چکهای نزد صندوق]]</f>
        <v>-4735000</v>
      </c>
      <c r="G135" s="12">
        <f>IFERROR(INDEX('مانده سوفاله'!F:F,MATCH(Table231[[#This Row],[كد تفصيلي]],'مانده سوفاله'!A:A,0)),0)</f>
        <v>12</v>
      </c>
    </row>
    <row r="136" spans="1:7" ht="21.75" customHeight="1" x14ac:dyDescent="0.35">
      <c r="A136" s="74">
        <v>30153</v>
      </c>
      <c r="B136" s="73" t="s">
        <v>279</v>
      </c>
      <c r="C136" s="10">
        <f>IFERROR(INDEX('حسابهای دریافتنی'!H:H,MATCH(Table231[[#This Row],[كد تفصيلي]],'حسابهای دریافتنی'!A:A,0)),0)</f>
        <v>-4818000</v>
      </c>
      <c r="D136" s="11">
        <f>IFERROR(INDEX('درجریان وصول'!F:F,MATCH(Table231[[#This Row],[كد تفصيلي]],'درجریان وصول'!A:A,0)),0)</f>
        <v>0</v>
      </c>
      <c r="E136" s="11">
        <f>IFERROR(INDEX('چکهای دریافتنی'!F:F,MATCH(Table231[[#This Row],[كد تفصيلي]],'چکهای دریافتنی'!A:A,0)),0)</f>
        <v>0</v>
      </c>
      <c r="F136" s="11">
        <f>Table231[[#This Row],[حسابهای دریافتنی]]+Table231[[#This Row],[چکهای در جریان وصول]]+Table231[[#This Row],[چکهای نزد صندوق]]</f>
        <v>-4818000</v>
      </c>
      <c r="G136" s="12">
        <f>IFERROR(INDEX('مانده سوفاله'!F:F,MATCH(Table231[[#This Row],[كد تفصيلي]],'مانده سوفاله'!A:A,0)),0)</f>
        <v>0</v>
      </c>
    </row>
    <row r="137" spans="1:7" ht="21.75" customHeight="1" x14ac:dyDescent="0.35">
      <c r="A137" s="75">
        <v>30023</v>
      </c>
      <c r="B137" s="72" t="s">
        <v>71</v>
      </c>
      <c r="C137" s="10">
        <f>IFERROR(INDEX('حسابهای دریافتنی'!H:H,MATCH(Table231[[#This Row],[كد تفصيلي]],'حسابهای دریافتنی'!A:A,0)),0)</f>
        <v>-5793600</v>
      </c>
      <c r="D137" s="11">
        <f>IFERROR(INDEX('درجریان وصول'!F:F,MATCH(Table231[[#This Row],[كد تفصيلي]],'درجریان وصول'!A:A,0)),0)</f>
        <v>0</v>
      </c>
      <c r="E137" s="11">
        <f>IFERROR(INDEX('چکهای دریافتنی'!F:F,MATCH(Table231[[#This Row],[كد تفصيلي]],'چکهای دریافتنی'!A:A,0)),0)</f>
        <v>0</v>
      </c>
      <c r="F137" s="11">
        <f>Table231[[#This Row],[حسابهای دریافتنی]]+Table231[[#This Row],[چکهای در جریان وصول]]+Table231[[#This Row],[چکهای نزد صندوق]]</f>
        <v>-5793600</v>
      </c>
      <c r="G137" s="12">
        <f>IFERROR(INDEX('مانده سوفاله'!F:F,MATCH(Table231[[#This Row],[كد تفصيلي]],'مانده سوفاله'!A:A,0)),0)</f>
        <v>0</v>
      </c>
    </row>
    <row r="138" spans="1:7" customFormat="1" ht="21.75" customHeight="1" x14ac:dyDescent="0.35">
      <c r="A138" s="77">
        <v>10004</v>
      </c>
      <c r="B138" s="73" t="s">
        <v>11</v>
      </c>
      <c r="C138" s="10">
        <f>IFERROR(INDEX('حسابهای دریافتنی'!H:H,MATCH(Table231[[#This Row],[كد تفصيلي]],'حسابهای دریافتنی'!A:A,0)),0)</f>
        <v>853000</v>
      </c>
      <c r="D138" s="11">
        <f>IFERROR(INDEX('درجریان وصول'!F:F,MATCH(Table231[[#This Row],[كد تفصيلي]],'درجریان وصول'!A:A,0)),0)</f>
        <v>0</v>
      </c>
      <c r="E138" s="11">
        <f>IFERROR(INDEX('چکهای دریافتنی'!F:F,MATCH(Table231[[#This Row],[كد تفصيلي]],'چکهای دریافتنی'!A:A,0)),0)</f>
        <v>341000000</v>
      </c>
      <c r="F138" s="11">
        <f>Table231[[#This Row],[حسابهای دریافتنی]]+Table231[[#This Row],[چکهای در جریان وصول]]+Table231[[#This Row],[چکهای نزد صندوق]]</f>
        <v>341853000</v>
      </c>
      <c r="G138" s="12">
        <f>IFERROR(INDEX('مانده سوفاله'!F:F,MATCH(Table231[[#This Row],[كد تفصيلي]],'مانده سوفاله'!A:A,0)),0)</f>
        <v>-12</v>
      </c>
    </row>
    <row r="139" spans="1:7" customFormat="1" ht="21.75" customHeight="1" x14ac:dyDescent="0.35">
      <c r="A139" s="76">
        <v>30176</v>
      </c>
      <c r="B139" s="72" t="s">
        <v>332</v>
      </c>
      <c r="C139" s="10">
        <f>IFERROR(INDEX('حسابهای دریافتنی'!H:H,MATCH(Table231[[#This Row],[كد تفصيلي]],'حسابهای دریافتنی'!A:A,0)),0)</f>
        <v>-7540075</v>
      </c>
      <c r="D139" s="11">
        <f>IFERROR(INDEX('درجریان وصول'!F:F,MATCH(Table231[[#This Row],[كد تفصيلي]],'درجریان وصول'!A:A,0)),0)</f>
        <v>0</v>
      </c>
      <c r="E139" s="11">
        <f>IFERROR(INDEX('چکهای دریافتنی'!F:F,MATCH(Table231[[#This Row],[كد تفصيلي]],'چکهای دریافتنی'!A:A,0)),0)</f>
        <v>0</v>
      </c>
      <c r="F139" s="11">
        <f>Table231[[#This Row],[حسابهای دریافتنی]]+Table231[[#This Row],[چکهای در جریان وصول]]+Table231[[#This Row],[چکهای نزد صندوق]]</f>
        <v>-7540075</v>
      </c>
      <c r="G139" s="12">
        <f>IFERROR(INDEX('مانده سوفاله'!F:F,MATCH(Table231[[#This Row],[كد تفصيلي]],'مانده سوفاله'!A:A,0)),0)</f>
        <v>0</v>
      </c>
    </row>
    <row r="140" spans="1:7" customFormat="1" ht="21.75" customHeight="1" x14ac:dyDescent="0.35">
      <c r="A140" s="77">
        <v>30179</v>
      </c>
      <c r="B140" s="73" t="s">
        <v>336</v>
      </c>
      <c r="C140" s="10">
        <f>IFERROR(INDEX('حسابهای دریافتنی'!H:H,MATCH(Table231[[#This Row],[كد تفصيلي]],'حسابهای دریافتنی'!A:A,0)),0)</f>
        <v>-637200</v>
      </c>
      <c r="D140" s="11">
        <f>IFERROR(INDEX('درجریان وصول'!F:F,MATCH(Table231[[#This Row],[كد تفصيلي]],'درجریان وصول'!A:A,0)),0)</f>
        <v>0</v>
      </c>
      <c r="E140" s="11">
        <f>IFERROR(INDEX('چکهای دریافتنی'!F:F,MATCH(Table231[[#This Row],[كد تفصيلي]],'چکهای دریافتنی'!A:A,0)),0)</f>
        <v>0</v>
      </c>
      <c r="F140" s="11">
        <f>Table231[[#This Row],[حسابهای دریافتنی]]+Table231[[#This Row],[چکهای در جریان وصول]]+Table231[[#This Row],[چکهای نزد صندوق]]</f>
        <v>-637200</v>
      </c>
      <c r="G140" s="12">
        <f>IFERROR(INDEX('مانده سوفاله'!F:F,MATCH(Table231[[#This Row],[كد تفصيلي]],'مانده سوفاله'!A:A,0)),0)</f>
        <v>0</v>
      </c>
    </row>
    <row r="141" spans="1:7" customFormat="1" ht="21.75" customHeight="1" x14ac:dyDescent="0.35">
      <c r="A141" s="76">
        <v>10106</v>
      </c>
      <c r="B141" s="72" t="s">
        <v>298</v>
      </c>
      <c r="C141" s="10">
        <f>IFERROR(INDEX('حسابهای دریافتنی'!H:H,MATCH(Table231[[#This Row],[كد تفصيلي]],'حسابهای دریافتنی'!A:A,0)),0)</f>
        <v>-9134000</v>
      </c>
      <c r="D141" s="11">
        <f>IFERROR(INDEX('درجریان وصول'!F:F,MATCH(Table231[[#This Row],[كد تفصيلي]],'درجریان وصول'!A:A,0)),0)</f>
        <v>0</v>
      </c>
      <c r="E141" s="11">
        <f>IFERROR(INDEX('چکهای دریافتنی'!F:F,MATCH(Table231[[#This Row],[كد تفصيلي]],'چکهای دریافتنی'!A:A,0)),0)</f>
        <v>0</v>
      </c>
      <c r="F141" s="11">
        <f>Table231[[#This Row],[حسابهای دریافتنی]]+Table231[[#This Row],[چکهای در جریان وصول]]+Table231[[#This Row],[چکهای نزد صندوق]]</f>
        <v>-9134000</v>
      </c>
      <c r="G141" s="12">
        <f>IFERROR(INDEX('مانده سوفاله'!F:F,MATCH(Table231[[#This Row],[كد تفصيلي]],'مانده سوفاله'!A:A,0)),0)</f>
        <v>0</v>
      </c>
    </row>
    <row r="142" spans="1:7" customFormat="1" ht="21.75" customHeight="1" x14ac:dyDescent="0.35">
      <c r="A142" s="77">
        <v>10102</v>
      </c>
      <c r="B142" s="73" t="s">
        <v>282</v>
      </c>
      <c r="C142" s="10">
        <f>IFERROR(INDEX('حسابهای دریافتنی'!H:H,MATCH(Table231[[#This Row],[كد تفصيلي]],'حسابهای دریافتنی'!A:A,0)),0)</f>
        <v>-10374000</v>
      </c>
      <c r="D142" s="11">
        <f>IFERROR(INDEX('درجریان وصول'!F:F,MATCH(Table231[[#This Row],[كد تفصيلي]],'درجریان وصول'!A:A,0)),0)</f>
        <v>0</v>
      </c>
      <c r="E142" s="11">
        <f>IFERROR(INDEX('چکهای دریافتنی'!F:F,MATCH(Table231[[#This Row],[كد تفصيلي]],'چکهای دریافتنی'!A:A,0)),0)</f>
        <v>0</v>
      </c>
      <c r="F142" s="11">
        <f>Table231[[#This Row],[حسابهای دریافتنی]]+Table231[[#This Row],[چکهای در جریان وصول]]+Table231[[#This Row],[چکهای نزد صندوق]]</f>
        <v>-10374000</v>
      </c>
      <c r="G142" s="12">
        <f>IFERROR(INDEX('مانده سوفاله'!F:F,MATCH(Table231[[#This Row],[كد تفصيلي]],'مانده سوفاله'!A:A,0)),0)</f>
        <v>0</v>
      </c>
    </row>
    <row r="143" spans="1:7" customFormat="1" ht="21.75" customHeight="1" x14ac:dyDescent="0.35">
      <c r="A143" s="77">
        <v>10058</v>
      </c>
      <c r="B143" s="73" t="s">
        <v>173</v>
      </c>
      <c r="C143" s="10">
        <f>IFERROR(INDEX('حسابهای دریافتنی'!H:H,MATCH(Table231[[#This Row],[كد تفصيلي]],'حسابهای دریافتنی'!A:A,0)),0)</f>
        <v>-13650000</v>
      </c>
      <c r="D143" s="11">
        <f>IFERROR(INDEX('درجریان وصول'!F:F,MATCH(Table231[[#This Row],[كد تفصيلي]],'درجریان وصول'!A:A,0)),0)</f>
        <v>0</v>
      </c>
      <c r="E143" s="11">
        <f>IFERROR(INDEX('چکهای دریافتنی'!F:F,MATCH(Table231[[#This Row],[كد تفصيلي]],'چکهای دریافتنی'!A:A,0)),0)</f>
        <v>0</v>
      </c>
      <c r="F143" s="11">
        <f>Table231[[#This Row],[حسابهای دریافتنی]]+Table231[[#This Row],[چکهای در جریان وصول]]+Table231[[#This Row],[چکهای نزد صندوق]]</f>
        <v>-13650000</v>
      </c>
      <c r="G143" s="12">
        <f>IFERROR(INDEX('مانده سوفاله'!F:F,MATCH(Table231[[#This Row],[كد تفصيلي]],'مانده سوفاله'!A:A,0)),0)</f>
        <v>0</v>
      </c>
    </row>
    <row r="144" spans="1:7" customFormat="1" ht="21.75" customHeight="1" x14ac:dyDescent="0.35">
      <c r="A144" s="76">
        <v>30082</v>
      </c>
      <c r="B144" s="72" t="s">
        <v>127</v>
      </c>
      <c r="C144" s="10">
        <f>IFERROR(INDEX('حسابهای دریافتنی'!H:H,MATCH(Table231[[#This Row],[كد تفصيلي]],'حسابهای دریافتنی'!A:A,0)),0)</f>
        <v>-15037000</v>
      </c>
      <c r="D144" s="11">
        <f>IFERROR(INDEX('درجریان وصول'!F:F,MATCH(Table231[[#This Row],[كد تفصيلي]],'درجریان وصول'!A:A,0)),0)</f>
        <v>0</v>
      </c>
      <c r="E144" s="11">
        <f>IFERROR(INDEX('چکهای دریافتنی'!F:F,MATCH(Table231[[#This Row],[كد تفصيلي]],'چکهای دریافتنی'!A:A,0)),0)</f>
        <v>0</v>
      </c>
      <c r="F144" s="11">
        <f>Table231[[#This Row],[حسابهای دریافتنی]]+Table231[[#This Row],[چکهای در جریان وصول]]+Table231[[#This Row],[چکهای نزد صندوق]]</f>
        <v>-15037000</v>
      </c>
      <c r="G144" s="12">
        <f>IFERROR(INDEX('مانده سوفاله'!F:F,MATCH(Table231[[#This Row],[كد تفصيلي]],'مانده سوفاله'!A:A,0)),0)</f>
        <v>-16</v>
      </c>
    </row>
    <row r="145" spans="1:7" customFormat="1" ht="21.75" customHeight="1" x14ac:dyDescent="0.35">
      <c r="A145" s="77">
        <v>30042</v>
      </c>
      <c r="B145" s="73" t="s">
        <v>89</v>
      </c>
      <c r="C145" s="10">
        <f>IFERROR(INDEX('حسابهای دریافتنی'!H:H,MATCH(Table231[[#This Row],[كد تفصيلي]],'حسابهای دریافتنی'!A:A,0)),0)</f>
        <v>-18303540</v>
      </c>
      <c r="D145" s="11">
        <f>IFERROR(INDEX('درجریان وصول'!F:F,MATCH(Table231[[#This Row],[كد تفصيلي]],'درجریان وصول'!A:A,0)),0)</f>
        <v>0</v>
      </c>
      <c r="E145" s="11">
        <f>IFERROR(INDEX('چکهای دریافتنی'!F:F,MATCH(Table231[[#This Row],[كد تفصيلي]],'چکهای دریافتنی'!A:A,0)),0)</f>
        <v>0</v>
      </c>
      <c r="F145" s="11">
        <f>Table231[[#This Row],[حسابهای دریافتنی]]+Table231[[#This Row],[چکهای در جریان وصول]]+Table231[[#This Row],[چکهای نزد صندوق]]</f>
        <v>-18303540</v>
      </c>
      <c r="G145" s="12">
        <f>IFERROR(INDEX('مانده سوفاله'!F:F,MATCH(Table231[[#This Row],[كد تفصيلي]],'مانده سوفاله'!A:A,0)),0)</f>
        <v>0</v>
      </c>
    </row>
    <row r="146" spans="1:7" customFormat="1" ht="21.75" customHeight="1" x14ac:dyDescent="0.35">
      <c r="A146" s="77">
        <v>30028</v>
      </c>
      <c r="B146" s="73" t="s">
        <v>76</v>
      </c>
      <c r="C146" s="10">
        <f>IFERROR(INDEX('حسابهای دریافتنی'!H:H,MATCH(Table231[[#This Row],[كد تفصيلي]],'حسابهای دریافتنی'!A:A,0)),0)</f>
        <v>-23665000</v>
      </c>
      <c r="D146" s="11">
        <f>IFERROR(INDEX('درجریان وصول'!F:F,MATCH(Table231[[#This Row],[كد تفصيلي]],'درجریان وصول'!A:A,0)),0)</f>
        <v>0</v>
      </c>
      <c r="E146" s="11">
        <f>IFERROR(INDEX('چکهای دریافتنی'!F:F,MATCH(Table231[[#This Row],[كد تفصيلي]],'چکهای دریافتنی'!A:A,0)),0)</f>
        <v>0</v>
      </c>
      <c r="F146" s="11">
        <f>Table231[[#This Row],[حسابهای دریافتنی]]+Table231[[#This Row],[چکهای در جریان وصول]]+Table231[[#This Row],[چکهای نزد صندوق]]</f>
        <v>-23665000</v>
      </c>
      <c r="G146" s="12">
        <f>IFERROR(INDEX('مانده سوفاله'!F:F,MATCH(Table231[[#This Row],[كد تفصيلي]],'مانده سوفاله'!A:A,0)),0)</f>
        <v>0</v>
      </c>
    </row>
    <row r="147" spans="1:7" customFormat="1" ht="21.75" customHeight="1" x14ac:dyDescent="0.35">
      <c r="A147" s="76">
        <v>30072</v>
      </c>
      <c r="B147" s="72" t="s">
        <v>117</v>
      </c>
      <c r="C147" s="10">
        <f>IFERROR(INDEX('حسابهای دریافتنی'!H:H,MATCH(Table231[[#This Row],[كد تفصيلي]],'حسابهای دریافتنی'!A:A,0)),0)</f>
        <v>-30178900</v>
      </c>
      <c r="D147" s="11">
        <f>IFERROR(INDEX('درجریان وصول'!F:F,MATCH(Table231[[#This Row],[كد تفصيلي]],'درجریان وصول'!A:A,0)),0)</f>
        <v>0</v>
      </c>
      <c r="E147" s="11">
        <f>IFERROR(INDEX('چکهای دریافتنی'!F:F,MATCH(Table231[[#This Row],[كد تفصيلي]],'چکهای دریافتنی'!A:A,0)),0)</f>
        <v>0</v>
      </c>
      <c r="F147" s="11">
        <f>Table231[[#This Row],[حسابهای دریافتنی]]+Table231[[#This Row],[چکهای در جریان وصول]]+Table231[[#This Row],[چکهای نزد صندوق]]</f>
        <v>-30178900</v>
      </c>
      <c r="G147" s="12">
        <f>IFERROR(INDEX('مانده سوفاله'!F:F,MATCH(Table231[[#This Row],[كد تفصيلي]],'مانده سوفاله'!A:A,0)),0)</f>
        <v>-79</v>
      </c>
    </row>
    <row r="148" spans="1:7" customFormat="1" ht="21.75" customHeight="1" x14ac:dyDescent="0.35">
      <c r="A148" s="76">
        <v>10049</v>
      </c>
      <c r="B148" s="72" t="s">
        <v>157</v>
      </c>
      <c r="C148" s="10">
        <f>IFERROR(INDEX('حسابهای دریافتنی'!H:H,MATCH(Table231[[#This Row],[كد تفصيلي]],'حسابهای دریافتنی'!A:A,0)),0)</f>
        <v>-32909500</v>
      </c>
      <c r="D148" s="11">
        <f>IFERROR(INDEX('درجریان وصول'!F:F,MATCH(Table231[[#This Row],[كد تفصيلي]],'درجریان وصول'!A:A,0)),0)</f>
        <v>0</v>
      </c>
      <c r="E148" s="11">
        <f>IFERROR(INDEX('چکهای دریافتنی'!F:F,MATCH(Table231[[#This Row],[كد تفصيلي]],'چکهای دریافتنی'!A:A,0)),0)</f>
        <v>0</v>
      </c>
      <c r="F148" s="11">
        <f>Table231[[#This Row],[حسابهای دریافتنی]]+Table231[[#This Row],[چکهای در جریان وصول]]+Table231[[#This Row],[چکهای نزد صندوق]]</f>
        <v>-32909500</v>
      </c>
      <c r="G148" s="12">
        <f>IFERROR(INDEX('مانده سوفاله'!F:F,MATCH(Table231[[#This Row],[كد تفصيلي]],'مانده سوفاله'!A:A,0)),0)</f>
        <v>0</v>
      </c>
    </row>
    <row r="149" spans="1:7" customFormat="1" ht="21.75" customHeight="1" x14ac:dyDescent="0.35">
      <c r="A149" s="76">
        <v>30098</v>
      </c>
      <c r="B149" s="72" t="s">
        <v>238</v>
      </c>
      <c r="C149" s="10">
        <f>IFERROR(INDEX('حسابهای دریافتنی'!H:H,MATCH(Table231[[#This Row],[كد تفصيلي]],'حسابهای دریافتنی'!A:A,0)),0)</f>
        <v>-45125000</v>
      </c>
      <c r="D149" s="11">
        <f>IFERROR(INDEX('درجریان وصول'!F:F,MATCH(Table231[[#This Row],[كد تفصيلي]],'درجریان وصول'!A:A,0)),0)</f>
        <v>0</v>
      </c>
      <c r="E149" s="11">
        <f>IFERROR(INDEX('چکهای دریافتنی'!F:F,MATCH(Table231[[#This Row],[كد تفصيلي]],'چکهای دریافتنی'!A:A,0)),0)</f>
        <v>0</v>
      </c>
      <c r="F149" s="11">
        <f>Table231[[#This Row],[حسابهای دریافتنی]]+Table231[[#This Row],[چکهای در جریان وصول]]+Table231[[#This Row],[چکهای نزد صندوق]]</f>
        <v>-45125000</v>
      </c>
      <c r="G149" s="12">
        <f>IFERROR(INDEX('مانده سوفاله'!F:F,MATCH(Table231[[#This Row],[كد تفصيلي]],'مانده سوفاله'!A:A,0)),0)</f>
        <v>0</v>
      </c>
    </row>
    <row r="150" spans="1:7" customFormat="1" ht="21.75" customHeight="1" x14ac:dyDescent="0.35">
      <c r="A150" s="76">
        <v>30064</v>
      </c>
      <c r="B150" s="72" t="s">
        <v>109</v>
      </c>
      <c r="C150" s="10">
        <f>IFERROR(INDEX('حسابهای دریافتنی'!H:H,MATCH(Table231[[#This Row],[كد تفصيلي]],'حسابهای دریافتنی'!A:A,0)),0)</f>
        <v>-49679500</v>
      </c>
      <c r="D150" s="11">
        <f>IFERROR(INDEX('درجریان وصول'!F:F,MATCH(Table231[[#This Row],[كد تفصيلي]],'درجریان وصول'!A:A,0)),0)</f>
        <v>0</v>
      </c>
      <c r="E150" s="11">
        <f>IFERROR(INDEX('چکهای دریافتنی'!F:F,MATCH(Table231[[#This Row],[كد تفصيلي]],'چکهای دریافتنی'!A:A,0)),0)</f>
        <v>0</v>
      </c>
      <c r="F150" s="11">
        <f>Table231[[#This Row],[حسابهای دریافتنی]]+Table231[[#This Row],[چکهای در جریان وصول]]+Table231[[#This Row],[چکهای نزد صندوق]]</f>
        <v>-49679500</v>
      </c>
      <c r="G150" s="12">
        <f>IFERROR(INDEX('مانده سوفاله'!F:F,MATCH(Table231[[#This Row],[كد تفصيلي]],'مانده سوفاله'!A:A,0)),0)</f>
        <v>0</v>
      </c>
    </row>
    <row r="151" spans="1:7" customFormat="1" ht="21.75" customHeight="1" x14ac:dyDescent="0.35">
      <c r="A151" s="77">
        <v>10123</v>
      </c>
      <c r="B151" s="73" t="s">
        <v>340</v>
      </c>
      <c r="C151" s="10">
        <f>IFERROR(INDEX('حسابهای دریافتنی'!H:H,MATCH(Table231[[#This Row],[كد تفصيلي]],'حسابهای دریافتنی'!A:A,0)),0)</f>
        <v>-50813000</v>
      </c>
      <c r="D151" s="11">
        <f>IFERROR(INDEX('درجریان وصول'!F:F,MATCH(Table231[[#This Row],[كد تفصيلي]],'درجریان وصول'!A:A,0)),0)</f>
        <v>0</v>
      </c>
      <c r="E151" s="11">
        <f>IFERROR(INDEX('چکهای دریافتنی'!F:F,MATCH(Table231[[#This Row],[كد تفصيلي]],'چکهای دریافتنی'!A:A,0)),0)</f>
        <v>0</v>
      </c>
      <c r="F151" s="11">
        <f>Table231[[#This Row],[حسابهای دریافتنی]]+Table231[[#This Row],[چکهای در جریان وصول]]+Table231[[#This Row],[چکهای نزد صندوق]]</f>
        <v>-50813000</v>
      </c>
      <c r="G151" s="12">
        <f>IFERROR(INDEX('مانده سوفاله'!F:F,MATCH(Table231[[#This Row],[كد تفصيلي]],'مانده سوفاله'!A:A,0)),0)</f>
        <v>0</v>
      </c>
    </row>
    <row r="152" spans="1:7" customFormat="1" ht="21.75" customHeight="1" x14ac:dyDescent="0.35">
      <c r="A152" s="77">
        <v>30000</v>
      </c>
      <c r="B152" s="73" t="s">
        <v>189</v>
      </c>
      <c r="C152" s="10">
        <f>IFERROR(INDEX('حسابهای دریافتنی'!H:H,MATCH(Table231[[#This Row],[كد تفصيلي]],'حسابهای دریافتنی'!A:A,0)),0)</f>
        <v>-55440000</v>
      </c>
      <c r="D152" s="11">
        <f>IFERROR(INDEX('درجریان وصول'!F:F,MATCH(Table231[[#This Row],[كد تفصيلي]],'درجریان وصول'!A:A,0)),0)</f>
        <v>0</v>
      </c>
      <c r="E152" s="11">
        <f>IFERROR(INDEX('چکهای دریافتنی'!F:F,MATCH(Table231[[#This Row],[كد تفصيلي]],'چکهای دریافتنی'!A:A,0)),0)</f>
        <v>0</v>
      </c>
      <c r="F152" s="11">
        <f>Table231[[#This Row],[حسابهای دریافتنی]]+Table231[[#This Row],[چکهای در جریان وصول]]+Table231[[#This Row],[چکهای نزد صندوق]]</f>
        <v>-55440000</v>
      </c>
      <c r="G152" s="12">
        <f>IFERROR(INDEX('مانده سوفاله'!F:F,MATCH(Table231[[#This Row],[كد تفصيلي]],'مانده سوفاله'!A:A,0)),0)</f>
        <v>0</v>
      </c>
    </row>
    <row r="153" spans="1:7" customFormat="1" ht="21.75" customHeight="1" x14ac:dyDescent="0.35">
      <c r="A153" s="77">
        <v>30205</v>
      </c>
      <c r="B153" s="73" t="s">
        <v>531</v>
      </c>
      <c r="C153" s="10">
        <f>IFERROR(INDEX('حسابهای دریافتنی'!H:H,MATCH(Table231[[#This Row],[كد تفصيلي]],'حسابهای دریافتنی'!A:A,0)),0)</f>
        <v>-66014320</v>
      </c>
      <c r="D153" s="11">
        <f>IFERROR(INDEX('درجریان وصول'!F:F,MATCH(Table231[[#This Row],[كد تفصيلي]],'درجریان وصول'!A:A,0)),0)</f>
        <v>0</v>
      </c>
      <c r="E153" s="11">
        <f>IFERROR(INDEX('چکهای دریافتنی'!F:F,MATCH(Table231[[#This Row],[كد تفصيلي]],'چکهای دریافتنی'!A:A,0)),0)</f>
        <v>0</v>
      </c>
      <c r="F153" s="11">
        <f>Table231[[#This Row],[حسابهای دریافتنی]]+Table231[[#This Row],[چکهای در جریان وصول]]+Table231[[#This Row],[چکهای نزد صندوق]]</f>
        <v>-66014320</v>
      </c>
      <c r="G153" s="12">
        <f>IFERROR(INDEX('مانده سوفاله'!F:F,MATCH(Table231[[#This Row],[كد تفصيلي]],'مانده سوفاله'!A:A,0)),0)</f>
        <v>0</v>
      </c>
    </row>
    <row r="154" spans="1:7" customFormat="1" ht="21.75" customHeight="1" x14ac:dyDescent="0.35">
      <c r="A154" s="77">
        <v>30133</v>
      </c>
      <c r="B154" s="73" t="s">
        <v>251</v>
      </c>
      <c r="C154" s="10">
        <f>IFERROR(INDEX('حسابهای دریافتنی'!H:H,MATCH(Table231[[#This Row],[كد تفصيلي]],'حسابهای دریافتنی'!A:A,0)),0)</f>
        <v>-66889500</v>
      </c>
      <c r="D154" s="11">
        <f>IFERROR(INDEX('درجریان وصول'!F:F,MATCH(Table231[[#This Row],[كد تفصيلي]],'درجریان وصول'!A:A,0)),0)</f>
        <v>0</v>
      </c>
      <c r="E154" s="11">
        <f>IFERROR(INDEX('چکهای دریافتنی'!F:F,MATCH(Table231[[#This Row],[كد تفصيلي]],'چکهای دریافتنی'!A:A,0)),0)</f>
        <v>0</v>
      </c>
      <c r="F154" s="11">
        <f>Table231[[#This Row],[حسابهای دریافتنی]]+Table231[[#This Row],[چکهای در جریان وصول]]+Table231[[#This Row],[چکهای نزد صندوق]]</f>
        <v>-66889500</v>
      </c>
      <c r="G154" s="12">
        <f>IFERROR(INDEX('مانده سوفاله'!F:F,MATCH(Table231[[#This Row],[كد تفصيلي]],'مانده سوفاله'!A:A,0)),0)</f>
        <v>0</v>
      </c>
    </row>
    <row r="155" spans="1:7" customFormat="1" ht="21.75" customHeight="1" x14ac:dyDescent="0.35">
      <c r="A155" s="76">
        <v>30168</v>
      </c>
      <c r="B155" s="72" t="s">
        <v>313</v>
      </c>
      <c r="C155" s="10">
        <f>IFERROR(INDEX('حسابهای دریافتنی'!H:H,MATCH(Table231[[#This Row],[كد تفصيلي]],'حسابهای دریافتنی'!A:A,0)),0)</f>
        <v>-104220000</v>
      </c>
      <c r="D155" s="11">
        <f>IFERROR(INDEX('درجریان وصول'!F:F,MATCH(Table231[[#This Row],[كد تفصيلي]],'درجریان وصول'!A:A,0)),0)</f>
        <v>0</v>
      </c>
      <c r="E155" s="11">
        <f>IFERROR(INDEX('چکهای دریافتنی'!F:F,MATCH(Table231[[#This Row],[كد تفصيلي]],'چکهای دریافتنی'!A:A,0)),0)</f>
        <v>0</v>
      </c>
      <c r="F155" s="11">
        <f>Table231[[#This Row],[حسابهای دریافتنی]]+Table231[[#This Row],[چکهای در جریان وصول]]+Table231[[#This Row],[چکهای نزد صندوق]]</f>
        <v>-104220000</v>
      </c>
      <c r="G155" s="12">
        <f>IFERROR(INDEX('مانده سوفاله'!F:F,MATCH(Table231[[#This Row],[كد تفصيلي]],'مانده سوفاله'!A:A,0)),0)</f>
        <v>0</v>
      </c>
    </row>
    <row r="156" spans="1:7" customFormat="1" ht="21.75" customHeight="1" x14ac:dyDescent="0.35">
      <c r="A156" s="76">
        <v>30164</v>
      </c>
      <c r="B156" s="72" t="s">
        <v>304</v>
      </c>
      <c r="C156" s="10">
        <f>IFERROR(INDEX('حسابهای دریافتنی'!H:H,MATCH(Table231[[#This Row],[كد تفصيلي]],'حسابهای دریافتنی'!A:A,0)),0)</f>
        <v>184944000</v>
      </c>
      <c r="D156" s="11">
        <f>IFERROR(INDEX('درجریان وصول'!F:F,MATCH(Table231[[#This Row],[كد تفصيلي]],'درجریان وصول'!A:A,0)),0)</f>
        <v>0</v>
      </c>
      <c r="E156" s="11">
        <f>IFERROR(INDEX('چکهای دریافتنی'!F:F,MATCH(Table231[[#This Row],[كد تفصيلي]],'چکهای دریافتنی'!A:A,0)),0)</f>
        <v>0</v>
      </c>
      <c r="F156" s="11">
        <f>Table231[[#This Row],[حسابهای دریافتنی]]+Table231[[#This Row],[چکهای در جریان وصول]]+Table231[[#This Row],[چکهای نزد صندوق]]</f>
        <v>184944000</v>
      </c>
      <c r="G156" s="12">
        <f>IFERROR(INDEX('مانده سوفاله'!F:F,MATCH(Table231[[#This Row],[كد تفصيلي]],'مانده سوفاله'!A:A,0)),0)</f>
        <v>561</v>
      </c>
    </row>
    <row r="157" spans="1:7" customFormat="1" ht="21.75" customHeight="1" x14ac:dyDescent="0.35">
      <c r="A157" s="76">
        <v>10089</v>
      </c>
      <c r="B157" s="72" t="s">
        <v>255</v>
      </c>
      <c r="C157" s="10">
        <f>IFERROR(INDEX('حسابهای دریافتنی'!H:H,MATCH(Table231[[#This Row],[كد تفصيلي]],'حسابهای دریافتنی'!A:A,0)),0)</f>
        <v>-143944000</v>
      </c>
      <c r="D157" s="11">
        <f>IFERROR(INDEX('درجریان وصول'!F:F,MATCH(Table231[[#This Row],[كد تفصيلي]],'درجریان وصول'!A:A,0)),0)</f>
        <v>0</v>
      </c>
      <c r="E157" s="11">
        <f>IFERROR(INDEX('چکهای دریافتنی'!F:F,MATCH(Table231[[#This Row],[كد تفصيلي]],'چکهای دریافتنی'!A:A,0)),0)</f>
        <v>0</v>
      </c>
      <c r="F157" s="11">
        <f>Table231[[#This Row],[حسابهای دریافتنی]]+Table231[[#This Row],[چکهای در جریان وصول]]+Table231[[#This Row],[چکهای نزد صندوق]]</f>
        <v>-143944000</v>
      </c>
      <c r="G157" s="12">
        <f>IFERROR(INDEX('مانده سوفاله'!F:F,MATCH(Table231[[#This Row],[كد تفصيلي]],'مانده سوفاله'!A:A,0)),0)</f>
        <v>-948</v>
      </c>
    </row>
    <row r="158" spans="1:7" customFormat="1" ht="21.75" customHeight="1" x14ac:dyDescent="0.35">
      <c r="A158" s="77">
        <v>30006</v>
      </c>
      <c r="B158" s="73" t="s">
        <v>56</v>
      </c>
      <c r="C158" s="10">
        <f>IFERROR(INDEX('حسابهای دریافتنی'!H:H,MATCH(Table231[[#This Row],[كد تفصيلي]],'حسابهای دریافتنی'!A:A,0)),0)</f>
        <v>-162677545</v>
      </c>
      <c r="D158" s="11">
        <f>IFERROR(INDEX('درجریان وصول'!F:F,MATCH(Table231[[#This Row],[كد تفصيلي]],'درجریان وصول'!A:A,0)),0)</f>
        <v>0</v>
      </c>
      <c r="E158" s="11">
        <f>IFERROR(INDEX('چکهای دریافتنی'!F:F,MATCH(Table231[[#This Row],[كد تفصيلي]],'چکهای دریافتنی'!A:A,0)),0)</f>
        <v>0</v>
      </c>
      <c r="F158" s="11">
        <f>Table231[[#This Row],[حسابهای دریافتنی]]+Table231[[#This Row],[چکهای در جریان وصول]]+Table231[[#This Row],[چکهای نزد صندوق]]</f>
        <v>-162677545</v>
      </c>
      <c r="G158" s="12">
        <f>IFERROR(INDEX('مانده سوفاله'!F:F,MATCH(Table231[[#This Row],[كد تفصيلي]],'مانده سوفاله'!A:A,0)),0)</f>
        <v>-6</v>
      </c>
    </row>
    <row r="159" spans="1:7" customFormat="1" ht="21.75" customHeight="1" x14ac:dyDescent="0.35">
      <c r="A159" s="76">
        <v>30156</v>
      </c>
      <c r="B159" s="72" t="s">
        <v>290</v>
      </c>
      <c r="C159" s="10">
        <f>IFERROR(INDEX('حسابهای دریافتنی'!H:H,MATCH(Table231[[#This Row],[كد تفصيلي]],'حسابهای دریافتنی'!A:A,0)),0)</f>
        <v>-180917500</v>
      </c>
      <c r="D159" s="11">
        <f>IFERROR(INDEX('درجریان وصول'!F:F,MATCH(Table231[[#This Row],[كد تفصيلي]],'درجریان وصول'!A:A,0)),0)</f>
        <v>0</v>
      </c>
      <c r="E159" s="11">
        <f>IFERROR(INDEX('چکهای دریافتنی'!F:F,MATCH(Table231[[#This Row],[كد تفصيلي]],'چکهای دریافتنی'!A:A,0)),0)</f>
        <v>0</v>
      </c>
      <c r="F159" s="11">
        <f>Table231[[#This Row],[حسابهای دریافتنی]]+Table231[[#This Row],[چکهای در جریان وصول]]+Table231[[#This Row],[چکهای نزد صندوق]]</f>
        <v>-180917500</v>
      </c>
      <c r="G159" s="12">
        <f>IFERROR(INDEX('مانده سوفاله'!F:F,MATCH(Table231[[#This Row],[كد تفصيلي]],'مانده سوفاله'!A:A,0)),0)</f>
        <v>0</v>
      </c>
    </row>
    <row r="160" spans="1:7" customFormat="1" ht="21.75" customHeight="1" x14ac:dyDescent="0.35">
      <c r="A160" s="77">
        <v>30183</v>
      </c>
      <c r="B160" s="73" t="s">
        <v>343</v>
      </c>
      <c r="C160" s="10">
        <f>IFERROR(INDEX('حسابهای دریافتنی'!H:H,MATCH(Table231[[#This Row],[كد تفصيلي]],'حسابهای دریافتنی'!A:A,0)),0)</f>
        <v>-5000</v>
      </c>
      <c r="D160" s="11">
        <f>IFERROR(INDEX('درجریان وصول'!F:F,MATCH(Table231[[#This Row],[كد تفصيلي]],'درجریان وصول'!A:A,0)),0)</f>
        <v>0</v>
      </c>
      <c r="E160" s="11">
        <f>IFERROR(INDEX('چکهای دریافتنی'!F:F,MATCH(Table231[[#This Row],[كد تفصيلي]],'چکهای دریافتنی'!A:A,0)),0)</f>
        <v>0</v>
      </c>
      <c r="F160" s="11">
        <f>Table231[[#This Row],[حسابهای دریافتنی]]+Table231[[#This Row],[چکهای در جریان وصول]]+Table231[[#This Row],[چکهای نزد صندوق]]</f>
        <v>-5000</v>
      </c>
      <c r="G160" s="12">
        <f>IFERROR(INDEX('مانده سوفاله'!F:F,MATCH(Table231[[#This Row],[كد تفصيلي]],'مانده سوفاله'!A:A,0)),0)</f>
        <v>0</v>
      </c>
    </row>
    <row r="161" spans="1:7" customFormat="1" ht="21.75" customHeight="1" x14ac:dyDescent="0.35">
      <c r="A161" s="76">
        <v>10079</v>
      </c>
      <c r="B161" s="72" t="s">
        <v>174</v>
      </c>
      <c r="C161" s="10">
        <f>IFERROR(INDEX('حسابهای دریافتنی'!H:H,MATCH(Table231[[#This Row],[كد تفصيلي]],'حسابهای دریافتنی'!A:A,0)),0)</f>
        <v>-226593500</v>
      </c>
      <c r="D161" s="11">
        <f>IFERROR(INDEX('درجریان وصول'!F:F,MATCH(Table231[[#This Row],[كد تفصيلي]],'درجریان وصول'!A:A,0)),0)</f>
        <v>0</v>
      </c>
      <c r="E161" s="11">
        <f>IFERROR(INDEX('چکهای دریافتنی'!F:F,MATCH(Table231[[#This Row],[كد تفصيلي]],'چکهای دریافتنی'!A:A,0)),0)</f>
        <v>0</v>
      </c>
      <c r="F161" s="11">
        <f>Table231[[#This Row],[حسابهای دریافتنی]]+Table231[[#This Row],[چکهای در جریان وصول]]+Table231[[#This Row],[چکهای نزد صندوق]]</f>
        <v>-226593500</v>
      </c>
      <c r="G161" s="12">
        <f>IFERROR(INDEX('مانده سوفاله'!F:F,MATCH(Table231[[#This Row],[كد تفصيلي]],'مانده سوفاله'!A:A,0)),0)</f>
        <v>0</v>
      </c>
    </row>
    <row r="162" spans="1:7" customFormat="1" ht="21.75" customHeight="1" x14ac:dyDescent="0.35">
      <c r="A162" s="77">
        <v>50008</v>
      </c>
      <c r="B162" s="73" t="s">
        <v>146</v>
      </c>
      <c r="C162" s="10">
        <f>IFERROR(INDEX('حسابهای دریافتنی'!H:H,MATCH(Table231[[#This Row],[كد تفصيلي]],'حسابهای دریافتنی'!A:A,0)),0)</f>
        <v>-406230000</v>
      </c>
      <c r="D162" s="11">
        <f>IFERROR(INDEX('درجریان وصول'!F:F,MATCH(Table231[[#This Row],[كد تفصيلي]],'درجریان وصول'!A:A,0)),0)</f>
        <v>0</v>
      </c>
      <c r="E162" s="11">
        <f>IFERROR(INDEX('چکهای دریافتنی'!F:F,MATCH(Table231[[#This Row],[كد تفصيلي]],'چکهای دریافتنی'!A:A,0)),0)</f>
        <v>0</v>
      </c>
      <c r="F162" s="11">
        <f>Table231[[#This Row],[حسابهای دریافتنی]]+Table231[[#This Row],[چکهای در جریان وصول]]+Table231[[#This Row],[چکهای نزد صندوق]]</f>
        <v>-406230000</v>
      </c>
      <c r="G162" s="12">
        <f>IFERROR(INDEX('مانده سوفاله'!F:F,MATCH(Table231[[#This Row],[كد تفصيلي]],'مانده سوفاله'!A:A,0)),0)</f>
        <v>0</v>
      </c>
    </row>
    <row r="163" spans="1:7" customFormat="1" ht="21.75" customHeight="1" x14ac:dyDescent="0.35">
      <c r="A163" s="76">
        <v>30182</v>
      </c>
      <c r="B163" s="72" t="s">
        <v>342</v>
      </c>
      <c r="C163" s="10">
        <f>IFERROR(INDEX('حسابهای دریافتنی'!H:H,MATCH(Table231[[#This Row],[كد تفصيلي]],'حسابهای دریافتنی'!A:A,0)),0)</f>
        <v>-528256400</v>
      </c>
      <c r="D163" s="11">
        <f>IFERROR(INDEX('درجریان وصول'!F:F,MATCH(Table231[[#This Row],[كد تفصيلي]],'درجریان وصول'!A:A,0)),0)</f>
        <v>0</v>
      </c>
      <c r="E163" s="11">
        <f>IFERROR(INDEX('چکهای دریافتنی'!F:F,MATCH(Table231[[#This Row],[كد تفصيلي]],'چکهای دریافتنی'!A:A,0)),0)</f>
        <v>0</v>
      </c>
      <c r="F163" s="11">
        <f>Table231[[#This Row],[حسابهای دریافتنی]]+Table231[[#This Row],[چکهای در جریان وصول]]+Table231[[#This Row],[چکهای نزد صندوق]]</f>
        <v>-528256400</v>
      </c>
      <c r="G163" s="12">
        <f>IFERROR(INDEX('مانده سوفاله'!F:F,MATCH(Table231[[#This Row],[كد تفصيلي]],'مانده سوفاله'!A:A,0)),0)</f>
        <v>0</v>
      </c>
    </row>
    <row r="164" spans="1:7" ht="21.75" customHeight="1" x14ac:dyDescent="0.35">
      <c r="A164" s="74">
        <v>30155</v>
      </c>
      <c r="B164" s="73" t="s">
        <v>289</v>
      </c>
      <c r="C164" s="10">
        <f>IFERROR(INDEX('حسابهای دریافتنی'!H:H,MATCH(Table231[[#This Row],[كد تفصيلي]],'حسابهای دریافتنی'!A:A,0)),0)</f>
        <v>-454985417</v>
      </c>
      <c r="D164" s="11">
        <f>IFERROR(INDEX('درجریان وصول'!F:F,MATCH(Table231[[#This Row],[كد تفصيلي]],'درجریان وصول'!A:A,0)),0)</f>
        <v>0</v>
      </c>
      <c r="E164" s="11">
        <f>IFERROR(INDEX('چکهای دریافتنی'!F:F,MATCH(Table231[[#This Row],[كد تفصيلي]],'چکهای دریافتنی'!A:A,0)),0)</f>
        <v>1379936267</v>
      </c>
      <c r="F164" s="11">
        <f>Table231[[#This Row],[حسابهای دریافتنی]]+Table231[[#This Row],[چکهای در جریان وصول]]+Table231[[#This Row],[چکهای نزد صندوق]]</f>
        <v>924950850</v>
      </c>
      <c r="G164" s="12">
        <f>IFERROR(INDEX('مانده سوفاله'!F:F,MATCH(Table231[[#This Row],[كد تفصيلي]],'مانده سوفاله'!A:A,0)),0)</f>
        <v>0</v>
      </c>
    </row>
    <row r="165" spans="1:7" ht="21.75" customHeight="1" x14ac:dyDescent="0.35">
      <c r="A165" s="74">
        <v>30040</v>
      </c>
      <c r="B165" s="73" t="s">
        <v>87</v>
      </c>
      <c r="C165" s="10">
        <f>IFERROR(INDEX('حسابهای دریافتنی'!H:H,MATCH(Table231[[#This Row],[كد تفصيلي]],'حسابهای دریافتنی'!A:A,0)),0)</f>
        <v>0</v>
      </c>
      <c r="D165" s="11">
        <f>IFERROR(INDEX('درجریان وصول'!F:F,MATCH(Table231[[#This Row],[كد تفصيلي]],'درجریان وصول'!A:A,0)),0)</f>
        <v>0</v>
      </c>
      <c r="E165" s="11">
        <f>IFERROR(INDEX('چکهای دریافتنی'!F:F,MATCH(Table231[[#This Row],[كد تفصيلي]],'چکهای دریافتنی'!A:A,0)),0)</f>
        <v>0</v>
      </c>
      <c r="F165" s="11">
        <f>Table231[[#This Row],[حسابهای دریافتنی]]+Table231[[#This Row],[چکهای در جریان وصول]]+Table231[[#This Row],[چکهای نزد صندوق]]</f>
        <v>0</v>
      </c>
      <c r="G165" s="12">
        <f>IFERROR(INDEX('مانده سوفاله'!F:F,MATCH(Table231[[#This Row],[كد تفصيلي]],'مانده سوفاله'!A:A,0)),0)</f>
        <v>0</v>
      </c>
    </row>
    <row r="166" spans="1:7" ht="21.75" customHeight="1" x14ac:dyDescent="0.35">
      <c r="A166" s="74">
        <v>30189</v>
      </c>
      <c r="B166" s="73" t="s">
        <v>458</v>
      </c>
      <c r="C166" s="10">
        <f>IFERROR(INDEX('حسابهای دریافتنی'!H:H,MATCH(Table231[[#This Row],[كد تفصيلي]],'حسابهای دریافتنی'!A:A,0)),0)</f>
        <v>20776490</v>
      </c>
      <c r="D166" s="11">
        <f>IFERROR(INDEX('درجریان وصول'!F:F,MATCH(Table231[[#This Row],[كد تفصيلي]],'درجریان وصول'!A:A,0)),0)</f>
        <v>0</v>
      </c>
      <c r="E166" s="11">
        <f>IFERROR(INDEX('چکهای دریافتنی'!F:F,MATCH(Table231[[#This Row],[كد تفصيلي]],'چکهای دریافتنی'!A:A,0)),0)</f>
        <v>0</v>
      </c>
      <c r="F166" s="11">
        <f>Table231[[#This Row],[حسابهای دریافتنی]]+Table231[[#This Row],[چکهای در جریان وصول]]+Table231[[#This Row],[چکهای نزد صندوق]]</f>
        <v>20776490</v>
      </c>
      <c r="G166" s="12">
        <f>IFERROR(INDEX('مانده سوفاله'!F:F,MATCH(Table231[[#This Row],[كد تفصيلي]],'مانده سوفاله'!A:A,0)),0)</f>
        <v>0</v>
      </c>
    </row>
    <row r="167" spans="1:7" ht="21.75" customHeight="1" x14ac:dyDescent="0.35">
      <c r="A167" s="75">
        <v>30146</v>
      </c>
      <c r="B167" s="72" t="s">
        <v>266</v>
      </c>
      <c r="C167" s="10">
        <f>IFERROR(INDEX('حسابهای دریافتنی'!H:H,MATCH(Table231[[#This Row],[كد تفصيلي]],'حسابهای دریافتنی'!A:A,0)),0)</f>
        <v>-4146512500</v>
      </c>
      <c r="D167" s="11">
        <f>IFERROR(INDEX('درجریان وصول'!F:F,MATCH(Table231[[#This Row],[كد تفصيلي]],'درجریان وصول'!A:A,0)),0)</f>
        <v>0</v>
      </c>
      <c r="E167" s="11">
        <f>IFERROR(INDEX('چکهای دریافتنی'!F:F,MATCH(Table231[[#This Row],[كد تفصيلي]],'چکهای دریافتنی'!A:A,0)),0)</f>
        <v>0</v>
      </c>
      <c r="F167" s="11">
        <f>Table231[[#This Row],[حسابهای دریافتنی]]+Table231[[#This Row],[چکهای در جریان وصول]]+Table231[[#This Row],[چکهای نزد صندوق]]</f>
        <v>-4146512500</v>
      </c>
      <c r="G167" s="12">
        <f>IFERROR(INDEX('مانده سوفاله'!F:F,MATCH(Table231[[#This Row],[كد تفصيلي]],'مانده سوفاله'!A:A,0)),0)</f>
        <v>2823</v>
      </c>
    </row>
    <row r="168" spans="1:7" ht="21.75" customHeight="1" x14ac:dyDescent="0.35">
      <c r="A168" s="75">
        <v>30184</v>
      </c>
      <c r="B168" s="72" t="s">
        <v>368</v>
      </c>
      <c r="C168" s="10">
        <f>IFERROR(INDEX('حسابهای دریافتنی'!H:H,MATCH(Table231[[#This Row],[كد تفصيلي]],'حسابهای دریافتنی'!A:A,0)),0)</f>
        <v>904890480</v>
      </c>
      <c r="D168" s="11">
        <f>IFERROR(INDEX('درجریان وصول'!F:F,MATCH(Table231[[#This Row],[كد تفصيلي]],'درجریان وصول'!A:A,0)),0)</f>
        <v>0</v>
      </c>
      <c r="E168" s="11">
        <f>IFERROR(INDEX('چکهای دریافتنی'!F:F,MATCH(Table231[[#This Row],[كد تفصيلي]],'چکهای دریافتنی'!A:A,0)),0)</f>
        <v>0</v>
      </c>
      <c r="F168" s="11">
        <f>Table231[[#This Row],[حسابهای دریافتنی]]+Table231[[#This Row],[چکهای در جریان وصول]]+Table231[[#This Row],[چکهای نزد صندوق]]</f>
        <v>904890480</v>
      </c>
      <c r="G168" s="12">
        <f>IFERROR(INDEX('مانده سوفاله'!F:F,MATCH(Table231[[#This Row],[كد تفصيلي]],'مانده سوفاله'!A:A,0)),0)</f>
        <v>-100</v>
      </c>
    </row>
    <row r="169" spans="1:7" ht="21.75" customHeight="1" x14ac:dyDescent="0.35">
      <c r="A169" s="74">
        <v>10109</v>
      </c>
      <c r="B169" s="73" t="s">
        <v>303</v>
      </c>
      <c r="C169" s="10">
        <f>IFERROR(INDEX('حسابهای دریافتنی'!H:H,MATCH(Table231[[#This Row],[كد تفصيلي]],'حسابهای دریافتنی'!A:A,0)),0)</f>
        <v>-1124737000</v>
      </c>
      <c r="D169" s="11">
        <f>IFERROR(INDEX('درجریان وصول'!F:F,MATCH(Table231[[#This Row],[كد تفصيلي]],'درجریان وصول'!A:A,0)),0)</f>
        <v>0</v>
      </c>
      <c r="E169" s="11">
        <f>IFERROR(INDEX('چکهای دریافتنی'!F:F,MATCH(Table231[[#This Row],[كد تفصيلي]],'چکهای دریافتنی'!A:A,0)),0)</f>
        <v>0</v>
      </c>
      <c r="F169" s="11">
        <f>Table231[[#This Row],[حسابهای دریافتنی]]+Table231[[#This Row],[چکهای در جریان وصول]]+Table231[[#This Row],[چکهای نزد صندوق]]</f>
        <v>-1124737000</v>
      </c>
      <c r="G169" s="12">
        <f>IFERROR(INDEX('مانده سوفاله'!F:F,MATCH(Table231[[#This Row],[كد تفصيلي]],'مانده سوفاله'!A:A,0)),0)</f>
        <v>-241</v>
      </c>
    </row>
    <row r="170" spans="1:7" ht="21.75" customHeight="1" x14ac:dyDescent="0.35">
      <c r="A170" s="74">
        <v>30165</v>
      </c>
      <c r="B170" s="73" t="s">
        <v>310</v>
      </c>
      <c r="C170" s="10">
        <f>IFERROR(INDEX('حسابهای دریافتنی'!H:H,MATCH(Table231[[#This Row],[كد تفصيلي]],'حسابهای دریافتنی'!A:A,0)),0)</f>
        <v>-1139268000</v>
      </c>
      <c r="D170" s="11">
        <f>IFERROR(INDEX('درجریان وصول'!F:F,MATCH(Table231[[#This Row],[كد تفصيلي]],'درجریان وصول'!A:A,0)),0)</f>
        <v>0</v>
      </c>
      <c r="E170" s="11">
        <f>IFERROR(INDEX('چکهای دریافتنی'!F:F,MATCH(Table231[[#This Row],[كد تفصيلي]],'چکهای دریافتنی'!A:A,0)),0)</f>
        <v>0</v>
      </c>
      <c r="F170" s="11">
        <f>Table231[[#This Row],[حسابهای دریافتنی]]+Table231[[#This Row],[چکهای در جریان وصول]]+Table231[[#This Row],[چکهای نزد صندوق]]</f>
        <v>-1139268000</v>
      </c>
      <c r="G170" s="12">
        <f>IFERROR(INDEX('مانده سوفاله'!F:F,MATCH(Table231[[#This Row],[كد تفصيلي]],'مانده سوفاله'!A:A,0)),0)</f>
        <v>0</v>
      </c>
    </row>
    <row r="171" spans="1:7" ht="21.75" customHeight="1" x14ac:dyDescent="0.35">
      <c r="A171" s="75">
        <v>10029</v>
      </c>
      <c r="B171" s="72" t="s">
        <v>35</v>
      </c>
      <c r="C171" s="10">
        <f>IFERROR(INDEX('حسابهای دریافتنی'!H:H,MATCH(Table231[[#This Row],[كد تفصيلي]],'حسابهای دریافتنی'!A:A,0)),0)</f>
        <v>-1038298620</v>
      </c>
      <c r="D171" s="11">
        <f>IFERROR(INDEX('درجریان وصول'!F:F,MATCH(Table231[[#This Row],[كد تفصيلي]],'درجریان وصول'!A:A,0)),0)</f>
        <v>0</v>
      </c>
      <c r="E171" s="11">
        <f>IFERROR(INDEX('چکهای دریافتنی'!F:F,MATCH(Table231[[#This Row],[كد تفصيلي]],'چکهای دریافتنی'!A:A,0)),0)</f>
        <v>2019000000</v>
      </c>
      <c r="F171" s="11">
        <f>Table231[[#This Row],[حسابهای دریافتنی]]+Table231[[#This Row],[چکهای در جریان وصول]]+Table231[[#This Row],[چکهای نزد صندوق]]</f>
        <v>980701380</v>
      </c>
      <c r="G171" s="12">
        <f>IFERROR(INDEX('مانده سوفاله'!F:F,MATCH(Table231[[#This Row],[كد تفصيلي]],'مانده سوفاله'!A:A,0)),0)</f>
        <v>6603</v>
      </c>
    </row>
    <row r="172" spans="1:7" ht="21.75" customHeight="1" x14ac:dyDescent="0.35">
      <c r="A172" s="75">
        <v>10126</v>
      </c>
      <c r="B172" s="72" t="s">
        <v>370</v>
      </c>
      <c r="C172" s="10">
        <f>IFERROR(INDEX('حسابهای دریافتنی'!H:H,MATCH(Table231[[#This Row],[كد تفصيلي]],'حسابهای دریافتنی'!A:A,0)),0)</f>
        <v>12165000</v>
      </c>
      <c r="D172" s="11">
        <f>IFERROR(INDEX('درجریان وصول'!F:F,MATCH(Table231[[#This Row],[كد تفصيلي]],'درجریان وصول'!A:A,0)),0)</f>
        <v>0</v>
      </c>
      <c r="E172" s="11">
        <f>IFERROR(INDEX('چکهای دریافتنی'!F:F,MATCH(Table231[[#This Row],[كد تفصيلي]],'چکهای دریافتنی'!A:A,0)),0)</f>
        <v>0</v>
      </c>
      <c r="F172" s="11">
        <f>Table231[[#This Row],[حسابهای دریافتنی]]+Table231[[#This Row],[چکهای در جریان وصول]]+Table231[[#This Row],[چکهای نزد صندوق]]</f>
        <v>12165000</v>
      </c>
      <c r="G172" s="12">
        <f>IFERROR(INDEX('مانده سوفاله'!F:F,MATCH(Table231[[#This Row],[كد تفصيلي]],'مانده سوفاله'!A:A,0)),0)</f>
        <v>0</v>
      </c>
    </row>
    <row r="173" spans="1:7" ht="21.75" customHeight="1" x14ac:dyDescent="0.35">
      <c r="A173" s="74">
        <v>10002</v>
      </c>
      <c r="B173" s="73" t="s">
        <v>9</v>
      </c>
      <c r="C173" s="10">
        <f>IFERROR(INDEX('حسابهای دریافتنی'!H:H,MATCH(Table231[[#This Row],[كد تفصيلي]],'حسابهای دریافتنی'!A:A,0)),0)</f>
        <v>-3600000000</v>
      </c>
      <c r="D173" s="11">
        <f>IFERROR(INDEX('درجریان وصول'!F:F,MATCH(Table231[[#This Row],[كد تفصيلي]],'درجریان وصول'!A:A,0)),0)</f>
        <v>0</v>
      </c>
      <c r="E173" s="11">
        <f>IFERROR(INDEX('چکهای دریافتنی'!F:F,MATCH(Table231[[#This Row],[كد تفصيلي]],'چکهای دریافتنی'!A:A,0)),0)</f>
        <v>0</v>
      </c>
      <c r="F173" s="11">
        <f>Table231[[#This Row],[حسابهای دریافتنی]]+Table231[[#This Row],[چکهای در جریان وصول]]+Table231[[#This Row],[چکهای نزد صندوق]]</f>
        <v>-3600000000</v>
      </c>
      <c r="G173" s="12">
        <f>IFERROR(INDEX('مانده سوفاله'!F:F,MATCH(Table231[[#This Row],[كد تفصيلي]],'مانده سوفاله'!A:A,0)),0)</f>
        <v>0</v>
      </c>
    </row>
    <row r="174" spans="1:7" ht="21.75" customHeight="1" x14ac:dyDescent="0.35">
      <c r="A174" s="74">
        <v>30131</v>
      </c>
      <c r="B174" s="73" t="s">
        <v>213</v>
      </c>
      <c r="C174" s="10">
        <f>IFERROR(INDEX('حسابهای دریافتنی'!H:H,MATCH(Table231[[#This Row],[كد تفصيلي]],'حسابهای دریافتنی'!A:A,0)),0)</f>
        <v>-6228486500</v>
      </c>
      <c r="D174" s="11">
        <f>IFERROR(INDEX('درجریان وصول'!F:F,MATCH(Table231[[#This Row],[كد تفصيلي]],'درجریان وصول'!A:A,0)),0)</f>
        <v>0</v>
      </c>
      <c r="E174" s="11">
        <f>IFERROR(INDEX('چکهای دریافتنی'!F:F,MATCH(Table231[[#This Row],[كد تفصيلي]],'چکهای دریافتنی'!A:A,0)),0)</f>
        <v>0</v>
      </c>
      <c r="F174" s="11">
        <f>Table231[[#This Row],[حسابهای دریافتنی]]+Table231[[#This Row],[چکهای در جریان وصول]]+Table231[[#This Row],[چکهای نزد صندوق]]</f>
        <v>-6228486500</v>
      </c>
      <c r="G174" s="12">
        <f>IFERROR(INDEX('مانده سوفاله'!F:F,MATCH(Table231[[#This Row],[كد تفصيلي]],'مانده سوفاله'!A:A,0)),0)</f>
        <v>222</v>
      </c>
    </row>
    <row r="175" spans="1:7" ht="21.75" customHeight="1" x14ac:dyDescent="0.35">
      <c r="A175" s="75">
        <v>10009</v>
      </c>
      <c r="B175" s="72" t="s">
        <v>16</v>
      </c>
      <c r="C175" s="10">
        <f>IFERROR(INDEX('حسابهای دریافتنی'!H:H,MATCH(Table231[[#This Row],[كد تفصيلي]],'حسابهای دریافتنی'!A:A,0)),0)</f>
        <v>-4260580000</v>
      </c>
      <c r="D175" s="11">
        <f>IFERROR(INDEX('درجریان وصول'!F:F,MATCH(Table231[[#This Row],[كد تفصيلي]],'درجریان وصول'!A:A,0)),0)</f>
        <v>0</v>
      </c>
      <c r="E175" s="11">
        <f>IFERROR(INDEX('چکهای دریافتنی'!F:F,MATCH(Table231[[#This Row],[كد تفصيلي]],'چکهای دریافتنی'!A:A,0)),0)</f>
        <v>1600000000</v>
      </c>
      <c r="F175" s="11">
        <f>Table231[[#This Row],[حسابهای دریافتنی]]+Table231[[#This Row],[چکهای در جریان وصول]]+Table231[[#This Row],[چکهای نزد صندوق]]</f>
        <v>-2660580000</v>
      </c>
      <c r="G175" s="12">
        <f>IFERROR(INDEX('مانده سوفاله'!F:F,MATCH(Table231[[#This Row],[كد تفصيلي]],'مانده سوفاله'!A:A,0)),0)</f>
        <v>9952</v>
      </c>
    </row>
    <row r="176" spans="1:7" ht="21.75" customHeight="1" x14ac:dyDescent="0.35">
      <c r="A176" s="75">
        <v>79120</v>
      </c>
      <c r="B176" s="72" t="s">
        <v>195</v>
      </c>
      <c r="C176" s="10">
        <f>IFERROR(INDEX('حسابهای دریافتنی'!H:H,MATCH(Table231[[#This Row],[كد تفصيلي]],'حسابهای دریافتنی'!A:A,0)),0)</f>
        <v>-15776160000</v>
      </c>
      <c r="D176" s="11">
        <f>IFERROR(INDEX('درجریان وصول'!F:F,MATCH(Table231[[#This Row],[كد تفصيلي]],'درجریان وصول'!A:A,0)),0)</f>
        <v>0</v>
      </c>
      <c r="E176" s="11">
        <f>IFERROR(INDEX('چکهای دریافتنی'!F:F,MATCH(Table231[[#This Row],[كد تفصيلي]],'چکهای دریافتنی'!A:A,0)),0)</f>
        <v>0</v>
      </c>
      <c r="F176" s="11">
        <f>Table231[[#This Row],[حسابهای دریافتنی]]+Table231[[#This Row],[چکهای در جریان وصول]]+Table231[[#This Row],[چکهای نزد صندوق]]</f>
        <v>-15776160000</v>
      </c>
      <c r="G176" s="12">
        <f>IFERROR(INDEX('مانده سوفاله'!F:F,MATCH(Table231[[#This Row],[كد تفصيلي]],'مانده سوفاله'!A:A,0)),0)</f>
        <v>0</v>
      </c>
    </row>
    <row r="177" spans="1:7" ht="21.75" customHeight="1" x14ac:dyDescent="0.35">
      <c r="A177" s="74">
        <v>79043</v>
      </c>
      <c r="B177" s="73" t="s">
        <v>156</v>
      </c>
      <c r="C177" s="10">
        <f>IFERROR(INDEX('حسابهای دریافتنی'!H:H,MATCH(Table231[[#This Row],[كد تفصيلي]],'حسابهای دریافتنی'!A:A,0)),0)</f>
        <v>-16110730000</v>
      </c>
      <c r="D177" s="11">
        <f>IFERROR(INDEX('درجریان وصول'!F:F,MATCH(Table231[[#This Row],[كد تفصيلي]],'درجریان وصول'!A:A,0)),0)</f>
        <v>0</v>
      </c>
      <c r="E177" s="11">
        <f>IFERROR(INDEX('چکهای دریافتنی'!F:F,MATCH(Table231[[#This Row],[كد تفصيلي]],'چکهای دریافتنی'!A:A,0)),0)</f>
        <v>0</v>
      </c>
      <c r="F177" s="11">
        <f>Table231[[#This Row],[حسابهای دریافتنی]]+Table231[[#This Row],[چکهای در جریان وصول]]+Table231[[#This Row],[چکهای نزد صندوق]]</f>
        <v>-16110730000</v>
      </c>
      <c r="G177" s="12">
        <f>IFERROR(INDEX('مانده سوفاله'!F:F,MATCH(Table231[[#This Row],[كد تفصيلي]],'مانده سوفاله'!A:A,0)),0)</f>
        <v>0</v>
      </c>
    </row>
    <row r="178" spans="1:7" ht="21.75" customHeight="1" x14ac:dyDescent="0.35">
      <c r="A178" s="36"/>
      <c r="B178" s="37"/>
      <c r="C178" s="38">
        <f>SUBTOTAL(109,Table231[حسابهای دریافتنی])</f>
        <v>56988404079</v>
      </c>
      <c r="D178" s="38">
        <f>SUBTOTAL(109,Table231[چکهای در جریان وصول])</f>
        <v>0</v>
      </c>
      <c r="E178" s="38">
        <f>SUBTOTAL(109,Table231[چکهای نزد صندوق])</f>
        <v>61274452942</v>
      </c>
      <c r="F178" s="38"/>
      <c r="G178" s="39">
        <f>SUBTOTAL(109,Table231[مانده سوفاله])</f>
        <v>-133695.5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0" orientation="landscape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80"/>
  <sheetViews>
    <sheetView rightToLeft="1" topLeftCell="A76" workbookViewId="0">
      <selection activeCell="D100" sqref="D100"/>
    </sheetView>
  </sheetViews>
  <sheetFormatPr defaultColWidth="9.08984375" defaultRowHeight="26.25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79.5" customHeight="1" thickBot="1" x14ac:dyDescent="0.4">
      <c r="A1" s="97" t="s">
        <v>542</v>
      </c>
      <c r="B1" s="98"/>
      <c r="C1" s="98"/>
      <c r="D1" s="98"/>
      <c r="E1" s="98"/>
      <c r="F1" s="98"/>
      <c r="G1" s="99"/>
    </row>
    <row r="2" spans="1:7" s="2" customFormat="1" ht="52.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26.25" customHeight="1" x14ac:dyDescent="0.35">
      <c r="A3" s="74">
        <v>30127</v>
      </c>
      <c r="B3" s="73" t="s">
        <v>163</v>
      </c>
      <c r="C3" s="85">
        <f>IFERROR(INDEX('حسابهای دریافتنی'!H:H,MATCH(Table232[[#This Row],[كد تفصيلي]],'حسابهای دریافتنی'!A:A,0)),0)</f>
        <v>31800110000</v>
      </c>
      <c r="D3" s="85">
        <f>IFERROR(INDEX('درجریان وصول'!F:F,MATCH(Table232[[#This Row],[كد تفصيلي]],'درجریان وصول'!A:A,0)),0)</f>
        <v>0</v>
      </c>
      <c r="E3" s="85">
        <f>IFERROR(INDEX('چکهای دریافتنی'!F:F,MATCH(Table232[[#This Row],[كد تفصيلي]],'چکهای دریافتنی'!A:A,0)),0)</f>
        <v>0</v>
      </c>
      <c r="F3" s="85">
        <f>Table232[[#This Row],[حسابهای دریافتنی]]+Table232[[#This Row],[چکهای در جریان وصول]]+Table232[[#This Row],[چکهای نزد صندوق]]</f>
        <v>31800110000</v>
      </c>
      <c r="G3" s="86">
        <f>IFERROR(INDEX('مانده سوفاله'!F:F,MATCH(Table232[[#This Row],[كد تفصيلي]],'مانده سوفاله'!A:A,0)),0)</f>
        <v>-18472</v>
      </c>
    </row>
    <row r="4" spans="1:7" ht="26.25" customHeight="1" x14ac:dyDescent="0.35">
      <c r="A4" s="75">
        <v>10003</v>
      </c>
      <c r="B4" s="72" t="s">
        <v>10</v>
      </c>
      <c r="C4" s="85">
        <f>IFERROR(INDEX('حسابهای دریافتنی'!H:H,MATCH(Table232[[#This Row],[كد تفصيلي]],'حسابهای دریافتنی'!A:A,0)),0)</f>
        <v>10804267992</v>
      </c>
      <c r="D4" s="85">
        <f>IFERROR(INDEX('درجریان وصول'!F:F,MATCH(Table232[[#This Row],[كد تفصيلي]],'درجریان وصول'!A:A,0)),0)</f>
        <v>0</v>
      </c>
      <c r="E4" s="85">
        <f>IFERROR(INDEX('چکهای دریافتنی'!F:F,MATCH(Table232[[#This Row],[كد تفصيلي]],'چکهای دریافتنی'!A:A,0)),0)</f>
        <v>13698001280</v>
      </c>
      <c r="F4" s="85">
        <f>Table232[[#This Row],[حسابهای دریافتنی]]+Table232[[#This Row],[چکهای در جریان وصول]]+Table232[[#This Row],[چکهای نزد صندوق]]</f>
        <v>24502269272</v>
      </c>
      <c r="G4" s="86">
        <f>IFERROR(INDEX('مانده سوفاله'!F:F,MATCH(Table232[[#This Row],[كد تفصيلي]],'مانده سوفاله'!A:A,0)),0)</f>
        <v>-39886</v>
      </c>
    </row>
    <row r="5" spans="1:7" ht="26.25" customHeight="1" x14ac:dyDescent="0.35">
      <c r="A5" s="75">
        <v>10055</v>
      </c>
      <c r="B5" s="72" t="s">
        <v>162</v>
      </c>
      <c r="C5" s="85">
        <f>IFERROR(INDEX('حسابهای دریافتنی'!H:H,MATCH(Table232[[#This Row],[كد تفصيلي]],'حسابهای دریافتنی'!A:A,0)),0)</f>
        <v>10460111325</v>
      </c>
      <c r="D5" s="85">
        <f>IFERROR(INDEX('درجریان وصول'!F:F,MATCH(Table232[[#This Row],[كد تفصيلي]],'درجریان وصول'!A:A,0)),0)</f>
        <v>0</v>
      </c>
      <c r="E5" s="85">
        <f>IFERROR(INDEX('چکهای دریافتنی'!F:F,MATCH(Table232[[#This Row],[كد تفصيلي]],'چکهای دریافتنی'!A:A,0)),0)</f>
        <v>2783298655</v>
      </c>
      <c r="F5" s="85">
        <f>Table232[[#This Row],[حسابهای دریافتنی]]+Table232[[#This Row],[چکهای در جریان وصول]]+Table232[[#This Row],[چکهای نزد صندوق]]</f>
        <v>13243409980</v>
      </c>
      <c r="G5" s="86">
        <f>IFERROR(INDEX('مانده سوفاله'!F:F,MATCH(Table232[[#This Row],[كد تفصيلي]],'مانده سوفاله'!A:A,0)),0)</f>
        <v>-12714</v>
      </c>
    </row>
    <row r="6" spans="1:7" ht="26.25" customHeight="1" x14ac:dyDescent="0.35">
      <c r="A6" s="74">
        <v>30004</v>
      </c>
      <c r="B6" s="73" t="s">
        <v>54</v>
      </c>
      <c r="C6" s="85">
        <f>IFERROR(INDEX('حسابهای دریافتنی'!H:H,MATCH(Table232[[#This Row],[كد تفصيلي]],'حسابهای دریافتنی'!A:A,0)),0)</f>
        <v>7598548260</v>
      </c>
      <c r="D6" s="85">
        <f>IFERROR(INDEX('درجریان وصول'!F:F,MATCH(Table232[[#This Row],[كد تفصيلي]],'درجریان وصول'!A:A,0)),0)</f>
        <v>0</v>
      </c>
      <c r="E6" s="85">
        <f>IFERROR(INDEX('چکهای دریافتنی'!F:F,MATCH(Table232[[#This Row],[كد تفصيلي]],'چکهای دریافتنی'!A:A,0)),0)</f>
        <v>11698760000</v>
      </c>
      <c r="F6" s="85">
        <f>Table232[[#This Row],[حسابهای دریافتنی]]+Table232[[#This Row],[چکهای در جریان وصول]]+Table232[[#This Row],[چکهای نزد صندوق]]</f>
        <v>19297308260</v>
      </c>
      <c r="G6" s="86">
        <f>IFERROR(INDEX('مانده سوفاله'!F:F,MATCH(Table232[[#This Row],[كد تفصيلي]],'مانده سوفاله'!A:A,0)),0)</f>
        <v>-4237</v>
      </c>
    </row>
    <row r="7" spans="1:7" ht="26.25" customHeight="1" x14ac:dyDescent="0.35">
      <c r="A7" s="75">
        <v>30066</v>
      </c>
      <c r="B7" s="72" t="s">
        <v>111</v>
      </c>
      <c r="C7" s="85">
        <f>IFERROR(INDEX('حسابهای دریافتنی'!H:H,MATCH(Table232[[#This Row],[كد تفصيلي]],'حسابهای دریافتنی'!A:A,0)),0)</f>
        <v>6484147500</v>
      </c>
      <c r="D7" s="85">
        <f>IFERROR(INDEX('درجریان وصول'!F:F,MATCH(Table232[[#This Row],[كد تفصيلي]],'درجریان وصول'!A:A,0)),0)</f>
        <v>0</v>
      </c>
      <c r="E7" s="85">
        <f>IFERROR(INDEX('چکهای دریافتنی'!F:F,MATCH(Table232[[#This Row],[كد تفصيلي]],'چکهای دریافتنی'!A:A,0)),0)</f>
        <v>0</v>
      </c>
      <c r="F7" s="85">
        <f>Table232[[#This Row],[حسابهای دریافتنی]]+Table232[[#This Row],[چکهای در جریان وصول]]+Table232[[#This Row],[چکهای نزد صندوق]]</f>
        <v>6484147500</v>
      </c>
      <c r="G7" s="86">
        <f>IFERROR(INDEX('مانده سوفاله'!F:F,MATCH(Table232[[#This Row],[كد تفصيلي]],'مانده سوفاله'!A:A,0)),0)</f>
        <v>-1320</v>
      </c>
    </row>
    <row r="8" spans="1:7" ht="26.25" customHeight="1" x14ac:dyDescent="0.35">
      <c r="A8" s="74">
        <v>50016</v>
      </c>
      <c r="B8" s="73" t="s">
        <v>160</v>
      </c>
      <c r="C8" s="85">
        <f>IFERROR(INDEX('حسابهای دریافتنی'!H:H,MATCH(Table232[[#This Row],[كد تفصيلي]],'حسابهای دریافتنی'!A:A,0)),0)</f>
        <v>6344545550</v>
      </c>
      <c r="D8" s="85">
        <f>IFERROR(INDEX('درجریان وصول'!F:F,MATCH(Table232[[#This Row],[كد تفصيلي]],'درجریان وصول'!A:A,0)),0)</f>
        <v>0</v>
      </c>
      <c r="E8" s="85">
        <f>IFERROR(INDEX('چکهای دریافتنی'!F:F,MATCH(Table232[[#This Row],[كد تفصيلي]],'چکهای دریافتنی'!A:A,0)),0)</f>
        <v>0</v>
      </c>
      <c r="F8" s="85">
        <f>Table232[[#This Row],[حسابهای دریافتنی]]+Table232[[#This Row],[چکهای در جریان وصول]]+Table232[[#This Row],[چکهای نزد صندوق]]</f>
        <v>6344545550</v>
      </c>
      <c r="G8" s="86">
        <f>IFERROR(INDEX('مانده سوفاله'!F:F,MATCH(Table232[[#This Row],[كد تفصيلي]],'مانده سوفاله'!A:A,0)),0)</f>
        <v>5508</v>
      </c>
    </row>
    <row r="9" spans="1:7" ht="26.25" customHeight="1" x14ac:dyDescent="0.35">
      <c r="A9" s="75">
        <v>30009</v>
      </c>
      <c r="B9" s="72" t="s">
        <v>164</v>
      </c>
      <c r="C9" s="85">
        <f>IFERROR(INDEX('حسابهای دریافتنی'!H:H,MATCH(Table232[[#This Row],[كد تفصيلي]],'حسابهای دریافتنی'!A:A,0)),0)</f>
        <v>7853844277</v>
      </c>
      <c r="D9" s="85">
        <f>IFERROR(INDEX('درجریان وصول'!F:F,MATCH(Table232[[#This Row],[كد تفصيلي]],'درجریان وصول'!A:A,0)),0)</f>
        <v>0</v>
      </c>
      <c r="E9" s="85">
        <f>IFERROR(INDEX('چکهای دریافتنی'!F:F,MATCH(Table232[[#This Row],[كد تفصيلي]],'چکهای دریافتنی'!A:A,0)),0)</f>
        <v>6474835380</v>
      </c>
      <c r="F9" s="85">
        <f>Table232[[#This Row],[حسابهای دریافتنی]]+Table232[[#This Row],[چکهای در جریان وصول]]+Table232[[#This Row],[چکهای نزد صندوق]]</f>
        <v>14328679657</v>
      </c>
      <c r="G9" s="86">
        <f>IFERROR(INDEX('مانده سوفاله'!F:F,MATCH(Table232[[#This Row],[كد تفصيلي]],'مانده سوفاله'!A:A,0)),0)</f>
        <v>-11452</v>
      </c>
    </row>
    <row r="10" spans="1:7" ht="26.25" customHeight="1" x14ac:dyDescent="0.35">
      <c r="A10" s="74">
        <v>30196</v>
      </c>
      <c r="B10" s="73" t="s">
        <v>481</v>
      </c>
      <c r="C10" s="85">
        <f>IFERROR(INDEX('حسابهای دریافتنی'!H:H,MATCH(Table232[[#This Row],[كد تفصيلي]],'حسابهای دریافتنی'!A:A,0)),0)</f>
        <v>3592950000</v>
      </c>
      <c r="D10" s="85">
        <f>IFERROR(INDEX('درجریان وصول'!F:F,MATCH(Table232[[#This Row],[كد تفصيلي]],'درجریان وصول'!A:A,0)),0)</f>
        <v>0</v>
      </c>
      <c r="E10" s="85">
        <f>IFERROR(INDEX('چکهای دریافتنی'!F:F,MATCH(Table232[[#This Row],[كد تفصيلي]],'چکهای دریافتنی'!A:A,0)),0)</f>
        <v>0</v>
      </c>
      <c r="F10" s="85">
        <f>Table232[[#This Row],[حسابهای دریافتنی]]+Table232[[#This Row],[چکهای در جریان وصول]]+Table232[[#This Row],[چکهای نزد صندوق]]</f>
        <v>3592950000</v>
      </c>
      <c r="G10" s="86">
        <f>IFERROR(INDEX('مانده سوفاله'!F:F,MATCH(Table232[[#This Row],[كد تفصيلي]],'مانده سوفاله'!A:A,0)),0)</f>
        <v>-8965</v>
      </c>
    </row>
    <row r="11" spans="1:7" ht="26.25" customHeight="1" x14ac:dyDescent="0.35">
      <c r="A11" s="74">
        <v>30022</v>
      </c>
      <c r="B11" s="73" t="s">
        <v>70</v>
      </c>
      <c r="C11" s="85">
        <f>IFERROR(INDEX('حسابهای دریافتنی'!H:H,MATCH(Table232[[#This Row],[كد تفصيلي]],'حسابهای دریافتنی'!A:A,0)),0)</f>
        <v>2933770530</v>
      </c>
      <c r="D11" s="85">
        <f>IFERROR(INDEX('درجریان وصول'!F:F,MATCH(Table232[[#This Row],[كد تفصيلي]],'درجریان وصول'!A:A,0)),0)</f>
        <v>0</v>
      </c>
      <c r="E11" s="85">
        <f>IFERROR(INDEX('چکهای دریافتنی'!F:F,MATCH(Table232[[#This Row],[كد تفصيلي]],'چکهای دریافتنی'!A:A,0)),0)</f>
        <v>0</v>
      </c>
      <c r="F11" s="85">
        <f>Table232[[#This Row],[حسابهای دریافتنی]]+Table232[[#This Row],[چکهای در جریان وصول]]+Table232[[#This Row],[چکهای نزد صندوق]]</f>
        <v>2933770530</v>
      </c>
      <c r="G11" s="86">
        <f>IFERROR(INDEX('مانده سوفاله'!F:F,MATCH(Table232[[#This Row],[كد تفصيلي]],'مانده سوفاله'!A:A,0)),0)</f>
        <v>-14747</v>
      </c>
    </row>
    <row r="12" spans="1:7" ht="26.25" customHeight="1" x14ac:dyDescent="0.35">
      <c r="A12" s="74">
        <v>30014</v>
      </c>
      <c r="B12" s="73" t="s">
        <v>63</v>
      </c>
      <c r="C12" s="85">
        <f>IFERROR(INDEX('حسابهای دریافتنی'!H:H,MATCH(Table232[[#This Row],[كد تفصيلي]],'حسابهای دریافتنی'!A:A,0)),0)</f>
        <v>1762223932</v>
      </c>
      <c r="D12" s="85">
        <f>IFERROR(INDEX('درجریان وصول'!F:F,MATCH(Table232[[#This Row],[كد تفصيلي]],'درجریان وصول'!A:A,0)),0)</f>
        <v>0</v>
      </c>
      <c r="E12" s="85">
        <f>IFERROR(INDEX('چکهای دریافتنی'!F:F,MATCH(Table232[[#This Row],[كد تفصيلي]],'چکهای دریافتنی'!A:A,0)),0)</f>
        <v>0</v>
      </c>
      <c r="F12" s="85">
        <f>Table232[[#This Row],[حسابهای دریافتنی]]+Table232[[#This Row],[چکهای در جریان وصول]]+Table232[[#This Row],[چکهای نزد صندوق]]</f>
        <v>1762223932</v>
      </c>
      <c r="G12" s="86">
        <f>IFERROR(INDEX('مانده سوفاله'!F:F,MATCH(Table232[[#This Row],[كد تفصيلي]],'مانده سوفاله'!A:A,0)),0)</f>
        <v>-1368</v>
      </c>
    </row>
    <row r="13" spans="1:7" ht="26.25" customHeight="1" x14ac:dyDescent="0.35">
      <c r="A13" s="75">
        <v>30058</v>
      </c>
      <c r="B13" s="72" t="s">
        <v>103</v>
      </c>
      <c r="C13" s="85">
        <f>IFERROR(INDEX('حسابهای دریافتنی'!H:H,MATCH(Table232[[#This Row],[كد تفصيلي]],'حسابهای دریافتنی'!A:A,0)),0)</f>
        <v>1700045560</v>
      </c>
      <c r="D13" s="85">
        <f>IFERROR(INDEX('درجریان وصول'!F:F,MATCH(Table232[[#This Row],[كد تفصيلي]],'درجریان وصول'!A:A,0)),0)</f>
        <v>0</v>
      </c>
      <c r="E13" s="85">
        <f>IFERROR(INDEX('چکهای دریافتنی'!F:F,MATCH(Table232[[#This Row],[كد تفصيلي]],'چکهای دریافتنی'!A:A,0)),0)</f>
        <v>0</v>
      </c>
      <c r="F13" s="85">
        <f>Table232[[#This Row],[حسابهای دریافتنی]]+Table232[[#This Row],[چکهای در جریان وصول]]+Table232[[#This Row],[چکهای نزد صندوق]]</f>
        <v>1700045560</v>
      </c>
      <c r="G13" s="86">
        <f>IFERROR(INDEX('مانده سوفاله'!F:F,MATCH(Table232[[#This Row],[كد تفصيلي]],'مانده سوفاله'!A:A,0)),0)</f>
        <v>-225</v>
      </c>
    </row>
    <row r="14" spans="1:7" ht="26.25" customHeight="1" x14ac:dyDescent="0.35">
      <c r="A14" s="75">
        <v>10027</v>
      </c>
      <c r="B14" s="72" t="s">
        <v>33</v>
      </c>
      <c r="C14" s="85">
        <f>IFERROR(INDEX('حسابهای دریافتنی'!H:H,MATCH(Table232[[#This Row],[كد تفصيلي]],'حسابهای دریافتنی'!A:A,0)),0)</f>
        <v>33078340</v>
      </c>
      <c r="D14" s="85">
        <f>IFERROR(INDEX('درجریان وصول'!F:F,MATCH(Table232[[#This Row],[كد تفصيلي]],'درجریان وصول'!A:A,0)),0)</f>
        <v>0</v>
      </c>
      <c r="E14" s="85">
        <f>IFERROR(INDEX('چکهای دریافتنی'!F:F,MATCH(Table232[[#This Row],[كد تفصيلي]],'چکهای دریافتنی'!A:A,0)),0)</f>
        <v>1588359160</v>
      </c>
      <c r="F14" s="85">
        <f>Table232[[#This Row],[حسابهای دریافتنی]]+Table232[[#This Row],[چکهای در جریان وصول]]+Table232[[#This Row],[چکهای نزد صندوق]]</f>
        <v>1621437500</v>
      </c>
      <c r="G14" s="86">
        <f>IFERROR(INDEX('مانده سوفاله'!F:F,MATCH(Table232[[#This Row],[كد تفصيلي]],'مانده سوفاله'!A:A,0)),0)</f>
        <v>-647</v>
      </c>
    </row>
    <row r="15" spans="1:7" ht="26.25" customHeight="1" x14ac:dyDescent="0.35">
      <c r="A15" s="74">
        <v>30018</v>
      </c>
      <c r="B15" s="73" t="s">
        <v>66</v>
      </c>
      <c r="C15" s="85">
        <f>IFERROR(INDEX('حسابهای دریافتنی'!H:H,MATCH(Table232[[#This Row],[كد تفصيلي]],'حسابهای دریافتنی'!A:A,0)),0)</f>
        <v>1901077182</v>
      </c>
      <c r="D15" s="85">
        <f>IFERROR(INDEX('درجریان وصول'!F:F,MATCH(Table232[[#This Row],[كد تفصيلي]],'درجریان وصول'!A:A,0)),0)</f>
        <v>0</v>
      </c>
      <c r="E15" s="85">
        <f>IFERROR(INDEX('چکهای دریافتنی'!F:F,MATCH(Table232[[#This Row],[كد تفصيلي]],'چکهای دریافتنی'!A:A,0)),0)</f>
        <v>0</v>
      </c>
      <c r="F15" s="85">
        <f>Table232[[#This Row],[حسابهای دریافتنی]]+Table232[[#This Row],[چکهای در جریان وصول]]+Table232[[#This Row],[چکهای نزد صندوق]]</f>
        <v>1901077182</v>
      </c>
      <c r="G15" s="86">
        <f>IFERROR(INDEX('مانده سوفاله'!F:F,MATCH(Table232[[#This Row],[كد تفصيلي]],'مانده سوفاله'!A:A,0)),0)</f>
        <v>-3024</v>
      </c>
    </row>
    <row r="16" spans="1:7" ht="26.25" customHeight="1" x14ac:dyDescent="0.35">
      <c r="A16" s="74">
        <v>30169</v>
      </c>
      <c r="B16" s="73" t="s">
        <v>318</v>
      </c>
      <c r="C16" s="85">
        <f>IFERROR(INDEX('حسابهای دریافتنی'!H:H,MATCH(Table232[[#This Row],[كد تفصيلي]],'حسابهای دریافتنی'!A:A,0)),0)</f>
        <v>-658993316</v>
      </c>
      <c r="D16" s="85">
        <f>IFERROR(INDEX('درجریان وصول'!F:F,MATCH(Table232[[#This Row],[كد تفصيلي]],'درجریان وصول'!A:A,0)),0)</f>
        <v>0</v>
      </c>
      <c r="E16" s="85">
        <f>IFERROR(INDEX('چکهای دریافتنی'!F:F,MATCH(Table232[[#This Row],[كد تفصيلي]],'چکهای دریافتنی'!A:A,0)),0)</f>
        <v>2085000000</v>
      </c>
      <c r="F16" s="85">
        <f>Table232[[#This Row],[حسابهای دریافتنی]]+Table232[[#This Row],[چکهای در جریان وصول]]+Table232[[#This Row],[چکهای نزد صندوق]]</f>
        <v>1426006684</v>
      </c>
      <c r="G16" s="86">
        <f>IFERROR(INDEX('مانده سوفاله'!F:F,MATCH(Table232[[#This Row],[كد تفصيلي]],'مانده سوفاله'!A:A,0)),0)</f>
        <v>0</v>
      </c>
    </row>
    <row r="17" spans="1:7" ht="26.25" customHeight="1" x14ac:dyDescent="0.35">
      <c r="A17" s="74">
        <v>30099</v>
      </c>
      <c r="B17" s="73" t="s">
        <v>167</v>
      </c>
      <c r="C17" s="85">
        <f>IFERROR(INDEX('حسابهای دریافتنی'!H:H,MATCH(Table232[[#This Row],[كد تفصيلي]],'حسابهای دریافتنی'!A:A,0)),0)</f>
        <v>1398393484</v>
      </c>
      <c r="D17" s="85">
        <f>IFERROR(INDEX('درجریان وصول'!F:F,MATCH(Table232[[#This Row],[كد تفصيلي]],'درجریان وصول'!A:A,0)),0)</f>
        <v>0</v>
      </c>
      <c r="E17" s="85">
        <f>IFERROR(INDEX('چکهای دریافتنی'!F:F,MATCH(Table232[[#This Row],[كد تفصيلي]],'چکهای دریافتنی'!A:A,0)),0)</f>
        <v>583000000</v>
      </c>
      <c r="F17" s="85">
        <f>Table232[[#This Row],[حسابهای دریافتنی]]+Table232[[#This Row],[چکهای در جریان وصول]]+Table232[[#This Row],[چکهای نزد صندوق]]</f>
        <v>1981393484</v>
      </c>
      <c r="G17" s="86">
        <f>IFERROR(INDEX('مانده سوفاله'!F:F,MATCH(Table232[[#This Row],[كد تفصيلي]],'مانده سوفاله'!A:A,0)),0)</f>
        <v>-332</v>
      </c>
    </row>
    <row r="18" spans="1:7" ht="26.25" customHeight="1" x14ac:dyDescent="0.35">
      <c r="A18" s="75">
        <v>10057</v>
      </c>
      <c r="B18" s="72" t="s">
        <v>225</v>
      </c>
      <c r="C18" s="85">
        <f>IFERROR(INDEX('حسابهای دریافتنی'!H:H,MATCH(Table232[[#This Row],[كد تفصيلي]],'حسابهای دریافتنی'!A:A,0)),0)</f>
        <v>1390485500</v>
      </c>
      <c r="D18" s="85">
        <f>IFERROR(INDEX('درجریان وصول'!F:F,MATCH(Table232[[#This Row],[كد تفصيلي]],'درجریان وصول'!A:A,0)),0)</f>
        <v>0</v>
      </c>
      <c r="E18" s="85">
        <f>IFERROR(INDEX('چکهای دریافتنی'!F:F,MATCH(Table232[[#This Row],[كد تفصيلي]],'چکهای دریافتنی'!A:A,0)),0)</f>
        <v>0</v>
      </c>
      <c r="F18" s="85">
        <f>Table232[[#This Row],[حسابهای دریافتنی]]+Table232[[#This Row],[چکهای در جریان وصول]]+Table232[[#This Row],[چکهای نزد صندوق]]</f>
        <v>1390485500</v>
      </c>
      <c r="G18" s="86">
        <f>IFERROR(INDEX('مانده سوفاله'!F:F,MATCH(Table232[[#This Row],[كد تفصيلي]],'مانده سوفاله'!A:A,0)),0)</f>
        <v>-2044</v>
      </c>
    </row>
    <row r="19" spans="1:7" ht="26.25" customHeight="1" x14ac:dyDescent="0.35">
      <c r="A19" s="74">
        <v>30081</v>
      </c>
      <c r="B19" s="73" t="s">
        <v>126</v>
      </c>
      <c r="C19" s="85">
        <f>IFERROR(INDEX('حسابهای دریافتنی'!H:H,MATCH(Table232[[#This Row],[كد تفصيلي]],'حسابهای دریافتنی'!A:A,0)),0)</f>
        <v>1148992373</v>
      </c>
      <c r="D19" s="85">
        <f>IFERROR(INDEX('درجریان وصول'!F:F,MATCH(Table232[[#This Row],[كد تفصيلي]],'درجریان وصول'!A:A,0)),0)</f>
        <v>0</v>
      </c>
      <c r="E19" s="85">
        <f>IFERROR(INDEX('چکهای دریافتنی'!F:F,MATCH(Table232[[#This Row],[كد تفصيلي]],'چکهای دریافتنی'!A:A,0)),0)</f>
        <v>0</v>
      </c>
      <c r="F19" s="85">
        <f>Table232[[#This Row],[حسابهای دریافتنی]]+Table232[[#This Row],[چکهای در جریان وصول]]+Table232[[#This Row],[چکهای نزد صندوق]]</f>
        <v>1148992373</v>
      </c>
      <c r="G19" s="86">
        <f>IFERROR(INDEX('مانده سوفاله'!F:F,MATCH(Table232[[#This Row],[كد تفصيلي]],'مانده سوفاله'!A:A,0)),0)</f>
        <v>-6924</v>
      </c>
    </row>
    <row r="20" spans="1:7" ht="26.25" customHeight="1" x14ac:dyDescent="0.35">
      <c r="A20" s="74">
        <v>10072</v>
      </c>
      <c r="B20" s="73" t="s">
        <v>177</v>
      </c>
      <c r="C20" s="85">
        <f>IFERROR(INDEX('حسابهای دریافتنی'!H:H,MATCH(Table232[[#This Row],[كد تفصيلي]],'حسابهای دریافتنی'!A:A,0)),0)</f>
        <v>55880</v>
      </c>
      <c r="D20" s="85">
        <f>IFERROR(INDEX('درجریان وصول'!F:F,MATCH(Table232[[#This Row],[كد تفصيلي]],'درجریان وصول'!A:A,0)),0)</f>
        <v>0</v>
      </c>
      <c r="E20" s="85">
        <f>IFERROR(INDEX('چکهای دریافتنی'!F:F,MATCH(Table232[[#This Row],[كد تفصيلي]],'چکهای دریافتنی'!A:A,0)),0)</f>
        <v>427700000</v>
      </c>
      <c r="F20" s="85">
        <f>Table232[[#This Row],[حسابهای دریافتنی]]+Table232[[#This Row],[چکهای در جریان وصول]]+Table232[[#This Row],[چکهای نزد صندوق]]</f>
        <v>427755880</v>
      </c>
      <c r="G20" s="86">
        <f>IFERROR(INDEX('مانده سوفاله'!F:F,MATCH(Table232[[#This Row],[كد تفصيلي]],'مانده سوفاله'!A:A,0)),0)</f>
        <v>0</v>
      </c>
    </row>
    <row r="21" spans="1:7" ht="26.25" customHeight="1" x14ac:dyDescent="0.35">
      <c r="A21" s="75">
        <v>30017</v>
      </c>
      <c r="B21" s="72" t="s">
        <v>65</v>
      </c>
      <c r="C21" s="85">
        <f>IFERROR(INDEX('حسابهای دریافتنی'!H:H,MATCH(Table232[[#This Row],[كد تفصيلي]],'حسابهای دریافتنی'!A:A,0)),0)</f>
        <v>905000830</v>
      </c>
      <c r="D21" s="85">
        <f>IFERROR(INDEX('درجریان وصول'!F:F,MATCH(Table232[[#This Row],[كد تفصيلي]],'درجریان وصول'!A:A,0)),0)</f>
        <v>0</v>
      </c>
      <c r="E21" s="85">
        <f>IFERROR(INDEX('چکهای دریافتنی'!F:F,MATCH(Table232[[#This Row],[كد تفصيلي]],'چکهای دریافتنی'!A:A,0)),0)</f>
        <v>0</v>
      </c>
      <c r="F21" s="85">
        <f>Table232[[#This Row],[حسابهای دریافتنی]]+Table232[[#This Row],[چکهای در جریان وصول]]+Table232[[#This Row],[چکهای نزد صندوق]]</f>
        <v>905000830</v>
      </c>
      <c r="G21" s="86">
        <f>IFERROR(INDEX('مانده سوفاله'!F:F,MATCH(Table232[[#This Row],[كد تفصيلي]],'مانده سوفاله'!A:A,0)),0)</f>
        <v>-2186</v>
      </c>
    </row>
    <row r="22" spans="1:7" ht="26.25" customHeight="1" x14ac:dyDescent="0.35">
      <c r="A22" s="75">
        <v>30184</v>
      </c>
      <c r="B22" s="72" t="s">
        <v>368</v>
      </c>
      <c r="C22" s="85">
        <f>IFERROR(INDEX('حسابهای دریافتنی'!H:H,MATCH(Table232[[#This Row],[كد تفصيلي]],'حسابهای دریافتنی'!A:A,0)),0)</f>
        <v>904890480</v>
      </c>
      <c r="D22" s="85">
        <f>IFERROR(INDEX('درجریان وصول'!F:F,MATCH(Table232[[#This Row],[كد تفصيلي]],'درجریان وصول'!A:A,0)),0)</f>
        <v>0</v>
      </c>
      <c r="E22" s="85">
        <f>IFERROR(INDEX('چکهای دریافتنی'!F:F,MATCH(Table232[[#This Row],[كد تفصيلي]],'چکهای دریافتنی'!A:A,0)),0)</f>
        <v>0</v>
      </c>
      <c r="F22" s="85">
        <f>Table232[[#This Row],[حسابهای دریافتنی]]+Table232[[#This Row],[چکهای در جریان وصول]]+Table232[[#This Row],[چکهای نزد صندوق]]</f>
        <v>904890480</v>
      </c>
      <c r="G22" s="86">
        <f>IFERROR(INDEX('مانده سوفاله'!F:F,MATCH(Table232[[#This Row],[كد تفصيلي]],'مانده سوفاله'!A:A,0)),0)</f>
        <v>-100</v>
      </c>
    </row>
    <row r="23" spans="1:7" ht="26.25" customHeight="1" x14ac:dyDescent="0.35">
      <c r="A23" s="75">
        <v>50011</v>
      </c>
      <c r="B23" s="72" t="s">
        <v>147</v>
      </c>
      <c r="C23" s="85">
        <f>IFERROR(INDEX('حسابهای دریافتنی'!H:H,MATCH(Table232[[#This Row],[كد تفصيلي]],'حسابهای دریافتنی'!A:A,0)),0)</f>
        <v>832182413</v>
      </c>
      <c r="D23" s="85">
        <f>IFERROR(INDEX('درجریان وصول'!F:F,MATCH(Table232[[#This Row],[كد تفصيلي]],'درجریان وصول'!A:A,0)),0)</f>
        <v>0</v>
      </c>
      <c r="E23" s="85">
        <f>IFERROR(INDEX('چکهای دریافتنی'!F:F,MATCH(Table232[[#This Row],[كد تفصيلي]],'چکهای دریافتنی'!A:A,0)),0)</f>
        <v>0</v>
      </c>
      <c r="F23" s="85">
        <f>Table232[[#This Row],[حسابهای دریافتنی]]+Table232[[#This Row],[چکهای در جریان وصول]]+Table232[[#This Row],[چکهای نزد صندوق]]</f>
        <v>832182413</v>
      </c>
      <c r="G23" s="86">
        <f>IFERROR(INDEX('مانده سوفاله'!F:F,MATCH(Table232[[#This Row],[كد تفصيلي]],'مانده سوفاله'!A:A,0)),0)</f>
        <v>30</v>
      </c>
    </row>
    <row r="24" spans="1:7" ht="26.25" customHeight="1" x14ac:dyDescent="0.35">
      <c r="A24" s="75">
        <v>30019</v>
      </c>
      <c r="B24" s="72" t="s">
        <v>67</v>
      </c>
      <c r="C24" s="85">
        <f>IFERROR(INDEX('حسابهای دریافتنی'!H:H,MATCH(Table232[[#This Row],[كد تفصيلي]],'حسابهای دریافتنی'!A:A,0)),0)</f>
        <v>823484840</v>
      </c>
      <c r="D24" s="85">
        <f>IFERROR(INDEX('درجریان وصول'!F:F,MATCH(Table232[[#This Row],[كد تفصيلي]],'درجریان وصول'!A:A,0)),0)</f>
        <v>0</v>
      </c>
      <c r="E24" s="85">
        <f>IFERROR(INDEX('چکهای دریافتنی'!F:F,MATCH(Table232[[#This Row],[كد تفصيلي]],'چکهای دریافتنی'!A:A,0)),0)</f>
        <v>0</v>
      </c>
      <c r="F24" s="85">
        <f>Table232[[#This Row],[حسابهای دریافتنی]]+Table232[[#This Row],[چکهای در جریان وصول]]+Table232[[#This Row],[چکهای نزد صندوق]]</f>
        <v>823484840</v>
      </c>
      <c r="G24" s="86">
        <f>IFERROR(INDEX('مانده سوفاله'!F:F,MATCH(Table232[[#This Row],[كد تفصيلي]],'مانده سوفاله'!A:A,0)),0)</f>
        <v>612</v>
      </c>
    </row>
    <row r="25" spans="1:7" ht="26.25" customHeight="1" x14ac:dyDescent="0.35">
      <c r="A25" s="74">
        <v>10127</v>
      </c>
      <c r="B25" s="73" t="s">
        <v>371</v>
      </c>
      <c r="C25" s="85">
        <f>IFERROR(INDEX('حسابهای دریافتنی'!H:H,MATCH(Table232[[#This Row],[كد تفصيلي]],'حسابهای دریافتنی'!A:A,0)),0)</f>
        <v>803728000</v>
      </c>
      <c r="D25" s="85">
        <f>IFERROR(INDEX('درجریان وصول'!F:F,MATCH(Table232[[#This Row],[كد تفصيلي]],'درجریان وصول'!A:A,0)),0)</f>
        <v>0</v>
      </c>
      <c r="E25" s="85">
        <f>IFERROR(INDEX('چکهای دریافتنی'!F:F,MATCH(Table232[[#This Row],[كد تفصيلي]],'چکهای دریافتنی'!A:A,0)),0)</f>
        <v>0</v>
      </c>
      <c r="F25" s="85">
        <f>Table232[[#This Row],[حسابهای دریافتنی]]+Table232[[#This Row],[چکهای در جریان وصول]]+Table232[[#This Row],[چکهای نزد صندوق]]</f>
        <v>803728000</v>
      </c>
      <c r="G25" s="86">
        <f>IFERROR(INDEX('مانده سوفاله'!F:F,MATCH(Table232[[#This Row],[كد تفصيلي]],'مانده سوفاله'!A:A,0)),0)</f>
        <v>-1469</v>
      </c>
    </row>
    <row r="26" spans="1:7" ht="26.25" customHeight="1" x14ac:dyDescent="0.35">
      <c r="A26" s="75">
        <v>30186</v>
      </c>
      <c r="B26" s="72" t="s">
        <v>367</v>
      </c>
      <c r="C26" s="85">
        <f>IFERROR(INDEX('حسابهای دریافتنی'!H:H,MATCH(Table232[[#This Row],[كد تفصيلي]],'حسابهای دریافتنی'!A:A,0)),0)</f>
        <v>986425000</v>
      </c>
      <c r="D26" s="85">
        <f>IFERROR(INDEX('درجریان وصول'!F:F,MATCH(Table232[[#This Row],[كد تفصيلي]],'درجریان وصول'!A:A,0)),0)</f>
        <v>0</v>
      </c>
      <c r="E26" s="85">
        <f>IFERROR(INDEX('چکهای دریافتنی'!F:F,MATCH(Table232[[#This Row],[كد تفصيلي]],'چکهای دریافتنی'!A:A,0)),0)</f>
        <v>5982430000</v>
      </c>
      <c r="F26" s="85">
        <f>Table232[[#This Row],[حسابهای دریافتنی]]+Table232[[#This Row],[چکهای در جریان وصول]]+Table232[[#This Row],[چکهای نزد صندوق]]</f>
        <v>6968855000</v>
      </c>
      <c r="G26" s="86">
        <f>IFERROR(INDEX('مانده سوفاله'!F:F,MATCH(Table232[[#This Row],[كد تفصيلي]],'مانده سوفاله'!A:A,0)),0)</f>
        <v>-7388</v>
      </c>
    </row>
    <row r="27" spans="1:7" ht="26.25" customHeight="1" x14ac:dyDescent="0.35">
      <c r="A27" s="75">
        <v>30003</v>
      </c>
      <c r="B27" s="72" t="s">
        <v>53</v>
      </c>
      <c r="C27" s="85">
        <f>IFERROR(INDEX('حسابهای دریافتنی'!H:H,MATCH(Table232[[#This Row],[كد تفصيلي]],'حسابهای دریافتنی'!A:A,0)),0)</f>
        <v>754765900</v>
      </c>
      <c r="D27" s="85">
        <f>IFERROR(INDEX('درجریان وصول'!F:F,MATCH(Table232[[#This Row],[كد تفصيلي]],'درجریان وصول'!A:A,0)),0)</f>
        <v>0</v>
      </c>
      <c r="E27" s="85">
        <f>IFERROR(INDEX('چکهای دریافتنی'!F:F,MATCH(Table232[[#This Row],[كد تفصيلي]],'چکهای دریافتنی'!A:A,0)),0)</f>
        <v>571000000</v>
      </c>
      <c r="F27" s="85">
        <f>Table232[[#This Row],[حسابهای دریافتنی]]+Table232[[#This Row],[چکهای در جریان وصول]]+Table232[[#This Row],[چکهای نزد صندوق]]</f>
        <v>1325765900</v>
      </c>
      <c r="G27" s="86">
        <f>IFERROR(INDEX('مانده سوفاله'!F:F,MATCH(Table232[[#This Row],[كد تفصيلي]],'مانده سوفاله'!A:A,0)),0)</f>
        <v>-3538</v>
      </c>
    </row>
    <row r="28" spans="1:7" ht="26.25" customHeight="1" x14ac:dyDescent="0.35">
      <c r="A28" s="74">
        <v>30191</v>
      </c>
      <c r="B28" s="73" t="s">
        <v>460</v>
      </c>
      <c r="C28" s="85">
        <f>IFERROR(INDEX('حسابهای دریافتنی'!H:H,MATCH(Table232[[#This Row],[كد تفصيلي]],'حسابهای دریافتنی'!A:A,0)),0)</f>
        <v>792933000</v>
      </c>
      <c r="D28" s="85">
        <f>IFERROR(INDEX('درجریان وصول'!F:F,MATCH(Table232[[#This Row],[كد تفصيلي]],'درجریان وصول'!A:A,0)),0)</f>
        <v>0</v>
      </c>
      <c r="E28" s="85">
        <f>IFERROR(INDEX('چکهای دریافتنی'!F:F,MATCH(Table232[[#This Row],[كد تفصيلي]],'چکهای دریافتنی'!A:A,0)),0)</f>
        <v>0</v>
      </c>
      <c r="F28" s="85">
        <f>Table232[[#This Row],[حسابهای دریافتنی]]+Table232[[#This Row],[چکهای در جریان وصول]]+Table232[[#This Row],[چکهای نزد صندوق]]</f>
        <v>792933000</v>
      </c>
      <c r="G28" s="86">
        <f>IFERROR(INDEX('مانده سوفاله'!F:F,MATCH(Table232[[#This Row],[كد تفصيلي]],'مانده سوفاله'!A:A,0)),0)</f>
        <v>134</v>
      </c>
    </row>
    <row r="29" spans="1:7" ht="26.25" customHeight="1" x14ac:dyDescent="0.35">
      <c r="A29" s="74">
        <v>10008</v>
      </c>
      <c r="B29" s="73" t="s">
        <v>15</v>
      </c>
      <c r="C29" s="85">
        <f>IFERROR(INDEX('حسابهای دریافتنی'!H:H,MATCH(Table232[[#This Row],[كد تفصيلي]],'حسابهای دریافتنی'!A:A,0)),0)</f>
        <v>597342000</v>
      </c>
      <c r="D29" s="85">
        <f>IFERROR(INDEX('درجریان وصول'!F:F,MATCH(Table232[[#This Row],[كد تفصيلي]],'درجریان وصول'!A:A,0)),0)</f>
        <v>0</v>
      </c>
      <c r="E29" s="85">
        <f>IFERROR(INDEX('چکهای دریافتنی'!F:F,MATCH(Table232[[#This Row],[كد تفصيلي]],'چکهای دریافتنی'!A:A,0)),0)</f>
        <v>0</v>
      </c>
      <c r="F29" s="85">
        <f>Table232[[#This Row],[حسابهای دریافتنی]]+Table232[[#This Row],[چکهای در جریان وصول]]+Table232[[#This Row],[چکهای نزد صندوق]]</f>
        <v>597342000</v>
      </c>
      <c r="G29" s="86">
        <f>IFERROR(INDEX('مانده سوفاله'!F:F,MATCH(Table232[[#This Row],[كد تفصيلي]],'مانده سوفاله'!A:A,0)),0)</f>
        <v>-578</v>
      </c>
    </row>
    <row r="30" spans="1:7" ht="26.25" customHeight="1" x14ac:dyDescent="0.35">
      <c r="A30" s="75">
        <v>30140</v>
      </c>
      <c r="B30" s="72" t="s">
        <v>259</v>
      </c>
      <c r="C30" s="85">
        <f>IFERROR(INDEX('حسابهای دریافتنی'!H:H,MATCH(Table232[[#This Row],[كد تفصيلي]],'حسابهای دریافتنی'!A:A,0)),0)</f>
        <v>553728200</v>
      </c>
      <c r="D30" s="85">
        <f>IFERROR(INDEX('درجریان وصول'!F:F,MATCH(Table232[[#This Row],[كد تفصيلي]],'درجریان وصول'!A:A,0)),0)</f>
        <v>0</v>
      </c>
      <c r="E30" s="85">
        <f>IFERROR(INDEX('چکهای دریافتنی'!F:F,MATCH(Table232[[#This Row],[كد تفصيلي]],'چکهای دریافتنی'!A:A,0)),0)</f>
        <v>1030000000</v>
      </c>
      <c r="F30" s="85">
        <f>Table232[[#This Row],[حسابهای دریافتنی]]+Table232[[#This Row],[چکهای در جریان وصول]]+Table232[[#This Row],[چکهای نزد صندوق]]</f>
        <v>1583728200</v>
      </c>
      <c r="G30" s="86">
        <f>IFERROR(INDEX('مانده سوفاله'!F:F,MATCH(Table232[[#This Row],[كد تفصيلي]],'مانده سوفاله'!A:A,0)),0)</f>
        <v>-12630</v>
      </c>
    </row>
    <row r="31" spans="1:7" ht="26.25" customHeight="1" x14ac:dyDescent="0.35">
      <c r="A31" s="74">
        <v>30034</v>
      </c>
      <c r="B31" s="73" t="s">
        <v>81</v>
      </c>
      <c r="C31" s="85">
        <f>IFERROR(INDEX('حسابهای دریافتنی'!H:H,MATCH(Table232[[#This Row],[كد تفصيلي]],'حسابهای دریافتنی'!A:A,0)),0)</f>
        <v>388329200</v>
      </c>
      <c r="D31" s="85">
        <f>IFERROR(INDEX('درجریان وصول'!F:F,MATCH(Table232[[#This Row],[كد تفصيلي]],'درجریان وصول'!A:A,0)),0)</f>
        <v>0</v>
      </c>
      <c r="E31" s="85">
        <f>IFERROR(INDEX('چکهای دریافتنی'!F:F,MATCH(Table232[[#This Row],[كد تفصيلي]],'چکهای دریافتنی'!A:A,0)),0)</f>
        <v>0</v>
      </c>
      <c r="F31" s="85">
        <f>Table232[[#This Row],[حسابهای دریافتنی]]+Table232[[#This Row],[چکهای در جریان وصول]]+Table232[[#This Row],[چکهای نزد صندوق]]</f>
        <v>388329200</v>
      </c>
      <c r="G31" s="86">
        <f>IFERROR(INDEX('مانده سوفاله'!F:F,MATCH(Table232[[#This Row],[كد تفصيلي]],'مانده سوفاله'!A:A,0)),0)</f>
        <v>2886</v>
      </c>
    </row>
    <row r="32" spans="1:7" ht="26.25" customHeight="1" x14ac:dyDescent="0.35">
      <c r="A32" s="74">
        <v>30069</v>
      </c>
      <c r="B32" s="73" t="s">
        <v>114</v>
      </c>
      <c r="C32" s="85">
        <f>IFERROR(INDEX('حسابهای دریافتنی'!H:H,MATCH(Table232[[#This Row],[كد تفصيلي]],'حسابهای دریافتنی'!A:A,0)),0)</f>
        <v>377909400</v>
      </c>
      <c r="D32" s="85">
        <f>IFERROR(INDEX('درجریان وصول'!F:F,MATCH(Table232[[#This Row],[كد تفصيلي]],'درجریان وصول'!A:A,0)),0)</f>
        <v>0</v>
      </c>
      <c r="E32" s="85">
        <f>IFERROR(INDEX('چکهای دریافتنی'!F:F,MATCH(Table232[[#This Row],[كد تفصيلي]],'چکهای دریافتنی'!A:A,0)),0)</f>
        <v>0</v>
      </c>
      <c r="F32" s="85">
        <f>Table232[[#This Row],[حسابهای دریافتنی]]+Table232[[#This Row],[چکهای در جریان وصول]]+Table232[[#This Row],[چکهای نزد صندوق]]</f>
        <v>377909400</v>
      </c>
      <c r="G32" s="86">
        <f>IFERROR(INDEX('مانده سوفاله'!F:F,MATCH(Table232[[#This Row],[كد تفصيلي]],'مانده سوفاله'!A:A,0)),0)</f>
        <v>66</v>
      </c>
    </row>
    <row r="33" spans="1:7" ht="26.25" customHeight="1" x14ac:dyDescent="0.35">
      <c r="A33" s="74">
        <v>10084</v>
      </c>
      <c r="B33" s="73" t="s">
        <v>217</v>
      </c>
      <c r="C33" s="85">
        <f>IFERROR(INDEX('حسابهای دریافتنی'!H:H,MATCH(Table232[[#This Row],[كد تفصيلي]],'حسابهای دریافتنی'!A:A,0)),0)</f>
        <v>358092810</v>
      </c>
      <c r="D33" s="85">
        <f>IFERROR(INDEX('درجریان وصول'!F:F,MATCH(Table232[[#This Row],[كد تفصيلي]],'درجریان وصول'!A:A,0)),0)</f>
        <v>0</v>
      </c>
      <c r="E33" s="85">
        <f>IFERROR(INDEX('چکهای دریافتنی'!F:F,MATCH(Table232[[#This Row],[كد تفصيلي]],'چکهای دریافتنی'!A:A,0)),0)</f>
        <v>870000000</v>
      </c>
      <c r="F33" s="85">
        <f>Table232[[#This Row],[حسابهای دریافتنی]]+Table232[[#This Row],[چکهای در جریان وصول]]+Table232[[#This Row],[چکهای نزد صندوق]]</f>
        <v>1228092810</v>
      </c>
      <c r="G33" s="86">
        <f>IFERROR(INDEX('مانده سوفاله'!F:F,MATCH(Table232[[#This Row],[كد تفصيلي]],'مانده سوفاله'!A:A,0)),0)</f>
        <v>-1656</v>
      </c>
    </row>
    <row r="34" spans="1:7" ht="26.25" customHeight="1" x14ac:dyDescent="0.35">
      <c r="A34" s="74">
        <v>30187</v>
      </c>
      <c r="B34" s="73" t="s">
        <v>369</v>
      </c>
      <c r="C34" s="85">
        <f>IFERROR(INDEX('حسابهای دریافتنی'!H:H,MATCH(Table232[[#This Row],[كد تفصيلي]],'حسابهای دریافتنی'!A:A,0)),0)</f>
        <v>337825500</v>
      </c>
      <c r="D34" s="85">
        <f>IFERROR(INDEX('درجریان وصول'!F:F,MATCH(Table232[[#This Row],[كد تفصيلي]],'درجریان وصول'!A:A,0)),0)</f>
        <v>0</v>
      </c>
      <c r="E34" s="85">
        <f>IFERROR(INDEX('چکهای دریافتنی'!F:F,MATCH(Table232[[#This Row],[كد تفصيلي]],'چکهای دریافتنی'!A:A,0)),0)</f>
        <v>0</v>
      </c>
      <c r="F34" s="85">
        <f>Table232[[#This Row],[حسابهای دریافتنی]]+Table232[[#This Row],[چکهای در جریان وصول]]+Table232[[#This Row],[چکهای نزد صندوق]]</f>
        <v>337825500</v>
      </c>
      <c r="G34" s="86">
        <f>IFERROR(INDEX('مانده سوفاله'!F:F,MATCH(Table232[[#This Row],[كد تفصيلي]],'مانده سوفاله'!A:A,0)),0)</f>
        <v>-108</v>
      </c>
    </row>
    <row r="35" spans="1:7" ht="26.25" customHeight="1" x14ac:dyDescent="0.35">
      <c r="A35" s="74">
        <v>10020</v>
      </c>
      <c r="B35" s="73" t="s">
        <v>27</v>
      </c>
      <c r="C35" s="85">
        <f>IFERROR(INDEX('حسابهای دریافتنی'!H:H,MATCH(Table232[[#This Row],[كد تفصيلي]],'حسابهای دریافتنی'!A:A,0)),0)</f>
        <v>57999963</v>
      </c>
      <c r="D35" s="85">
        <f>IFERROR(INDEX('درجریان وصول'!F:F,MATCH(Table232[[#This Row],[كد تفصيلي]],'درجریان وصول'!A:A,0)),0)</f>
        <v>0</v>
      </c>
      <c r="E35" s="85">
        <f>IFERROR(INDEX('چکهای دریافتنی'!F:F,MATCH(Table232[[#This Row],[كد تفصيلي]],'چکهای دریافتنی'!A:A,0)),0)</f>
        <v>728000000</v>
      </c>
      <c r="F35" s="85">
        <f>Table232[[#This Row],[حسابهای دریافتنی]]+Table232[[#This Row],[چکهای در جریان وصول]]+Table232[[#This Row],[چکهای نزد صندوق]]</f>
        <v>785999963</v>
      </c>
      <c r="G35" s="86">
        <f>IFERROR(INDEX('مانده سوفاله'!F:F,MATCH(Table232[[#This Row],[كد تفصيلي]],'مانده سوفاله'!A:A,0)),0)</f>
        <v>-1031</v>
      </c>
    </row>
    <row r="36" spans="1:7" ht="26.25" customHeight="1" x14ac:dyDescent="0.35">
      <c r="A36" s="75">
        <v>30190</v>
      </c>
      <c r="B36" s="72" t="s">
        <v>459</v>
      </c>
      <c r="C36" s="85">
        <f>IFERROR(INDEX('حسابهای دریافتنی'!H:H,MATCH(Table232[[#This Row],[كد تفصيلي]],'حسابهای دریافتنی'!A:A,0)),0)</f>
        <v>328477520</v>
      </c>
      <c r="D36" s="85">
        <f>IFERROR(INDEX('درجریان وصول'!F:F,MATCH(Table232[[#This Row],[كد تفصيلي]],'درجریان وصول'!A:A,0)),0)</f>
        <v>0</v>
      </c>
      <c r="E36" s="85">
        <f>IFERROR(INDEX('چکهای دریافتنی'!F:F,MATCH(Table232[[#This Row],[كد تفصيلي]],'چکهای دریافتنی'!A:A,0)),0)</f>
        <v>0</v>
      </c>
      <c r="F36" s="85">
        <f>Table232[[#This Row],[حسابهای دریافتنی]]+Table232[[#This Row],[چکهای در جریان وصول]]+Table232[[#This Row],[چکهای نزد صندوق]]</f>
        <v>328477520</v>
      </c>
      <c r="G36" s="86">
        <f>IFERROR(INDEX('مانده سوفاله'!F:F,MATCH(Table232[[#This Row],[كد تفصيلي]],'مانده سوفاله'!A:A,0)),0)</f>
        <v>1790</v>
      </c>
    </row>
    <row r="37" spans="1:7" ht="26.25" customHeight="1" x14ac:dyDescent="0.35">
      <c r="A37" s="74">
        <v>10070</v>
      </c>
      <c r="B37" s="73" t="s">
        <v>230</v>
      </c>
      <c r="C37" s="85">
        <f>IFERROR(INDEX('حسابهای دریافتنی'!H:H,MATCH(Table232[[#This Row],[كد تفصيلي]],'حسابهای دریافتنی'!A:A,0)),0)</f>
        <v>508152500</v>
      </c>
      <c r="D37" s="85">
        <f>IFERROR(INDEX('درجریان وصول'!F:F,MATCH(Table232[[#This Row],[كد تفصيلي]],'درجریان وصول'!A:A,0)),0)</f>
        <v>0</v>
      </c>
      <c r="E37" s="85">
        <f>IFERROR(INDEX('چکهای دریافتنی'!F:F,MATCH(Table232[[#This Row],[كد تفصيلي]],'چکهای دریافتنی'!A:A,0)),0)</f>
        <v>570000000</v>
      </c>
      <c r="F37" s="85">
        <f>Table232[[#This Row],[حسابهای دریافتنی]]+Table232[[#This Row],[چکهای در جریان وصول]]+Table232[[#This Row],[چکهای نزد صندوق]]</f>
        <v>1078152500</v>
      </c>
      <c r="G37" s="86">
        <f>IFERROR(INDEX('مانده سوفاله'!F:F,MATCH(Table232[[#This Row],[كد تفصيلي]],'مانده سوفاله'!A:A,0)),0)</f>
        <v>-3170</v>
      </c>
    </row>
    <row r="38" spans="1:7" ht="26.25" customHeight="1" x14ac:dyDescent="0.35">
      <c r="A38" s="75">
        <v>10097</v>
      </c>
      <c r="B38" s="72" t="s">
        <v>270</v>
      </c>
      <c r="C38" s="85">
        <f>IFERROR(INDEX('حسابهای دریافتنی'!H:H,MATCH(Table232[[#This Row],[كد تفصيلي]],'حسابهای دریافتنی'!A:A,0)),0)</f>
        <v>270642500</v>
      </c>
      <c r="D38" s="85">
        <f>IFERROR(INDEX('درجریان وصول'!F:F,MATCH(Table232[[#This Row],[كد تفصيلي]],'درجریان وصول'!A:A,0)),0)</f>
        <v>0</v>
      </c>
      <c r="E38" s="85">
        <f>IFERROR(INDEX('چکهای دریافتنی'!F:F,MATCH(Table232[[#This Row],[كد تفصيلي]],'چکهای دریافتنی'!A:A,0)),0)</f>
        <v>287000000</v>
      </c>
      <c r="F38" s="85">
        <f>Table232[[#This Row],[حسابهای دریافتنی]]+Table232[[#This Row],[چکهای در جریان وصول]]+Table232[[#This Row],[چکهای نزد صندوق]]</f>
        <v>557642500</v>
      </c>
      <c r="G38" s="86">
        <f>IFERROR(INDEX('مانده سوفاله'!F:F,MATCH(Table232[[#This Row],[كد تفصيلي]],'مانده سوفاله'!A:A,0)),0)</f>
        <v>0</v>
      </c>
    </row>
    <row r="39" spans="1:7" ht="26.25" customHeight="1" x14ac:dyDescent="0.35">
      <c r="A39" s="75">
        <v>30162</v>
      </c>
      <c r="B39" s="72" t="s">
        <v>301</v>
      </c>
      <c r="C39" s="85">
        <f>IFERROR(INDEX('حسابهای دریافتنی'!H:H,MATCH(Table232[[#This Row],[كد تفصيلي]],'حسابهای دریافتنی'!A:A,0)),0)</f>
        <v>204890235</v>
      </c>
      <c r="D39" s="85">
        <f>IFERROR(INDEX('درجریان وصول'!F:F,MATCH(Table232[[#This Row],[كد تفصيلي]],'درجریان وصول'!A:A,0)),0)</f>
        <v>0</v>
      </c>
      <c r="E39" s="85">
        <f>IFERROR(INDEX('چکهای دریافتنی'!F:F,MATCH(Table232[[#This Row],[كد تفصيلي]],'چکهای دریافتنی'!A:A,0)),0)</f>
        <v>0</v>
      </c>
      <c r="F39" s="85">
        <f>Table232[[#This Row],[حسابهای دریافتنی]]+Table232[[#This Row],[چکهای در جریان وصول]]+Table232[[#This Row],[چکهای نزد صندوق]]</f>
        <v>204890235</v>
      </c>
      <c r="G39" s="86">
        <f>IFERROR(INDEX('مانده سوفاله'!F:F,MATCH(Table232[[#This Row],[كد تفصيلي]],'مانده سوفاله'!A:A,0)),0)</f>
        <v>-251</v>
      </c>
    </row>
    <row r="40" spans="1:7" ht="26.25" customHeight="1" x14ac:dyDescent="0.35">
      <c r="A40" s="75">
        <v>30086</v>
      </c>
      <c r="B40" s="72" t="s">
        <v>131</v>
      </c>
      <c r="C40" s="85">
        <f>IFERROR(INDEX('حسابهای دریافتنی'!H:H,MATCH(Table232[[#This Row],[كد تفصيلي]],'حسابهای دریافتنی'!A:A,0)),0)</f>
        <v>187376603</v>
      </c>
      <c r="D40" s="85">
        <f>IFERROR(INDEX('درجریان وصول'!F:F,MATCH(Table232[[#This Row],[كد تفصيلي]],'درجریان وصول'!A:A,0)),0)</f>
        <v>0</v>
      </c>
      <c r="E40" s="85">
        <f>IFERROR(INDEX('چکهای دریافتنی'!F:F,MATCH(Table232[[#This Row],[كد تفصيلي]],'چکهای دریافتنی'!A:A,0)),0)</f>
        <v>0</v>
      </c>
      <c r="F40" s="85">
        <f>Table232[[#This Row],[حسابهای دریافتنی]]+Table232[[#This Row],[چکهای در جریان وصول]]+Table232[[#This Row],[چکهای نزد صندوق]]</f>
        <v>187376603</v>
      </c>
      <c r="G40" s="86">
        <f>IFERROR(INDEX('مانده سوفاله'!F:F,MATCH(Table232[[#This Row],[كد تفصيلي]],'مانده سوفاله'!A:A,0)),0)</f>
        <v>1549</v>
      </c>
    </row>
    <row r="41" spans="1:7" ht="26.25" customHeight="1" x14ac:dyDescent="0.35">
      <c r="A41" s="75">
        <v>30001</v>
      </c>
      <c r="B41" s="72" t="s">
        <v>190</v>
      </c>
      <c r="C41" s="85">
        <f>IFERROR(INDEX('حسابهای دریافتنی'!H:H,MATCH(Table232[[#This Row],[كد تفصيلي]],'حسابهای دریافتنی'!A:A,0)),0)</f>
        <v>119647176</v>
      </c>
      <c r="D41" s="85">
        <f>IFERROR(INDEX('درجریان وصول'!F:F,MATCH(Table232[[#This Row],[كد تفصيلي]],'درجریان وصول'!A:A,0)),0)</f>
        <v>0</v>
      </c>
      <c r="E41" s="85">
        <f>IFERROR(INDEX('چکهای دریافتنی'!F:F,MATCH(Table232[[#This Row],[كد تفصيلي]],'چکهای دریافتنی'!A:A,0)),0)</f>
        <v>0</v>
      </c>
      <c r="F41" s="85">
        <f>Table232[[#This Row],[حسابهای دریافتنی]]+Table232[[#This Row],[چکهای در جریان وصول]]+Table232[[#This Row],[چکهای نزد صندوق]]</f>
        <v>119647176</v>
      </c>
      <c r="G41" s="86">
        <f>IFERROR(INDEX('مانده سوفاله'!F:F,MATCH(Table232[[#This Row],[كد تفصيلي]],'مانده سوفاله'!A:A,0)),0)</f>
        <v>123</v>
      </c>
    </row>
    <row r="42" spans="1:7" ht="26.25" customHeight="1" x14ac:dyDescent="0.35">
      <c r="A42" s="74">
        <v>30101</v>
      </c>
      <c r="B42" s="73" t="s">
        <v>196</v>
      </c>
      <c r="C42" s="85">
        <f>IFERROR(INDEX('حسابهای دریافتنی'!H:H,MATCH(Table232[[#This Row],[كد تفصيلي]],'حسابهای دریافتنی'!A:A,0)),0)</f>
        <v>203336095</v>
      </c>
      <c r="D42" s="85">
        <f>IFERROR(INDEX('درجریان وصول'!F:F,MATCH(Table232[[#This Row],[كد تفصيلي]],'درجریان وصول'!A:A,0)),0)</f>
        <v>0</v>
      </c>
      <c r="E42" s="85">
        <f>IFERROR(INDEX('چکهای دریافتنی'!F:F,MATCH(Table232[[#This Row],[كد تفصيلي]],'چکهای دریافتنی'!A:A,0)),0)</f>
        <v>0</v>
      </c>
      <c r="F42" s="85">
        <f>Table232[[#This Row],[حسابهای دریافتنی]]+Table232[[#This Row],[چکهای در جریان وصول]]+Table232[[#This Row],[چکهای نزد صندوق]]</f>
        <v>203336095</v>
      </c>
      <c r="G42" s="86">
        <f>IFERROR(INDEX('مانده سوفاله'!F:F,MATCH(Table232[[#This Row],[كد تفصيلي]],'مانده سوفاله'!A:A,0)),0)</f>
        <v>15</v>
      </c>
    </row>
    <row r="43" spans="1:7" ht="26.25" customHeight="1" x14ac:dyDescent="0.35">
      <c r="A43" s="75">
        <v>10141</v>
      </c>
      <c r="B43" s="72" t="s">
        <v>541</v>
      </c>
      <c r="C43" s="85">
        <f>IFERROR(INDEX('حسابهای دریافتنی'!H:H,MATCH(Table232[[#This Row],[كد تفصيلي]],'حسابهای دریافتنی'!A:A,0)),0)</f>
        <v>116510000</v>
      </c>
      <c r="D43" s="85">
        <f>IFERROR(INDEX('درجریان وصول'!F:F,MATCH(Table232[[#This Row],[كد تفصيلي]],'درجریان وصول'!A:A,0)),0)</f>
        <v>0</v>
      </c>
      <c r="E43" s="85">
        <f>IFERROR(INDEX('چکهای دریافتنی'!F:F,MATCH(Table232[[#This Row],[كد تفصيلي]],'چکهای دریافتنی'!A:A,0)),0)</f>
        <v>0</v>
      </c>
      <c r="F43" s="85">
        <f>Table232[[#This Row],[حسابهای دریافتنی]]+Table232[[#This Row],[چکهای در جریان وصول]]+Table232[[#This Row],[چکهای نزد صندوق]]</f>
        <v>116510000</v>
      </c>
      <c r="G43" s="86">
        <f>IFERROR(INDEX('مانده سوفاله'!F:F,MATCH(Table232[[#This Row],[كد تفصيلي]],'مانده سوفاله'!A:A,0)),0)</f>
        <v>0</v>
      </c>
    </row>
    <row r="44" spans="1:7" ht="26.25" customHeight="1" x14ac:dyDescent="0.35">
      <c r="A44" s="74">
        <v>30204</v>
      </c>
      <c r="B44" s="73" t="s">
        <v>543</v>
      </c>
      <c r="C44" s="85">
        <f>IFERROR(INDEX('حسابهای دریافتنی'!H:H,MATCH(Table232[[#This Row],[كد تفصيلي]],'حسابهای دریافتنی'!A:A,0)),0)</f>
        <v>-1354830000</v>
      </c>
      <c r="D44" s="85">
        <f>IFERROR(INDEX('درجریان وصول'!F:F,MATCH(Table232[[#This Row],[كد تفصيلي]],'درجریان وصول'!A:A,0)),0)</f>
        <v>0</v>
      </c>
      <c r="E44" s="85">
        <f>IFERROR(INDEX('چکهای دریافتنی'!F:F,MATCH(Table232[[#This Row],[كد تفصيلي]],'چکهای دریافتنی'!A:A,0)),0)</f>
        <v>0</v>
      </c>
      <c r="F44" s="85">
        <f>Table232[[#This Row],[حسابهای دریافتنی]]+Table232[[#This Row],[چکهای در جریان وصول]]+Table232[[#This Row],[چکهای نزد صندوق]]</f>
        <v>-1354830000</v>
      </c>
      <c r="G44" s="86">
        <f>IFERROR(INDEX('مانده سوفاله'!F:F,MATCH(Table232[[#This Row],[كد تفصيلي]],'مانده سوفاله'!A:A,0)),0)</f>
        <v>0</v>
      </c>
    </row>
    <row r="45" spans="1:7" ht="26.25" customHeight="1" x14ac:dyDescent="0.35">
      <c r="A45" s="75">
        <v>10091</v>
      </c>
      <c r="B45" s="72" t="s">
        <v>258</v>
      </c>
      <c r="C45" s="85">
        <f>IFERROR(INDEX('حسابهای دریافتنی'!H:H,MATCH(Table232[[#This Row],[كد تفصيلي]],'حسابهای دریافتنی'!A:A,0)),0)</f>
        <v>59321500</v>
      </c>
      <c r="D45" s="85">
        <f>IFERROR(INDEX('درجریان وصول'!F:F,MATCH(Table232[[#This Row],[كد تفصيلي]],'درجریان وصول'!A:A,0)),0)</f>
        <v>0</v>
      </c>
      <c r="E45" s="85">
        <f>IFERROR(INDEX('چکهای دریافتنی'!F:F,MATCH(Table232[[#This Row],[كد تفصيلي]],'چکهای دریافتنی'!A:A,0)),0)</f>
        <v>0</v>
      </c>
      <c r="F45" s="85">
        <f>Table232[[#This Row],[حسابهای دریافتنی]]+Table232[[#This Row],[چکهای در جریان وصول]]+Table232[[#This Row],[چکهای نزد صندوق]]</f>
        <v>59321500</v>
      </c>
      <c r="G45" s="86">
        <f>IFERROR(INDEX('مانده سوفاله'!F:F,MATCH(Table232[[#This Row],[كد تفصيلي]],'مانده سوفاله'!A:A,0)),0)</f>
        <v>0</v>
      </c>
    </row>
    <row r="46" spans="1:7" ht="26.25" customHeight="1" x14ac:dyDescent="0.35">
      <c r="A46" s="74">
        <v>10096</v>
      </c>
      <c r="B46" s="73" t="s">
        <v>271</v>
      </c>
      <c r="C46" s="85">
        <f>IFERROR(INDEX('حسابهای دریافتنی'!H:H,MATCH(Table232[[#This Row],[كد تفصيلي]],'حسابهای دریافتنی'!A:A,0)),0)</f>
        <v>36455500</v>
      </c>
      <c r="D46" s="85">
        <f>IFERROR(INDEX('درجریان وصول'!F:F,MATCH(Table232[[#This Row],[كد تفصيلي]],'درجریان وصول'!A:A,0)),0)</f>
        <v>0</v>
      </c>
      <c r="E46" s="85">
        <f>IFERROR(INDEX('چکهای دریافتنی'!F:F,MATCH(Table232[[#This Row],[كد تفصيلي]],'چکهای دریافتنی'!A:A,0)),0)</f>
        <v>0</v>
      </c>
      <c r="F46" s="85">
        <f>Table232[[#This Row],[حسابهای دریافتنی]]+Table232[[#This Row],[چکهای در جریان وصول]]+Table232[[#This Row],[چکهای نزد صندوق]]</f>
        <v>36455500</v>
      </c>
      <c r="G46" s="86">
        <f>IFERROR(INDEX('مانده سوفاله'!F:F,MATCH(Table232[[#This Row],[كد تفصيلي]],'مانده سوفاله'!A:A,0)),0)</f>
        <v>0</v>
      </c>
    </row>
    <row r="47" spans="1:7" ht="26.25" customHeight="1" x14ac:dyDescent="0.35">
      <c r="A47" s="75">
        <v>30025</v>
      </c>
      <c r="B47" s="72" t="s">
        <v>73</v>
      </c>
      <c r="C47" s="85">
        <f>IFERROR(INDEX('حسابهای دریافتنی'!H:H,MATCH(Table232[[#This Row],[كد تفصيلي]],'حسابهای دریافتنی'!A:A,0)),0)</f>
        <v>35598920</v>
      </c>
      <c r="D47" s="85">
        <f>IFERROR(INDEX('درجریان وصول'!F:F,MATCH(Table232[[#This Row],[كد تفصيلي]],'درجریان وصول'!A:A,0)),0)</f>
        <v>0</v>
      </c>
      <c r="E47" s="85">
        <f>IFERROR(INDEX('چکهای دریافتنی'!F:F,MATCH(Table232[[#This Row],[كد تفصيلي]],'چکهای دریافتنی'!A:A,0)),0)</f>
        <v>0</v>
      </c>
      <c r="F47" s="85">
        <f>Table232[[#This Row],[حسابهای دریافتنی]]+Table232[[#This Row],[چکهای در جریان وصول]]+Table232[[#This Row],[چکهای نزد صندوق]]</f>
        <v>35598920</v>
      </c>
      <c r="G47" s="86">
        <f>IFERROR(INDEX('مانده سوفاله'!F:F,MATCH(Table232[[#This Row],[كد تفصيلي]],'مانده سوفاله'!A:A,0)),0)</f>
        <v>-165</v>
      </c>
    </row>
    <row r="48" spans="1:7" ht="26.25" customHeight="1" x14ac:dyDescent="0.35">
      <c r="A48" s="75">
        <v>30005</v>
      </c>
      <c r="B48" s="72" t="s">
        <v>55</v>
      </c>
      <c r="C48" s="85">
        <f>IFERROR(INDEX('حسابهای دریافتنی'!H:H,MATCH(Table232[[#This Row],[كد تفصيلي]],'حسابهای دریافتنی'!A:A,0)),0)</f>
        <v>35368209</v>
      </c>
      <c r="D48" s="85">
        <f>IFERROR(INDEX('درجریان وصول'!F:F,MATCH(Table232[[#This Row],[كد تفصيلي]],'درجریان وصول'!A:A,0)),0)</f>
        <v>0</v>
      </c>
      <c r="E48" s="85">
        <f>IFERROR(INDEX('چکهای دریافتنی'!F:F,MATCH(Table232[[#This Row],[كد تفصيلي]],'چکهای دریافتنی'!A:A,0)),0)</f>
        <v>0</v>
      </c>
      <c r="F48" s="85">
        <f>Table232[[#This Row],[حسابهای دریافتنی]]+Table232[[#This Row],[چکهای در جریان وصول]]+Table232[[#This Row],[چکهای نزد صندوق]]</f>
        <v>35368209</v>
      </c>
      <c r="G48" s="86">
        <f>IFERROR(INDEX('مانده سوفاله'!F:F,MATCH(Table232[[#This Row],[كد تفصيلي]],'مانده سوفاله'!A:A,0)),0)</f>
        <v>61</v>
      </c>
    </row>
    <row r="49" spans="1:7" ht="26.25" customHeight="1" x14ac:dyDescent="0.35">
      <c r="A49" s="74">
        <v>30189</v>
      </c>
      <c r="B49" s="73" t="s">
        <v>458</v>
      </c>
      <c r="C49" s="85">
        <f>IFERROR(INDEX('حسابهای دریافتنی'!H:H,MATCH(Table232[[#This Row],[كد تفصيلي]],'حسابهای دریافتنی'!A:A,0)),0)</f>
        <v>20776490</v>
      </c>
      <c r="D49" s="85">
        <f>IFERROR(INDEX('درجریان وصول'!F:F,MATCH(Table232[[#This Row],[كد تفصيلي]],'درجریان وصول'!A:A,0)),0)</f>
        <v>0</v>
      </c>
      <c r="E49" s="85">
        <f>IFERROR(INDEX('چکهای دریافتنی'!F:F,MATCH(Table232[[#This Row],[كد تفصيلي]],'چکهای دریافتنی'!A:A,0)),0)</f>
        <v>0</v>
      </c>
      <c r="F49" s="85">
        <f>Table232[[#This Row],[حسابهای دریافتنی]]+Table232[[#This Row],[چکهای در جریان وصول]]+Table232[[#This Row],[چکهای نزد صندوق]]</f>
        <v>20776490</v>
      </c>
      <c r="G49" s="86">
        <f>IFERROR(INDEX('مانده سوفاله'!F:F,MATCH(Table232[[#This Row],[كد تفصيلي]],'مانده سوفاله'!A:A,0)),0)</f>
        <v>0</v>
      </c>
    </row>
    <row r="50" spans="1:7" ht="26.25" customHeight="1" x14ac:dyDescent="0.35">
      <c r="A50" s="74">
        <v>30024</v>
      </c>
      <c r="B50" s="73" t="s">
        <v>72</v>
      </c>
      <c r="C50" s="85">
        <f>IFERROR(INDEX('حسابهای دریافتنی'!H:H,MATCH(Table232[[#This Row],[كد تفصيلي]],'حسابهای دریافتنی'!A:A,0)),0)</f>
        <v>16135000</v>
      </c>
      <c r="D50" s="85">
        <f>IFERROR(INDEX('درجریان وصول'!F:F,MATCH(Table232[[#This Row],[كد تفصيلي]],'درجریان وصول'!A:A,0)),0)</f>
        <v>0</v>
      </c>
      <c r="E50" s="85">
        <f>IFERROR(INDEX('چکهای دریافتنی'!F:F,MATCH(Table232[[#This Row],[كد تفصيلي]],'چکهای دریافتنی'!A:A,0)),0)</f>
        <v>0</v>
      </c>
      <c r="F50" s="85">
        <f>Table232[[#This Row],[حسابهای دریافتنی]]+Table232[[#This Row],[چکهای در جریان وصول]]+Table232[[#This Row],[چکهای نزد صندوق]]</f>
        <v>16135000</v>
      </c>
      <c r="G50" s="86">
        <f>IFERROR(INDEX('مانده سوفاله'!F:F,MATCH(Table232[[#This Row],[كد تفصيلي]],'مانده سوفاله'!A:A,0)),0)</f>
        <v>0</v>
      </c>
    </row>
    <row r="51" spans="1:7" ht="26.25" customHeight="1" x14ac:dyDescent="0.35">
      <c r="A51" s="74">
        <v>30008</v>
      </c>
      <c r="B51" s="73" t="s">
        <v>58</v>
      </c>
      <c r="C51" s="85">
        <f>IFERROR(INDEX('حسابهای دریافتنی'!H:H,MATCH(Table232[[#This Row],[كد تفصيلي]],'حسابهای دریافتنی'!A:A,0)),0)</f>
        <v>15520000</v>
      </c>
      <c r="D51" s="85">
        <f>IFERROR(INDEX('درجریان وصول'!F:F,MATCH(Table232[[#This Row],[كد تفصيلي]],'درجریان وصول'!A:A,0)),0)</f>
        <v>0</v>
      </c>
      <c r="E51" s="85">
        <f>IFERROR(INDEX('چکهای دریافتنی'!F:F,MATCH(Table232[[#This Row],[كد تفصيلي]],'چکهای دریافتنی'!A:A,0)),0)</f>
        <v>0</v>
      </c>
      <c r="F51" s="85">
        <f>Table232[[#This Row],[حسابهای دریافتنی]]+Table232[[#This Row],[چکهای در جریان وصول]]+Table232[[#This Row],[چکهای نزد صندوق]]</f>
        <v>15520000</v>
      </c>
      <c r="G51" s="86">
        <f>IFERROR(INDEX('مانده سوفاله'!F:F,MATCH(Table232[[#This Row],[كد تفصيلي]],'مانده سوفاله'!A:A,0)),0)</f>
        <v>0</v>
      </c>
    </row>
    <row r="52" spans="1:7" ht="26.25" customHeight="1" x14ac:dyDescent="0.35">
      <c r="A52" s="75">
        <v>10007</v>
      </c>
      <c r="B52" s="72" t="s">
        <v>14</v>
      </c>
      <c r="C52" s="85">
        <f>IFERROR(INDEX('حسابهای دریافتنی'!H:H,MATCH(Table232[[#This Row],[كد تفصيلي]],'حسابهای دریافتنی'!A:A,0)),0)</f>
        <v>12770000</v>
      </c>
      <c r="D52" s="85">
        <f>IFERROR(INDEX('درجریان وصول'!F:F,MATCH(Table232[[#This Row],[كد تفصيلي]],'درجریان وصول'!A:A,0)),0)</f>
        <v>0</v>
      </c>
      <c r="E52" s="85">
        <f>IFERROR(INDEX('چکهای دریافتنی'!F:F,MATCH(Table232[[#This Row],[كد تفصيلي]],'چکهای دریافتنی'!A:A,0)),0)</f>
        <v>0</v>
      </c>
      <c r="F52" s="85">
        <f>Table232[[#This Row],[حسابهای دریافتنی]]+Table232[[#This Row],[چکهای در جریان وصول]]+Table232[[#This Row],[چکهای نزد صندوق]]</f>
        <v>12770000</v>
      </c>
      <c r="G52" s="86">
        <f>IFERROR(INDEX('مانده سوفاله'!F:F,MATCH(Table232[[#This Row],[كد تفصيلي]],'مانده سوفاله'!A:A,0)),0)</f>
        <v>-52.5</v>
      </c>
    </row>
    <row r="53" spans="1:7" ht="26.25" customHeight="1" x14ac:dyDescent="0.35">
      <c r="A53" s="75">
        <v>10105</v>
      </c>
      <c r="B53" s="72" t="s">
        <v>294</v>
      </c>
      <c r="C53" s="85">
        <f>IFERROR(INDEX('حسابهای دریافتنی'!H:H,MATCH(Table232[[#This Row],[كد تفصيلي]],'حسابهای دریافتنی'!A:A,0)),0)</f>
        <v>7630000</v>
      </c>
      <c r="D53" s="85">
        <f>IFERROR(INDEX('درجریان وصول'!F:F,MATCH(Table232[[#This Row],[كد تفصيلي]],'درجریان وصول'!A:A,0)),0)</f>
        <v>0</v>
      </c>
      <c r="E53" s="85">
        <f>IFERROR(INDEX('چکهای دریافتنی'!F:F,MATCH(Table232[[#This Row],[كد تفصيلي]],'چکهای دریافتنی'!A:A,0)),0)</f>
        <v>0</v>
      </c>
      <c r="F53" s="85">
        <f>Table232[[#This Row],[حسابهای دریافتنی]]+Table232[[#This Row],[چکهای در جریان وصول]]+Table232[[#This Row],[چکهای نزد صندوق]]</f>
        <v>7630000</v>
      </c>
      <c r="G53" s="86">
        <f>IFERROR(INDEX('مانده سوفاله'!F:F,MATCH(Table232[[#This Row],[كد تفصيلي]],'مانده سوفاله'!A:A,0)),0)</f>
        <v>0</v>
      </c>
    </row>
    <row r="54" spans="1:7" ht="26.25" customHeight="1" x14ac:dyDescent="0.35">
      <c r="A54" s="74">
        <v>30145</v>
      </c>
      <c r="B54" s="73" t="s">
        <v>265</v>
      </c>
      <c r="C54" s="85">
        <f>IFERROR(INDEX('حسابهای دریافتنی'!H:H,MATCH(Table232[[#This Row],[كد تفصيلي]],'حسابهای دریافتنی'!A:A,0)),0)</f>
        <v>6442500</v>
      </c>
      <c r="D54" s="85">
        <f>IFERROR(INDEX('درجریان وصول'!F:F,MATCH(Table232[[#This Row],[كد تفصيلي]],'درجریان وصول'!A:A,0)),0)</f>
        <v>0</v>
      </c>
      <c r="E54" s="85">
        <f>IFERROR(INDEX('چکهای دریافتنی'!F:F,MATCH(Table232[[#This Row],[كد تفصيلي]],'چکهای دریافتنی'!A:A,0)),0)</f>
        <v>0</v>
      </c>
      <c r="F54" s="85">
        <f>Table232[[#This Row],[حسابهای دریافتنی]]+Table232[[#This Row],[چکهای در جریان وصول]]+Table232[[#This Row],[چکهای نزد صندوق]]</f>
        <v>6442500</v>
      </c>
      <c r="G54" s="86">
        <f>IFERROR(INDEX('مانده سوفاله'!F:F,MATCH(Table232[[#This Row],[كد تفصيلي]],'مانده سوفاله'!A:A,0)),0)</f>
        <v>0</v>
      </c>
    </row>
    <row r="55" spans="1:7" ht="26.25" customHeight="1" x14ac:dyDescent="0.35">
      <c r="A55" s="75">
        <v>30047</v>
      </c>
      <c r="B55" s="72" t="s">
        <v>94</v>
      </c>
      <c r="C55" s="85">
        <f>IFERROR(INDEX('حسابهای دریافتنی'!H:H,MATCH(Table232[[#This Row],[كد تفصيلي]],'حسابهای دریافتنی'!A:A,0)),0)</f>
        <v>5794900</v>
      </c>
      <c r="D55" s="85">
        <f>IFERROR(INDEX('درجریان وصول'!F:F,MATCH(Table232[[#This Row],[كد تفصيلي]],'درجریان وصول'!A:A,0)),0)</f>
        <v>0</v>
      </c>
      <c r="E55" s="85">
        <f>IFERROR(INDEX('چکهای دریافتنی'!F:F,MATCH(Table232[[#This Row],[كد تفصيلي]],'چکهای دریافتنی'!A:A,0)),0)</f>
        <v>0</v>
      </c>
      <c r="F55" s="85">
        <f>Table232[[#This Row],[حسابهای دریافتنی]]+Table232[[#This Row],[چکهای در جریان وصول]]+Table232[[#This Row],[چکهای نزد صندوق]]</f>
        <v>5794900</v>
      </c>
      <c r="G55" s="86">
        <f>IFERROR(INDEX('مانده سوفاله'!F:F,MATCH(Table232[[#This Row],[كد تفصيلي]],'مانده سوفاله'!A:A,0)),0)</f>
        <v>-630</v>
      </c>
    </row>
    <row r="56" spans="1:7" ht="26.25" customHeight="1" x14ac:dyDescent="0.35">
      <c r="A56" s="74">
        <v>30026</v>
      </c>
      <c r="B56" s="73" t="s">
        <v>74</v>
      </c>
      <c r="C56" s="85">
        <f>IFERROR(INDEX('حسابهای دریافتنی'!H:H,MATCH(Table232[[#This Row],[كد تفصيلي]],'حسابهای دریافتنی'!A:A,0)),0)</f>
        <v>5689439</v>
      </c>
      <c r="D56" s="85">
        <f>IFERROR(INDEX('درجریان وصول'!F:F,MATCH(Table232[[#This Row],[كد تفصيلي]],'درجریان وصول'!A:A,0)),0)</f>
        <v>0</v>
      </c>
      <c r="E56" s="85">
        <f>IFERROR(INDEX('چکهای دریافتنی'!F:F,MATCH(Table232[[#This Row],[كد تفصيلي]],'چکهای دریافتنی'!A:A,0)),0)</f>
        <v>0</v>
      </c>
      <c r="F56" s="85">
        <f>Table232[[#This Row],[حسابهای دریافتنی]]+Table232[[#This Row],[چکهای در جریان وصول]]+Table232[[#This Row],[چکهای نزد صندوق]]</f>
        <v>5689439</v>
      </c>
      <c r="G56" s="86">
        <f>IFERROR(INDEX('مانده سوفاله'!F:F,MATCH(Table232[[#This Row],[كد تفصيلي]],'مانده سوفاله'!A:A,0)),0)</f>
        <v>764</v>
      </c>
    </row>
    <row r="57" spans="1:7" ht="26.25" customHeight="1" x14ac:dyDescent="0.35">
      <c r="A57" s="75">
        <v>30011</v>
      </c>
      <c r="B57" s="72" t="s">
        <v>60</v>
      </c>
      <c r="C57" s="85">
        <f>IFERROR(INDEX('حسابهای دریافتنی'!H:H,MATCH(Table232[[#This Row],[كد تفصيلي]],'حسابهای دریافتنی'!A:A,0)),0)</f>
        <v>5595200</v>
      </c>
      <c r="D57" s="85">
        <f>IFERROR(INDEX('درجریان وصول'!F:F,MATCH(Table232[[#This Row],[كد تفصيلي]],'درجریان وصول'!A:A,0)),0)</f>
        <v>0</v>
      </c>
      <c r="E57" s="85">
        <f>IFERROR(INDEX('چکهای دریافتنی'!F:F,MATCH(Table232[[#This Row],[كد تفصيلي]],'چکهای دریافتنی'!A:A,0)),0)</f>
        <v>0</v>
      </c>
      <c r="F57" s="85">
        <f>Table232[[#This Row],[حسابهای دریافتنی]]+Table232[[#This Row],[چکهای در جریان وصول]]+Table232[[#This Row],[چکهای نزد صندوق]]</f>
        <v>5595200</v>
      </c>
      <c r="G57" s="86">
        <f>IFERROR(INDEX('مانده سوفاله'!F:F,MATCH(Table232[[#This Row],[كد تفصيلي]],'مانده سوفاله'!A:A,0)),0)</f>
        <v>-5</v>
      </c>
    </row>
    <row r="58" spans="1:7" ht="26.25" customHeight="1" x14ac:dyDescent="0.35">
      <c r="A58" s="74">
        <v>10080</v>
      </c>
      <c r="B58" s="73" t="s">
        <v>214</v>
      </c>
      <c r="C58" s="85">
        <f>IFERROR(INDEX('حسابهای دریافتنی'!H:H,MATCH(Table232[[#This Row],[كد تفصيلي]],'حسابهای دریافتنی'!A:A,0)),0)</f>
        <v>5395000</v>
      </c>
      <c r="D58" s="85">
        <f>IFERROR(INDEX('درجریان وصول'!F:F,MATCH(Table232[[#This Row],[كد تفصيلي]],'درجریان وصول'!A:A,0)),0)</f>
        <v>0</v>
      </c>
      <c r="E58" s="85">
        <f>IFERROR(INDEX('چکهای دریافتنی'!F:F,MATCH(Table232[[#This Row],[كد تفصيلي]],'چکهای دریافتنی'!A:A,0)),0)</f>
        <v>0</v>
      </c>
      <c r="F58" s="85">
        <f>Table232[[#This Row],[حسابهای دریافتنی]]+Table232[[#This Row],[چکهای در جریان وصول]]+Table232[[#This Row],[چکهای نزد صندوق]]</f>
        <v>5395000</v>
      </c>
      <c r="G58" s="86">
        <f>IFERROR(INDEX('مانده سوفاله'!F:F,MATCH(Table232[[#This Row],[كد تفصيلي]],'مانده سوفاله'!A:A,0)),0)</f>
        <v>0</v>
      </c>
    </row>
    <row r="59" spans="1:7" ht="26.25" customHeight="1" x14ac:dyDescent="0.35">
      <c r="A59" s="75">
        <v>30114</v>
      </c>
      <c r="B59" s="72" t="s">
        <v>175</v>
      </c>
      <c r="C59" s="85">
        <f>IFERROR(INDEX('حسابهای دریافتنی'!H:H,MATCH(Table232[[#This Row],[كد تفصيلي]],'حسابهای دریافتنی'!A:A,0)),0)</f>
        <v>5385600</v>
      </c>
      <c r="D59" s="85">
        <f>IFERROR(INDEX('درجریان وصول'!F:F,MATCH(Table232[[#This Row],[كد تفصيلي]],'درجریان وصول'!A:A,0)),0)</f>
        <v>0</v>
      </c>
      <c r="E59" s="85">
        <f>IFERROR(INDEX('چکهای دریافتنی'!F:F,MATCH(Table232[[#This Row],[كد تفصيلي]],'چکهای دریافتنی'!A:A,0)),0)</f>
        <v>0</v>
      </c>
      <c r="F59" s="85">
        <f>Table232[[#This Row],[حسابهای دریافتنی]]+Table232[[#This Row],[چکهای در جریان وصول]]+Table232[[#This Row],[چکهای نزد صندوق]]</f>
        <v>5385600</v>
      </c>
      <c r="G59" s="86">
        <f>IFERROR(INDEX('مانده سوفاله'!F:F,MATCH(Table232[[#This Row],[كد تفصيلي]],'مانده سوفاله'!A:A,0)),0)</f>
        <v>0</v>
      </c>
    </row>
    <row r="60" spans="1:7" ht="26.25" customHeight="1" x14ac:dyDescent="0.35">
      <c r="A60" s="74">
        <v>30123</v>
      </c>
      <c r="B60" s="73" t="s">
        <v>208</v>
      </c>
      <c r="C60" s="85">
        <f>IFERROR(INDEX('حسابهای دریافتنی'!H:H,MATCH(Table232[[#This Row],[كد تفصيلي]],'حسابهای دریافتنی'!A:A,0)),0)</f>
        <v>4138250</v>
      </c>
      <c r="D60" s="85">
        <f>IFERROR(INDEX('درجریان وصول'!F:F,MATCH(Table232[[#This Row],[كد تفصيلي]],'درجریان وصول'!A:A,0)),0)</f>
        <v>0</v>
      </c>
      <c r="E60" s="85">
        <f>IFERROR(INDEX('چکهای دریافتنی'!F:F,MATCH(Table232[[#This Row],[كد تفصيلي]],'چکهای دریافتنی'!A:A,0)),0)</f>
        <v>0</v>
      </c>
      <c r="F60" s="85">
        <f>Table232[[#This Row],[حسابهای دریافتنی]]+Table232[[#This Row],[چکهای در جریان وصول]]+Table232[[#This Row],[چکهای نزد صندوق]]</f>
        <v>4138250</v>
      </c>
      <c r="G60" s="86">
        <f>IFERROR(INDEX('مانده سوفاله'!F:F,MATCH(Table232[[#This Row],[كد تفصيلي]],'مانده سوفاله'!A:A,0)),0)</f>
        <v>-20</v>
      </c>
    </row>
    <row r="61" spans="1:7" ht="26.25" customHeight="1" x14ac:dyDescent="0.35">
      <c r="A61" s="75">
        <v>10116</v>
      </c>
      <c r="B61" s="72" t="s">
        <v>321</v>
      </c>
      <c r="C61" s="85">
        <f>IFERROR(INDEX('حسابهای دریافتنی'!H:H,MATCH(Table232[[#This Row],[كد تفصيلي]],'حسابهای دریافتنی'!A:A,0)),0)</f>
        <v>3892500</v>
      </c>
      <c r="D61" s="85">
        <f>IFERROR(INDEX('درجریان وصول'!F:F,MATCH(Table232[[#This Row],[كد تفصيلي]],'درجریان وصول'!A:A,0)),0)</f>
        <v>0</v>
      </c>
      <c r="E61" s="85">
        <f>IFERROR(INDEX('چکهای دریافتنی'!F:F,MATCH(Table232[[#This Row],[كد تفصيلي]],'چکهای دریافتنی'!A:A,0)),0)</f>
        <v>0</v>
      </c>
      <c r="F61" s="85">
        <f>Table232[[#This Row],[حسابهای دریافتنی]]+Table232[[#This Row],[چکهای در جریان وصول]]+Table232[[#This Row],[چکهای نزد صندوق]]</f>
        <v>3892500</v>
      </c>
      <c r="G61" s="86">
        <f>IFERROR(INDEX('مانده سوفاله'!F:F,MATCH(Table232[[#This Row],[كد تفصيلي]],'مانده سوفاله'!A:A,0)),0)</f>
        <v>0</v>
      </c>
    </row>
    <row r="62" spans="1:7" ht="26.25" customHeight="1" x14ac:dyDescent="0.35">
      <c r="A62" s="75">
        <v>10142</v>
      </c>
      <c r="B62" s="72" t="s">
        <v>538</v>
      </c>
      <c r="C62" s="85">
        <f>IFERROR(INDEX('حسابهای دریافتنی'!H:H,MATCH(Table232[[#This Row],[كد تفصيلي]],'حسابهای دریافتنی'!A:A,0)),0)</f>
        <v>3502000</v>
      </c>
      <c r="D62" s="85">
        <f>IFERROR(INDEX('درجریان وصول'!F:F,MATCH(Table232[[#This Row],[كد تفصيلي]],'درجریان وصول'!A:A,0)),0)</f>
        <v>0</v>
      </c>
      <c r="E62" s="85">
        <f>IFERROR(INDEX('چکهای دریافتنی'!F:F,MATCH(Table232[[#This Row],[كد تفصيلي]],'چکهای دریافتنی'!A:A,0)),0)</f>
        <v>0</v>
      </c>
      <c r="F62" s="85">
        <f>Table232[[#This Row],[حسابهای دریافتنی]]+Table232[[#This Row],[چکهای در جریان وصول]]+Table232[[#This Row],[چکهای نزد صندوق]]</f>
        <v>3502000</v>
      </c>
      <c r="G62" s="86">
        <f>IFERROR(INDEX('مانده سوفاله'!F:F,MATCH(Table232[[#This Row],[كد تفصيلي]],'مانده سوفاله'!A:A,0)),0)</f>
        <v>0</v>
      </c>
    </row>
    <row r="63" spans="1:7" ht="26.25" customHeight="1" x14ac:dyDescent="0.35">
      <c r="A63" s="75">
        <v>10122</v>
      </c>
      <c r="B63" s="72" t="s">
        <v>339</v>
      </c>
      <c r="C63" s="85">
        <f>IFERROR(INDEX('حسابهای دریافتنی'!H:H,MATCH(Table232[[#This Row],[كد تفصيلي]],'حسابهای دریافتنی'!A:A,0)),0)</f>
        <v>3375000</v>
      </c>
      <c r="D63" s="85">
        <f>IFERROR(INDEX('درجریان وصول'!F:F,MATCH(Table232[[#This Row],[كد تفصيلي]],'درجریان وصول'!A:A,0)),0)</f>
        <v>0</v>
      </c>
      <c r="E63" s="85">
        <f>IFERROR(INDEX('چکهای دریافتنی'!F:F,MATCH(Table232[[#This Row],[كد تفصيلي]],'چکهای دریافتنی'!A:A,0)),0)</f>
        <v>0</v>
      </c>
      <c r="F63" s="85">
        <f>Table232[[#This Row],[حسابهای دریافتنی]]+Table232[[#This Row],[چکهای در جریان وصول]]+Table232[[#This Row],[چکهای نزد صندوق]]</f>
        <v>3375000</v>
      </c>
      <c r="G63" s="86">
        <f>IFERROR(INDEX('مانده سوفاله'!F:F,MATCH(Table232[[#This Row],[كد تفصيلي]],'مانده سوفاله'!A:A,0)),0)</f>
        <v>0</v>
      </c>
    </row>
    <row r="64" spans="1:7" ht="26.25" customHeight="1" x14ac:dyDescent="0.35">
      <c r="A64" s="74">
        <v>10030</v>
      </c>
      <c r="B64" s="73" t="s">
        <v>36</v>
      </c>
      <c r="C64" s="85">
        <f>IFERROR(INDEX('حسابهای دریافتنی'!H:H,MATCH(Table232[[#This Row],[كد تفصيلي]],'حسابهای دریافتنی'!A:A,0)),0)</f>
        <v>3272000</v>
      </c>
      <c r="D64" s="85">
        <f>IFERROR(INDEX('درجریان وصول'!F:F,MATCH(Table232[[#This Row],[كد تفصيلي]],'درجریان وصول'!A:A,0)),0)</f>
        <v>0</v>
      </c>
      <c r="E64" s="85">
        <f>IFERROR(INDEX('چکهای دریافتنی'!F:F,MATCH(Table232[[#This Row],[كد تفصيلي]],'چکهای دریافتنی'!A:A,0)),0)</f>
        <v>0</v>
      </c>
      <c r="F64" s="85">
        <f>Table232[[#This Row],[حسابهای دریافتنی]]+Table232[[#This Row],[چکهای در جریان وصول]]+Table232[[#This Row],[چکهای نزد صندوق]]</f>
        <v>3272000</v>
      </c>
      <c r="G64" s="86">
        <f>IFERROR(INDEX('مانده سوفاله'!F:F,MATCH(Table232[[#This Row],[كد تفصيلي]],'مانده سوفاله'!A:A,0)),0)</f>
        <v>-222</v>
      </c>
    </row>
    <row r="65" spans="1:7" ht="26.25" customHeight="1" x14ac:dyDescent="0.35">
      <c r="A65" s="75">
        <v>30178</v>
      </c>
      <c r="B65" s="72" t="s">
        <v>335</v>
      </c>
      <c r="C65" s="85">
        <f>IFERROR(INDEX('حسابهای دریافتنی'!H:H,MATCH(Table232[[#This Row],[كد تفصيلي]],'حسابهای دریافتنی'!A:A,0)),0)</f>
        <v>3040000</v>
      </c>
      <c r="D65" s="85">
        <f>IFERROR(INDEX('درجریان وصول'!F:F,MATCH(Table232[[#This Row],[كد تفصيلي]],'درجریان وصول'!A:A,0)),0)</f>
        <v>0</v>
      </c>
      <c r="E65" s="85">
        <f>IFERROR(INDEX('چکهای دریافتنی'!F:F,MATCH(Table232[[#This Row],[كد تفصيلي]],'چکهای دریافتنی'!A:A,0)),0)</f>
        <v>0</v>
      </c>
      <c r="F65" s="85">
        <f>Table232[[#This Row],[حسابهای دریافتنی]]+Table232[[#This Row],[چکهای در جریان وصول]]+Table232[[#This Row],[چکهای نزد صندوق]]</f>
        <v>3040000</v>
      </c>
      <c r="G65" s="86">
        <f>IFERROR(INDEX('مانده سوفاله'!F:F,MATCH(Table232[[#This Row],[كد تفصيلي]],'مانده سوفاله'!A:A,0)),0)</f>
        <v>0</v>
      </c>
    </row>
    <row r="66" spans="1:7" ht="26.25" customHeight="1" x14ac:dyDescent="0.35">
      <c r="A66" s="74">
        <v>30020</v>
      </c>
      <c r="B66" s="73" t="s">
        <v>68</v>
      </c>
      <c r="C66" s="85">
        <f>IFERROR(INDEX('حسابهای دریافتنی'!H:H,MATCH(Table232[[#This Row],[كد تفصيلي]],'حسابهای دریافتنی'!A:A,0)),0)</f>
        <v>2253500</v>
      </c>
      <c r="D66" s="85">
        <f>IFERROR(INDEX('درجریان وصول'!F:F,MATCH(Table232[[#This Row],[كد تفصيلي]],'درجریان وصول'!A:A,0)),0)</f>
        <v>0</v>
      </c>
      <c r="E66" s="85">
        <f>IFERROR(INDEX('چکهای دریافتنی'!F:F,MATCH(Table232[[#This Row],[كد تفصيلي]],'چکهای دریافتنی'!A:A,0)),0)</f>
        <v>0</v>
      </c>
      <c r="F66" s="85">
        <f>Table232[[#This Row],[حسابهای دریافتنی]]+Table232[[#This Row],[چکهای در جریان وصول]]+Table232[[#This Row],[چکهای نزد صندوق]]</f>
        <v>2253500</v>
      </c>
      <c r="G66" s="86">
        <f>IFERROR(INDEX('مانده سوفاله'!F:F,MATCH(Table232[[#This Row],[كد تفصيلي]],'مانده سوفاله'!A:A,0)),0)</f>
        <v>4</v>
      </c>
    </row>
    <row r="67" spans="1:7" ht="26.25" customHeight="1" x14ac:dyDescent="0.35">
      <c r="A67" s="75">
        <v>30084</v>
      </c>
      <c r="B67" s="72" t="s">
        <v>129</v>
      </c>
      <c r="C67" s="85">
        <f>IFERROR(INDEX('حسابهای دریافتنی'!H:H,MATCH(Table232[[#This Row],[كد تفصيلي]],'حسابهای دریافتنی'!A:A,0)),0)</f>
        <v>1220000</v>
      </c>
      <c r="D67" s="85">
        <f>IFERROR(INDEX('درجریان وصول'!F:F,MATCH(Table232[[#This Row],[كد تفصيلي]],'درجریان وصول'!A:A,0)),0)</f>
        <v>0</v>
      </c>
      <c r="E67" s="85">
        <f>IFERROR(INDEX('چکهای دریافتنی'!F:F,MATCH(Table232[[#This Row],[كد تفصيلي]],'چکهای دریافتنی'!A:A,0)),0)</f>
        <v>0</v>
      </c>
      <c r="F67" s="85">
        <f>Table232[[#This Row],[حسابهای دریافتنی]]+Table232[[#This Row],[چکهای در جریان وصول]]+Table232[[#This Row],[چکهای نزد صندوق]]</f>
        <v>1220000</v>
      </c>
      <c r="G67" s="86">
        <f>IFERROR(INDEX('مانده سوفاله'!F:F,MATCH(Table232[[#This Row],[كد تفصيلي]],'مانده سوفاله'!A:A,0)),0)</f>
        <v>0</v>
      </c>
    </row>
    <row r="68" spans="1:7" ht="26.25" customHeight="1" x14ac:dyDescent="0.35">
      <c r="A68" s="74">
        <v>30195</v>
      </c>
      <c r="B68" s="73" t="s">
        <v>477</v>
      </c>
      <c r="C68" s="85">
        <f>IFERROR(INDEX('حسابهای دریافتنی'!H:H,MATCH(Table232[[#This Row],[كد تفصيلي]],'حسابهای دریافتنی'!A:A,0)),0)</f>
        <v>-1861000</v>
      </c>
      <c r="D68" s="85">
        <f>IFERROR(INDEX('درجریان وصول'!F:F,MATCH(Table232[[#This Row],[كد تفصيلي]],'درجریان وصول'!A:A,0)),0)</f>
        <v>0</v>
      </c>
      <c r="E68" s="85">
        <f>IFERROR(INDEX('چکهای دریافتنی'!F:F,MATCH(Table232[[#This Row],[كد تفصيلي]],'چکهای دریافتنی'!A:A,0)),0)</f>
        <v>0</v>
      </c>
      <c r="F68" s="85">
        <f>Table232[[#This Row],[حسابهای دریافتنی]]+Table232[[#This Row],[چکهای در جریان وصول]]+Table232[[#This Row],[چکهای نزد صندوق]]</f>
        <v>-1861000</v>
      </c>
      <c r="G68" s="86">
        <f>IFERROR(INDEX('مانده سوفاله'!F:F,MATCH(Table232[[#This Row],[كد تفصيلي]],'مانده سوفاله'!A:A,0)),0)</f>
        <v>0</v>
      </c>
    </row>
    <row r="69" spans="1:7" ht="26.25" customHeight="1" x14ac:dyDescent="0.35">
      <c r="A69" s="75">
        <v>10069</v>
      </c>
      <c r="B69" s="72" t="s">
        <v>204</v>
      </c>
      <c r="C69" s="85">
        <f>IFERROR(INDEX('حسابهای دریافتنی'!H:H,MATCH(Table232[[#This Row],[كد تفصيلي]],'حسابهای دریافتنی'!A:A,0)),0)</f>
        <v>952500</v>
      </c>
      <c r="D69" s="85">
        <f>IFERROR(INDEX('درجریان وصول'!F:F,MATCH(Table232[[#This Row],[كد تفصيلي]],'درجریان وصول'!A:A,0)),0)</f>
        <v>0</v>
      </c>
      <c r="E69" s="85">
        <f>IFERROR(INDEX('چکهای دریافتنی'!F:F,MATCH(Table232[[#This Row],[كد تفصيلي]],'چکهای دریافتنی'!A:A,0)),0)</f>
        <v>73000000</v>
      </c>
      <c r="F69" s="85">
        <f>Table232[[#This Row],[حسابهای دریافتنی]]+Table232[[#This Row],[چکهای در جریان وصول]]+Table232[[#This Row],[چکهای نزد صندوق]]</f>
        <v>73952500</v>
      </c>
      <c r="G69" s="86">
        <f>IFERROR(INDEX('مانده سوفاله'!F:F,MATCH(Table232[[#This Row],[كد تفصيلي]],'مانده سوفاله'!A:A,0)),0)</f>
        <v>339</v>
      </c>
    </row>
    <row r="70" spans="1:7" ht="26.25" customHeight="1" x14ac:dyDescent="0.35">
      <c r="A70" s="74">
        <v>79055</v>
      </c>
      <c r="B70" s="73" t="s">
        <v>297</v>
      </c>
      <c r="C70" s="85">
        <f>IFERROR(INDEX('حسابهای دریافتنی'!H:H,MATCH(Table232[[#This Row],[كد تفصيلي]],'حسابهای دریافتنی'!A:A,0)),0)</f>
        <v>896500</v>
      </c>
      <c r="D70" s="85">
        <f>IFERROR(INDEX('درجریان وصول'!F:F,MATCH(Table232[[#This Row],[كد تفصيلي]],'درجریان وصول'!A:A,0)),0)</f>
        <v>0</v>
      </c>
      <c r="E70" s="85">
        <f>IFERROR(INDEX('چکهای دریافتنی'!F:F,MATCH(Table232[[#This Row],[كد تفصيلي]],'چکهای دریافتنی'!A:A,0)),0)</f>
        <v>0</v>
      </c>
      <c r="F70" s="85">
        <f>Table232[[#This Row],[حسابهای دریافتنی]]+Table232[[#This Row],[چکهای در جریان وصول]]+Table232[[#This Row],[چکهای نزد صندوق]]</f>
        <v>896500</v>
      </c>
      <c r="G70" s="86">
        <f>IFERROR(INDEX('مانده سوفاله'!F:F,MATCH(Table232[[#This Row],[كد تفصيلي]],'مانده سوفاله'!A:A,0)),0)</f>
        <v>0</v>
      </c>
    </row>
    <row r="71" spans="1:7" ht="26.25" customHeight="1" x14ac:dyDescent="0.35">
      <c r="A71" s="74">
        <v>10004</v>
      </c>
      <c r="B71" s="73" t="s">
        <v>11</v>
      </c>
      <c r="C71" s="85">
        <f>IFERROR(INDEX('حسابهای دریافتنی'!H:H,MATCH(Table232[[#This Row],[كد تفصيلي]],'حسابهای دریافتنی'!A:A,0)),0)</f>
        <v>853000</v>
      </c>
      <c r="D71" s="85">
        <f>IFERROR(INDEX('درجریان وصول'!F:F,MATCH(Table232[[#This Row],[كد تفصيلي]],'درجریان وصول'!A:A,0)),0)</f>
        <v>0</v>
      </c>
      <c r="E71" s="85">
        <f>IFERROR(INDEX('چکهای دریافتنی'!F:F,MATCH(Table232[[#This Row],[كد تفصيلي]],'چکهای دریافتنی'!A:A,0)),0)</f>
        <v>341000000</v>
      </c>
      <c r="F71" s="85">
        <f>Table232[[#This Row],[حسابهای دریافتنی]]+Table232[[#This Row],[چکهای در جریان وصول]]+Table232[[#This Row],[چکهای نزد صندوق]]</f>
        <v>341853000</v>
      </c>
      <c r="G71" s="86">
        <f>IFERROR(INDEX('مانده سوفاله'!F:F,MATCH(Table232[[#This Row],[كد تفصيلي]],'مانده سوفاله'!A:A,0)),0)</f>
        <v>-12</v>
      </c>
    </row>
    <row r="72" spans="1:7" ht="26.25" customHeight="1" x14ac:dyDescent="0.35">
      <c r="A72" s="74">
        <v>30030</v>
      </c>
      <c r="B72" s="73" t="s">
        <v>77</v>
      </c>
      <c r="C72" s="85">
        <f>IFERROR(INDEX('حسابهای دریافتنی'!H:H,MATCH(Table232[[#This Row],[كد تفصيلي]],'حسابهای دریافتنی'!A:A,0)),0)</f>
        <v>850500</v>
      </c>
      <c r="D72" s="85">
        <f>IFERROR(INDEX('درجریان وصول'!F:F,MATCH(Table232[[#This Row],[كد تفصيلي]],'درجریان وصول'!A:A,0)),0)</f>
        <v>0</v>
      </c>
      <c r="E72" s="85">
        <f>IFERROR(INDEX('چکهای دریافتنی'!F:F,MATCH(Table232[[#This Row],[كد تفصيلي]],'چکهای دریافتنی'!A:A,0)),0)</f>
        <v>0</v>
      </c>
      <c r="F72" s="85">
        <f>Table232[[#This Row],[حسابهای دریافتنی]]+Table232[[#This Row],[چکهای در جریان وصول]]+Table232[[#This Row],[چکهای نزد صندوق]]</f>
        <v>850500</v>
      </c>
      <c r="G72" s="86">
        <f>IFERROR(INDEX('مانده سوفاله'!F:F,MATCH(Table232[[#This Row],[كد تفصيلي]],'مانده سوفاله'!A:A,0)),0)</f>
        <v>-49</v>
      </c>
    </row>
    <row r="73" spans="1:7" ht="26.25" customHeight="1" x14ac:dyDescent="0.35">
      <c r="A73" s="74">
        <v>30129</v>
      </c>
      <c r="B73" s="73" t="s">
        <v>178</v>
      </c>
      <c r="C73" s="85">
        <f>IFERROR(INDEX('حسابهای دریافتنی'!H:H,MATCH(Table232[[#This Row],[كد تفصيلي]],'حسابهای دریافتنی'!A:A,0)),0)</f>
        <v>783000</v>
      </c>
      <c r="D73" s="85">
        <f>IFERROR(INDEX('درجریان وصول'!F:F,MATCH(Table232[[#This Row],[كد تفصيلي]],'درجریان وصول'!A:A,0)),0)</f>
        <v>0</v>
      </c>
      <c r="E73" s="85">
        <f>IFERROR(INDEX('چکهای دریافتنی'!F:F,MATCH(Table232[[#This Row],[كد تفصيلي]],'چکهای دریافتنی'!A:A,0)),0)</f>
        <v>0</v>
      </c>
      <c r="F73" s="85">
        <f>Table232[[#This Row],[حسابهای دریافتنی]]+Table232[[#This Row],[چکهای در جریان وصول]]+Table232[[#This Row],[چکهای نزد صندوق]]</f>
        <v>783000</v>
      </c>
      <c r="G73" s="86">
        <f>IFERROR(INDEX('مانده سوفاله'!F:F,MATCH(Table232[[#This Row],[كد تفصيلي]],'مانده سوفاله'!A:A,0)),0)</f>
        <v>0</v>
      </c>
    </row>
    <row r="74" spans="1:7" ht="26.25" customHeight="1" x14ac:dyDescent="0.35">
      <c r="A74" s="75">
        <v>30090</v>
      </c>
      <c r="B74" s="72" t="s">
        <v>144</v>
      </c>
      <c r="C74" s="85">
        <f>IFERROR(INDEX('حسابهای دریافتنی'!H:H,MATCH(Table232[[#This Row],[كد تفصيلي]],'حسابهای دریافتنی'!A:A,0)),0)</f>
        <v>640100</v>
      </c>
      <c r="D74" s="85">
        <f>IFERROR(INDEX('درجریان وصول'!F:F,MATCH(Table232[[#This Row],[كد تفصيلي]],'درجریان وصول'!A:A,0)),0)</f>
        <v>0</v>
      </c>
      <c r="E74" s="85">
        <f>IFERROR(INDEX('چکهای دریافتنی'!F:F,MATCH(Table232[[#This Row],[كد تفصيلي]],'چکهای دریافتنی'!A:A,0)),0)</f>
        <v>0</v>
      </c>
      <c r="F74" s="85">
        <f>Table232[[#This Row],[حسابهای دریافتنی]]+Table232[[#This Row],[چکهای در جریان وصول]]+Table232[[#This Row],[چکهای نزد صندوق]]</f>
        <v>640100</v>
      </c>
      <c r="G74" s="86">
        <f>IFERROR(INDEX('مانده سوفاله'!F:F,MATCH(Table232[[#This Row],[كد تفصيلي]],'مانده سوفاله'!A:A,0)),0)</f>
        <v>0</v>
      </c>
    </row>
    <row r="75" spans="1:7" ht="26.25" customHeight="1" x14ac:dyDescent="0.35">
      <c r="A75" s="74">
        <v>30109</v>
      </c>
      <c r="B75" s="73" t="s">
        <v>165</v>
      </c>
      <c r="C75" s="85">
        <f>IFERROR(INDEX('حسابهای دریافتنی'!H:H,MATCH(Table232[[#This Row],[كد تفصيلي]],'حسابهای دریافتنی'!A:A,0)),0)</f>
        <v>607300</v>
      </c>
      <c r="D75" s="85">
        <f>IFERROR(INDEX('درجریان وصول'!F:F,MATCH(Table232[[#This Row],[كد تفصيلي]],'درجریان وصول'!A:A,0)),0)</f>
        <v>0</v>
      </c>
      <c r="E75" s="85">
        <f>IFERROR(INDEX('چکهای دریافتنی'!F:F,MATCH(Table232[[#This Row],[كد تفصيلي]],'چکهای دریافتنی'!A:A,0)),0)</f>
        <v>0</v>
      </c>
      <c r="F75" s="85">
        <f>Table232[[#This Row],[حسابهای دریافتنی]]+Table232[[#This Row],[چکهای در جریان وصول]]+Table232[[#This Row],[چکهای نزد صندوق]]</f>
        <v>607300</v>
      </c>
      <c r="G75" s="86">
        <f>IFERROR(INDEX('مانده سوفاله'!F:F,MATCH(Table232[[#This Row],[كد تفصيلي]],'مانده سوفاله'!A:A,0)),0)</f>
        <v>0</v>
      </c>
    </row>
    <row r="76" spans="1:7" ht="26.25" customHeight="1" x14ac:dyDescent="0.35">
      <c r="A76" s="74">
        <v>30010</v>
      </c>
      <c r="B76" s="73" t="s">
        <v>59</v>
      </c>
      <c r="C76" s="85">
        <f>IFERROR(INDEX('حسابهای دریافتنی'!H:H,MATCH(Table232[[#This Row],[كد تفصيلي]],'حسابهای دریافتنی'!A:A,0)),0)</f>
        <v>366215</v>
      </c>
      <c r="D76" s="85">
        <f>IFERROR(INDEX('درجریان وصول'!F:F,MATCH(Table232[[#This Row],[كد تفصيلي]],'درجریان وصول'!A:A,0)),0)</f>
        <v>0</v>
      </c>
      <c r="E76" s="85">
        <f>IFERROR(INDEX('چکهای دریافتنی'!F:F,MATCH(Table232[[#This Row],[كد تفصيلي]],'چکهای دریافتنی'!A:A,0)),0)</f>
        <v>0</v>
      </c>
      <c r="F76" s="85">
        <f>Table232[[#This Row],[حسابهای دریافتنی]]+Table232[[#This Row],[چکهای در جریان وصول]]+Table232[[#This Row],[چکهای نزد صندوق]]</f>
        <v>366215</v>
      </c>
      <c r="G76" s="86">
        <f>IFERROR(INDEX('مانده سوفاله'!F:F,MATCH(Table232[[#This Row],[كد تفصيلي]],'مانده سوفاله'!A:A,0)),0)</f>
        <v>8</v>
      </c>
    </row>
    <row r="77" spans="1:7" ht="26.25" customHeight="1" x14ac:dyDescent="0.35">
      <c r="A77" s="74">
        <v>30077</v>
      </c>
      <c r="B77" s="73" t="s">
        <v>122</v>
      </c>
      <c r="C77" s="85">
        <f>IFERROR(INDEX('حسابهای دریافتنی'!H:H,MATCH(Table232[[#This Row],[كد تفصيلي]],'حسابهای دریافتنی'!A:A,0)),0)</f>
        <v>360000</v>
      </c>
      <c r="D77" s="85">
        <f>IFERROR(INDEX('درجریان وصول'!F:F,MATCH(Table232[[#This Row],[كد تفصيلي]],'درجریان وصول'!A:A,0)),0)</f>
        <v>0</v>
      </c>
      <c r="E77" s="85">
        <f>IFERROR(INDEX('چکهای دریافتنی'!F:F,MATCH(Table232[[#This Row],[كد تفصيلي]],'چکهای دریافتنی'!A:A,0)),0)</f>
        <v>0</v>
      </c>
      <c r="F77" s="85">
        <f>Table232[[#This Row],[حسابهای دریافتنی]]+Table232[[#This Row],[چکهای در جریان وصول]]+Table232[[#This Row],[چکهای نزد صندوق]]</f>
        <v>360000</v>
      </c>
      <c r="G77" s="86">
        <f>IFERROR(INDEX('مانده سوفاله'!F:F,MATCH(Table232[[#This Row],[كد تفصيلي]],'مانده سوفاله'!A:A,0)),0)</f>
        <v>-32</v>
      </c>
    </row>
    <row r="78" spans="1:7" ht="26.25" customHeight="1" x14ac:dyDescent="0.35">
      <c r="A78" s="75">
        <v>30027</v>
      </c>
      <c r="B78" s="72" t="s">
        <v>75</v>
      </c>
      <c r="C78" s="85">
        <f>IFERROR(INDEX('حسابهای دریافتنی'!H:H,MATCH(Table232[[#This Row],[كد تفصيلي]],'حسابهای دریافتنی'!A:A,0)),0)</f>
        <v>326950</v>
      </c>
      <c r="D78" s="85">
        <f>IFERROR(INDEX('درجریان وصول'!F:F,MATCH(Table232[[#This Row],[كد تفصيلي]],'درجریان وصول'!A:A,0)),0)</f>
        <v>0</v>
      </c>
      <c r="E78" s="85">
        <f>IFERROR(INDEX('چکهای دریافتنی'!F:F,MATCH(Table232[[#This Row],[كد تفصيلي]],'چکهای دریافتنی'!A:A,0)),0)</f>
        <v>0</v>
      </c>
      <c r="F78" s="85">
        <f>Table232[[#This Row],[حسابهای دریافتنی]]+Table232[[#This Row],[چکهای در جریان وصول]]+Table232[[#This Row],[چکهای نزد صندوق]]</f>
        <v>326950</v>
      </c>
      <c r="G78" s="86">
        <f>IFERROR(INDEX('مانده سوفاله'!F:F,MATCH(Table232[[#This Row],[كد تفصيلي]],'مانده سوفاله'!A:A,0)),0)</f>
        <v>0</v>
      </c>
    </row>
    <row r="79" spans="1:7" ht="26.25" customHeight="1" x14ac:dyDescent="0.35">
      <c r="A79" s="74">
        <v>30135</v>
      </c>
      <c r="B79" s="73" t="s">
        <v>179</v>
      </c>
      <c r="C79" s="85">
        <f>IFERROR(INDEX('حسابهای دریافتنی'!H:H,MATCH(Table232[[#This Row],[كد تفصيلي]],'حسابهای دریافتنی'!A:A,0)),0)</f>
        <v>195000</v>
      </c>
      <c r="D79" s="85">
        <f>IFERROR(INDEX('درجریان وصول'!F:F,MATCH(Table232[[#This Row],[كد تفصيلي]],'درجریان وصول'!A:A,0)),0)</f>
        <v>0</v>
      </c>
      <c r="E79" s="85">
        <f>IFERROR(INDEX('چکهای دریافتنی'!F:F,MATCH(Table232[[#This Row],[كد تفصيلي]],'چکهای دریافتنی'!A:A,0)),0)</f>
        <v>0</v>
      </c>
      <c r="F79" s="85">
        <f>Table232[[#This Row],[حسابهای دریافتنی]]+Table232[[#This Row],[چکهای در جریان وصول]]+Table232[[#This Row],[چکهای نزد صندوق]]</f>
        <v>195000</v>
      </c>
      <c r="G79" s="86">
        <f>IFERROR(INDEX('مانده سوفاله'!F:F,MATCH(Table232[[#This Row],[كد تفصيلي]],'مانده سوفاله'!A:A,0)),0)</f>
        <v>-5</v>
      </c>
    </row>
    <row r="80" spans="1:7" ht="26.25" customHeight="1" x14ac:dyDescent="0.35">
      <c r="A80" s="74">
        <v>10048</v>
      </c>
      <c r="B80" s="73" t="s">
        <v>191</v>
      </c>
      <c r="C80" s="85">
        <f>IFERROR(INDEX('حسابهای دریافتنی'!H:H,MATCH(Table232[[#This Row],[كد تفصيلي]],'حسابهای دریافتنی'!A:A,0)),0)</f>
        <v>0</v>
      </c>
      <c r="D80" s="85">
        <f>IFERROR(INDEX('درجریان وصول'!F:F,MATCH(Table232[[#This Row],[كد تفصيلي]],'درجریان وصول'!A:A,0)),0)</f>
        <v>0</v>
      </c>
      <c r="E80" s="85">
        <f>IFERROR(INDEX('چکهای دریافتنی'!F:F,MATCH(Table232[[#This Row],[كد تفصيلي]],'چکهای دریافتنی'!A:A,0)),0)</f>
        <v>0</v>
      </c>
      <c r="F80" s="85">
        <f>Table232[[#This Row],[حسابهای دریافتنی]]+Table232[[#This Row],[چکهای در جریان وصول]]+Table232[[#This Row],[چکهای نزد صندوق]]</f>
        <v>0</v>
      </c>
      <c r="G80" s="86">
        <f>IFERROR(INDEX('مانده سوفاله'!F:F,MATCH(Table232[[#This Row],[كد تفصيلي]],'مانده سوفاله'!A:A,0)),0)</f>
        <v>-1097</v>
      </c>
    </row>
    <row r="81" spans="1:7" ht="26.25" customHeight="1" x14ac:dyDescent="0.35">
      <c r="A81" s="74">
        <v>30137</v>
      </c>
      <c r="B81" s="73" t="s">
        <v>218</v>
      </c>
      <c r="C81" s="85">
        <f>IFERROR(INDEX('حسابهای دریافتنی'!H:H,MATCH(Table232[[#This Row],[كد تفصيلي]],'حسابهای دریافتنی'!A:A,0)),0)</f>
        <v>0</v>
      </c>
      <c r="D81" s="85">
        <f>IFERROR(INDEX('درجریان وصول'!F:F,MATCH(Table232[[#This Row],[كد تفصيلي]],'درجریان وصول'!A:A,0)),0)</f>
        <v>0</v>
      </c>
      <c r="E81" s="85">
        <f>IFERROR(INDEX('چکهای دریافتنی'!F:F,MATCH(Table232[[#This Row],[كد تفصيلي]],'چکهای دریافتنی'!A:A,0)),0)</f>
        <v>213182200</v>
      </c>
      <c r="F81" s="85">
        <f>Table232[[#This Row],[حسابهای دریافتنی]]+Table232[[#This Row],[چکهای در جریان وصول]]+Table232[[#This Row],[چکهای نزد صندوق]]</f>
        <v>213182200</v>
      </c>
      <c r="G81" s="86">
        <f>IFERROR(INDEX('مانده سوفاله'!F:F,MATCH(Table232[[#This Row],[كد تفصيلي]],'مانده سوفاله'!A:A,0)),0)</f>
        <v>0</v>
      </c>
    </row>
    <row r="82" spans="1:7" ht="26.25" customHeight="1" x14ac:dyDescent="0.35">
      <c r="A82" s="74">
        <v>10104</v>
      </c>
      <c r="B82" s="73" t="s">
        <v>293</v>
      </c>
      <c r="C82" s="85">
        <f>IFERROR(INDEX('حسابهای دریافتنی'!H:H,MATCH(Table232[[#This Row],[كد تفصيلي]],'حسابهای دریافتنی'!A:A,0)),0)</f>
        <v>0</v>
      </c>
      <c r="D82" s="85">
        <f>IFERROR(INDEX('درجریان وصول'!F:F,MATCH(Table232[[#This Row],[كد تفصيلي]],'درجریان وصول'!A:A,0)),0)</f>
        <v>0</v>
      </c>
      <c r="E82" s="85">
        <f>IFERROR(INDEX('چکهای دریافتنی'!F:F,MATCH(Table232[[#This Row],[كد تفصيلي]],'چکهای دریافتنی'!A:A,0)),0)</f>
        <v>0</v>
      </c>
      <c r="F82" s="85">
        <f>Table232[[#This Row],[حسابهای دریافتنی]]+Table232[[#This Row],[چکهای در جریان وصول]]+Table232[[#This Row],[چکهای نزد صندوق]]</f>
        <v>0</v>
      </c>
      <c r="G82" s="86">
        <f>IFERROR(INDEX('مانده سوفاله'!F:F,MATCH(Table232[[#This Row],[كد تفصيلي]],'مانده سوفاله'!A:A,0)),0)</f>
        <v>4065</v>
      </c>
    </row>
    <row r="83" spans="1:7" ht="26.25" customHeight="1" x14ac:dyDescent="0.35">
      <c r="A83" s="74">
        <v>10010</v>
      </c>
      <c r="B83" s="73" t="s">
        <v>17</v>
      </c>
      <c r="C83" s="85">
        <f>IFERROR(INDEX('حسابهای دریافتنی'!H:H,MATCH(Table232[[#This Row],[كد تفصيلي]],'حسابهای دریافتنی'!A:A,0)),0)</f>
        <v>0</v>
      </c>
      <c r="D83" s="85">
        <f>IFERROR(INDEX('درجریان وصول'!F:F,MATCH(Table232[[#This Row],[كد تفصيلي]],'درجریان وصول'!A:A,0)),0)</f>
        <v>0</v>
      </c>
      <c r="E83" s="85">
        <f>IFERROR(INDEX('چکهای دریافتنی'!F:F,MATCH(Table232[[#This Row],[كد تفصيلي]],'چکهای دریافتنی'!A:A,0)),0)</f>
        <v>0</v>
      </c>
      <c r="F83" s="85">
        <f>Table232[[#This Row],[حسابهای دریافتنی]]+Table232[[#This Row],[چکهای در جریان وصول]]+Table232[[#This Row],[چکهای نزد صندوق]]</f>
        <v>0</v>
      </c>
      <c r="G83" s="86">
        <f>IFERROR(INDEX('مانده سوفاله'!F:F,MATCH(Table232[[#This Row],[كد تفصيلي]],'مانده سوفاله'!A:A,0)),0)</f>
        <v>8</v>
      </c>
    </row>
    <row r="84" spans="1:7" ht="26.25" customHeight="1" x14ac:dyDescent="0.35">
      <c r="A84" s="74">
        <v>10014</v>
      </c>
      <c r="B84" s="73" t="s">
        <v>21</v>
      </c>
      <c r="C84" s="85">
        <f>IFERROR(INDEX('حسابهای دریافتنی'!H:H,MATCH(Table232[[#This Row],[كد تفصيلي]],'حسابهای دریافتنی'!A:A,0)),0)</f>
        <v>0</v>
      </c>
      <c r="D84" s="85">
        <f>IFERROR(INDEX('درجریان وصول'!F:F,MATCH(Table232[[#This Row],[كد تفصيلي]],'درجریان وصول'!A:A,0)),0)</f>
        <v>0</v>
      </c>
      <c r="E84" s="85">
        <f>IFERROR(INDEX('چکهای دریافتنی'!F:F,MATCH(Table232[[#This Row],[كد تفصيلي]],'چکهای دریافتنی'!A:A,0)),0)</f>
        <v>0</v>
      </c>
      <c r="F84" s="85">
        <f>Table232[[#This Row],[حسابهای دریافتنی]]+Table232[[#This Row],[چکهای در جریان وصول]]+Table232[[#This Row],[چکهای نزد صندوق]]</f>
        <v>0</v>
      </c>
      <c r="G84" s="86">
        <f>IFERROR(INDEX('مانده سوفاله'!F:F,MATCH(Table232[[#This Row],[كد تفصيلي]],'مانده سوفاله'!A:A,0)),0)</f>
        <v>21</v>
      </c>
    </row>
    <row r="85" spans="1:7" ht="26.25" customHeight="1" x14ac:dyDescent="0.35">
      <c r="A85" s="75">
        <v>10019</v>
      </c>
      <c r="B85" s="72" t="s">
        <v>26</v>
      </c>
      <c r="C85" s="85">
        <f>IFERROR(INDEX('حسابهای دریافتنی'!H:H,MATCH(Table232[[#This Row],[كد تفصيلي]],'حسابهای دریافتنی'!A:A,0)),0)</f>
        <v>0</v>
      </c>
      <c r="D85" s="85">
        <f>IFERROR(INDEX('درجریان وصول'!F:F,MATCH(Table232[[#This Row],[كد تفصيلي]],'درجریان وصول'!A:A,0)),0)</f>
        <v>0</v>
      </c>
      <c r="E85" s="85">
        <f>IFERROR(INDEX('چکهای دریافتنی'!F:F,MATCH(Table232[[#This Row],[كد تفصيلي]],'چکهای دریافتنی'!A:A,0)),0)</f>
        <v>0</v>
      </c>
      <c r="F85" s="85">
        <f>Table232[[#This Row],[حسابهای دریافتنی]]+Table232[[#This Row],[چکهای در جریان وصول]]+Table232[[#This Row],[چکهای نزد صندوق]]</f>
        <v>0</v>
      </c>
      <c r="G85" s="86">
        <f>IFERROR(INDEX('مانده سوفاله'!F:F,MATCH(Table232[[#This Row],[كد تفصيلي]],'مانده سوفاله'!A:A,0)),0)</f>
        <v>285</v>
      </c>
    </row>
    <row r="86" spans="1:7" ht="26.25" customHeight="1" x14ac:dyDescent="0.35">
      <c r="A86" s="75">
        <v>10023</v>
      </c>
      <c r="B86" s="72" t="s">
        <v>155</v>
      </c>
      <c r="C86" s="85">
        <f>IFERROR(INDEX('حسابهای دریافتنی'!H:H,MATCH(Table232[[#This Row],[كد تفصيلي]],'حسابهای دریافتنی'!A:A,0)),0)</f>
        <v>0</v>
      </c>
      <c r="D86" s="85">
        <f>IFERROR(INDEX('درجریان وصول'!F:F,MATCH(Table232[[#This Row],[كد تفصيلي]],'درجریان وصول'!A:A,0)),0)</f>
        <v>0</v>
      </c>
      <c r="E86" s="85">
        <f>IFERROR(INDEX('چکهای دریافتنی'!F:F,MATCH(Table232[[#This Row],[كد تفصيلي]],'چکهای دریافتنی'!A:A,0)),0)</f>
        <v>0</v>
      </c>
      <c r="F86" s="85">
        <f>Table232[[#This Row],[حسابهای دریافتنی]]+Table232[[#This Row],[چکهای در جریان وصول]]+Table232[[#This Row],[چکهای نزد صندوق]]</f>
        <v>0</v>
      </c>
      <c r="G86" s="86">
        <f>IFERROR(INDEX('مانده سوفاله'!F:F,MATCH(Table232[[#This Row],[كد تفصيلي]],'مانده سوفاله'!A:A,0)),0)</f>
        <v>6</v>
      </c>
    </row>
    <row r="87" spans="1:7" customFormat="1" ht="26.25" customHeight="1" x14ac:dyDescent="0.35">
      <c r="A87" s="76">
        <v>10039</v>
      </c>
      <c r="B87" s="72" t="s">
        <v>45</v>
      </c>
      <c r="C87" s="85">
        <f>IFERROR(INDEX('حسابهای دریافتنی'!H:H,MATCH(Table232[[#This Row],[كد تفصيلي]],'حسابهای دریافتنی'!A:A,0)),0)</f>
        <v>0</v>
      </c>
      <c r="D87" s="85">
        <f>IFERROR(INDEX('درجریان وصول'!F:F,MATCH(Table232[[#This Row],[كد تفصيلي]],'درجریان وصول'!A:A,0)),0)</f>
        <v>0</v>
      </c>
      <c r="E87" s="85">
        <f>IFERROR(INDEX('چکهای دریافتنی'!F:F,MATCH(Table232[[#This Row],[كد تفصيلي]],'چکهای دریافتنی'!A:A,0)),0)</f>
        <v>0</v>
      </c>
      <c r="F87" s="85">
        <f>Table232[[#This Row],[حسابهای دریافتنی]]+Table232[[#This Row],[چکهای در جریان وصول]]+Table232[[#This Row],[چکهای نزد صندوق]]</f>
        <v>0</v>
      </c>
      <c r="G87" s="86">
        <f>IFERROR(INDEX('مانده سوفاله'!F:F,MATCH(Table232[[#This Row],[كد تفصيلي]],'مانده سوفاله'!A:A,0)),0)</f>
        <v>4</v>
      </c>
    </row>
    <row r="88" spans="1:7" customFormat="1" ht="26.25" customHeight="1" x14ac:dyDescent="0.35">
      <c r="A88" s="77">
        <v>10046</v>
      </c>
      <c r="B88" s="73" t="s">
        <v>51</v>
      </c>
      <c r="C88" s="85">
        <f>IFERROR(INDEX('حسابهای دریافتنی'!H:H,MATCH(Table232[[#This Row],[كد تفصيلي]],'حسابهای دریافتنی'!A:A,0)),0)</f>
        <v>0</v>
      </c>
      <c r="D88" s="85">
        <f>IFERROR(INDEX('درجریان وصول'!F:F,MATCH(Table232[[#This Row],[كد تفصيلي]],'درجریان وصول'!A:A,0)),0)</f>
        <v>0</v>
      </c>
      <c r="E88" s="85">
        <f>IFERROR(INDEX('چکهای دریافتنی'!F:F,MATCH(Table232[[#This Row],[كد تفصيلي]],'چکهای دریافتنی'!A:A,0)),0)</f>
        <v>0</v>
      </c>
      <c r="F88" s="85">
        <f>Table232[[#This Row],[حسابهای دریافتنی]]+Table232[[#This Row],[چکهای در جریان وصول]]+Table232[[#This Row],[چکهای نزد صندوق]]</f>
        <v>0</v>
      </c>
      <c r="G88" s="86">
        <f>IFERROR(INDEX('مانده سوفاله'!F:F,MATCH(Table232[[#This Row],[كد تفصيلي]],'مانده سوفاله'!A:A,0)),0)</f>
        <v>118</v>
      </c>
    </row>
    <row r="89" spans="1:7" customFormat="1" ht="26.25" customHeight="1" x14ac:dyDescent="0.35">
      <c r="A89" s="76">
        <v>10065</v>
      </c>
      <c r="B89" s="72" t="s">
        <v>228</v>
      </c>
      <c r="C89" s="85">
        <f>IFERROR(INDEX('حسابهای دریافتنی'!H:H,MATCH(Table232[[#This Row],[كد تفصيلي]],'حسابهای دریافتنی'!A:A,0)),0)</f>
        <v>0</v>
      </c>
      <c r="D89" s="85">
        <f>IFERROR(INDEX('درجریان وصول'!F:F,MATCH(Table232[[#This Row],[كد تفصيلي]],'درجریان وصول'!A:A,0)),0)</f>
        <v>0</v>
      </c>
      <c r="E89" s="85">
        <f>IFERROR(INDEX('چکهای دریافتنی'!F:F,MATCH(Table232[[#This Row],[كد تفصيلي]],'چکهای دریافتنی'!A:A,0)),0)</f>
        <v>0</v>
      </c>
      <c r="F89" s="85">
        <f>Table232[[#This Row],[حسابهای دریافتنی]]+Table232[[#This Row],[چکهای در جریان وصول]]+Table232[[#This Row],[چکهای نزد صندوق]]</f>
        <v>0</v>
      </c>
      <c r="G89" s="86">
        <f>IFERROR(INDEX('مانده سوفاله'!F:F,MATCH(Table232[[#This Row],[كد تفصيلي]],'مانده سوفاله'!A:A,0)),0)</f>
        <v>127</v>
      </c>
    </row>
    <row r="90" spans="1:7" ht="26.25" customHeight="1" x14ac:dyDescent="0.35">
      <c r="A90" s="77">
        <v>10076</v>
      </c>
      <c r="B90" s="73" t="s">
        <v>182</v>
      </c>
      <c r="C90" s="85">
        <f>IFERROR(INDEX('حسابهای دریافتنی'!H:H,MATCH(Table232[[#This Row],[كد تفصيلي]],'حسابهای دریافتنی'!A:A,0)),0)</f>
        <v>0</v>
      </c>
      <c r="D90" s="85">
        <f>IFERROR(INDEX('درجریان وصول'!F:F,MATCH(Table232[[#This Row],[كد تفصيلي]],'درجریان وصول'!A:A,0)),0)</f>
        <v>0</v>
      </c>
      <c r="E90" s="85">
        <f>IFERROR(INDEX('چکهای دریافتنی'!F:F,MATCH(Table232[[#This Row],[كد تفصيلي]],'چکهای دریافتنی'!A:A,0)),0)</f>
        <v>0</v>
      </c>
      <c r="F90" s="85">
        <f>Table232[[#This Row],[حسابهای دریافتنی]]+Table232[[#This Row],[چکهای در جریان وصول]]+Table232[[#This Row],[چکهای نزد صندوق]]</f>
        <v>0</v>
      </c>
      <c r="G90" s="86">
        <f>IFERROR(INDEX('مانده سوفاله'!F:F,MATCH(Table232[[#This Row],[كد تفصيلي]],'مانده سوفاله'!A:A,0)),0)</f>
        <v>-13</v>
      </c>
    </row>
    <row r="91" spans="1:7" ht="26.25" customHeight="1" x14ac:dyDescent="0.35">
      <c r="A91" s="77">
        <v>30202</v>
      </c>
      <c r="B91" s="73" t="s">
        <v>529</v>
      </c>
      <c r="C91" s="85">
        <f>IFERROR(INDEX('حسابهای دریافتنی'!H:H,MATCH(Table232[[#This Row],[كد تفصيلي]],'حسابهای دریافتنی'!A:A,0)),0)</f>
        <v>0</v>
      </c>
      <c r="D91" s="85">
        <f>IFERROR(INDEX('درجریان وصول'!F:F,MATCH(Table232[[#This Row],[كد تفصيلي]],'درجریان وصول'!A:A,0)),0)</f>
        <v>0</v>
      </c>
      <c r="E91" s="85">
        <f>IFERROR(INDEX('چکهای دریافتنی'!F:F,MATCH(Table232[[#This Row],[كد تفصيلي]],'چکهای دریافتنی'!A:A,0)),0)</f>
        <v>0</v>
      </c>
      <c r="F91" s="85">
        <f>Table232[[#This Row],[حسابهای دریافتنی]]+Table232[[#This Row],[چکهای در جریان وصول]]+Table232[[#This Row],[چکهای نزد صندوق]]</f>
        <v>0</v>
      </c>
      <c r="G91" s="86">
        <f>IFERROR(INDEX('مانده سوفاله'!F:F,MATCH(Table232[[#This Row],[كد تفصيلي]],'مانده سوفاله'!A:A,0)),0)</f>
        <v>1</v>
      </c>
    </row>
    <row r="92" spans="1:7" ht="26.25" customHeight="1" x14ac:dyDescent="0.35">
      <c r="A92" s="75">
        <v>30031</v>
      </c>
      <c r="B92" s="72" t="s">
        <v>78</v>
      </c>
      <c r="C92" s="85">
        <f>IFERROR(INDEX('حسابهای دریافتنی'!H:H,MATCH(Table232[[#This Row],[كد تفصيلي]],'حسابهای دریافتنی'!A:A,0)),0)</f>
        <v>0</v>
      </c>
      <c r="D92" s="85">
        <f>IFERROR(INDEX('درجریان وصول'!F:F,MATCH(Table232[[#This Row],[كد تفصيلي]],'درجریان وصول'!A:A,0)),0)</f>
        <v>0</v>
      </c>
      <c r="E92" s="85">
        <f>IFERROR(INDEX('چکهای دریافتنی'!F:F,MATCH(Table232[[#This Row],[كد تفصيلي]],'چکهای دریافتنی'!A:A,0)),0)</f>
        <v>0</v>
      </c>
      <c r="F92" s="85">
        <f>Table232[[#This Row],[حسابهای دریافتنی]]+Table232[[#This Row],[چکهای در جریان وصول]]+Table232[[#This Row],[چکهای نزد صندوق]]</f>
        <v>0</v>
      </c>
      <c r="G92" s="86">
        <f>IFERROR(INDEX('مانده سوفاله'!F:F,MATCH(Table232[[#This Row],[كد تفصيلي]],'مانده سوفاله'!A:A,0)),0)</f>
        <v>-1</v>
      </c>
    </row>
    <row r="93" spans="1:7" ht="26.25" customHeight="1" x14ac:dyDescent="0.35">
      <c r="A93" s="74">
        <v>30055</v>
      </c>
      <c r="B93" s="73" t="s">
        <v>100</v>
      </c>
      <c r="C93" s="85">
        <f>IFERROR(INDEX('حسابهای دریافتنی'!H:H,MATCH(Table232[[#This Row],[كد تفصيلي]],'حسابهای دریافتنی'!A:A,0)),0)</f>
        <v>0</v>
      </c>
      <c r="D93" s="85">
        <f>IFERROR(INDEX('درجریان وصول'!F:F,MATCH(Table232[[#This Row],[كد تفصيلي]],'درجریان وصول'!A:A,0)),0)</f>
        <v>0</v>
      </c>
      <c r="E93" s="85">
        <f>IFERROR(INDEX('چکهای دریافتنی'!F:F,MATCH(Table232[[#This Row],[كد تفصيلي]],'چکهای دریافتنی'!A:A,0)),0)</f>
        <v>0</v>
      </c>
      <c r="F93" s="85">
        <f>Table232[[#This Row],[حسابهای دریافتنی]]+Table232[[#This Row],[چکهای در جریان وصول]]+Table232[[#This Row],[چکهای نزد صندوق]]</f>
        <v>0</v>
      </c>
      <c r="G93" s="86">
        <f>IFERROR(INDEX('مانده سوفاله'!F:F,MATCH(Table232[[#This Row],[كد تفصيلي]],'مانده سوفاله'!A:A,0)),0)</f>
        <v>48</v>
      </c>
    </row>
    <row r="94" spans="1:7" ht="26.25" customHeight="1" x14ac:dyDescent="0.35">
      <c r="A94" s="75">
        <v>30062</v>
      </c>
      <c r="B94" s="72" t="s">
        <v>107</v>
      </c>
      <c r="C94" s="85">
        <f>IFERROR(INDEX('حسابهای دریافتنی'!H:H,MATCH(Table232[[#This Row],[كد تفصيلي]],'حسابهای دریافتنی'!A:A,0)),0)</f>
        <v>0</v>
      </c>
      <c r="D94" s="85">
        <f>IFERROR(INDEX('درجریان وصول'!F:F,MATCH(Table232[[#This Row],[كد تفصيلي]],'درجریان وصول'!A:A,0)),0)</f>
        <v>0</v>
      </c>
      <c r="E94" s="85">
        <f>IFERROR(INDEX('چکهای دریافتنی'!F:F,MATCH(Table232[[#This Row],[كد تفصيلي]],'چکهای دریافتنی'!A:A,0)),0)</f>
        <v>0</v>
      </c>
      <c r="F94" s="85">
        <f>Table232[[#This Row],[حسابهای دریافتنی]]+Table232[[#This Row],[چکهای در جریان وصول]]+Table232[[#This Row],[چکهای نزد صندوق]]</f>
        <v>0</v>
      </c>
      <c r="G94" s="86">
        <f>IFERROR(INDEX('مانده سوفاله'!F:F,MATCH(Table232[[#This Row],[كد تفصيلي]],'مانده سوفاله'!A:A,0)),0)</f>
        <v>1</v>
      </c>
    </row>
    <row r="95" spans="1:7" ht="26.25" customHeight="1" x14ac:dyDescent="0.35">
      <c r="A95" s="74">
        <v>30065</v>
      </c>
      <c r="B95" s="73" t="s">
        <v>110</v>
      </c>
      <c r="C95" s="85">
        <f>IFERROR(INDEX('حسابهای دریافتنی'!H:H,MATCH(Table232[[#This Row],[كد تفصيلي]],'حسابهای دریافتنی'!A:A,0)),0)</f>
        <v>0</v>
      </c>
      <c r="D95" s="85">
        <f>IFERROR(INDEX('درجریان وصول'!F:F,MATCH(Table232[[#This Row],[كد تفصيلي]],'درجریان وصول'!A:A,0)),0)</f>
        <v>0</v>
      </c>
      <c r="E95" s="85">
        <f>IFERROR(INDEX('چکهای دریافتنی'!F:F,MATCH(Table232[[#This Row],[كد تفصيلي]],'چکهای دریافتنی'!A:A,0)),0)</f>
        <v>0</v>
      </c>
      <c r="F95" s="85">
        <f>Table232[[#This Row],[حسابهای دریافتنی]]+Table232[[#This Row],[چکهای در جریان وصول]]+Table232[[#This Row],[چکهای نزد صندوق]]</f>
        <v>0</v>
      </c>
      <c r="G95" s="86">
        <f>IFERROR(INDEX('مانده سوفاله'!F:F,MATCH(Table232[[#This Row],[كد تفصيلي]],'مانده سوفاله'!A:A,0)),0)</f>
        <v>33</v>
      </c>
    </row>
    <row r="96" spans="1:7" ht="26.25" customHeight="1" x14ac:dyDescent="0.35">
      <c r="A96" s="74">
        <v>30071</v>
      </c>
      <c r="B96" s="73" t="s">
        <v>116</v>
      </c>
      <c r="C96" s="85">
        <f>IFERROR(INDEX('حسابهای دریافتنی'!H:H,MATCH(Table232[[#This Row],[كد تفصيلي]],'حسابهای دریافتنی'!A:A,0)),0)</f>
        <v>0</v>
      </c>
      <c r="D96" s="85">
        <f>IFERROR(INDEX('درجریان وصول'!F:F,MATCH(Table232[[#This Row],[كد تفصيلي]],'درجریان وصول'!A:A,0)),0)</f>
        <v>0</v>
      </c>
      <c r="E96" s="85">
        <f>IFERROR(INDEX('چکهای دریافتنی'!F:F,MATCH(Table232[[#This Row],[كد تفصيلي]],'چکهای دریافتنی'!A:A,0)),0)</f>
        <v>0</v>
      </c>
      <c r="F96" s="85">
        <f>Table232[[#This Row],[حسابهای دریافتنی]]+Table232[[#This Row],[چکهای در جریان وصول]]+Table232[[#This Row],[چکهای نزد صندوق]]</f>
        <v>0</v>
      </c>
      <c r="G96" s="86">
        <f>IFERROR(INDEX('مانده سوفاله'!F:F,MATCH(Table232[[#This Row],[كد تفصيلي]],'مانده سوفاله'!A:A,0)),0)</f>
        <v>3</v>
      </c>
    </row>
    <row r="97" spans="1:7" ht="26.25" customHeight="1" x14ac:dyDescent="0.35">
      <c r="A97" s="74">
        <v>30079</v>
      </c>
      <c r="B97" s="73" t="s">
        <v>124</v>
      </c>
      <c r="C97" s="85">
        <f>IFERROR(INDEX('حسابهای دریافتنی'!H:H,MATCH(Table232[[#This Row],[كد تفصيلي]],'حسابهای دریافتنی'!A:A,0)),0)</f>
        <v>0</v>
      </c>
      <c r="D97" s="85">
        <f>IFERROR(INDEX('درجریان وصول'!F:F,MATCH(Table232[[#This Row],[كد تفصيلي]],'درجریان وصول'!A:A,0)),0)</f>
        <v>0</v>
      </c>
      <c r="E97" s="85">
        <f>IFERROR(INDEX('چکهای دریافتنی'!F:F,MATCH(Table232[[#This Row],[كد تفصيلي]],'چکهای دریافتنی'!A:A,0)),0)</f>
        <v>0</v>
      </c>
      <c r="F97" s="85">
        <f>Table232[[#This Row],[حسابهای دریافتنی]]+Table232[[#This Row],[چکهای در جریان وصول]]+Table232[[#This Row],[چکهای نزد صندوق]]</f>
        <v>0</v>
      </c>
      <c r="G97" s="86">
        <f>IFERROR(INDEX('مانده سوفاله'!F:F,MATCH(Table232[[#This Row],[كد تفصيلي]],'مانده سوفاله'!A:A,0)),0)</f>
        <v>-85</v>
      </c>
    </row>
    <row r="98" spans="1:7" ht="26.25" customHeight="1" x14ac:dyDescent="0.35">
      <c r="A98" s="74">
        <v>30097</v>
      </c>
      <c r="B98" s="73" t="s">
        <v>188</v>
      </c>
      <c r="C98" s="85">
        <f>IFERROR(INDEX('حسابهای دریافتنی'!H:H,MATCH(Table232[[#This Row],[كد تفصيلي]],'حسابهای دریافتنی'!A:A,0)),0)</f>
        <v>0</v>
      </c>
      <c r="D98" s="85">
        <f>IFERROR(INDEX('درجریان وصول'!F:F,MATCH(Table232[[#This Row],[كد تفصيلي]],'درجریان وصول'!A:A,0)),0)</f>
        <v>0</v>
      </c>
      <c r="E98" s="85">
        <f>IFERROR(INDEX('چکهای دریافتنی'!F:F,MATCH(Table232[[#This Row],[كد تفصيلي]],'چکهای دریافتنی'!A:A,0)),0)</f>
        <v>0</v>
      </c>
      <c r="F98" s="85">
        <f>Table232[[#This Row],[حسابهای دریافتنی]]+Table232[[#This Row],[چکهای در جریان وصول]]+Table232[[#This Row],[چکهای نزد صندوق]]</f>
        <v>0</v>
      </c>
      <c r="G98" s="86">
        <f>IFERROR(INDEX('مانده سوفاله'!F:F,MATCH(Table232[[#This Row],[كد تفصيلي]],'مانده سوفاله'!A:A,0)),0)</f>
        <v>-82</v>
      </c>
    </row>
    <row r="99" spans="1:7" ht="26.25" customHeight="1" x14ac:dyDescent="0.35">
      <c r="A99" s="75">
        <v>30118</v>
      </c>
      <c r="B99" s="72" t="s">
        <v>205</v>
      </c>
      <c r="C99" s="85">
        <f>IFERROR(INDEX('حسابهای دریافتنی'!H:H,MATCH(Table232[[#This Row],[كد تفصيلي]],'حسابهای دریافتنی'!A:A,0)),0)</f>
        <v>0</v>
      </c>
      <c r="D99" s="85">
        <f>IFERROR(INDEX('درجریان وصول'!F:F,MATCH(Table232[[#This Row],[كد تفصيلي]],'درجریان وصول'!A:A,0)),0)</f>
        <v>0</v>
      </c>
      <c r="E99" s="85">
        <f>IFERROR(INDEX('چکهای دریافتنی'!F:F,MATCH(Table232[[#This Row],[كد تفصيلي]],'چکهای دریافتنی'!A:A,0)),0)</f>
        <v>0</v>
      </c>
      <c r="F99" s="85">
        <f>Table232[[#This Row],[حسابهای دریافتنی]]+Table232[[#This Row],[چکهای در جریان وصول]]+Table232[[#This Row],[چکهای نزد صندوق]]</f>
        <v>0</v>
      </c>
      <c r="G99" s="86">
        <f>IFERROR(INDEX('مانده سوفاله'!F:F,MATCH(Table232[[#This Row],[كد تفصيلي]],'مانده سوفاله'!A:A,0)),0)</f>
        <v>-20</v>
      </c>
    </row>
    <row r="100" spans="1:7" ht="26.25" customHeight="1" x14ac:dyDescent="0.35">
      <c r="A100" s="74">
        <v>30141</v>
      </c>
      <c r="B100" s="73" t="s">
        <v>261</v>
      </c>
      <c r="C100" s="85">
        <f>IFERROR(INDEX('حسابهای دریافتنی'!H:H,MATCH(Table232[[#This Row],[كد تفصيلي]],'حسابهای دریافتنی'!A:A,0)),0)</f>
        <v>0</v>
      </c>
      <c r="D100" s="85">
        <f>IFERROR(INDEX('درجریان وصول'!F:F,MATCH(Table232[[#This Row],[كد تفصيلي]],'درجریان وصول'!A:A,0)),0)</f>
        <v>0</v>
      </c>
      <c r="E100" s="85">
        <f>IFERROR(INDEX('چکهای دریافتنی'!F:F,MATCH(Table232[[#This Row],[كد تفصيلي]],'چکهای دریافتنی'!A:A,0)),0)</f>
        <v>0</v>
      </c>
      <c r="F100" s="85">
        <f>Table232[[#This Row],[حسابهای دریافتنی]]+Table232[[#This Row],[چکهای در جریان وصول]]+Table232[[#This Row],[چکهای نزد صندوق]]</f>
        <v>0</v>
      </c>
      <c r="G100" s="86">
        <f>IFERROR(INDEX('مانده سوفاله'!F:F,MATCH(Table232[[#This Row],[كد تفصيلي]],'مانده سوفاله'!A:A,0)),0)</f>
        <v>-42</v>
      </c>
    </row>
    <row r="101" spans="1:7" ht="26.25" customHeight="1" x14ac:dyDescent="0.35">
      <c r="A101" s="75">
        <v>30142</v>
      </c>
      <c r="B101" s="72" t="s">
        <v>263</v>
      </c>
      <c r="C101" s="85">
        <f>IFERROR(INDEX('حسابهای دریافتنی'!H:H,MATCH(Table232[[#This Row],[كد تفصيلي]],'حسابهای دریافتنی'!A:A,0)),0)</f>
        <v>0</v>
      </c>
      <c r="D101" s="85">
        <f>IFERROR(INDEX('درجریان وصول'!F:F,MATCH(Table232[[#This Row],[كد تفصيلي]],'درجریان وصول'!A:A,0)),0)</f>
        <v>0</v>
      </c>
      <c r="E101" s="85">
        <f>IFERROR(INDEX('چکهای دریافتنی'!F:F,MATCH(Table232[[#This Row],[كد تفصيلي]],'چکهای دریافتنی'!A:A,0)),0)</f>
        <v>0</v>
      </c>
      <c r="F101" s="85">
        <f>Table232[[#This Row],[حسابهای دریافتنی]]+Table232[[#This Row],[چکهای در جریان وصول]]+Table232[[#This Row],[چکهای نزد صندوق]]</f>
        <v>0</v>
      </c>
      <c r="G101" s="86">
        <f>IFERROR(INDEX('مانده سوفاله'!F:F,MATCH(Table232[[#This Row],[كد تفصيلي]],'مانده سوفاله'!A:A,0)),0)</f>
        <v>13</v>
      </c>
    </row>
    <row r="102" spans="1:7" ht="26.25" customHeight="1" x14ac:dyDescent="0.35">
      <c r="A102" s="75">
        <v>30160</v>
      </c>
      <c r="B102" s="72" t="s">
        <v>296</v>
      </c>
      <c r="C102" s="85">
        <f>IFERROR(INDEX('حسابهای دریافتنی'!H:H,MATCH(Table232[[#This Row],[كد تفصيلي]],'حسابهای دریافتنی'!A:A,0)),0)</f>
        <v>0</v>
      </c>
      <c r="D102" s="85">
        <f>IFERROR(INDEX('درجریان وصول'!F:F,MATCH(Table232[[#This Row],[كد تفصيلي]],'درجریان وصول'!A:A,0)),0)</f>
        <v>0</v>
      </c>
      <c r="E102" s="85">
        <f>IFERROR(INDEX('چکهای دریافتنی'!F:F,MATCH(Table232[[#This Row],[كد تفصيلي]],'چکهای دریافتنی'!A:A,0)),0)</f>
        <v>0</v>
      </c>
      <c r="F102" s="85">
        <f>Table232[[#This Row],[حسابهای دریافتنی]]+Table232[[#This Row],[چکهای در جریان وصول]]+Table232[[#This Row],[چکهای نزد صندوق]]</f>
        <v>0</v>
      </c>
      <c r="G102" s="86">
        <f>IFERROR(INDEX('مانده سوفاله'!F:F,MATCH(Table232[[#This Row],[كد تفصيلي]],'مانده سوفاله'!A:A,0)),0)</f>
        <v>-425</v>
      </c>
    </row>
    <row r="103" spans="1:7" ht="26.25" customHeight="1" x14ac:dyDescent="0.35">
      <c r="A103" s="74">
        <v>79010</v>
      </c>
      <c r="B103" s="73" t="s">
        <v>176</v>
      </c>
      <c r="C103" s="85">
        <f>IFERROR(INDEX('حسابهای دریافتنی'!H:H,MATCH(Table232[[#This Row],[كد تفصيلي]],'حسابهای دریافتنی'!A:A,0)),0)</f>
        <v>0</v>
      </c>
      <c r="D103" s="85">
        <f>IFERROR(INDEX('درجریان وصول'!F:F,MATCH(Table232[[#This Row],[كد تفصيلي]],'درجریان وصول'!A:A,0)),0)</f>
        <v>0</v>
      </c>
      <c r="E103" s="85">
        <f>IFERROR(INDEX('چکهای دریافتنی'!F:F,MATCH(Table232[[#This Row],[كد تفصيلي]],'چکهای دریافتنی'!A:A,0)),0)</f>
        <v>0</v>
      </c>
      <c r="F103" s="85">
        <f>Table232[[#This Row],[حسابهای دریافتنی]]+Table232[[#This Row],[چکهای در جریان وصول]]+Table232[[#This Row],[چکهای نزد صندوق]]</f>
        <v>0</v>
      </c>
      <c r="G103" s="86">
        <f>IFERROR(INDEX('مانده سوفاله'!F:F,MATCH(Table232[[#This Row],[كد تفصيلي]],'مانده سوفاله'!A:A,0)),0)</f>
        <v>-110</v>
      </c>
    </row>
    <row r="104" spans="1:7" ht="26.25" customHeight="1" x14ac:dyDescent="0.35">
      <c r="A104" s="75">
        <v>10128</v>
      </c>
      <c r="B104" s="72" t="s">
        <v>372</v>
      </c>
      <c r="C104" s="85">
        <f>IFERROR(INDEX('حسابهای دریافتنی'!H:H,MATCH(Table232[[#This Row],[كد تفصيلي]],'حسابهای دریافتنی'!A:A,0)),0)</f>
        <v>-45000</v>
      </c>
      <c r="D104" s="85">
        <f>IFERROR(INDEX('درجریان وصول'!F:F,MATCH(Table232[[#This Row],[كد تفصيلي]],'درجریان وصول'!A:A,0)),0)</f>
        <v>0</v>
      </c>
      <c r="E104" s="85">
        <f>IFERROR(INDEX('چکهای دریافتنی'!F:F,MATCH(Table232[[#This Row],[كد تفصيلي]],'چکهای دریافتنی'!A:A,0)),0)</f>
        <v>0</v>
      </c>
      <c r="F104" s="85">
        <f>Table232[[#This Row],[حسابهای دریافتنی]]+Table232[[#This Row],[چکهای در جریان وصول]]+Table232[[#This Row],[چکهای نزد صندوق]]</f>
        <v>-45000</v>
      </c>
      <c r="G104" s="86">
        <f>IFERROR(INDEX('مانده سوفاله'!F:F,MATCH(Table232[[#This Row],[كد تفصيلي]],'مانده سوفاله'!A:A,0)),0)</f>
        <v>6</v>
      </c>
    </row>
    <row r="105" spans="1:7" ht="26.25" customHeight="1" x14ac:dyDescent="0.35">
      <c r="A105" s="74">
        <v>10066</v>
      </c>
      <c r="B105" s="73" t="s">
        <v>262</v>
      </c>
      <c r="C105" s="85">
        <f>IFERROR(INDEX('حسابهای دریافتنی'!H:H,MATCH(Table232[[#This Row],[كد تفصيلي]],'حسابهای دریافتنی'!A:A,0)),0)</f>
        <v>-191500</v>
      </c>
      <c r="D105" s="85">
        <f>IFERROR(INDEX('درجریان وصول'!F:F,MATCH(Table232[[#This Row],[كد تفصيلي]],'درجریان وصول'!A:A,0)),0)</f>
        <v>0</v>
      </c>
      <c r="E105" s="85">
        <f>IFERROR(INDEX('چکهای دریافتنی'!F:F,MATCH(Table232[[#This Row],[كد تفصيلي]],'چکهای دریافتنی'!A:A,0)),0)</f>
        <v>0</v>
      </c>
      <c r="F105" s="85">
        <f>Table232[[#This Row],[حسابهای دریافتنی]]+Table232[[#This Row],[چکهای در جریان وصول]]+Table232[[#This Row],[چکهای نزد صندوق]]</f>
        <v>-191500</v>
      </c>
      <c r="G105" s="86">
        <f>IFERROR(INDEX('مانده سوفاله'!F:F,MATCH(Table232[[#This Row],[كد تفصيلي]],'مانده سوفاله'!A:A,0)),0)</f>
        <v>2</v>
      </c>
    </row>
    <row r="106" spans="1:7" ht="26.25" customHeight="1" x14ac:dyDescent="0.35">
      <c r="A106" s="74">
        <v>30167</v>
      </c>
      <c r="B106" s="73" t="s">
        <v>311</v>
      </c>
      <c r="C106" s="85">
        <f>IFERROR(INDEX('حسابهای دریافتنی'!H:H,MATCH(Table232[[#This Row],[كد تفصيلي]],'حسابهای دریافتنی'!A:A,0)),0)</f>
        <v>-221000</v>
      </c>
      <c r="D106" s="85">
        <f>IFERROR(INDEX('درجریان وصول'!F:F,MATCH(Table232[[#This Row],[كد تفصيلي]],'درجریان وصول'!A:A,0)),0)</f>
        <v>0</v>
      </c>
      <c r="E106" s="85">
        <f>IFERROR(INDEX('چکهای دریافتنی'!F:F,MATCH(Table232[[#This Row],[كد تفصيلي]],'چکهای دریافتنی'!A:A,0)),0)</f>
        <v>0</v>
      </c>
      <c r="F106" s="85">
        <f>Table232[[#This Row],[حسابهای دریافتنی]]+Table232[[#This Row],[چکهای در جریان وصول]]+Table232[[#This Row],[چکهای نزد صندوق]]</f>
        <v>-221000</v>
      </c>
      <c r="G106" s="86">
        <f>IFERROR(INDEX('مانده سوفاله'!F:F,MATCH(Table232[[#This Row],[كد تفصيلي]],'مانده سوفاله'!A:A,0)),0)</f>
        <v>6</v>
      </c>
    </row>
    <row r="107" spans="1:7" ht="26.25" customHeight="1" x14ac:dyDescent="0.35">
      <c r="A107" s="75">
        <v>10077</v>
      </c>
      <c r="B107" s="72" t="s">
        <v>210</v>
      </c>
      <c r="C107" s="85">
        <f>IFERROR(INDEX('حسابهای دریافتنی'!H:H,MATCH(Table232[[#This Row],[كد تفصيلي]],'حسابهای دریافتنی'!A:A,0)),0)</f>
        <v>-238500</v>
      </c>
      <c r="D107" s="85">
        <f>IFERROR(INDEX('درجریان وصول'!F:F,MATCH(Table232[[#This Row],[كد تفصيلي]],'درجریان وصول'!A:A,0)),0)</f>
        <v>0</v>
      </c>
      <c r="E107" s="85">
        <f>IFERROR(INDEX('چکهای دریافتنی'!F:F,MATCH(Table232[[#This Row],[كد تفصيلي]],'چکهای دریافتنی'!A:A,0)),0)</f>
        <v>0</v>
      </c>
      <c r="F107" s="85">
        <f>Table232[[#This Row],[حسابهای دریافتنی]]+Table232[[#This Row],[چکهای در جریان وصول]]+Table232[[#This Row],[چکهای نزد صندوق]]</f>
        <v>-238500</v>
      </c>
      <c r="G107" s="86">
        <f>IFERROR(INDEX('مانده سوفاله'!F:F,MATCH(Table232[[#This Row],[كد تفصيلي]],'مانده سوفاله'!A:A,0)),0)</f>
        <v>0</v>
      </c>
    </row>
    <row r="108" spans="1:7" ht="26.25" customHeight="1" x14ac:dyDescent="0.35">
      <c r="A108" s="74">
        <v>10012</v>
      </c>
      <c r="B108" s="73" t="s">
        <v>19</v>
      </c>
      <c r="C108" s="85">
        <f>IFERROR(INDEX('حسابهای دریافتنی'!H:H,MATCH(Table232[[#This Row],[كد تفصيلي]],'حسابهای دریافتنی'!A:A,0)),0)</f>
        <v>-244000</v>
      </c>
      <c r="D108" s="85">
        <f>IFERROR(INDEX('درجریان وصول'!F:F,MATCH(Table232[[#This Row],[كد تفصيلي]],'درجریان وصول'!A:A,0)),0)</f>
        <v>0</v>
      </c>
      <c r="E108" s="85">
        <f>IFERROR(INDEX('چکهای دریافتنی'!F:F,MATCH(Table232[[#This Row],[كد تفصيلي]],'چکهای دریافتنی'!A:A,0)),0)</f>
        <v>0</v>
      </c>
      <c r="F108" s="85">
        <f>Table232[[#This Row],[حسابهای دریافتنی]]+Table232[[#This Row],[چکهای در جریان وصول]]+Table232[[#This Row],[چکهای نزد صندوق]]</f>
        <v>-244000</v>
      </c>
      <c r="G108" s="86">
        <f>IFERROR(INDEX('مانده سوفاله'!F:F,MATCH(Table232[[#This Row],[كد تفصيلي]],'مانده سوفاله'!A:A,0)),0)</f>
        <v>0</v>
      </c>
    </row>
    <row r="109" spans="1:7" ht="26.25" customHeight="1" x14ac:dyDescent="0.35">
      <c r="A109" s="75">
        <v>30088</v>
      </c>
      <c r="B109" s="72" t="s">
        <v>142</v>
      </c>
      <c r="C109" s="85">
        <f>IFERROR(INDEX('حسابهای دریافتنی'!H:H,MATCH(Table232[[#This Row],[كد تفصيلي]],'حسابهای دریافتنی'!A:A,0)),0)</f>
        <v>-252000</v>
      </c>
      <c r="D109" s="85">
        <f>IFERROR(INDEX('درجریان وصول'!F:F,MATCH(Table232[[#This Row],[كد تفصيلي]],'درجریان وصول'!A:A,0)),0)</f>
        <v>0</v>
      </c>
      <c r="E109" s="85">
        <f>IFERROR(INDEX('چکهای دریافتنی'!F:F,MATCH(Table232[[#This Row],[كد تفصيلي]],'چکهای دریافتنی'!A:A,0)),0)</f>
        <v>0</v>
      </c>
      <c r="F109" s="85">
        <f>Table232[[#This Row],[حسابهای دریافتنی]]+Table232[[#This Row],[چکهای در جریان وصول]]+Table232[[#This Row],[چکهای نزد صندوق]]</f>
        <v>-252000</v>
      </c>
      <c r="G109" s="86">
        <f>IFERROR(INDEX('مانده سوفاله'!F:F,MATCH(Table232[[#This Row],[كد تفصيلي]],'مانده سوفاله'!A:A,0)),0)</f>
        <v>0</v>
      </c>
    </row>
    <row r="110" spans="1:7" ht="26.25" customHeight="1" x14ac:dyDescent="0.35">
      <c r="A110" s="75">
        <v>10045</v>
      </c>
      <c r="B110" s="72" t="s">
        <v>50</v>
      </c>
      <c r="C110" s="85">
        <f>IFERROR(INDEX('حسابهای دریافتنی'!H:H,MATCH(Table232[[#This Row],[كد تفصيلي]],'حسابهای دریافتنی'!A:A,0)),0)</f>
        <v>-383000</v>
      </c>
      <c r="D110" s="85">
        <f>IFERROR(INDEX('درجریان وصول'!F:F,MATCH(Table232[[#This Row],[كد تفصيلي]],'درجریان وصول'!A:A,0)),0)</f>
        <v>0</v>
      </c>
      <c r="E110" s="85">
        <f>IFERROR(INDEX('چکهای دریافتنی'!F:F,MATCH(Table232[[#This Row],[كد تفصيلي]],'چکهای دریافتنی'!A:A,0)),0)</f>
        <v>0</v>
      </c>
      <c r="F110" s="85">
        <f>Table232[[#This Row],[حسابهای دریافتنی]]+Table232[[#This Row],[چکهای در جریان وصول]]+Table232[[#This Row],[چکهای نزد صندوق]]</f>
        <v>-383000</v>
      </c>
      <c r="G110" s="86">
        <f>IFERROR(INDEX('مانده سوفاله'!F:F,MATCH(Table232[[#This Row],[كد تفصيلي]],'مانده سوفاله'!A:A,0)),0)</f>
        <v>-30</v>
      </c>
    </row>
    <row r="111" spans="1:7" ht="26.25" customHeight="1" x14ac:dyDescent="0.35">
      <c r="A111" s="75">
        <v>30051</v>
      </c>
      <c r="B111" s="72" t="s">
        <v>98</v>
      </c>
      <c r="C111" s="85">
        <f>IFERROR(INDEX('حسابهای دریافتنی'!H:H,MATCH(Table232[[#This Row],[كد تفصيلي]],'حسابهای دریافتنی'!A:A,0)),0)</f>
        <v>-384000</v>
      </c>
      <c r="D111" s="85">
        <f>IFERROR(INDEX('درجریان وصول'!F:F,MATCH(Table232[[#This Row],[كد تفصيلي]],'درجریان وصول'!A:A,0)),0)</f>
        <v>0</v>
      </c>
      <c r="E111" s="85">
        <f>IFERROR(INDEX('چکهای دریافتنی'!F:F,MATCH(Table232[[#This Row],[كد تفصيلي]],'چکهای دریافتنی'!A:A,0)),0)</f>
        <v>0</v>
      </c>
      <c r="F111" s="85">
        <f>Table232[[#This Row],[حسابهای دریافتنی]]+Table232[[#This Row],[چکهای در جریان وصول]]+Table232[[#This Row],[چکهای نزد صندوق]]</f>
        <v>-384000</v>
      </c>
      <c r="G111" s="86">
        <f>IFERROR(INDEX('مانده سوفاله'!F:F,MATCH(Table232[[#This Row],[كد تفصيلي]],'مانده سوفاله'!A:A,0)),0)</f>
        <v>0</v>
      </c>
    </row>
    <row r="112" spans="1:7" ht="26.25" customHeight="1" x14ac:dyDescent="0.35">
      <c r="A112" s="74">
        <v>30044</v>
      </c>
      <c r="B112" s="73" t="s">
        <v>91</v>
      </c>
      <c r="C112" s="85">
        <f>IFERROR(INDEX('حسابهای دریافتنی'!H:H,MATCH(Table232[[#This Row],[كد تفصيلي]],'حسابهای دریافتنی'!A:A,0)),0)</f>
        <v>-492500</v>
      </c>
      <c r="D112" s="85">
        <f>IFERROR(INDEX('درجریان وصول'!F:F,MATCH(Table232[[#This Row],[كد تفصيلي]],'درجریان وصول'!A:A,0)),0)</f>
        <v>0</v>
      </c>
      <c r="E112" s="85">
        <f>IFERROR(INDEX('چکهای دریافتنی'!F:F,MATCH(Table232[[#This Row],[كد تفصيلي]],'چکهای دریافتنی'!A:A,0)),0)</f>
        <v>0</v>
      </c>
      <c r="F112" s="85">
        <f>Table232[[#This Row],[حسابهای دریافتنی]]+Table232[[#This Row],[چکهای در جریان وصول]]+Table232[[#This Row],[چکهای نزد صندوق]]</f>
        <v>-492500</v>
      </c>
      <c r="G112" s="86">
        <f>IFERROR(INDEX('مانده سوفاله'!F:F,MATCH(Table232[[#This Row],[كد تفصيلي]],'مانده سوفاله'!A:A,0)),0)</f>
        <v>2</v>
      </c>
    </row>
    <row r="113" spans="1:7" ht="26.25" customHeight="1" x14ac:dyDescent="0.35">
      <c r="A113" s="75">
        <v>10095</v>
      </c>
      <c r="B113" s="72" t="s">
        <v>268</v>
      </c>
      <c r="C113" s="85">
        <f>IFERROR(INDEX('حسابهای دریافتنی'!H:H,MATCH(Table232[[#This Row],[كد تفصيلي]],'حسابهای دریافتنی'!A:A,0)),0)</f>
        <v>-496500</v>
      </c>
      <c r="D113" s="85">
        <f>IFERROR(INDEX('درجریان وصول'!F:F,MATCH(Table232[[#This Row],[كد تفصيلي]],'درجریان وصول'!A:A,0)),0)</f>
        <v>0</v>
      </c>
      <c r="E113" s="85">
        <f>IFERROR(INDEX('چکهای دریافتنی'!F:F,MATCH(Table232[[#This Row],[كد تفصيلي]],'چکهای دریافتنی'!A:A,0)),0)</f>
        <v>0</v>
      </c>
      <c r="F113" s="85">
        <f>Table232[[#This Row],[حسابهای دریافتنی]]+Table232[[#This Row],[چکهای در جریان وصول]]+Table232[[#This Row],[چکهای نزد صندوق]]</f>
        <v>-496500</v>
      </c>
      <c r="G113" s="86">
        <f>IFERROR(INDEX('مانده سوفاله'!F:F,MATCH(Table232[[#This Row],[كد تفصيلي]],'مانده سوفاله'!A:A,0)),0)</f>
        <v>0</v>
      </c>
    </row>
    <row r="114" spans="1:7" ht="26.25" customHeight="1" x14ac:dyDescent="0.35">
      <c r="A114" s="74">
        <v>30052</v>
      </c>
      <c r="B114" s="73" t="s">
        <v>149</v>
      </c>
      <c r="C114" s="85">
        <f>IFERROR(INDEX('حسابهای دریافتنی'!H:H,MATCH(Table232[[#This Row],[كد تفصيلي]],'حسابهای دریافتنی'!A:A,0)),0)</f>
        <v>-539000</v>
      </c>
      <c r="D114" s="85">
        <f>IFERROR(INDEX('درجریان وصول'!F:F,MATCH(Table232[[#This Row],[كد تفصيلي]],'درجریان وصول'!A:A,0)),0)</f>
        <v>0</v>
      </c>
      <c r="E114" s="85">
        <f>IFERROR(INDEX('چکهای دریافتنی'!F:F,MATCH(Table232[[#This Row],[كد تفصيلي]],'چکهای دریافتنی'!A:A,0)),0)</f>
        <v>0</v>
      </c>
      <c r="F114" s="85">
        <f>Table232[[#This Row],[حسابهای دریافتنی]]+Table232[[#This Row],[چکهای در جریان وصول]]+Table232[[#This Row],[چکهای نزد صندوق]]</f>
        <v>-539000</v>
      </c>
      <c r="G114" s="86">
        <f>IFERROR(INDEX('مانده سوفاله'!F:F,MATCH(Table232[[#This Row],[كد تفصيلي]],'مانده سوفاله'!A:A,0)),0)</f>
        <v>0</v>
      </c>
    </row>
    <row r="115" spans="1:7" ht="26.25" customHeight="1" x14ac:dyDescent="0.35">
      <c r="A115" s="75">
        <v>10061</v>
      </c>
      <c r="B115" s="72" t="s">
        <v>194</v>
      </c>
      <c r="C115" s="85">
        <f>IFERROR(INDEX('حسابهای دریافتنی'!H:H,MATCH(Table232[[#This Row],[كد تفصيلي]],'حسابهای دریافتنی'!A:A,0)),0)</f>
        <v>-565500</v>
      </c>
      <c r="D115" s="85">
        <f>IFERROR(INDEX('درجریان وصول'!F:F,MATCH(Table232[[#This Row],[كد تفصيلي]],'درجریان وصول'!A:A,0)),0)</f>
        <v>0</v>
      </c>
      <c r="E115" s="85">
        <f>IFERROR(INDEX('چکهای دریافتنی'!F:F,MATCH(Table232[[#This Row],[كد تفصيلي]],'چکهای دریافتنی'!A:A,0)),0)</f>
        <v>0</v>
      </c>
      <c r="F115" s="85">
        <f>Table232[[#This Row],[حسابهای دریافتنی]]+Table232[[#This Row],[چکهای در جریان وصول]]+Table232[[#This Row],[چکهای نزد صندوق]]</f>
        <v>-565500</v>
      </c>
      <c r="G115" s="86">
        <f>IFERROR(INDEX('مانده سوفاله'!F:F,MATCH(Table232[[#This Row],[كد تفصيلي]],'مانده سوفاله'!A:A,0)),0)</f>
        <v>0</v>
      </c>
    </row>
    <row r="116" spans="1:7" ht="26.25" customHeight="1" x14ac:dyDescent="0.35">
      <c r="A116" s="75">
        <v>10118</v>
      </c>
      <c r="B116" s="72" t="s">
        <v>334</v>
      </c>
      <c r="C116" s="85">
        <f>IFERROR(INDEX('حسابهای دریافتنی'!H:H,MATCH(Table232[[#This Row],[كد تفصيلي]],'حسابهای دریافتنی'!A:A,0)),0)</f>
        <v>-587500</v>
      </c>
      <c r="D116" s="85">
        <f>IFERROR(INDEX('درجریان وصول'!F:F,MATCH(Table232[[#This Row],[كد تفصيلي]],'درجریان وصول'!A:A,0)),0)</f>
        <v>0</v>
      </c>
      <c r="E116" s="85">
        <f>IFERROR(INDEX('چکهای دریافتنی'!F:F,MATCH(Table232[[#This Row],[كد تفصيلي]],'چکهای دریافتنی'!A:A,0)),0)</f>
        <v>0</v>
      </c>
      <c r="F116" s="85">
        <f>Table232[[#This Row],[حسابهای دریافتنی]]+Table232[[#This Row],[چکهای در جریان وصول]]+Table232[[#This Row],[چکهای نزد صندوق]]</f>
        <v>-587500</v>
      </c>
      <c r="G116" s="86">
        <f>IFERROR(INDEX('مانده سوفاله'!F:F,MATCH(Table232[[#This Row],[كد تفصيلي]],'مانده سوفاله'!A:A,0)),0)</f>
        <v>0</v>
      </c>
    </row>
    <row r="117" spans="1:7" ht="26.25" customHeight="1" x14ac:dyDescent="0.35">
      <c r="A117" s="74">
        <v>30179</v>
      </c>
      <c r="B117" s="73" t="s">
        <v>336</v>
      </c>
      <c r="C117" s="85">
        <f>IFERROR(INDEX('حسابهای دریافتنی'!H:H,MATCH(Table232[[#This Row],[كد تفصيلي]],'حسابهای دریافتنی'!A:A,0)),0)</f>
        <v>-637200</v>
      </c>
      <c r="D117" s="85">
        <f>IFERROR(INDEX('درجریان وصول'!F:F,MATCH(Table232[[#This Row],[كد تفصيلي]],'درجریان وصول'!A:A,0)),0)</f>
        <v>0</v>
      </c>
      <c r="E117" s="85">
        <f>IFERROR(INDEX('چکهای دریافتنی'!F:F,MATCH(Table232[[#This Row],[كد تفصيلي]],'چکهای دریافتنی'!A:A,0)),0)</f>
        <v>0</v>
      </c>
      <c r="F117" s="85">
        <f>Table232[[#This Row],[حسابهای دریافتنی]]+Table232[[#This Row],[چکهای در جریان وصول]]+Table232[[#This Row],[چکهای نزد صندوق]]</f>
        <v>-637200</v>
      </c>
      <c r="G117" s="86">
        <f>IFERROR(INDEX('مانده سوفاله'!F:F,MATCH(Table232[[#This Row],[كد تفصيلي]],'مانده سوفاله'!A:A,0)),0)</f>
        <v>0</v>
      </c>
    </row>
    <row r="118" spans="1:7" ht="26.25" customHeight="1" x14ac:dyDescent="0.35">
      <c r="A118" s="75">
        <v>30112</v>
      </c>
      <c r="B118" s="72" t="s">
        <v>201</v>
      </c>
      <c r="C118" s="85">
        <f>IFERROR(INDEX('حسابهای دریافتنی'!H:H,MATCH(Table232[[#This Row],[كد تفصيلي]],'حسابهای دریافتنی'!A:A,0)),0)</f>
        <v>-720500</v>
      </c>
      <c r="D118" s="85">
        <f>IFERROR(INDEX('درجریان وصول'!F:F,MATCH(Table232[[#This Row],[كد تفصيلي]],'درجریان وصول'!A:A,0)),0)</f>
        <v>0</v>
      </c>
      <c r="E118" s="85">
        <f>IFERROR(INDEX('چکهای دریافتنی'!F:F,MATCH(Table232[[#This Row],[كد تفصيلي]],'چکهای دریافتنی'!A:A,0)),0)</f>
        <v>0</v>
      </c>
      <c r="F118" s="85">
        <f>Table232[[#This Row],[حسابهای دریافتنی]]+Table232[[#This Row],[چکهای در جریان وصول]]+Table232[[#This Row],[چکهای نزد صندوق]]</f>
        <v>-720500</v>
      </c>
      <c r="G118" s="86">
        <f>IFERROR(INDEX('مانده سوفاله'!F:F,MATCH(Table232[[#This Row],[كد تفصيلي]],'مانده سوفاله'!A:A,0)),0)</f>
        <v>36</v>
      </c>
    </row>
    <row r="119" spans="1:7" ht="26.25" customHeight="1" x14ac:dyDescent="0.35">
      <c r="A119" s="75">
        <v>10013</v>
      </c>
      <c r="B119" s="72" t="s">
        <v>20</v>
      </c>
      <c r="C119" s="85">
        <f>IFERROR(INDEX('حسابهای دریافتنی'!H:H,MATCH(Table232[[#This Row],[كد تفصيلي]],'حسابهای دریافتنی'!A:A,0)),0)</f>
        <v>-915000</v>
      </c>
      <c r="D119" s="85">
        <f>IFERROR(INDEX('درجریان وصول'!F:F,MATCH(Table232[[#This Row],[كد تفصيلي]],'درجریان وصول'!A:A,0)),0)</f>
        <v>0</v>
      </c>
      <c r="E119" s="85">
        <f>IFERROR(INDEX('چکهای دریافتنی'!F:F,MATCH(Table232[[#This Row],[كد تفصيلي]],'چکهای دریافتنی'!A:A,0)),0)</f>
        <v>0</v>
      </c>
      <c r="F119" s="85">
        <f>Table232[[#This Row],[حسابهای دریافتنی]]+Table232[[#This Row],[چکهای در جریان وصول]]+Table232[[#This Row],[چکهای نزد صندوق]]</f>
        <v>-915000</v>
      </c>
      <c r="G119" s="86">
        <f>IFERROR(INDEX('مانده سوفاله'!F:F,MATCH(Table232[[#This Row],[كد تفصيلي]],'مانده سوفاله'!A:A,0)),0)</f>
        <v>0</v>
      </c>
    </row>
    <row r="120" spans="1:7" ht="26.25" customHeight="1" x14ac:dyDescent="0.35">
      <c r="A120" s="74">
        <v>10018</v>
      </c>
      <c r="B120" s="73" t="s">
        <v>25</v>
      </c>
      <c r="C120" s="85">
        <f>IFERROR(INDEX('حسابهای دریافتنی'!H:H,MATCH(Table232[[#This Row],[كد تفصيلي]],'حسابهای دریافتنی'!A:A,0)),0)</f>
        <v>95282000</v>
      </c>
      <c r="D120" s="85">
        <f>IFERROR(INDEX('درجریان وصول'!F:F,MATCH(Table232[[#This Row],[كد تفصيلي]],'درجریان وصول'!A:A,0)),0)</f>
        <v>0</v>
      </c>
      <c r="E120" s="85">
        <f>IFERROR(INDEX('چکهای دریافتنی'!F:F,MATCH(Table232[[#This Row],[كد تفصيلي]],'چکهای دریافتنی'!A:A,0)),0)</f>
        <v>0</v>
      </c>
      <c r="F120" s="85">
        <f>Table232[[#This Row],[حسابهای دریافتنی]]+Table232[[#This Row],[چکهای در جریان وصول]]+Table232[[#This Row],[چکهای نزد صندوق]]</f>
        <v>95282000</v>
      </c>
      <c r="G120" s="86">
        <f>IFERROR(INDEX('مانده سوفاله'!F:F,MATCH(Table232[[#This Row],[كد تفصيلي]],'مانده سوفاله'!A:A,0)),0)</f>
        <v>-32</v>
      </c>
    </row>
    <row r="121" spans="1:7" ht="26.25" customHeight="1" x14ac:dyDescent="0.35">
      <c r="A121" s="74">
        <v>10042</v>
      </c>
      <c r="B121" s="73" t="s">
        <v>47</v>
      </c>
      <c r="C121" s="85">
        <f>IFERROR(INDEX('حسابهای دریافتنی'!H:H,MATCH(Table232[[#This Row],[كد تفصيلي]],'حسابهای دریافتنی'!A:A,0)),0)</f>
        <v>-1120000</v>
      </c>
      <c r="D121" s="85">
        <f>IFERROR(INDEX('درجریان وصول'!F:F,MATCH(Table232[[#This Row],[كد تفصيلي]],'درجریان وصول'!A:A,0)),0)</f>
        <v>0</v>
      </c>
      <c r="E121" s="85">
        <f>IFERROR(INDEX('چکهای دریافتنی'!F:F,MATCH(Table232[[#This Row],[كد تفصيلي]],'چکهای دریافتنی'!A:A,0)),0)</f>
        <v>0</v>
      </c>
      <c r="F121" s="85">
        <f>Table232[[#This Row],[حسابهای دریافتنی]]+Table232[[#This Row],[چکهای در جریان وصول]]+Table232[[#This Row],[چکهای نزد صندوق]]</f>
        <v>-1120000</v>
      </c>
      <c r="G121" s="86">
        <f>IFERROR(INDEX('مانده سوفاله'!F:F,MATCH(Table232[[#This Row],[كد تفصيلي]],'مانده سوفاله'!A:A,0)),0)</f>
        <v>2</v>
      </c>
    </row>
    <row r="122" spans="1:7" ht="26.25" customHeight="1" x14ac:dyDescent="0.35">
      <c r="A122" s="74">
        <v>10131</v>
      </c>
      <c r="B122" s="73" t="s">
        <v>457</v>
      </c>
      <c r="C122" s="85">
        <f>IFERROR(INDEX('حسابهای دریافتنی'!H:H,MATCH(Table232[[#This Row],[كد تفصيلي]],'حسابهای دریافتنی'!A:A,0)),0)</f>
        <v>-1194000</v>
      </c>
      <c r="D122" s="85">
        <f>IFERROR(INDEX('درجریان وصول'!F:F,MATCH(Table232[[#This Row],[كد تفصيلي]],'درجریان وصول'!A:A,0)),0)</f>
        <v>0</v>
      </c>
      <c r="E122" s="85">
        <f>IFERROR(INDEX('چکهای دریافتنی'!F:F,MATCH(Table232[[#This Row],[كد تفصيلي]],'چکهای دریافتنی'!A:A,0)),0)</f>
        <v>0</v>
      </c>
      <c r="F122" s="85">
        <f>Table232[[#This Row],[حسابهای دریافتنی]]+Table232[[#This Row],[چکهای در جریان وصول]]+Table232[[#This Row],[چکهای نزد صندوق]]</f>
        <v>-1194000</v>
      </c>
      <c r="G122" s="86">
        <f>IFERROR(INDEX('مانده سوفاله'!F:F,MATCH(Table232[[#This Row],[كد تفصيلي]],'مانده سوفاله'!A:A,0)),0)</f>
        <v>1</v>
      </c>
    </row>
    <row r="123" spans="1:7" ht="26.25" customHeight="1" x14ac:dyDescent="0.35">
      <c r="A123" s="74">
        <v>30032</v>
      </c>
      <c r="B123" s="73" t="s">
        <v>79</v>
      </c>
      <c r="C123" s="85">
        <f>IFERROR(INDEX('حسابهای دریافتنی'!H:H,MATCH(Table232[[#This Row],[كد تفصيلي]],'حسابهای دریافتنی'!A:A,0)),0)</f>
        <v>-1347000</v>
      </c>
      <c r="D123" s="85">
        <f>IFERROR(INDEX('درجریان وصول'!F:F,MATCH(Table232[[#This Row],[كد تفصيلي]],'درجریان وصول'!A:A,0)),0)</f>
        <v>0</v>
      </c>
      <c r="E123" s="85">
        <f>IFERROR(INDEX('چکهای دریافتنی'!F:F,MATCH(Table232[[#This Row],[كد تفصيلي]],'چکهای دریافتنی'!A:A,0)),0)</f>
        <v>0</v>
      </c>
      <c r="F123" s="85">
        <f>Table232[[#This Row],[حسابهای دریافتنی]]+Table232[[#This Row],[چکهای در جریان وصول]]+Table232[[#This Row],[چکهای نزد صندوق]]</f>
        <v>-1347000</v>
      </c>
      <c r="G123" s="86">
        <f>IFERROR(INDEX('مانده سوفاله'!F:F,MATCH(Table232[[#This Row],[كد تفصيلي]],'مانده سوفاله'!A:A,0)),0)</f>
        <v>0</v>
      </c>
    </row>
    <row r="124" spans="1:7" ht="26.25" customHeight="1" x14ac:dyDescent="0.35">
      <c r="A124" s="74">
        <v>30171</v>
      </c>
      <c r="B124" s="73" t="s">
        <v>322</v>
      </c>
      <c r="C124" s="85">
        <f>IFERROR(INDEX('حسابهای دریافتنی'!H:H,MATCH(Table232[[#This Row],[كد تفصيلي]],'حسابهای دریافتنی'!A:A,0)),0)</f>
        <v>-1500000</v>
      </c>
      <c r="D124" s="85">
        <f>IFERROR(INDEX('درجریان وصول'!F:F,MATCH(Table232[[#This Row],[كد تفصيلي]],'درجریان وصول'!A:A,0)),0)</f>
        <v>0</v>
      </c>
      <c r="E124" s="85">
        <f>IFERROR(INDEX('چکهای دریافتنی'!F:F,MATCH(Table232[[#This Row],[كد تفصيلي]],'چکهای دریافتنی'!A:A,0)),0)</f>
        <v>0</v>
      </c>
      <c r="F124" s="85">
        <f>Table232[[#This Row],[حسابهای دریافتنی]]+Table232[[#This Row],[چکهای در جریان وصول]]+Table232[[#This Row],[چکهای نزد صندوق]]</f>
        <v>-1500000</v>
      </c>
      <c r="G124" s="86">
        <f>IFERROR(INDEX('مانده سوفاله'!F:F,MATCH(Table232[[#This Row],[كد تفصيلي]],'مانده سوفاله'!A:A,0)),0)</f>
        <v>0</v>
      </c>
    </row>
    <row r="125" spans="1:7" ht="26.25" customHeight="1" x14ac:dyDescent="0.35">
      <c r="A125" s="75">
        <v>10103</v>
      </c>
      <c r="B125" s="72" t="s">
        <v>283</v>
      </c>
      <c r="C125" s="85">
        <f>IFERROR(INDEX('حسابهای دریافتنی'!H:H,MATCH(Table232[[#This Row],[كد تفصيلي]],'حسابهای دریافتنی'!A:A,0)),0)</f>
        <v>-1580000</v>
      </c>
      <c r="D125" s="85">
        <f>IFERROR(INDEX('درجریان وصول'!F:F,MATCH(Table232[[#This Row],[كد تفصيلي]],'درجریان وصول'!A:A,0)),0)</f>
        <v>0</v>
      </c>
      <c r="E125" s="85">
        <f>IFERROR(INDEX('چکهای دریافتنی'!F:F,MATCH(Table232[[#This Row],[كد تفصيلي]],'چکهای دریافتنی'!A:A,0)),0)</f>
        <v>0</v>
      </c>
      <c r="F125" s="85">
        <f>Table232[[#This Row],[حسابهای دریافتنی]]+Table232[[#This Row],[چکهای در جریان وصول]]+Table232[[#This Row],[چکهای نزد صندوق]]</f>
        <v>-1580000</v>
      </c>
      <c r="G125" s="86">
        <f>IFERROR(INDEX('مانده سوفاله'!F:F,MATCH(Table232[[#This Row],[كد تفصيلي]],'مانده سوفاله'!A:A,0)),0)</f>
        <v>0</v>
      </c>
    </row>
    <row r="126" spans="1:7" ht="26.25" customHeight="1" x14ac:dyDescent="0.35">
      <c r="A126" s="74">
        <v>10125</v>
      </c>
      <c r="B126" s="73" t="s">
        <v>345</v>
      </c>
      <c r="C126" s="85">
        <f>IFERROR(INDEX('حسابهای دریافتنی'!H:H,MATCH(Table232[[#This Row],[كد تفصيلي]],'حسابهای دریافتنی'!A:A,0)),0)</f>
        <v>-1650000</v>
      </c>
      <c r="D126" s="85">
        <f>IFERROR(INDEX('درجریان وصول'!F:F,MATCH(Table232[[#This Row],[كد تفصيلي]],'درجریان وصول'!A:A,0)),0)</f>
        <v>0</v>
      </c>
      <c r="E126" s="85">
        <f>IFERROR(INDEX('چکهای دریافتنی'!F:F,MATCH(Table232[[#This Row],[كد تفصيلي]],'چکهای دریافتنی'!A:A,0)),0)</f>
        <v>0</v>
      </c>
      <c r="F126" s="85">
        <f>Table232[[#This Row],[حسابهای دریافتنی]]+Table232[[#This Row],[چکهای در جریان وصول]]+Table232[[#This Row],[چکهای نزد صندوق]]</f>
        <v>-1650000</v>
      </c>
      <c r="G126" s="86">
        <f>IFERROR(INDEX('مانده سوفاله'!F:F,MATCH(Table232[[#This Row],[كد تفصيلي]],'مانده سوفاله'!A:A,0)),0)</f>
        <v>0</v>
      </c>
    </row>
    <row r="127" spans="1:7" ht="26.25" customHeight="1" x14ac:dyDescent="0.35">
      <c r="A127" s="75">
        <v>10110</v>
      </c>
      <c r="B127" s="72" t="s">
        <v>306</v>
      </c>
      <c r="C127" s="85">
        <f>IFERROR(INDEX('حسابهای دریافتنی'!H:H,MATCH(Table232[[#This Row],[كد تفصيلي]],'حسابهای دریافتنی'!A:A,0)),0)</f>
        <v>-1817500</v>
      </c>
      <c r="D127" s="85">
        <f>IFERROR(INDEX('درجریان وصول'!F:F,MATCH(Table232[[#This Row],[كد تفصيلي]],'درجریان وصول'!A:A,0)),0)</f>
        <v>0</v>
      </c>
      <c r="E127" s="85">
        <f>IFERROR(INDEX('چکهای دریافتنی'!F:F,MATCH(Table232[[#This Row],[كد تفصيلي]],'چکهای دریافتنی'!A:A,0)),0)</f>
        <v>0</v>
      </c>
      <c r="F127" s="85">
        <f>Table232[[#This Row],[حسابهای دریافتنی]]+Table232[[#This Row],[چکهای در جریان وصول]]+Table232[[#This Row],[چکهای نزد صندوق]]</f>
        <v>-1817500</v>
      </c>
      <c r="G127" s="86">
        <f>IFERROR(INDEX('مانده سوفاله'!F:F,MATCH(Table232[[#This Row],[كد تفصيلي]],'مانده سوفاله'!A:A,0)),0)</f>
        <v>7</v>
      </c>
    </row>
    <row r="128" spans="1:7" ht="26.25" customHeight="1" x14ac:dyDescent="0.35">
      <c r="A128" s="74">
        <v>30103</v>
      </c>
      <c r="B128" s="73" t="s">
        <v>240</v>
      </c>
      <c r="C128" s="85">
        <f>IFERROR(INDEX('حسابهای دریافتنی'!H:H,MATCH(Table232[[#This Row],[كد تفصيلي]],'حسابهای دریافتنی'!A:A,0)),0)</f>
        <v>-1820000</v>
      </c>
      <c r="D128" s="85">
        <f>IFERROR(INDEX('درجریان وصول'!F:F,MATCH(Table232[[#This Row],[كد تفصيلي]],'درجریان وصول'!A:A,0)),0)</f>
        <v>0</v>
      </c>
      <c r="E128" s="85">
        <f>IFERROR(INDEX('چکهای دریافتنی'!F:F,MATCH(Table232[[#This Row],[كد تفصيلي]],'چکهای دریافتنی'!A:A,0)),0)</f>
        <v>0</v>
      </c>
      <c r="F128" s="85">
        <f>Table232[[#This Row],[حسابهای دریافتنی]]+Table232[[#This Row],[چکهای در جریان وصول]]+Table232[[#This Row],[چکهای نزد صندوق]]</f>
        <v>-1820000</v>
      </c>
      <c r="G128" s="86">
        <f>IFERROR(INDEX('مانده سوفاله'!F:F,MATCH(Table232[[#This Row],[كد تفصيلي]],'مانده سوفاله'!A:A,0)),0)</f>
        <v>0</v>
      </c>
    </row>
    <row r="129" spans="1:7" ht="26.25" customHeight="1" x14ac:dyDescent="0.35">
      <c r="A129" s="75">
        <v>10093</v>
      </c>
      <c r="B129" s="72" t="s">
        <v>264</v>
      </c>
      <c r="C129" s="85">
        <f>IFERROR(INDEX('حسابهای دریافتنی'!H:H,MATCH(Table232[[#This Row],[كد تفصيلي]],'حسابهای دریافتنی'!A:A,0)),0)</f>
        <v>-2214000</v>
      </c>
      <c r="D129" s="85">
        <f>IFERROR(INDEX('درجریان وصول'!F:F,MATCH(Table232[[#This Row],[كد تفصيلي]],'درجریان وصول'!A:A,0)),0)</f>
        <v>0</v>
      </c>
      <c r="E129" s="85">
        <f>IFERROR(INDEX('چکهای دریافتنی'!F:F,MATCH(Table232[[#This Row],[كد تفصيلي]],'چکهای دریافتنی'!A:A,0)),0)</f>
        <v>0</v>
      </c>
      <c r="F129" s="85">
        <f>Table232[[#This Row],[حسابهای دریافتنی]]+Table232[[#This Row],[چکهای در جریان وصول]]+Table232[[#This Row],[چکهای نزد صندوق]]</f>
        <v>-2214000</v>
      </c>
      <c r="G129" s="86">
        <f>IFERROR(INDEX('مانده سوفاله'!F:F,MATCH(Table232[[#This Row],[كد تفصيلي]],'مانده سوفاله'!A:A,0)),0)</f>
        <v>0</v>
      </c>
    </row>
    <row r="130" spans="1:7" ht="26.25" customHeight="1" x14ac:dyDescent="0.35">
      <c r="A130" s="75">
        <v>30128</v>
      </c>
      <c r="B130" s="72" t="s">
        <v>212</v>
      </c>
      <c r="C130" s="85">
        <f>IFERROR(INDEX('حسابهای دریافتنی'!H:H,MATCH(Table232[[#This Row],[كد تفصيلي]],'حسابهای دریافتنی'!A:A,0)),0)</f>
        <v>-2451320</v>
      </c>
      <c r="D130" s="85">
        <f>IFERROR(INDEX('درجریان وصول'!F:F,MATCH(Table232[[#This Row],[كد تفصيلي]],'درجریان وصول'!A:A,0)),0)</f>
        <v>0</v>
      </c>
      <c r="E130" s="85">
        <f>IFERROR(INDEX('چکهای دریافتنی'!F:F,MATCH(Table232[[#This Row],[كد تفصيلي]],'چکهای دریافتنی'!A:A,0)),0)</f>
        <v>0</v>
      </c>
      <c r="F130" s="85">
        <f>Table232[[#This Row],[حسابهای دریافتنی]]+Table232[[#This Row],[چکهای در جریان وصول]]+Table232[[#This Row],[چکهای نزد صندوق]]</f>
        <v>-2451320</v>
      </c>
      <c r="G130" s="86">
        <f>IFERROR(INDEX('مانده سوفاله'!F:F,MATCH(Table232[[#This Row],[كد تفصيلي]],'مانده سوفاله'!A:A,0)),0)</f>
        <v>0</v>
      </c>
    </row>
    <row r="131" spans="1:7" ht="26.25" customHeight="1" x14ac:dyDescent="0.35">
      <c r="A131" s="74">
        <v>10119</v>
      </c>
      <c r="B131" s="73" t="s">
        <v>333</v>
      </c>
      <c r="C131" s="85">
        <f>IFERROR(INDEX('حسابهای دریافتنی'!H:H,MATCH(Table232[[#This Row],[كد تفصيلي]],'حسابهای دریافتنی'!A:A,0)),0)</f>
        <v>-2592000</v>
      </c>
      <c r="D131" s="85">
        <f>IFERROR(INDEX('درجریان وصول'!F:F,MATCH(Table232[[#This Row],[كد تفصيلي]],'درجریان وصول'!A:A,0)),0)</f>
        <v>0</v>
      </c>
      <c r="E131" s="85">
        <f>IFERROR(INDEX('چکهای دریافتنی'!F:F,MATCH(Table232[[#This Row],[كد تفصيلي]],'چکهای دریافتنی'!A:A,0)),0)</f>
        <v>0</v>
      </c>
      <c r="F131" s="85">
        <f>Table232[[#This Row],[حسابهای دریافتنی]]+Table232[[#This Row],[چکهای در جریان وصول]]+Table232[[#This Row],[چکهای نزد صندوق]]</f>
        <v>-2592000</v>
      </c>
      <c r="G131" s="86">
        <f>IFERROR(INDEX('مانده سوفاله'!F:F,MATCH(Table232[[#This Row],[كد تفصيلي]],'مانده سوفاله'!A:A,0)),0)</f>
        <v>353</v>
      </c>
    </row>
    <row r="132" spans="1:7" ht="26.25" customHeight="1" x14ac:dyDescent="0.35">
      <c r="A132" s="75">
        <v>30013</v>
      </c>
      <c r="B132" s="72" t="s">
        <v>62</v>
      </c>
      <c r="C132" s="85">
        <f>IFERROR(INDEX('حسابهای دریافتنی'!H:H,MATCH(Table232[[#This Row],[كد تفصيلي]],'حسابهای دریافتنی'!A:A,0)),0)</f>
        <v>-2744620</v>
      </c>
      <c r="D132" s="85">
        <f>IFERROR(INDEX('درجریان وصول'!F:F,MATCH(Table232[[#This Row],[كد تفصيلي]],'درجریان وصول'!A:A,0)),0)</f>
        <v>0</v>
      </c>
      <c r="E132" s="85">
        <f>IFERROR(INDEX('چکهای دریافتنی'!F:F,MATCH(Table232[[#This Row],[كد تفصيلي]],'چکهای دریافتنی'!A:A,0)),0)</f>
        <v>0</v>
      </c>
      <c r="F132" s="85">
        <f>Table232[[#This Row],[حسابهای دریافتنی]]+Table232[[#This Row],[چکهای در جریان وصول]]+Table232[[#This Row],[چکهای نزد صندوق]]</f>
        <v>-2744620</v>
      </c>
      <c r="G132" s="86">
        <f>IFERROR(INDEX('مانده سوفاله'!F:F,MATCH(Table232[[#This Row],[كد تفصيلي]],'مانده سوفاله'!A:A,0)),0)</f>
        <v>0</v>
      </c>
    </row>
    <row r="133" spans="1:7" ht="26.25" customHeight="1" x14ac:dyDescent="0.35">
      <c r="A133" s="75">
        <v>30015</v>
      </c>
      <c r="B133" s="72" t="s">
        <v>64</v>
      </c>
      <c r="C133" s="85">
        <f>IFERROR(INDEX('حسابهای دریافتنی'!H:H,MATCH(Table232[[#This Row],[كد تفصيلي]],'حسابهای دریافتنی'!A:A,0)),0)</f>
        <v>-3105895</v>
      </c>
      <c r="D133" s="85">
        <f>IFERROR(INDEX('درجریان وصول'!F:F,MATCH(Table232[[#This Row],[كد تفصيلي]],'درجریان وصول'!A:A,0)),0)</f>
        <v>0</v>
      </c>
      <c r="E133" s="85">
        <f>IFERROR(INDEX('چکهای دریافتنی'!F:F,MATCH(Table232[[#This Row],[كد تفصيلي]],'چکهای دریافتنی'!A:A,0)),0)</f>
        <v>0</v>
      </c>
      <c r="F133" s="85">
        <f>Table232[[#This Row],[حسابهای دریافتنی]]+Table232[[#This Row],[چکهای در جریان وصول]]+Table232[[#This Row],[چکهای نزد صندوق]]</f>
        <v>-3105895</v>
      </c>
      <c r="G133" s="86">
        <f>IFERROR(INDEX('مانده سوفاله'!F:F,MATCH(Table232[[#This Row],[كد تفصيلي]],'مانده سوفاله'!A:A,0)),0)</f>
        <v>0</v>
      </c>
    </row>
    <row r="134" spans="1:7" ht="26.25" customHeight="1" x14ac:dyDescent="0.35">
      <c r="A134" s="75">
        <v>50032</v>
      </c>
      <c r="B134" s="72" t="s">
        <v>499</v>
      </c>
      <c r="C134" s="85">
        <f>IFERROR(INDEX('حسابهای دریافتنی'!H:H,MATCH(Table232[[#This Row],[كد تفصيلي]],'حسابهای دریافتنی'!A:A,0)),0)</f>
        <v>-3300000</v>
      </c>
      <c r="D134" s="85">
        <f>IFERROR(INDEX('درجریان وصول'!F:F,MATCH(Table232[[#This Row],[كد تفصيلي]],'درجریان وصول'!A:A,0)),0)</f>
        <v>0</v>
      </c>
      <c r="E134" s="85">
        <f>IFERROR(INDEX('چکهای دریافتنی'!F:F,MATCH(Table232[[#This Row],[كد تفصيلي]],'چکهای دریافتنی'!A:A,0)),0)</f>
        <v>0</v>
      </c>
      <c r="F134" s="85">
        <f>Table232[[#This Row],[حسابهای دریافتنی]]+Table232[[#This Row],[چکهای در جریان وصول]]+Table232[[#This Row],[چکهای نزد صندوق]]</f>
        <v>-3300000</v>
      </c>
      <c r="G134" s="86">
        <f>IFERROR(INDEX('مانده سوفاله'!F:F,MATCH(Table232[[#This Row],[كد تفصيلي]],'مانده سوفاله'!A:A,0)),0)</f>
        <v>0</v>
      </c>
    </row>
    <row r="135" spans="1:7" ht="26.25" customHeight="1" x14ac:dyDescent="0.35">
      <c r="A135" s="75">
        <v>30110</v>
      </c>
      <c r="B135" s="72" t="s">
        <v>200</v>
      </c>
      <c r="C135" s="85">
        <f>IFERROR(INDEX('حسابهای دریافتنی'!H:H,MATCH(Table232[[#This Row],[كد تفصيلي]],'حسابهای دریافتنی'!A:A,0)),0)</f>
        <v>-3492360</v>
      </c>
      <c r="D135" s="85">
        <f>IFERROR(INDEX('درجریان وصول'!F:F,MATCH(Table232[[#This Row],[كد تفصيلي]],'درجریان وصول'!A:A,0)),0)</f>
        <v>0</v>
      </c>
      <c r="E135" s="85">
        <f>IFERROR(INDEX('چکهای دریافتنی'!F:F,MATCH(Table232[[#This Row],[كد تفصيلي]],'چکهای دریافتنی'!A:A,0)),0)</f>
        <v>0</v>
      </c>
      <c r="F135" s="85">
        <f>Table232[[#This Row],[حسابهای دریافتنی]]+Table232[[#This Row],[چکهای در جریان وصول]]+Table232[[#This Row],[چکهای نزد صندوق]]</f>
        <v>-3492360</v>
      </c>
      <c r="G135" s="86">
        <f>IFERROR(INDEX('مانده سوفاله'!F:F,MATCH(Table232[[#This Row],[كد تفصيلي]],'مانده سوفاله'!A:A,0)),0)</f>
        <v>0</v>
      </c>
    </row>
    <row r="136" spans="1:7" ht="26.25" customHeight="1" x14ac:dyDescent="0.35">
      <c r="A136" s="75">
        <v>10015</v>
      </c>
      <c r="B136" s="72" t="s">
        <v>22</v>
      </c>
      <c r="C136" s="85">
        <f>IFERROR(INDEX('حسابهای دریافتنی'!H:H,MATCH(Table232[[#This Row],[كد تفصيلي]],'حسابهای دریافتنی'!A:A,0)),0)</f>
        <v>-4735000</v>
      </c>
      <c r="D136" s="85">
        <f>IFERROR(INDEX('درجریان وصول'!F:F,MATCH(Table232[[#This Row],[كد تفصيلي]],'درجریان وصول'!A:A,0)),0)</f>
        <v>0</v>
      </c>
      <c r="E136" s="85">
        <f>IFERROR(INDEX('چکهای دریافتنی'!F:F,MATCH(Table232[[#This Row],[كد تفصيلي]],'چکهای دریافتنی'!A:A,0)),0)</f>
        <v>0</v>
      </c>
      <c r="F136" s="85">
        <f>Table232[[#This Row],[حسابهای دریافتنی]]+Table232[[#This Row],[چکهای در جریان وصول]]+Table232[[#This Row],[چکهای نزد صندوق]]</f>
        <v>-4735000</v>
      </c>
      <c r="G136" s="86">
        <f>IFERROR(INDEX('مانده سوفاله'!F:F,MATCH(Table232[[#This Row],[كد تفصيلي]],'مانده سوفاله'!A:A,0)),0)</f>
        <v>12</v>
      </c>
    </row>
    <row r="137" spans="1:7" ht="26.25" customHeight="1" x14ac:dyDescent="0.35">
      <c r="A137" s="74">
        <v>30153</v>
      </c>
      <c r="B137" s="73" t="s">
        <v>279</v>
      </c>
      <c r="C137" s="85">
        <f>IFERROR(INDEX('حسابهای دریافتنی'!H:H,MATCH(Table232[[#This Row],[كد تفصيلي]],'حسابهای دریافتنی'!A:A,0)),0)</f>
        <v>-4818000</v>
      </c>
      <c r="D137" s="85">
        <f>IFERROR(INDEX('درجریان وصول'!F:F,MATCH(Table232[[#This Row],[كد تفصيلي]],'درجریان وصول'!A:A,0)),0)</f>
        <v>0</v>
      </c>
      <c r="E137" s="85">
        <f>IFERROR(INDEX('چکهای دریافتنی'!F:F,MATCH(Table232[[#This Row],[كد تفصيلي]],'چکهای دریافتنی'!A:A,0)),0)</f>
        <v>0</v>
      </c>
      <c r="F137" s="85">
        <f>Table232[[#This Row],[حسابهای دریافتنی]]+Table232[[#This Row],[چکهای در جریان وصول]]+Table232[[#This Row],[چکهای نزد صندوق]]</f>
        <v>-4818000</v>
      </c>
      <c r="G137" s="86">
        <f>IFERROR(INDEX('مانده سوفاله'!F:F,MATCH(Table232[[#This Row],[كد تفصيلي]],'مانده سوفاله'!A:A,0)),0)</f>
        <v>0</v>
      </c>
    </row>
    <row r="138" spans="1:7" ht="26.25" customHeight="1" x14ac:dyDescent="0.35">
      <c r="A138" s="75">
        <v>30023</v>
      </c>
      <c r="B138" s="72" t="s">
        <v>71</v>
      </c>
      <c r="C138" s="85">
        <f>IFERROR(INDEX('حسابهای دریافتنی'!H:H,MATCH(Table232[[#This Row],[كد تفصيلي]],'حسابهای دریافتنی'!A:A,0)),0)</f>
        <v>-5793600</v>
      </c>
      <c r="D138" s="85">
        <f>IFERROR(INDEX('درجریان وصول'!F:F,MATCH(Table232[[#This Row],[كد تفصيلي]],'درجریان وصول'!A:A,0)),0)</f>
        <v>0</v>
      </c>
      <c r="E138" s="85">
        <f>IFERROR(INDEX('چکهای دریافتنی'!F:F,MATCH(Table232[[#This Row],[كد تفصيلي]],'چکهای دریافتنی'!A:A,0)),0)</f>
        <v>0</v>
      </c>
      <c r="F138" s="85">
        <f>Table232[[#This Row],[حسابهای دریافتنی]]+Table232[[#This Row],[چکهای در جریان وصول]]+Table232[[#This Row],[چکهای نزد صندوق]]</f>
        <v>-5793600</v>
      </c>
      <c r="G138" s="86">
        <f>IFERROR(INDEX('مانده سوفاله'!F:F,MATCH(Table232[[#This Row],[كد تفصيلي]],'مانده سوفاله'!A:A,0)),0)</f>
        <v>0</v>
      </c>
    </row>
    <row r="139" spans="1:7" ht="26.25" customHeight="1" x14ac:dyDescent="0.35">
      <c r="A139" s="75">
        <v>30176</v>
      </c>
      <c r="B139" s="72" t="s">
        <v>332</v>
      </c>
      <c r="C139" s="85">
        <f>IFERROR(INDEX('حسابهای دریافتنی'!H:H,MATCH(Table232[[#This Row],[كد تفصيلي]],'حسابهای دریافتنی'!A:A,0)),0)</f>
        <v>-7540075</v>
      </c>
      <c r="D139" s="85">
        <f>IFERROR(INDEX('درجریان وصول'!F:F,MATCH(Table232[[#This Row],[كد تفصيلي]],'درجریان وصول'!A:A,0)),0)</f>
        <v>0</v>
      </c>
      <c r="E139" s="85">
        <f>IFERROR(INDEX('چکهای دریافتنی'!F:F,MATCH(Table232[[#This Row],[كد تفصيلي]],'چکهای دریافتنی'!A:A,0)),0)</f>
        <v>0</v>
      </c>
      <c r="F139" s="85">
        <f>Table232[[#This Row],[حسابهای دریافتنی]]+Table232[[#This Row],[چکهای در جریان وصول]]+Table232[[#This Row],[چکهای نزد صندوق]]</f>
        <v>-7540075</v>
      </c>
      <c r="G139" s="86">
        <f>IFERROR(INDEX('مانده سوفاله'!F:F,MATCH(Table232[[#This Row],[كد تفصيلي]],'مانده سوفاله'!A:A,0)),0)</f>
        <v>0</v>
      </c>
    </row>
    <row r="140" spans="1:7" customFormat="1" ht="26.25" customHeight="1" x14ac:dyDescent="0.35">
      <c r="A140" s="76">
        <v>10106</v>
      </c>
      <c r="B140" s="72" t="s">
        <v>298</v>
      </c>
      <c r="C140" s="85">
        <f>IFERROR(INDEX('حسابهای دریافتنی'!H:H,MATCH(Table232[[#This Row],[كد تفصيلي]],'حسابهای دریافتنی'!A:A,0)),0)</f>
        <v>-9134000</v>
      </c>
      <c r="D140" s="85">
        <f>IFERROR(INDEX('درجریان وصول'!F:F,MATCH(Table232[[#This Row],[كد تفصيلي]],'درجریان وصول'!A:A,0)),0)</f>
        <v>0</v>
      </c>
      <c r="E140" s="85">
        <f>IFERROR(INDEX('چکهای دریافتنی'!F:F,MATCH(Table232[[#This Row],[كد تفصيلي]],'چکهای دریافتنی'!A:A,0)),0)</f>
        <v>0</v>
      </c>
      <c r="F140" s="85">
        <f>Table232[[#This Row],[حسابهای دریافتنی]]+Table232[[#This Row],[چکهای در جریان وصول]]+Table232[[#This Row],[چکهای نزد صندوق]]</f>
        <v>-9134000</v>
      </c>
      <c r="G140" s="86">
        <f>IFERROR(INDEX('مانده سوفاله'!F:F,MATCH(Table232[[#This Row],[كد تفصيلي]],'مانده سوفاله'!A:A,0)),0)</f>
        <v>0</v>
      </c>
    </row>
    <row r="141" spans="1:7" customFormat="1" ht="26.25" customHeight="1" x14ac:dyDescent="0.35">
      <c r="A141" s="77">
        <v>10102</v>
      </c>
      <c r="B141" s="73" t="s">
        <v>282</v>
      </c>
      <c r="C141" s="85">
        <f>IFERROR(INDEX('حسابهای دریافتنی'!H:H,MATCH(Table232[[#This Row],[كد تفصيلي]],'حسابهای دریافتنی'!A:A,0)),0)</f>
        <v>-10374000</v>
      </c>
      <c r="D141" s="85">
        <f>IFERROR(INDEX('درجریان وصول'!F:F,MATCH(Table232[[#This Row],[كد تفصيلي]],'درجریان وصول'!A:A,0)),0)</f>
        <v>0</v>
      </c>
      <c r="E141" s="85">
        <f>IFERROR(INDEX('چکهای دریافتنی'!F:F,MATCH(Table232[[#This Row],[كد تفصيلي]],'چکهای دریافتنی'!A:A,0)),0)</f>
        <v>0</v>
      </c>
      <c r="F141" s="85">
        <f>Table232[[#This Row],[حسابهای دریافتنی]]+Table232[[#This Row],[چکهای در جریان وصول]]+Table232[[#This Row],[چکهای نزد صندوق]]</f>
        <v>-10374000</v>
      </c>
      <c r="G141" s="86">
        <f>IFERROR(INDEX('مانده سوفاله'!F:F,MATCH(Table232[[#This Row],[كد تفصيلي]],'مانده سوفاله'!A:A,0)),0)</f>
        <v>0</v>
      </c>
    </row>
    <row r="142" spans="1:7" customFormat="1" ht="26.25" customHeight="1" x14ac:dyDescent="0.35">
      <c r="A142" s="77">
        <v>10058</v>
      </c>
      <c r="B142" s="73" t="s">
        <v>173</v>
      </c>
      <c r="C142" s="85">
        <f>IFERROR(INDEX('حسابهای دریافتنی'!H:H,MATCH(Table232[[#This Row],[كد تفصيلي]],'حسابهای دریافتنی'!A:A,0)),0)</f>
        <v>-13650000</v>
      </c>
      <c r="D142" s="85">
        <f>IFERROR(INDEX('درجریان وصول'!F:F,MATCH(Table232[[#This Row],[كد تفصيلي]],'درجریان وصول'!A:A,0)),0)</f>
        <v>0</v>
      </c>
      <c r="E142" s="85">
        <f>IFERROR(INDEX('چکهای دریافتنی'!F:F,MATCH(Table232[[#This Row],[كد تفصيلي]],'چکهای دریافتنی'!A:A,0)),0)</f>
        <v>0</v>
      </c>
      <c r="F142" s="85">
        <f>Table232[[#This Row],[حسابهای دریافتنی]]+Table232[[#This Row],[چکهای در جریان وصول]]+Table232[[#This Row],[چکهای نزد صندوق]]</f>
        <v>-13650000</v>
      </c>
      <c r="G142" s="86">
        <f>IFERROR(INDEX('مانده سوفاله'!F:F,MATCH(Table232[[#This Row],[كد تفصيلي]],'مانده سوفاله'!A:A,0)),0)</f>
        <v>0</v>
      </c>
    </row>
    <row r="143" spans="1:7" customFormat="1" ht="26.25" customHeight="1" x14ac:dyDescent="0.35">
      <c r="A143" s="76">
        <v>30082</v>
      </c>
      <c r="B143" s="72" t="s">
        <v>127</v>
      </c>
      <c r="C143" s="85">
        <f>IFERROR(INDEX('حسابهای دریافتنی'!H:H,MATCH(Table232[[#This Row],[كد تفصيلي]],'حسابهای دریافتنی'!A:A,0)),0)</f>
        <v>-15037000</v>
      </c>
      <c r="D143" s="85">
        <f>IFERROR(INDEX('درجریان وصول'!F:F,MATCH(Table232[[#This Row],[كد تفصيلي]],'درجریان وصول'!A:A,0)),0)</f>
        <v>0</v>
      </c>
      <c r="E143" s="85">
        <f>IFERROR(INDEX('چکهای دریافتنی'!F:F,MATCH(Table232[[#This Row],[كد تفصيلي]],'چکهای دریافتنی'!A:A,0)),0)</f>
        <v>0</v>
      </c>
      <c r="F143" s="85">
        <f>Table232[[#This Row],[حسابهای دریافتنی]]+Table232[[#This Row],[چکهای در جریان وصول]]+Table232[[#This Row],[چکهای نزد صندوق]]</f>
        <v>-15037000</v>
      </c>
      <c r="G143" s="86">
        <f>IFERROR(INDEX('مانده سوفاله'!F:F,MATCH(Table232[[#This Row],[كد تفصيلي]],'مانده سوفاله'!A:A,0)),0)</f>
        <v>-16</v>
      </c>
    </row>
    <row r="144" spans="1:7" customFormat="1" ht="26.25" customHeight="1" x14ac:dyDescent="0.35">
      <c r="A144" s="77">
        <v>30042</v>
      </c>
      <c r="B144" s="73" t="s">
        <v>89</v>
      </c>
      <c r="C144" s="85">
        <f>IFERROR(INDEX('حسابهای دریافتنی'!H:H,MATCH(Table232[[#This Row],[كد تفصيلي]],'حسابهای دریافتنی'!A:A,0)),0)</f>
        <v>-18303540</v>
      </c>
      <c r="D144" s="85">
        <f>IFERROR(INDEX('درجریان وصول'!F:F,MATCH(Table232[[#This Row],[كد تفصيلي]],'درجریان وصول'!A:A,0)),0)</f>
        <v>0</v>
      </c>
      <c r="E144" s="85">
        <f>IFERROR(INDEX('چکهای دریافتنی'!F:F,MATCH(Table232[[#This Row],[كد تفصيلي]],'چکهای دریافتنی'!A:A,0)),0)</f>
        <v>0</v>
      </c>
      <c r="F144" s="85">
        <f>Table232[[#This Row],[حسابهای دریافتنی]]+Table232[[#This Row],[چکهای در جریان وصول]]+Table232[[#This Row],[چکهای نزد صندوق]]</f>
        <v>-18303540</v>
      </c>
      <c r="G144" s="86">
        <f>IFERROR(INDEX('مانده سوفاله'!F:F,MATCH(Table232[[#This Row],[كد تفصيلي]],'مانده سوفاله'!A:A,0)),0)</f>
        <v>0</v>
      </c>
    </row>
    <row r="145" spans="1:7" customFormat="1" ht="26.25" customHeight="1" x14ac:dyDescent="0.35">
      <c r="A145" s="77">
        <v>30028</v>
      </c>
      <c r="B145" s="73" t="s">
        <v>76</v>
      </c>
      <c r="C145" s="85">
        <f>IFERROR(INDEX('حسابهای دریافتنی'!H:H,MATCH(Table232[[#This Row],[كد تفصيلي]],'حسابهای دریافتنی'!A:A,0)),0)</f>
        <v>-23665000</v>
      </c>
      <c r="D145" s="85">
        <f>IFERROR(INDEX('درجریان وصول'!F:F,MATCH(Table232[[#This Row],[كد تفصيلي]],'درجریان وصول'!A:A,0)),0)</f>
        <v>0</v>
      </c>
      <c r="E145" s="85">
        <f>IFERROR(INDEX('چکهای دریافتنی'!F:F,MATCH(Table232[[#This Row],[كد تفصيلي]],'چکهای دریافتنی'!A:A,0)),0)</f>
        <v>0</v>
      </c>
      <c r="F145" s="85">
        <f>Table232[[#This Row],[حسابهای دریافتنی]]+Table232[[#This Row],[چکهای در جریان وصول]]+Table232[[#This Row],[چکهای نزد صندوق]]</f>
        <v>-23665000</v>
      </c>
      <c r="G145" s="86">
        <f>IFERROR(INDEX('مانده سوفاله'!F:F,MATCH(Table232[[#This Row],[كد تفصيلي]],'مانده سوفاله'!A:A,0)),0)</f>
        <v>0</v>
      </c>
    </row>
    <row r="146" spans="1:7" customFormat="1" ht="26.25" customHeight="1" x14ac:dyDescent="0.35">
      <c r="A146" s="76">
        <v>30072</v>
      </c>
      <c r="B146" s="72" t="s">
        <v>117</v>
      </c>
      <c r="C146" s="85">
        <f>IFERROR(INDEX('حسابهای دریافتنی'!H:H,MATCH(Table232[[#This Row],[كد تفصيلي]],'حسابهای دریافتنی'!A:A,0)),0)</f>
        <v>-30178900</v>
      </c>
      <c r="D146" s="85">
        <f>IFERROR(INDEX('درجریان وصول'!F:F,MATCH(Table232[[#This Row],[كد تفصيلي]],'درجریان وصول'!A:A,0)),0)</f>
        <v>0</v>
      </c>
      <c r="E146" s="85">
        <f>IFERROR(INDEX('چکهای دریافتنی'!F:F,MATCH(Table232[[#This Row],[كد تفصيلي]],'چکهای دریافتنی'!A:A,0)),0)</f>
        <v>0</v>
      </c>
      <c r="F146" s="85">
        <f>Table232[[#This Row],[حسابهای دریافتنی]]+Table232[[#This Row],[چکهای در جریان وصول]]+Table232[[#This Row],[چکهای نزد صندوق]]</f>
        <v>-30178900</v>
      </c>
      <c r="G146" s="86">
        <f>IFERROR(INDEX('مانده سوفاله'!F:F,MATCH(Table232[[#This Row],[كد تفصيلي]],'مانده سوفاله'!A:A,0)),0)</f>
        <v>-79</v>
      </c>
    </row>
    <row r="147" spans="1:7" customFormat="1" ht="26.25" customHeight="1" x14ac:dyDescent="0.35">
      <c r="A147" s="76">
        <v>10049</v>
      </c>
      <c r="B147" s="72" t="s">
        <v>157</v>
      </c>
      <c r="C147" s="85">
        <f>IFERROR(INDEX('حسابهای دریافتنی'!H:H,MATCH(Table232[[#This Row],[كد تفصيلي]],'حسابهای دریافتنی'!A:A,0)),0)</f>
        <v>-32909500</v>
      </c>
      <c r="D147" s="85">
        <f>IFERROR(INDEX('درجریان وصول'!F:F,MATCH(Table232[[#This Row],[كد تفصيلي]],'درجریان وصول'!A:A,0)),0)</f>
        <v>0</v>
      </c>
      <c r="E147" s="85">
        <f>IFERROR(INDEX('چکهای دریافتنی'!F:F,MATCH(Table232[[#This Row],[كد تفصيلي]],'چکهای دریافتنی'!A:A,0)),0)</f>
        <v>0</v>
      </c>
      <c r="F147" s="85">
        <f>Table232[[#This Row],[حسابهای دریافتنی]]+Table232[[#This Row],[چکهای در جریان وصول]]+Table232[[#This Row],[چکهای نزد صندوق]]</f>
        <v>-32909500</v>
      </c>
      <c r="G147" s="86">
        <f>IFERROR(INDEX('مانده سوفاله'!F:F,MATCH(Table232[[#This Row],[كد تفصيلي]],'مانده سوفاله'!A:A,0)),0)</f>
        <v>0</v>
      </c>
    </row>
    <row r="148" spans="1:7" customFormat="1" ht="26.25" customHeight="1" x14ac:dyDescent="0.35">
      <c r="A148" s="76">
        <v>30098</v>
      </c>
      <c r="B148" s="72" t="s">
        <v>238</v>
      </c>
      <c r="C148" s="85">
        <f>IFERROR(INDEX('حسابهای دریافتنی'!H:H,MATCH(Table232[[#This Row],[كد تفصيلي]],'حسابهای دریافتنی'!A:A,0)),0)</f>
        <v>-45125000</v>
      </c>
      <c r="D148" s="85">
        <f>IFERROR(INDEX('درجریان وصول'!F:F,MATCH(Table232[[#This Row],[كد تفصيلي]],'درجریان وصول'!A:A,0)),0)</f>
        <v>0</v>
      </c>
      <c r="E148" s="85">
        <f>IFERROR(INDEX('چکهای دریافتنی'!F:F,MATCH(Table232[[#This Row],[كد تفصيلي]],'چکهای دریافتنی'!A:A,0)),0)</f>
        <v>0</v>
      </c>
      <c r="F148" s="85">
        <f>Table232[[#This Row],[حسابهای دریافتنی]]+Table232[[#This Row],[چکهای در جریان وصول]]+Table232[[#This Row],[چکهای نزد صندوق]]</f>
        <v>-45125000</v>
      </c>
      <c r="G148" s="86">
        <f>IFERROR(INDEX('مانده سوفاله'!F:F,MATCH(Table232[[#This Row],[كد تفصيلي]],'مانده سوفاله'!A:A,0)),0)</f>
        <v>0</v>
      </c>
    </row>
    <row r="149" spans="1:7" customFormat="1" ht="26.25" customHeight="1" x14ac:dyDescent="0.35">
      <c r="A149" s="77">
        <v>30012</v>
      </c>
      <c r="B149" s="73" t="s">
        <v>61</v>
      </c>
      <c r="C149" s="85">
        <f>IFERROR(INDEX('حسابهای دریافتنی'!H:H,MATCH(Table232[[#This Row],[كد تفصيلي]],'حسابهای دریافتنی'!A:A,0)),0)</f>
        <v>-46099000</v>
      </c>
      <c r="D149" s="85">
        <f>IFERROR(INDEX('درجریان وصول'!F:F,MATCH(Table232[[#This Row],[كد تفصيلي]],'درجریان وصول'!A:A,0)),0)</f>
        <v>0</v>
      </c>
      <c r="E149" s="85">
        <f>IFERROR(INDEX('چکهای دریافتنی'!F:F,MATCH(Table232[[#This Row],[كد تفصيلي]],'چکهای دریافتنی'!A:A,0)),0)</f>
        <v>348650000</v>
      </c>
      <c r="F149" s="85">
        <f>Table232[[#This Row],[حسابهای دریافتنی]]+Table232[[#This Row],[چکهای در جریان وصول]]+Table232[[#This Row],[چکهای نزد صندوق]]</f>
        <v>302551000</v>
      </c>
      <c r="G149" s="86">
        <f>IFERROR(INDEX('مانده سوفاله'!F:F,MATCH(Table232[[#This Row],[كد تفصيلي]],'مانده سوفاله'!A:A,0)),0)</f>
        <v>141</v>
      </c>
    </row>
    <row r="150" spans="1:7" customFormat="1" ht="26.25" customHeight="1" x14ac:dyDescent="0.35">
      <c r="A150" s="76">
        <v>30064</v>
      </c>
      <c r="B150" s="72" t="s">
        <v>109</v>
      </c>
      <c r="C150" s="85">
        <f>IFERROR(INDEX('حسابهای دریافتنی'!H:H,MATCH(Table232[[#This Row],[كد تفصيلي]],'حسابهای دریافتنی'!A:A,0)),0)</f>
        <v>-49679500</v>
      </c>
      <c r="D150" s="85">
        <f>IFERROR(INDEX('درجریان وصول'!F:F,MATCH(Table232[[#This Row],[كد تفصيلي]],'درجریان وصول'!A:A,0)),0)</f>
        <v>0</v>
      </c>
      <c r="E150" s="85">
        <f>IFERROR(INDEX('چکهای دریافتنی'!F:F,MATCH(Table232[[#This Row],[كد تفصيلي]],'چکهای دریافتنی'!A:A,0)),0)</f>
        <v>0</v>
      </c>
      <c r="F150" s="85">
        <f>Table232[[#This Row],[حسابهای دریافتنی]]+Table232[[#This Row],[چکهای در جریان وصول]]+Table232[[#This Row],[چکهای نزد صندوق]]</f>
        <v>-49679500</v>
      </c>
      <c r="G150" s="86">
        <f>IFERROR(INDEX('مانده سوفاله'!F:F,MATCH(Table232[[#This Row],[كد تفصيلي]],'مانده سوفاله'!A:A,0)),0)</f>
        <v>0</v>
      </c>
    </row>
    <row r="151" spans="1:7" customFormat="1" ht="26.25" customHeight="1" x14ac:dyDescent="0.35">
      <c r="A151" s="77">
        <v>10123</v>
      </c>
      <c r="B151" s="73" t="s">
        <v>340</v>
      </c>
      <c r="C151" s="85">
        <f>IFERROR(INDEX('حسابهای دریافتنی'!H:H,MATCH(Table232[[#This Row],[كد تفصيلي]],'حسابهای دریافتنی'!A:A,0)),0)</f>
        <v>-50813000</v>
      </c>
      <c r="D151" s="85">
        <f>IFERROR(INDEX('درجریان وصول'!F:F,MATCH(Table232[[#This Row],[كد تفصيلي]],'درجریان وصول'!A:A,0)),0)</f>
        <v>0</v>
      </c>
      <c r="E151" s="85">
        <f>IFERROR(INDEX('چکهای دریافتنی'!F:F,MATCH(Table232[[#This Row],[كد تفصيلي]],'چکهای دریافتنی'!A:A,0)),0)</f>
        <v>0</v>
      </c>
      <c r="F151" s="85">
        <f>Table232[[#This Row],[حسابهای دریافتنی]]+Table232[[#This Row],[چکهای در جریان وصول]]+Table232[[#This Row],[چکهای نزد صندوق]]</f>
        <v>-50813000</v>
      </c>
      <c r="G151" s="86">
        <f>IFERROR(INDEX('مانده سوفاله'!F:F,MATCH(Table232[[#This Row],[كد تفصيلي]],'مانده سوفاله'!A:A,0)),0)</f>
        <v>0</v>
      </c>
    </row>
    <row r="152" spans="1:7" customFormat="1" ht="26.25" customHeight="1" x14ac:dyDescent="0.35">
      <c r="A152" s="77">
        <v>30000</v>
      </c>
      <c r="B152" s="73" t="s">
        <v>189</v>
      </c>
      <c r="C152" s="85">
        <f>IFERROR(INDEX('حسابهای دریافتنی'!H:H,MATCH(Table232[[#This Row],[كد تفصيلي]],'حسابهای دریافتنی'!A:A,0)),0)</f>
        <v>-55440000</v>
      </c>
      <c r="D152" s="85">
        <f>IFERROR(INDEX('درجریان وصول'!F:F,MATCH(Table232[[#This Row],[كد تفصيلي]],'درجریان وصول'!A:A,0)),0)</f>
        <v>0</v>
      </c>
      <c r="E152" s="85">
        <f>IFERROR(INDEX('چکهای دریافتنی'!F:F,MATCH(Table232[[#This Row],[كد تفصيلي]],'چکهای دریافتنی'!A:A,0)),0)</f>
        <v>0</v>
      </c>
      <c r="F152" s="85">
        <f>Table232[[#This Row],[حسابهای دریافتنی]]+Table232[[#This Row],[چکهای در جریان وصول]]+Table232[[#This Row],[چکهای نزد صندوق]]</f>
        <v>-55440000</v>
      </c>
      <c r="G152" s="86">
        <f>IFERROR(INDEX('مانده سوفاله'!F:F,MATCH(Table232[[#This Row],[كد تفصيلي]],'مانده سوفاله'!A:A,0)),0)</f>
        <v>0</v>
      </c>
    </row>
    <row r="153" spans="1:7" customFormat="1" ht="26.25" customHeight="1" x14ac:dyDescent="0.35">
      <c r="A153" s="77">
        <v>30205</v>
      </c>
      <c r="B153" s="73" t="s">
        <v>544</v>
      </c>
      <c r="C153" s="85">
        <f>IFERROR(INDEX('حسابهای دریافتنی'!H:H,MATCH(Table232[[#This Row],[كد تفصيلي]],'حسابهای دریافتنی'!A:A,0)),0)</f>
        <v>-66014320</v>
      </c>
      <c r="D153" s="85">
        <f>IFERROR(INDEX('درجریان وصول'!F:F,MATCH(Table232[[#This Row],[كد تفصيلي]],'درجریان وصول'!A:A,0)),0)</f>
        <v>0</v>
      </c>
      <c r="E153" s="85">
        <f>IFERROR(INDEX('چکهای دریافتنی'!F:F,MATCH(Table232[[#This Row],[كد تفصيلي]],'چکهای دریافتنی'!A:A,0)),0)</f>
        <v>0</v>
      </c>
      <c r="F153" s="85">
        <f>Table232[[#This Row],[حسابهای دریافتنی]]+Table232[[#This Row],[چکهای در جریان وصول]]+Table232[[#This Row],[چکهای نزد صندوق]]</f>
        <v>-66014320</v>
      </c>
      <c r="G153" s="86">
        <f>IFERROR(INDEX('مانده سوفاله'!F:F,MATCH(Table232[[#This Row],[كد تفصيلي]],'مانده سوفاله'!A:A,0)),0)</f>
        <v>0</v>
      </c>
    </row>
    <row r="154" spans="1:7" customFormat="1" ht="26.25" customHeight="1" x14ac:dyDescent="0.35">
      <c r="A154" s="77">
        <v>30133</v>
      </c>
      <c r="B154" s="73" t="s">
        <v>251</v>
      </c>
      <c r="C154" s="85">
        <f>IFERROR(INDEX('حسابهای دریافتنی'!H:H,MATCH(Table232[[#This Row],[كد تفصيلي]],'حسابهای دریافتنی'!A:A,0)),0)</f>
        <v>-66889500</v>
      </c>
      <c r="D154" s="85">
        <f>IFERROR(INDEX('درجریان وصول'!F:F,MATCH(Table232[[#This Row],[كد تفصيلي]],'درجریان وصول'!A:A,0)),0)</f>
        <v>0</v>
      </c>
      <c r="E154" s="85">
        <f>IFERROR(INDEX('چکهای دریافتنی'!F:F,MATCH(Table232[[#This Row],[كد تفصيلي]],'چکهای دریافتنی'!A:A,0)),0)</f>
        <v>0</v>
      </c>
      <c r="F154" s="85">
        <f>Table232[[#This Row],[حسابهای دریافتنی]]+Table232[[#This Row],[چکهای در جریان وصول]]+Table232[[#This Row],[چکهای نزد صندوق]]</f>
        <v>-66889500</v>
      </c>
      <c r="G154" s="86">
        <f>IFERROR(INDEX('مانده سوفاله'!F:F,MATCH(Table232[[#This Row],[كد تفصيلي]],'مانده سوفاله'!A:A,0)),0)</f>
        <v>0</v>
      </c>
    </row>
    <row r="155" spans="1:7" customFormat="1" ht="26.25" customHeight="1" x14ac:dyDescent="0.35">
      <c r="A155" s="76">
        <v>30168</v>
      </c>
      <c r="B155" s="72" t="s">
        <v>313</v>
      </c>
      <c r="C155" s="85">
        <f>IFERROR(INDEX('حسابهای دریافتنی'!H:H,MATCH(Table232[[#This Row],[كد تفصيلي]],'حسابهای دریافتنی'!A:A,0)),0)</f>
        <v>-104220000</v>
      </c>
      <c r="D155" s="85">
        <f>IFERROR(INDEX('درجریان وصول'!F:F,MATCH(Table232[[#This Row],[كد تفصيلي]],'درجریان وصول'!A:A,0)),0)</f>
        <v>0</v>
      </c>
      <c r="E155" s="85">
        <f>IFERROR(INDEX('چکهای دریافتنی'!F:F,MATCH(Table232[[#This Row],[كد تفصيلي]],'چکهای دریافتنی'!A:A,0)),0)</f>
        <v>0</v>
      </c>
      <c r="F155" s="85">
        <f>Table232[[#This Row],[حسابهای دریافتنی]]+Table232[[#This Row],[چکهای در جریان وصول]]+Table232[[#This Row],[چکهای نزد صندوق]]</f>
        <v>-104220000</v>
      </c>
      <c r="G155" s="86">
        <f>IFERROR(INDEX('مانده سوفاله'!F:F,MATCH(Table232[[#This Row],[كد تفصيلي]],'مانده سوفاله'!A:A,0)),0)</f>
        <v>0</v>
      </c>
    </row>
    <row r="156" spans="1:7" customFormat="1" ht="26.25" customHeight="1" x14ac:dyDescent="0.35">
      <c r="A156" s="76">
        <v>30164</v>
      </c>
      <c r="B156" s="72" t="s">
        <v>304</v>
      </c>
      <c r="C156" s="85">
        <f>IFERROR(INDEX('حسابهای دریافتنی'!H:H,MATCH(Table232[[#This Row],[كد تفصيلي]],'حسابهای دریافتنی'!A:A,0)),0)</f>
        <v>184944000</v>
      </c>
      <c r="D156" s="85">
        <f>IFERROR(INDEX('درجریان وصول'!F:F,MATCH(Table232[[#This Row],[كد تفصيلي]],'درجریان وصول'!A:A,0)),0)</f>
        <v>0</v>
      </c>
      <c r="E156" s="85">
        <f>IFERROR(INDEX('چکهای دریافتنی'!F:F,MATCH(Table232[[#This Row],[كد تفصيلي]],'چکهای دریافتنی'!A:A,0)),0)</f>
        <v>0</v>
      </c>
      <c r="F156" s="85">
        <f>Table232[[#This Row],[حسابهای دریافتنی]]+Table232[[#This Row],[چکهای در جریان وصول]]+Table232[[#This Row],[چکهای نزد صندوق]]</f>
        <v>184944000</v>
      </c>
      <c r="G156" s="86">
        <f>IFERROR(INDEX('مانده سوفاله'!F:F,MATCH(Table232[[#This Row],[كد تفصيلي]],'مانده سوفاله'!A:A,0)),0)</f>
        <v>561</v>
      </c>
    </row>
    <row r="157" spans="1:7" customFormat="1" ht="26.25" customHeight="1" x14ac:dyDescent="0.35">
      <c r="A157" s="76">
        <v>10089</v>
      </c>
      <c r="B157" s="72" t="s">
        <v>255</v>
      </c>
      <c r="C157" s="85">
        <f>IFERROR(INDEX('حسابهای دریافتنی'!H:H,MATCH(Table232[[#This Row],[كد تفصيلي]],'حسابهای دریافتنی'!A:A,0)),0)</f>
        <v>-143944000</v>
      </c>
      <c r="D157" s="85">
        <f>IFERROR(INDEX('درجریان وصول'!F:F,MATCH(Table232[[#This Row],[كد تفصيلي]],'درجریان وصول'!A:A,0)),0)</f>
        <v>0</v>
      </c>
      <c r="E157" s="85">
        <f>IFERROR(INDEX('چکهای دریافتنی'!F:F,MATCH(Table232[[#This Row],[كد تفصيلي]],'چکهای دریافتنی'!A:A,0)),0)</f>
        <v>0</v>
      </c>
      <c r="F157" s="85">
        <f>Table232[[#This Row],[حسابهای دریافتنی]]+Table232[[#This Row],[چکهای در جریان وصول]]+Table232[[#This Row],[چکهای نزد صندوق]]</f>
        <v>-143944000</v>
      </c>
      <c r="G157" s="86">
        <f>IFERROR(INDEX('مانده سوفاله'!F:F,MATCH(Table232[[#This Row],[كد تفصيلي]],'مانده سوفاله'!A:A,0)),0)</f>
        <v>-948</v>
      </c>
    </row>
    <row r="158" spans="1:7" customFormat="1" ht="26.25" customHeight="1" x14ac:dyDescent="0.35">
      <c r="A158" s="77">
        <v>30006</v>
      </c>
      <c r="B158" s="73" t="s">
        <v>56</v>
      </c>
      <c r="C158" s="85">
        <f>IFERROR(INDEX('حسابهای دریافتنی'!H:H,MATCH(Table232[[#This Row],[كد تفصيلي]],'حسابهای دریافتنی'!A:A,0)),0)</f>
        <v>-162677545</v>
      </c>
      <c r="D158" s="85">
        <f>IFERROR(INDEX('درجریان وصول'!F:F,MATCH(Table232[[#This Row],[كد تفصيلي]],'درجریان وصول'!A:A,0)),0)</f>
        <v>0</v>
      </c>
      <c r="E158" s="85">
        <f>IFERROR(INDEX('چکهای دریافتنی'!F:F,MATCH(Table232[[#This Row],[كد تفصيلي]],'چکهای دریافتنی'!A:A,0)),0)</f>
        <v>0</v>
      </c>
      <c r="F158" s="85">
        <f>Table232[[#This Row],[حسابهای دریافتنی]]+Table232[[#This Row],[چکهای در جریان وصول]]+Table232[[#This Row],[چکهای نزد صندوق]]</f>
        <v>-162677545</v>
      </c>
      <c r="G158" s="86">
        <f>IFERROR(INDEX('مانده سوفاله'!F:F,MATCH(Table232[[#This Row],[كد تفصيلي]],'مانده سوفاله'!A:A,0)),0)</f>
        <v>-6</v>
      </c>
    </row>
    <row r="159" spans="1:7" customFormat="1" ht="26.25" customHeight="1" x14ac:dyDescent="0.35">
      <c r="A159" s="76">
        <v>30156</v>
      </c>
      <c r="B159" s="72" t="s">
        <v>290</v>
      </c>
      <c r="C159" s="85">
        <f>IFERROR(INDEX('حسابهای دریافتنی'!H:H,MATCH(Table232[[#This Row],[كد تفصيلي]],'حسابهای دریافتنی'!A:A,0)),0)</f>
        <v>-180917500</v>
      </c>
      <c r="D159" s="85">
        <f>IFERROR(INDEX('درجریان وصول'!F:F,MATCH(Table232[[#This Row],[كد تفصيلي]],'درجریان وصول'!A:A,0)),0)</f>
        <v>0</v>
      </c>
      <c r="E159" s="85">
        <f>IFERROR(INDEX('چکهای دریافتنی'!F:F,MATCH(Table232[[#This Row],[كد تفصيلي]],'چکهای دریافتنی'!A:A,0)),0)</f>
        <v>0</v>
      </c>
      <c r="F159" s="85">
        <f>Table232[[#This Row],[حسابهای دریافتنی]]+Table232[[#This Row],[چکهای در جریان وصول]]+Table232[[#This Row],[چکهای نزد صندوق]]</f>
        <v>-180917500</v>
      </c>
      <c r="G159" s="86">
        <f>IFERROR(INDEX('مانده سوفاله'!F:F,MATCH(Table232[[#This Row],[كد تفصيلي]],'مانده سوفاله'!A:A,0)),0)</f>
        <v>0</v>
      </c>
    </row>
    <row r="160" spans="1:7" customFormat="1" ht="26.25" customHeight="1" x14ac:dyDescent="0.35">
      <c r="A160" s="77">
        <v>30183</v>
      </c>
      <c r="B160" s="73" t="s">
        <v>343</v>
      </c>
      <c r="C160" s="85">
        <f>IFERROR(INDEX('حسابهای دریافتنی'!H:H,MATCH(Table232[[#This Row],[كد تفصيلي]],'حسابهای دریافتنی'!A:A,0)),0)</f>
        <v>-5000</v>
      </c>
      <c r="D160" s="85">
        <f>IFERROR(INDEX('درجریان وصول'!F:F,MATCH(Table232[[#This Row],[كد تفصيلي]],'درجریان وصول'!A:A,0)),0)</f>
        <v>0</v>
      </c>
      <c r="E160" s="85">
        <f>IFERROR(INDEX('چکهای دریافتنی'!F:F,MATCH(Table232[[#This Row],[كد تفصيلي]],'چکهای دریافتنی'!A:A,0)),0)</f>
        <v>0</v>
      </c>
      <c r="F160" s="85">
        <f>Table232[[#This Row],[حسابهای دریافتنی]]+Table232[[#This Row],[چکهای در جریان وصول]]+Table232[[#This Row],[چکهای نزد صندوق]]</f>
        <v>-5000</v>
      </c>
      <c r="G160" s="86">
        <f>IFERROR(INDEX('مانده سوفاله'!F:F,MATCH(Table232[[#This Row],[كد تفصيلي]],'مانده سوفاله'!A:A,0)),0)</f>
        <v>0</v>
      </c>
    </row>
    <row r="161" spans="1:7" customFormat="1" ht="26.25" customHeight="1" x14ac:dyDescent="0.35">
      <c r="A161" s="76">
        <v>10079</v>
      </c>
      <c r="B161" s="72" t="s">
        <v>174</v>
      </c>
      <c r="C161" s="85">
        <f>IFERROR(INDEX('حسابهای دریافتنی'!H:H,MATCH(Table232[[#This Row],[كد تفصيلي]],'حسابهای دریافتنی'!A:A,0)),0)</f>
        <v>-226593500</v>
      </c>
      <c r="D161" s="85">
        <f>IFERROR(INDEX('درجریان وصول'!F:F,MATCH(Table232[[#This Row],[كد تفصيلي]],'درجریان وصول'!A:A,0)),0)</f>
        <v>0</v>
      </c>
      <c r="E161" s="85">
        <f>IFERROR(INDEX('چکهای دریافتنی'!F:F,MATCH(Table232[[#This Row],[كد تفصيلي]],'چکهای دریافتنی'!A:A,0)),0)</f>
        <v>0</v>
      </c>
      <c r="F161" s="85">
        <f>Table232[[#This Row],[حسابهای دریافتنی]]+Table232[[#This Row],[چکهای در جریان وصول]]+Table232[[#This Row],[چکهای نزد صندوق]]</f>
        <v>-226593500</v>
      </c>
      <c r="G161" s="86">
        <f>IFERROR(INDEX('مانده سوفاله'!F:F,MATCH(Table232[[#This Row],[كد تفصيلي]],'مانده سوفاله'!A:A,0)),0)</f>
        <v>0</v>
      </c>
    </row>
    <row r="162" spans="1:7" customFormat="1" ht="26.25" customHeight="1" x14ac:dyDescent="0.35">
      <c r="A162" s="77">
        <v>10139</v>
      </c>
      <c r="B162" s="73" t="s">
        <v>518</v>
      </c>
      <c r="C162" s="85">
        <f>IFERROR(INDEX('حسابهای دریافتنی'!H:H,MATCH(Table232[[#This Row],[كد تفصيلي]],'حسابهای دریافتنی'!A:A,0)),0)</f>
        <v>-267193000</v>
      </c>
      <c r="D162" s="85">
        <f>IFERROR(INDEX('درجریان وصول'!F:F,MATCH(Table232[[#This Row],[كد تفصيلي]],'درجریان وصول'!A:A,0)),0)</f>
        <v>0</v>
      </c>
      <c r="E162" s="85">
        <f>IFERROR(INDEX('چکهای دریافتنی'!F:F,MATCH(Table232[[#This Row],[كد تفصيلي]],'چکهای دریافتنی'!A:A,0)),0)</f>
        <v>0</v>
      </c>
      <c r="F162" s="85">
        <f>Table232[[#This Row],[حسابهای دریافتنی]]+Table232[[#This Row],[چکهای در جریان وصول]]+Table232[[#This Row],[چکهای نزد صندوق]]</f>
        <v>-267193000</v>
      </c>
      <c r="G162" s="86">
        <f>IFERROR(INDEX('مانده سوفاله'!F:F,MATCH(Table232[[#This Row],[كد تفصيلي]],'مانده سوفاله'!A:A,0)),0)</f>
        <v>0</v>
      </c>
    </row>
    <row r="163" spans="1:7" customFormat="1" ht="26.25" customHeight="1" x14ac:dyDescent="0.35">
      <c r="A163" s="76">
        <v>10126</v>
      </c>
      <c r="B163" s="72" t="s">
        <v>370</v>
      </c>
      <c r="C163" s="85">
        <f>IFERROR(INDEX('حسابهای دریافتنی'!H:H,MATCH(Table232[[#This Row],[كد تفصيلي]],'حسابهای دریافتنی'!A:A,0)),0)</f>
        <v>12165000</v>
      </c>
      <c r="D163" s="85">
        <f>IFERROR(INDEX('درجریان وصول'!F:F,MATCH(Table232[[#This Row],[كد تفصيلي]],'درجریان وصول'!A:A,0)),0)</f>
        <v>0</v>
      </c>
      <c r="E163" s="85">
        <f>IFERROR(INDEX('چکهای دریافتنی'!F:F,MATCH(Table232[[#This Row],[كد تفصيلي]],'چکهای دریافتنی'!A:A,0)),0)</f>
        <v>0</v>
      </c>
      <c r="F163" s="85">
        <f>Table232[[#This Row],[حسابهای دریافتنی]]+Table232[[#This Row],[چکهای در جریان وصول]]+Table232[[#This Row],[چکهای نزد صندوق]]</f>
        <v>12165000</v>
      </c>
      <c r="G163" s="86">
        <f>IFERROR(INDEX('مانده سوفاله'!F:F,MATCH(Table232[[#This Row],[كد تفصيلي]],'مانده سوفاله'!A:A,0)),0)</f>
        <v>0</v>
      </c>
    </row>
    <row r="164" spans="1:7" customFormat="1" ht="26.25" customHeight="1" x14ac:dyDescent="0.35">
      <c r="A164" s="77">
        <v>50008</v>
      </c>
      <c r="B164" s="73" t="s">
        <v>146</v>
      </c>
      <c r="C164" s="85">
        <f>IFERROR(INDEX('حسابهای دریافتنی'!H:H,MATCH(Table232[[#This Row],[كد تفصيلي]],'حسابهای دریافتنی'!A:A,0)),0)</f>
        <v>-406230000</v>
      </c>
      <c r="D164" s="85">
        <f>IFERROR(INDEX('درجریان وصول'!F:F,MATCH(Table232[[#This Row],[كد تفصيلي]],'درجریان وصول'!A:A,0)),0)</f>
        <v>0</v>
      </c>
      <c r="E164" s="85">
        <f>IFERROR(INDEX('چکهای دریافتنی'!F:F,MATCH(Table232[[#This Row],[كد تفصيلي]],'چکهای دریافتنی'!A:A,0)),0)</f>
        <v>0</v>
      </c>
      <c r="F164" s="85">
        <f>Table232[[#This Row],[حسابهای دریافتنی]]+Table232[[#This Row],[چکهای در جریان وصول]]+Table232[[#This Row],[چکهای نزد صندوق]]</f>
        <v>-406230000</v>
      </c>
      <c r="G164" s="86">
        <f>IFERROR(INDEX('مانده سوفاله'!F:F,MATCH(Table232[[#This Row],[كد تفصيلي]],'مانده سوفاله'!A:A,0)),0)</f>
        <v>0</v>
      </c>
    </row>
    <row r="165" spans="1:7" customFormat="1" ht="26.25" customHeight="1" x14ac:dyDescent="0.35">
      <c r="A165" s="76">
        <v>30182</v>
      </c>
      <c r="B165" s="72" t="s">
        <v>342</v>
      </c>
      <c r="C165" s="85">
        <f>IFERROR(INDEX('حسابهای دریافتنی'!H:H,MATCH(Table232[[#This Row],[كد تفصيلي]],'حسابهای دریافتنی'!A:A,0)),0)</f>
        <v>-528256400</v>
      </c>
      <c r="D165" s="85">
        <f>IFERROR(INDEX('درجریان وصول'!F:F,MATCH(Table232[[#This Row],[كد تفصيلي]],'درجریان وصول'!A:A,0)),0)</f>
        <v>0</v>
      </c>
      <c r="E165" s="85">
        <f>IFERROR(INDEX('چکهای دریافتنی'!F:F,MATCH(Table232[[#This Row],[كد تفصيلي]],'چکهای دریافتنی'!A:A,0)),0)</f>
        <v>0</v>
      </c>
      <c r="F165" s="85">
        <f>Table232[[#This Row],[حسابهای دریافتنی]]+Table232[[#This Row],[چکهای در جریان وصول]]+Table232[[#This Row],[چکهای نزد صندوق]]</f>
        <v>-528256400</v>
      </c>
      <c r="G165" s="86">
        <f>IFERROR(INDEX('مانده سوفاله'!F:F,MATCH(Table232[[#This Row],[كد تفصيلي]],'مانده سوفاله'!A:A,0)),0)</f>
        <v>0</v>
      </c>
    </row>
    <row r="166" spans="1:7" ht="26.25" customHeight="1" x14ac:dyDescent="0.35">
      <c r="A166" s="74">
        <v>30155</v>
      </c>
      <c r="B166" s="73" t="s">
        <v>289</v>
      </c>
      <c r="C166" s="85">
        <f>IFERROR(INDEX('حسابهای دریافتنی'!H:H,MATCH(Table232[[#This Row],[كد تفصيلي]],'حسابهای دریافتنی'!A:A,0)),0)</f>
        <v>-454985417</v>
      </c>
      <c r="D166" s="85">
        <f>IFERROR(INDEX('درجریان وصول'!F:F,MATCH(Table232[[#This Row],[كد تفصيلي]],'درجریان وصول'!A:A,0)),0)</f>
        <v>0</v>
      </c>
      <c r="E166" s="85">
        <f>IFERROR(INDEX('چکهای دریافتنی'!F:F,MATCH(Table232[[#This Row],[كد تفصيلي]],'چکهای دریافتنی'!A:A,0)),0)</f>
        <v>1379936267</v>
      </c>
      <c r="F166" s="85">
        <f>Table232[[#This Row],[حسابهای دریافتنی]]+Table232[[#This Row],[چکهای در جریان وصول]]+Table232[[#This Row],[چکهای نزد صندوق]]</f>
        <v>924950850</v>
      </c>
      <c r="G166" s="86">
        <f>IFERROR(INDEX('مانده سوفاله'!F:F,MATCH(Table232[[#This Row],[كد تفصيلي]],'مانده سوفاله'!A:A,0)),0)</f>
        <v>0</v>
      </c>
    </row>
    <row r="167" spans="1:7" ht="26.25" customHeight="1" x14ac:dyDescent="0.35">
      <c r="A167" s="74">
        <v>10026</v>
      </c>
      <c r="B167" s="73" t="s">
        <v>32</v>
      </c>
      <c r="C167" s="85">
        <f>IFERROR(INDEX('حسابهای دریافتنی'!H:H,MATCH(Table232[[#This Row],[كد تفصيلي]],'حسابهای دریافتنی'!A:A,0)),0)</f>
        <v>3795031844</v>
      </c>
      <c r="D167" s="85">
        <f>IFERROR(INDEX('درجریان وصول'!F:F,MATCH(Table232[[#This Row],[كد تفصيلي]],'درجریان وصول'!A:A,0)),0)</f>
        <v>0</v>
      </c>
      <c r="E167" s="85">
        <f>IFERROR(INDEX('چکهای دریافتنی'!F:F,MATCH(Table232[[#This Row],[كد تفصيلي]],'چکهای دریافتنی'!A:A,0)),0)</f>
        <v>2690000000</v>
      </c>
      <c r="F167" s="85">
        <f>Table232[[#This Row],[حسابهای دریافتنی]]+Table232[[#This Row],[چکهای در جریان وصول]]+Table232[[#This Row],[چکهای نزد صندوق]]</f>
        <v>6485031844</v>
      </c>
      <c r="G167" s="86">
        <f>IFERROR(INDEX('مانده سوفاله'!F:F,MATCH(Table232[[#This Row],[كد تفصيلي]],'مانده سوفاله'!A:A,0)),0)</f>
        <v>-12543</v>
      </c>
    </row>
    <row r="168" spans="1:7" ht="26.25" customHeight="1" x14ac:dyDescent="0.35">
      <c r="A168" s="75">
        <v>10133</v>
      </c>
      <c r="B168" s="72" t="s">
        <v>465</v>
      </c>
      <c r="C168" s="85">
        <f>IFERROR(INDEX('حسابهای دریافتنی'!H:H,MATCH(Table232[[#This Row],[كد تفصيلي]],'حسابهای دریافتنی'!A:A,0)),0)</f>
        <v>-1249039000</v>
      </c>
      <c r="D168" s="85">
        <f>IFERROR(INDEX('درجریان وصول'!F:F,MATCH(Table232[[#This Row],[كد تفصيلي]],'درجریان وصول'!A:A,0)),0)</f>
        <v>0</v>
      </c>
      <c r="E168" s="85">
        <f>IFERROR(INDEX('چکهای دریافتنی'!F:F,MATCH(Table232[[#This Row],[كد تفصيلي]],'چکهای دریافتنی'!A:A,0)),0)</f>
        <v>0</v>
      </c>
      <c r="F168" s="85">
        <f>Table232[[#This Row],[حسابهای دریافتنی]]+Table232[[#This Row],[چکهای در جریان وصول]]+Table232[[#This Row],[چکهای نزد صندوق]]</f>
        <v>-1249039000</v>
      </c>
      <c r="G168" s="86">
        <f>IFERROR(INDEX('مانده سوفاله'!F:F,MATCH(Table232[[#This Row],[كد تفصيلي]],'مانده سوفاله'!A:A,0)),0)</f>
        <v>0</v>
      </c>
    </row>
    <row r="169" spans="1:7" ht="26.25" customHeight="1" x14ac:dyDescent="0.35">
      <c r="A169" s="75">
        <v>10029</v>
      </c>
      <c r="B169" s="72" t="s">
        <v>35</v>
      </c>
      <c r="C169" s="85">
        <f>IFERROR(INDEX('حسابهای دریافتنی'!H:H,MATCH(Table232[[#This Row],[كد تفصيلي]],'حسابهای دریافتنی'!A:A,0)),0)</f>
        <v>-1038298620</v>
      </c>
      <c r="D169" s="85">
        <f>IFERROR(INDEX('درجریان وصول'!F:F,MATCH(Table232[[#This Row],[كد تفصيلي]],'درجریان وصول'!A:A,0)),0)</f>
        <v>0</v>
      </c>
      <c r="E169" s="85">
        <f>IFERROR(INDEX('چکهای دریافتنی'!F:F,MATCH(Table232[[#This Row],[كد تفصيلي]],'چکهای دریافتنی'!A:A,0)),0)</f>
        <v>2019000000</v>
      </c>
      <c r="F169" s="85">
        <f>Table232[[#This Row],[حسابهای دریافتنی]]+Table232[[#This Row],[چکهای در جریان وصول]]+Table232[[#This Row],[چکهای نزد صندوق]]</f>
        <v>980701380</v>
      </c>
      <c r="G169" s="86">
        <f>IFERROR(INDEX('مانده سوفاله'!F:F,MATCH(Table232[[#This Row],[كد تفصيلي]],'مانده سوفاله'!A:A,0)),0)</f>
        <v>6603</v>
      </c>
    </row>
    <row r="170" spans="1:7" ht="26.25" customHeight="1" x14ac:dyDescent="0.35">
      <c r="A170" s="74">
        <v>10109</v>
      </c>
      <c r="B170" s="73" t="s">
        <v>303</v>
      </c>
      <c r="C170" s="85">
        <f>IFERROR(INDEX('حسابهای دریافتنی'!H:H,MATCH(Table232[[#This Row],[كد تفصيلي]],'حسابهای دریافتنی'!A:A,0)),0)</f>
        <v>-1124737000</v>
      </c>
      <c r="D170" s="85">
        <f>IFERROR(INDEX('درجریان وصول'!F:F,MATCH(Table232[[#This Row],[كد تفصيلي]],'درجریان وصول'!A:A,0)),0)</f>
        <v>0</v>
      </c>
      <c r="E170" s="85">
        <f>IFERROR(INDEX('چکهای دریافتنی'!F:F,MATCH(Table232[[#This Row],[كد تفصيلي]],'چکهای دریافتنی'!A:A,0)),0)</f>
        <v>0</v>
      </c>
      <c r="F170" s="85">
        <f>Table232[[#This Row],[حسابهای دریافتنی]]+Table232[[#This Row],[چکهای در جریان وصول]]+Table232[[#This Row],[چکهای نزد صندوق]]</f>
        <v>-1124737000</v>
      </c>
      <c r="G170" s="86">
        <f>IFERROR(INDEX('مانده سوفاله'!F:F,MATCH(Table232[[#This Row],[كد تفصيلي]],'مانده سوفاله'!A:A,0)),0)</f>
        <v>-241</v>
      </c>
    </row>
    <row r="171" spans="1:7" ht="26.25" customHeight="1" x14ac:dyDescent="0.35">
      <c r="A171" s="74">
        <v>30165</v>
      </c>
      <c r="B171" s="73" t="s">
        <v>310</v>
      </c>
      <c r="C171" s="85">
        <f>IFERROR(INDEX('حسابهای دریافتنی'!H:H,MATCH(Table232[[#This Row],[كد تفصيلي]],'حسابهای دریافتنی'!A:A,0)),0)</f>
        <v>-1139268000</v>
      </c>
      <c r="D171" s="85">
        <f>IFERROR(INDEX('درجریان وصول'!F:F,MATCH(Table232[[#This Row],[كد تفصيلي]],'درجریان وصول'!A:A,0)),0)</f>
        <v>0</v>
      </c>
      <c r="E171" s="85">
        <f>IFERROR(INDEX('چکهای دریافتنی'!F:F,MATCH(Table232[[#This Row],[كد تفصيلي]],'چکهای دریافتنی'!A:A,0)),0)</f>
        <v>0</v>
      </c>
      <c r="F171" s="85">
        <f>Table232[[#This Row],[حسابهای دریافتنی]]+Table232[[#This Row],[چکهای در جریان وصول]]+Table232[[#This Row],[چکهای نزد صندوق]]</f>
        <v>-1139268000</v>
      </c>
      <c r="G171" s="86">
        <f>IFERROR(INDEX('مانده سوفاله'!F:F,MATCH(Table232[[#This Row],[كد تفصيلي]],'مانده سوفاله'!A:A,0)),0)</f>
        <v>0</v>
      </c>
    </row>
    <row r="172" spans="1:7" ht="26.25" customHeight="1" x14ac:dyDescent="0.35">
      <c r="A172" s="74">
        <v>10056</v>
      </c>
      <c r="B172" s="73" t="s">
        <v>166</v>
      </c>
      <c r="C172" s="85">
        <f>IFERROR(INDEX('حسابهای دریافتنی'!H:H,MATCH(Table232[[#This Row],[كد تفصيلي]],'حسابهای دریافتنی'!A:A,0)),0)</f>
        <v>812653500</v>
      </c>
      <c r="D172" s="85">
        <f>IFERROR(INDEX('درجریان وصول'!F:F,MATCH(Table232[[#This Row],[كد تفصيلي]],'درجریان وصول'!A:A,0)),0)</f>
        <v>0</v>
      </c>
      <c r="E172" s="85">
        <f>IFERROR(INDEX('چکهای دریافتنی'!F:F,MATCH(Table232[[#This Row],[كد تفصيلي]],'چکهای دریافتنی'!A:A,0)),0)</f>
        <v>0</v>
      </c>
      <c r="F172" s="85">
        <f>Table232[[#This Row],[حسابهای دریافتنی]]+Table232[[#This Row],[چکهای در جریان وصول]]+Table232[[#This Row],[چکهای نزد صندوق]]</f>
        <v>812653500</v>
      </c>
      <c r="G172" s="86">
        <f>IFERROR(INDEX('مانده سوفاله'!F:F,MATCH(Table232[[#This Row],[كد تفصيلي]],'مانده سوفاله'!A:A,0)),0)</f>
        <v>0</v>
      </c>
    </row>
    <row r="173" spans="1:7" ht="26.25" customHeight="1" x14ac:dyDescent="0.35">
      <c r="A173" s="75">
        <v>30070</v>
      </c>
      <c r="B173" s="72" t="s">
        <v>115</v>
      </c>
      <c r="C173" s="85">
        <f>IFERROR(INDEX('حسابهای دریافتنی'!H:H,MATCH(Table232[[#This Row],[كد تفصيلي]],'حسابهای دریافتنی'!A:A,0)),0)</f>
        <v>2651728820</v>
      </c>
      <c r="D173" s="85">
        <f>IFERROR(INDEX('درجریان وصول'!F:F,MATCH(Table232[[#This Row],[كد تفصيلي]],'درجریان وصول'!A:A,0)),0)</f>
        <v>0</v>
      </c>
      <c r="E173" s="85">
        <f>IFERROR(INDEX('چکهای دریافتنی'!F:F,MATCH(Table232[[#This Row],[كد تفصيلي]],'چکهای دریافتنی'!A:A,0)),0)</f>
        <v>3660000000</v>
      </c>
      <c r="F173" s="85">
        <f>Table232[[#This Row],[حسابهای دریافتنی]]+Table232[[#This Row],[چکهای در جریان وصول]]+Table232[[#This Row],[چکهای نزد صندوق]]</f>
        <v>6311728820</v>
      </c>
      <c r="G173" s="86">
        <f>IFERROR(INDEX('مانده سوفاله'!F:F,MATCH(Table232[[#This Row],[كد تفصيلي]],'مانده سوفاله'!A:A,0)),0)</f>
        <v>4378</v>
      </c>
    </row>
    <row r="174" spans="1:7" ht="26.25" customHeight="1" x14ac:dyDescent="0.35">
      <c r="A174" s="74">
        <v>10002</v>
      </c>
      <c r="B174" s="73" t="s">
        <v>9</v>
      </c>
      <c r="C174" s="85">
        <f>IFERROR(INDEX('حسابهای دریافتنی'!H:H,MATCH(Table232[[#This Row],[كد تفصيلي]],'حسابهای دریافتنی'!A:A,0)),0)</f>
        <v>-3600000000</v>
      </c>
      <c r="D174" s="85">
        <f>IFERROR(INDEX('درجریان وصول'!F:F,MATCH(Table232[[#This Row],[كد تفصيلي]],'درجریان وصول'!A:A,0)),0)</f>
        <v>0</v>
      </c>
      <c r="E174" s="85">
        <f>IFERROR(INDEX('چکهای دریافتنی'!F:F,MATCH(Table232[[#This Row],[كد تفصيلي]],'چکهای دریافتنی'!A:A,0)),0)</f>
        <v>0</v>
      </c>
      <c r="F174" s="85">
        <f>Table232[[#This Row],[حسابهای دریافتنی]]+Table232[[#This Row],[چکهای در جریان وصول]]+Table232[[#This Row],[چکهای نزد صندوق]]</f>
        <v>-3600000000</v>
      </c>
      <c r="G174" s="86">
        <f>IFERROR(INDEX('مانده سوفاله'!F:F,MATCH(Table232[[#This Row],[كد تفصيلي]],'مانده سوفاله'!A:A,0)),0)</f>
        <v>0</v>
      </c>
    </row>
    <row r="175" spans="1:7" ht="26.25" customHeight="1" x14ac:dyDescent="0.35">
      <c r="A175" s="75">
        <v>30146</v>
      </c>
      <c r="B175" s="72" t="s">
        <v>266</v>
      </c>
      <c r="C175" s="85">
        <f>IFERROR(INDEX('حسابهای دریافتنی'!H:H,MATCH(Table232[[#This Row],[كد تفصيلي]],'حسابهای دریافتنی'!A:A,0)),0)</f>
        <v>-4146512500</v>
      </c>
      <c r="D175" s="85">
        <f>IFERROR(INDEX('درجریان وصول'!F:F,MATCH(Table232[[#This Row],[كد تفصيلي]],'درجریان وصول'!A:A,0)),0)</f>
        <v>0</v>
      </c>
      <c r="E175" s="85">
        <f>IFERROR(INDEX('چکهای دریافتنی'!F:F,MATCH(Table232[[#This Row],[كد تفصيلي]],'چکهای دریافتنی'!A:A,0)),0)</f>
        <v>0</v>
      </c>
      <c r="F175" s="85">
        <f>Table232[[#This Row],[حسابهای دریافتنی]]+Table232[[#This Row],[چکهای در جریان وصول]]+Table232[[#This Row],[چکهای نزد صندوق]]</f>
        <v>-4146512500</v>
      </c>
      <c r="G175" s="86">
        <f>IFERROR(INDEX('مانده سوفاله'!F:F,MATCH(Table232[[#This Row],[كد تفصيلي]],'مانده سوفاله'!A:A,0)),0)</f>
        <v>2823</v>
      </c>
    </row>
    <row r="176" spans="1:7" ht="26.25" customHeight="1" x14ac:dyDescent="0.35">
      <c r="A176" s="74">
        <v>30131</v>
      </c>
      <c r="B176" s="73" t="s">
        <v>213</v>
      </c>
      <c r="C176" s="85">
        <f>IFERROR(INDEX('حسابهای دریافتنی'!H:H,MATCH(Table232[[#This Row],[كد تفصيلي]],'حسابهای دریافتنی'!A:A,0)),0)</f>
        <v>-6228486500</v>
      </c>
      <c r="D176" s="85">
        <f>IFERROR(INDEX('درجریان وصول'!F:F,MATCH(Table232[[#This Row],[كد تفصيلي]],'درجریان وصول'!A:A,0)),0)</f>
        <v>0</v>
      </c>
      <c r="E176" s="85">
        <f>IFERROR(INDEX('چکهای دریافتنی'!F:F,MATCH(Table232[[#This Row],[كد تفصيلي]],'چکهای دریافتنی'!A:A,0)),0)</f>
        <v>0</v>
      </c>
      <c r="F176" s="85">
        <f>Table232[[#This Row],[حسابهای دریافتنی]]+Table232[[#This Row],[چکهای در جریان وصول]]+Table232[[#This Row],[چکهای نزد صندوق]]</f>
        <v>-6228486500</v>
      </c>
      <c r="G176" s="86">
        <f>IFERROR(INDEX('مانده سوفاله'!F:F,MATCH(Table232[[#This Row],[كد تفصيلي]],'مانده سوفاله'!A:A,0)),0)</f>
        <v>222</v>
      </c>
    </row>
    <row r="177" spans="1:7" ht="26.25" customHeight="1" x14ac:dyDescent="0.35">
      <c r="A177" s="75">
        <v>10009</v>
      </c>
      <c r="B177" s="72" t="s">
        <v>16</v>
      </c>
      <c r="C177" s="85">
        <f>IFERROR(INDEX('حسابهای دریافتنی'!H:H,MATCH(Table232[[#This Row],[كد تفصيلي]],'حسابهای دریافتنی'!A:A,0)),0)</f>
        <v>-4260580000</v>
      </c>
      <c r="D177" s="85">
        <f>IFERROR(INDEX('درجریان وصول'!F:F,MATCH(Table232[[#This Row],[كد تفصيلي]],'درجریان وصول'!A:A,0)),0)</f>
        <v>0</v>
      </c>
      <c r="E177" s="85">
        <f>IFERROR(INDEX('چکهای دریافتنی'!F:F,MATCH(Table232[[#This Row],[كد تفصيلي]],'چکهای دریافتنی'!A:A,0)),0)</f>
        <v>1600000000</v>
      </c>
      <c r="F177" s="85">
        <f>Table232[[#This Row],[حسابهای دریافتنی]]+Table232[[#This Row],[چکهای در جریان وصول]]+Table232[[#This Row],[چکهای نزد صندوق]]</f>
        <v>-2660580000</v>
      </c>
      <c r="G177" s="86">
        <f>IFERROR(INDEX('مانده سوفاله'!F:F,MATCH(Table232[[#This Row],[كد تفصيلي]],'مانده سوفاله'!A:A,0)),0)</f>
        <v>9952</v>
      </c>
    </row>
    <row r="178" spans="1:7" ht="26.25" customHeight="1" x14ac:dyDescent="0.35">
      <c r="A178" s="75">
        <v>79120</v>
      </c>
      <c r="B178" s="72" t="s">
        <v>195</v>
      </c>
      <c r="C178" s="85">
        <f>IFERROR(INDEX('حسابهای دریافتنی'!H:H,MATCH(Table232[[#This Row],[كد تفصيلي]],'حسابهای دریافتنی'!A:A,0)),0)</f>
        <v>-15776160000</v>
      </c>
      <c r="D178" s="85">
        <f>IFERROR(INDEX('درجریان وصول'!F:F,MATCH(Table232[[#This Row],[كد تفصيلي]],'درجریان وصول'!A:A,0)),0)</f>
        <v>0</v>
      </c>
      <c r="E178" s="85">
        <f>IFERROR(INDEX('چکهای دریافتنی'!F:F,MATCH(Table232[[#This Row],[كد تفصيلي]],'چکهای دریافتنی'!A:A,0)),0)</f>
        <v>0</v>
      </c>
      <c r="F178" s="85">
        <f>Table232[[#This Row],[حسابهای دریافتنی]]+Table232[[#This Row],[چکهای در جریان وصول]]+Table232[[#This Row],[چکهای نزد صندوق]]</f>
        <v>-15776160000</v>
      </c>
      <c r="G178" s="86">
        <f>IFERROR(INDEX('مانده سوفاله'!F:F,MATCH(Table232[[#This Row],[كد تفصيلي]],'مانده سوفاله'!A:A,0)),0)</f>
        <v>0</v>
      </c>
    </row>
    <row r="179" spans="1:7" ht="26.25" customHeight="1" x14ac:dyDescent="0.35">
      <c r="A179" s="74">
        <v>79043</v>
      </c>
      <c r="B179" s="73" t="s">
        <v>156</v>
      </c>
      <c r="C179" s="85">
        <f>IFERROR(INDEX('حسابهای دریافتنی'!H:H,MATCH(Table232[[#This Row],[كد تفصيلي]],'حسابهای دریافتنی'!A:A,0)),0)</f>
        <v>-16110730000</v>
      </c>
      <c r="D179" s="85">
        <f>IFERROR(INDEX('درجریان وصول'!F:F,MATCH(Table232[[#This Row],[كد تفصيلي]],'درجریان وصول'!A:A,0)),0)</f>
        <v>0</v>
      </c>
      <c r="E179" s="85">
        <f>IFERROR(INDEX('چکهای دریافتنی'!F:F,MATCH(Table232[[#This Row],[كد تفصيلي]],'چکهای دریافتنی'!A:A,0)),0)</f>
        <v>0</v>
      </c>
      <c r="F179" s="85">
        <f>Table232[[#This Row],[حسابهای دریافتنی]]+Table232[[#This Row],[چکهای در جریان وصول]]+Table232[[#This Row],[چکهای نزد صندوق]]</f>
        <v>-16110730000</v>
      </c>
      <c r="G179" s="86">
        <f>IFERROR(INDEX('مانده سوفاله'!F:F,MATCH(Table232[[#This Row],[كد تفصيلي]],'مانده سوفاله'!A:A,0)),0)</f>
        <v>0</v>
      </c>
    </row>
    <row r="180" spans="1:7" ht="26.25" customHeight="1" x14ac:dyDescent="0.35">
      <c r="A180" s="36"/>
      <c r="B180" s="37"/>
      <c r="C180" s="38">
        <f>SUBTOTAL(109,Table232[حسابهای دریافتنی])</f>
        <v>56717966959</v>
      </c>
      <c r="D180" s="38">
        <f>SUBTOTAL(109,Table232[چکهای در جریان وصول])</f>
        <v>0</v>
      </c>
      <c r="E180" s="38">
        <f>SUBTOTAL(109,Table232[چکهای نزد صندوق])</f>
        <v>61702152942</v>
      </c>
      <c r="F180" s="38"/>
      <c r="G180" s="39">
        <f>SUBTOTAL(109,Table232[مانده سوفاله])</f>
        <v>-133695.5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78"/>
  <sheetViews>
    <sheetView rightToLeft="1" tabSelected="1" workbookViewId="0">
      <selection activeCell="B5" sqref="B5"/>
    </sheetView>
  </sheetViews>
  <sheetFormatPr defaultColWidth="9.08984375" defaultRowHeight="29.25" customHeight="1" x14ac:dyDescent="0.35"/>
  <cols>
    <col min="1" max="1" width="14.36328125" style="5" customWidth="1"/>
    <col min="2" max="2" width="38" style="5" bestFit="1" customWidth="1"/>
    <col min="3" max="3" width="20.26953125" style="96" customWidth="1"/>
    <col min="4" max="5" width="22.7265625" style="96" customWidth="1"/>
    <col min="6" max="6" width="18" style="96" customWidth="1"/>
    <col min="7" max="7" width="15.6328125" style="96" customWidth="1"/>
    <col min="8" max="16384" width="9.08984375" style="87"/>
  </cols>
  <sheetData>
    <row r="1" spans="1:7" s="90" customFormat="1" ht="50.25" customHeight="1" x14ac:dyDescent="0.35">
      <c r="A1" s="6" t="s">
        <v>564</v>
      </c>
      <c r="B1" s="7" t="s">
        <v>5</v>
      </c>
      <c r="C1" s="88" t="s">
        <v>139</v>
      </c>
      <c r="D1" s="88" t="s">
        <v>140</v>
      </c>
      <c r="E1" s="88" t="s">
        <v>141</v>
      </c>
      <c r="F1" s="88" t="s">
        <v>158</v>
      </c>
      <c r="G1" s="89" t="s">
        <v>145</v>
      </c>
    </row>
    <row r="2" spans="1:7" ht="29.25" customHeight="1" x14ac:dyDescent="0.35">
      <c r="A2" s="74">
        <v>30127</v>
      </c>
      <c r="B2" s="73" t="s">
        <v>565</v>
      </c>
      <c r="C2" s="91">
        <f>IFERROR(INDEX('حسابهای دریافتنی'!H:H,MATCH(Table233[[#This Row],[کد تفصیلی]],'حسابهای دریافتنی'!A:A,0)),0)</f>
        <v>31800110000</v>
      </c>
      <c r="D2" s="92">
        <f>IFERROR(INDEX('درجریان وصول'!F:F,MATCH(Table233[[#This Row],[کد تفصیلی]],'درجریان وصول'!A:A,0)),0)</f>
        <v>0</v>
      </c>
      <c r="E2" s="92">
        <f>IFERROR(INDEX('چکهای دریافتنی'!F:F,MATCH(Table233[[#This Row],[کد تفصیلی]],'چکهای دریافتنی'!A:A,0)),0)</f>
        <v>0</v>
      </c>
      <c r="F2" s="92">
        <f>Table233[[#This Row],[حسابهای دریافتنی]]+Table233[[#This Row],[چکهای در جریان وصول]]+Table233[[#This Row],[چکهای نزد صندوق]]</f>
        <v>31800110000</v>
      </c>
      <c r="G2" s="93">
        <f>IFERROR(INDEX('مانده سوفاله'!F:F,MATCH(Table233[[#This Row],[کد تفصیلی]],'مانده سوفاله'!A:A,0)),0)</f>
        <v>-18472</v>
      </c>
    </row>
    <row r="3" spans="1:7" ht="29.25" customHeight="1" x14ac:dyDescent="0.35">
      <c r="A3" s="75">
        <v>30068</v>
      </c>
      <c r="B3" s="72" t="s">
        <v>566</v>
      </c>
      <c r="C3" s="91">
        <f>IFERROR(INDEX('حسابهای دریافتنی'!H:H,MATCH(Table233[[#This Row],[کد تفصیلی]],'حسابهای دریافتنی'!A:A,0)),0)</f>
        <v>21396756135</v>
      </c>
      <c r="D3" s="92">
        <f>IFERROR(INDEX('درجریان وصول'!F:F,MATCH(Table233[[#This Row],[کد تفصیلی]],'درجریان وصول'!A:A,0)),0)</f>
        <v>0</v>
      </c>
      <c r="E3" s="92">
        <f>IFERROR(INDEX('چکهای دریافتنی'!F:F,MATCH(Table233[[#This Row],[کد تفصیلی]],'چکهای دریافتنی'!A:A,0)),0)</f>
        <v>0</v>
      </c>
      <c r="F3" s="92">
        <f>Table233[[#This Row],[حسابهای دریافتنی]]+Table233[[#This Row],[چکهای در جریان وصول]]+Table233[[#This Row],[چکهای نزد صندوق]]</f>
        <v>21396756135</v>
      </c>
      <c r="G3" s="93">
        <f>IFERROR(INDEX('مانده سوفاله'!F:F,MATCH(Table233[[#This Row],[کد تفصیلی]],'مانده سوفاله'!A:A,0)),0)</f>
        <v>0</v>
      </c>
    </row>
    <row r="4" spans="1:7" ht="29.25" customHeight="1" x14ac:dyDescent="0.35">
      <c r="A4" s="75">
        <v>10003</v>
      </c>
      <c r="B4" s="72" t="s">
        <v>567</v>
      </c>
      <c r="C4" s="91">
        <f>IFERROR(INDEX('حسابهای دریافتنی'!H:H,MATCH(Table233[[#This Row],[کد تفصیلی]],'حسابهای دریافتنی'!A:A,0)),0)</f>
        <v>10804267992</v>
      </c>
      <c r="D4" s="92">
        <f>IFERROR(INDEX('درجریان وصول'!F:F,MATCH(Table233[[#This Row],[کد تفصیلی]],'درجریان وصول'!A:A,0)),0)</f>
        <v>0</v>
      </c>
      <c r="E4" s="92">
        <f>IFERROR(INDEX('چکهای دریافتنی'!F:F,MATCH(Table233[[#This Row],[کد تفصیلی]],'چکهای دریافتنی'!A:A,0)),0)</f>
        <v>13698001280</v>
      </c>
      <c r="F4" s="92">
        <f>Table233[[#This Row],[حسابهای دریافتنی]]+Table233[[#This Row],[چکهای در جریان وصول]]+Table233[[#This Row],[چکهای نزد صندوق]]</f>
        <v>24502269272</v>
      </c>
      <c r="G4" s="93">
        <f>IFERROR(INDEX('مانده سوفاله'!F:F,MATCH(Table233[[#This Row],[کد تفصیلی]],'مانده سوفاله'!A:A,0)),0)</f>
        <v>-39886</v>
      </c>
    </row>
    <row r="5" spans="1:7" ht="29.25" customHeight="1" x14ac:dyDescent="0.35">
      <c r="A5" s="75">
        <v>10055</v>
      </c>
      <c r="B5" s="72" t="s">
        <v>568</v>
      </c>
      <c r="C5" s="91">
        <f>IFERROR(INDEX('حسابهای دریافتنی'!H:H,MATCH(Table233[[#This Row],[کد تفصیلی]],'حسابهای دریافتنی'!A:A,0)),0)</f>
        <v>10460111325</v>
      </c>
      <c r="D5" s="92">
        <f>IFERROR(INDEX('درجریان وصول'!F:F,MATCH(Table233[[#This Row],[کد تفصیلی]],'درجریان وصول'!A:A,0)),0)</f>
        <v>0</v>
      </c>
      <c r="E5" s="92">
        <f>IFERROR(INDEX('چکهای دریافتنی'!F:F,MATCH(Table233[[#This Row],[کد تفصیلی]],'چکهای دریافتنی'!A:A,0)),0)</f>
        <v>2783298655</v>
      </c>
      <c r="F5" s="92">
        <f>Table233[[#This Row],[حسابهای دریافتنی]]+Table233[[#This Row],[چکهای در جریان وصول]]+Table233[[#This Row],[چکهای نزد صندوق]]</f>
        <v>13243409980</v>
      </c>
      <c r="G5" s="93">
        <f>IFERROR(INDEX('مانده سوفاله'!F:F,MATCH(Table233[[#This Row],[کد تفصیلی]],'مانده سوفاله'!A:A,0)),0)</f>
        <v>-12714</v>
      </c>
    </row>
    <row r="6" spans="1:7" ht="29.25" customHeight="1" x14ac:dyDescent="0.35">
      <c r="A6" s="75">
        <v>30009</v>
      </c>
      <c r="B6" s="72" t="s">
        <v>569</v>
      </c>
      <c r="C6" s="91">
        <f>IFERROR(INDEX('حسابهای دریافتنی'!H:H,MATCH(Table233[[#This Row],[کد تفصیلی]],'حسابهای دریافتنی'!A:A,0)),0)</f>
        <v>7853844277</v>
      </c>
      <c r="D6" s="92">
        <f>IFERROR(INDEX('درجریان وصول'!F:F,MATCH(Table233[[#This Row],[کد تفصیلی]],'درجریان وصول'!A:A,0)),0)</f>
        <v>0</v>
      </c>
      <c r="E6" s="92">
        <f>IFERROR(INDEX('چکهای دریافتنی'!F:F,MATCH(Table233[[#This Row],[کد تفصیلی]],'چکهای دریافتنی'!A:A,0)),0)</f>
        <v>6474835380</v>
      </c>
      <c r="F6" s="92">
        <f>Table233[[#This Row],[حسابهای دریافتنی]]+Table233[[#This Row],[چکهای در جریان وصول]]+Table233[[#This Row],[چکهای نزد صندوق]]</f>
        <v>14328679657</v>
      </c>
      <c r="G6" s="93">
        <f>IFERROR(INDEX('مانده سوفاله'!F:F,MATCH(Table233[[#This Row],[کد تفصیلی]],'مانده سوفاله'!A:A,0)),0)</f>
        <v>-11452</v>
      </c>
    </row>
    <row r="7" spans="1:7" ht="29.25" customHeight="1" x14ac:dyDescent="0.35">
      <c r="A7" s="74">
        <v>30004</v>
      </c>
      <c r="B7" s="73" t="s">
        <v>570</v>
      </c>
      <c r="C7" s="91">
        <f>IFERROR(INDEX('حسابهای دریافتنی'!H:H,MATCH(Table233[[#This Row],[کد تفصیلی]],'حسابهای دریافتنی'!A:A,0)),0)</f>
        <v>7598548260</v>
      </c>
      <c r="D7" s="92">
        <f>IFERROR(INDEX('درجریان وصول'!F:F,MATCH(Table233[[#This Row],[کد تفصیلی]],'درجریان وصول'!A:A,0)),0)</f>
        <v>0</v>
      </c>
      <c r="E7" s="92">
        <f>IFERROR(INDEX('چکهای دریافتنی'!F:F,MATCH(Table233[[#This Row],[کد تفصیلی]],'چکهای دریافتنی'!A:A,0)),0)</f>
        <v>11698760000</v>
      </c>
      <c r="F7" s="92">
        <f>Table233[[#This Row],[حسابهای دریافتنی]]+Table233[[#This Row],[چکهای در جریان وصول]]+Table233[[#This Row],[چکهای نزد صندوق]]</f>
        <v>19297308260</v>
      </c>
      <c r="G7" s="93">
        <f>IFERROR(INDEX('مانده سوفاله'!F:F,MATCH(Table233[[#This Row],[کد تفصیلی]],'مانده سوفاله'!A:A,0)),0)</f>
        <v>-4237</v>
      </c>
    </row>
    <row r="8" spans="1:7" ht="29.25" customHeight="1" x14ac:dyDescent="0.35">
      <c r="A8" s="75">
        <v>30066</v>
      </c>
      <c r="B8" s="72" t="s">
        <v>571</v>
      </c>
      <c r="C8" s="91">
        <f>IFERROR(INDEX('حسابهای دریافتنی'!H:H,MATCH(Table233[[#This Row],[کد تفصیلی]],'حسابهای دریافتنی'!A:A,0)),0)</f>
        <v>6484147500</v>
      </c>
      <c r="D8" s="92">
        <f>IFERROR(INDEX('درجریان وصول'!F:F,MATCH(Table233[[#This Row],[کد تفصیلی]],'درجریان وصول'!A:A,0)),0)</f>
        <v>0</v>
      </c>
      <c r="E8" s="92">
        <f>IFERROR(INDEX('چکهای دریافتنی'!F:F,MATCH(Table233[[#This Row],[کد تفصیلی]],'چکهای دریافتنی'!A:A,0)),0)</f>
        <v>0</v>
      </c>
      <c r="F8" s="92">
        <f>Table233[[#This Row],[حسابهای دریافتنی]]+Table233[[#This Row],[چکهای در جریان وصول]]+Table233[[#This Row],[چکهای نزد صندوق]]</f>
        <v>6484147500</v>
      </c>
      <c r="G8" s="93">
        <f>IFERROR(INDEX('مانده سوفاله'!F:F,MATCH(Table233[[#This Row],[کد تفصیلی]],'مانده سوفاله'!A:A,0)),0)</f>
        <v>-1320</v>
      </c>
    </row>
    <row r="9" spans="1:7" ht="29.25" customHeight="1" x14ac:dyDescent="0.35">
      <c r="A9" s="74">
        <v>50016</v>
      </c>
      <c r="B9" s="73" t="s">
        <v>572</v>
      </c>
      <c r="C9" s="91">
        <f>IFERROR(INDEX('حسابهای دریافتنی'!H:H,MATCH(Table233[[#This Row],[کد تفصیلی]],'حسابهای دریافتنی'!A:A,0)),0)</f>
        <v>6344545550</v>
      </c>
      <c r="D9" s="92">
        <f>IFERROR(INDEX('درجریان وصول'!F:F,MATCH(Table233[[#This Row],[کد تفصیلی]],'درجریان وصول'!A:A,0)),0)</f>
        <v>0</v>
      </c>
      <c r="E9" s="92">
        <f>IFERROR(INDEX('چکهای دریافتنی'!F:F,MATCH(Table233[[#This Row],[کد تفصیلی]],'چکهای دریافتنی'!A:A,0)),0)</f>
        <v>0</v>
      </c>
      <c r="F9" s="92">
        <f>Table233[[#This Row],[حسابهای دریافتنی]]+Table233[[#This Row],[چکهای در جریان وصول]]+Table233[[#This Row],[چکهای نزد صندوق]]</f>
        <v>6344545550</v>
      </c>
      <c r="G9" s="93">
        <f>IFERROR(INDEX('مانده سوفاله'!F:F,MATCH(Table233[[#This Row],[کد تفصیلی]],'مانده سوفاله'!A:A,0)),0)</f>
        <v>5508</v>
      </c>
    </row>
    <row r="10" spans="1:7" ht="29.25" customHeight="1" x14ac:dyDescent="0.35">
      <c r="A10" s="74">
        <v>10026</v>
      </c>
      <c r="B10" s="73" t="s">
        <v>573</v>
      </c>
      <c r="C10" s="91">
        <f>IFERROR(INDEX('حسابهای دریافتنی'!H:H,MATCH(Table233[[#This Row],[کد تفصیلی]],'حسابهای دریافتنی'!A:A,0)),0)</f>
        <v>3795031844</v>
      </c>
      <c r="D10" s="92">
        <f>IFERROR(INDEX('درجریان وصول'!F:F,MATCH(Table233[[#This Row],[کد تفصیلی]],'درجریان وصول'!A:A,0)),0)</f>
        <v>0</v>
      </c>
      <c r="E10" s="92">
        <f>IFERROR(INDEX('چکهای دریافتنی'!F:F,MATCH(Table233[[#This Row],[کد تفصیلی]],'چکهای دریافتنی'!A:A,0)),0)</f>
        <v>2690000000</v>
      </c>
      <c r="F10" s="92">
        <f>Table233[[#This Row],[حسابهای دریافتنی]]+Table233[[#This Row],[چکهای در جریان وصول]]+Table233[[#This Row],[چکهای نزد صندوق]]</f>
        <v>6485031844</v>
      </c>
      <c r="G10" s="93">
        <f>IFERROR(INDEX('مانده سوفاله'!F:F,MATCH(Table233[[#This Row],[کد تفصیلی]],'مانده سوفاله'!A:A,0)),0)</f>
        <v>-12543</v>
      </c>
    </row>
    <row r="11" spans="1:7" ht="29.25" customHeight="1" x14ac:dyDescent="0.35">
      <c r="A11" s="75">
        <v>30196</v>
      </c>
      <c r="B11" s="72" t="s">
        <v>481</v>
      </c>
      <c r="C11" s="91">
        <f>IFERROR(INDEX('حسابهای دریافتنی'!H:H,MATCH(Table233[[#This Row],[کد تفصیلی]],'حسابهای دریافتنی'!A:A,0)),0)</f>
        <v>3592950000</v>
      </c>
      <c r="D11" s="92">
        <f>IFERROR(INDEX('درجریان وصول'!F:F,MATCH(Table233[[#This Row],[کد تفصیلی]],'درجریان وصول'!A:A,0)),0)</f>
        <v>0</v>
      </c>
      <c r="E11" s="92">
        <f>IFERROR(INDEX('چکهای دریافتنی'!F:F,MATCH(Table233[[#This Row],[کد تفصیلی]],'چکهای دریافتنی'!A:A,0)),0)</f>
        <v>0</v>
      </c>
      <c r="F11" s="92">
        <f>Table233[[#This Row],[حسابهای دریافتنی]]+Table233[[#This Row],[چکهای در جریان وصول]]+Table233[[#This Row],[چکهای نزد صندوق]]</f>
        <v>3592950000</v>
      </c>
      <c r="G11" s="93">
        <f>IFERROR(INDEX('مانده سوفاله'!F:F,MATCH(Table233[[#This Row],[کد تفصیلی]],'مانده سوفاله'!A:A,0)),0)</f>
        <v>-8965</v>
      </c>
    </row>
    <row r="12" spans="1:7" ht="29.25" customHeight="1" x14ac:dyDescent="0.35">
      <c r="A12" s="74">
        <v>30022</v>
      </c>
      <c r="B12" s="73" t="s">
        <v>574</v>
      </c>
      <c r="C12" s="91">
        <f>IFERROR(INDEX('حسابهای دریافتنی'!H:H,MATCH(Table233[[#This Row],[کد تفصیلی]],'حسابهای دریافتنی'!A:A,0)),0)</f>
        <v>2933770530</v>
      </c>
      <c r="D12" s="92">
        <f>IFERROR(INDEX('درجریان وصول'!F:F,MATCH(Table233[[#This Row],[کد تفصیلی]],'درجریان وصول'!A:A,0)),0)</f>
        <v>0</v>
      </c>
      <c r="E12" s="92">
        <f>IFERROR(INDEX('چکهای دریافتنی'!F:F,MATCH(Table233[[#This Row],[کد تفصیلی]],'چکهای دریافتنی'!A:A,0)),0)</f>
        <v>0</v>
      </c>
      <c r="F12" s="92">
        <f>Table233[[#This Row],[حسابهای دریافتنی]]+Table233[[#This Row],[چکهای در جریان وصول]]+Table233[[#This Row],[چکهای نزد صندوق]]</f>
        <v>2933770530</v>
      </c>
      <c r="G12" s="93">
        <f>IFERROR(INDEX('مانده سوفاله'!F:F,MATCH(Table233[[#This Row],[کد تفصیلی]],'مانده سوفاله'!A:A,0)),0)</f>
        <v>-14747</v>
      </c>
    </row>
    <row r="13" spans="1:7" ht="29.25" customHeight="1" x14ac:dyDescent="0.35">
      <c r="A13" s="75">
        <v>30070</v>
      </c>
      <c r="B13" s="72" t="s">
        <v>575</v>
      </c>
      <c r="C13" s="91">
        <f>IFERROR(INDEX('حسابهای دریافتنی'!H:H,MATCH(Table233[[#This Row],[کد تفصیلی]],'حسابهای دریافتنی'!A:A,0)),0)</f>
        <v>2651728820</v>
      </c>
      <c r="D13" s="92">
        <f>IFERROR(INDEX('درجریان وصول'!F:F,MATCH(Table233[[#This Row],[کد تفصیلی]],'درجریان وصول'!A:A,0)),0)</f>
        <v>0</v>
      </c>
      <c r="E13" s="92">
        <f>IFERROR(INDEX('چکهای دریافتنی'!F:F,MATCH(Table233[[#This Row],[کد تفصیلی]],'چکهای دریافتنی'!A:A,0)),0)</f>
        <v>3660000000</v>
      </c>
      <c r="F13" s="92">
        <f>Table233[[#This Row],[حسابهای دریافتنی]]+Table233[[#This Row],[چکهای در جریان وصول]]+Table233[[#This Row],[چکهای نزد صندوق]]</f>
        <v>6311728820</v>
      </c>
      <c r="G13" s="93">
        <f>IFERROR(INDEX('مانده سوفاله'!F:F,MATCH(Table233[[#This Row],[کد تفصیلی]],'مانده سوفاله'!A:A,0)),0)</f>
        <v>4378</v>
      </c>
    </row>
    <row r="14" spans="1:7" ht="29.25" customHeight="1" x14ac:dyDescent="0.35">
      <c r="A14" s="74">
        <v>30018</v>
      </c>
      <c r="B14" s="73" t="s">
        <v>576</v>
      </c>
      <c r="C14" s="91">
        <f>IFERROR(INDEX('حسابهای دریافتنی'!H:H,MATCH(Table233[[#This Row],[کد تفصیلی]],'حسابهای دریافتنی'!A:A,0)),0)</f>
        <v>1901077182</v>
      </c>
      <c r="D14" s="92">
        <f>IFERROR(INDEX('درجریان وصول'!F:F,MATCH(Table233[[#This Row],[کد تفصیلی]],'درجریان وصول'!A:A,0)),0)</f>
        <v>0</v>
      </c>
      <c r="E14" s="92">
        <f>IFERROR(INDEX('چکهای دریافتنی'!F:F,MATCH(Table233[[#This Row],[کد تفصیلی]],'چکهای دریافتنی'!A:A,0)),0)</f>
        <v>0</v>
      </c>
      <c r="F14" s="92">
        <f>Table233[[#This Row],[حسابهای دریافتنی]]+Table233[[#This Row],[چکهای در جریان وصول]]+Table233[[#This Row],[چکهای نزد صندوق]]</f>
        <v>1901077182</v>
      </c>
      <c r="G14" s="93">
        <f>IFERROR(INDEX('مانده سوفاله'!F:F,MATCH(Table233[[#This Row],[کد تفصیلی]],'مانده سوفاله'!A:A,0)),0)</f>
        <v>-3024</v>
      </c>
    </row>
    <row r="15" spans="1:7" ht="29.25" customHeight="1" x14ac:dyDescent="0.35">
      <c r="A15" s="74">
        <v>30014</v>
      </c>
      <c r="B15" s="73" t="s">
        <v>546</v>
      </c>
      <c r="C15" s="91">
        <f>IFERROR(INDEX('حسابهای دریافتنی'!H:H,MATCH(Table233[[#This Row],[کد تفصیلی]],'حسابهای دریافتنی'!A:A,0)),0)</f>
        <v>1762223932</v>
      </c>
      <c r="D15" s="92">
        <f>IFERROR(INDEX('درجریان وصول'!F:F,MATCH(Table233[[#This Row],[کد تفصیلی]],'درجریان وصول'!A:A,0)),0)</f>
        <v>0</v>
      </c>
      <c r="E15" s="92">
        <f>IFERROR(INDEX('چکهای دریافتنی'!F:F,MATCH(Table233[[#This Row],[کد تفصیلی]],'چکهای دریافتنی'!A:A,0)),0)</f>
        <v>0</v>
      </c>
      <c r="F15" s="92">
        <f>Table233[[#This Row],[حسابهای دریافتنی]]+Table233[[#This Row],[چکهای در جریان وصول]]+Table233[[#This Row],[چکهای نزد صندوق]]</f>
        <v>1762223932</v>
      </c>
      <c r="G15" s="93">
        <f>IFERROR(INDEX('مانده سوفاله'!F:F,MATCH(Table233[[#This Row],[کد تفصیلی]],'مانده سوفاله'!A:A,0)),0)</f>
        <v>-1368</v>
      </c>
    </row>
    <row r="16" spans="1:7" ht="29.25" customHeight="1" x14ac:dyDescent="0.35">
      <c r="A16" s="75">
        <v>30058</v>
      </c>
      <c r="B16" s="72" t="s">
        <v>577</v>
      </c>
      <c r="C16" s="91">
        <f>IFERROR(INDEX('حسابهای دریافتنی'!H:H,MATCH(Table233[[#This Row],[کد تفصیلی]],'حسابهای دریافتنی'!A:A,0)),0)</f>
        <v>1700045560</v>
      </c>
      <c r="D16" s="92">
        <f>IFERROR(INDEX('درجریان وصول'!F:F,MATCH(Table233[[#This Row],[کد تفصیلی]],'درجریان وصول'!A:A,0)),0)</f>
        <v>0</v>
      </c>
      <c r="E16" s="92">
        <f>IFERROR(INDEX('چکهای دریافتنی'!F:F,MATCH(Table233[[#This Row],[کد تفصیلی]],'چکهای دریافتنی'!A:A,0)),0)</f>
        <v>0</v>
      </c>
      <c r="F16" s="92">
        <f>Table233[[#This Row],[حسابهای دریافتنی]]+Table233[[#This Row],[چکهای در جریان وصول]]+Table233[[#This Row],[چکهای نزد صندوق]]</f>
        <v>1700045560</v>
      </c>
      <c r="G16" s="93">
        <f>IFERROR(INDEX('مانده سوفاله'!F:F,MATCH(Table233[[#This Row],[کد تفصیلی]],'مانده سوفاله'!A:A,0)),0)</f>
        <v>-225</v>
      </c>
    </row>
    <row r="17" spans="1:7" ht="29.25" customHeight="1" x14ac:dyDescent="0.35">
      <c r="A17" s="74">
        <v>30099</v>
      </c>
      <c r="B17" s="73" t="s">
        <v>578</v>
      </c>
      <c r="C17" s="91">
        <f>IFERROR(INDEX('حسابهای دریافتنی'!H:H,MATCH(Table233[[#This Row],[کد تفصیلی]],'حسابهای دریافتنی'!A:A,0)),0)</f>
        <v>1398393484</v>
      </c>
      <c r="D17" s="92">
        <f>IFERROR(INDEX('درجریان وصول'!F:F,MATCH(Table233[[#This Row],[کد تفصیلی]],'درجریان وصول'!A:A,0)),0)</f>
        <v>0</v>
      </c>
      <c r="E17" s="92">
        <f>IFERROR(INDEX('چکهای دریافتنی'!F:F,MATCH(Table233[[#This Row],[کد تفصیلی]],'چکهای دریافتنی'!A:A,0)),0)</f>
        <v>583000000</v>
      </c>
      <c r="F17" s="92">
        <f>Table233[[#This Row],[حسابهای دریافتنی]]+Table233[[#This Row],[چکهای در جریان وصول]]+Table233[[#This Row],[چکهای نزد صندوق]]</f>
        <v>1981393484</v>
      </c>
      <c r="G17" s="93">
        <f>IFERROR(INDEX('مانده سوفاله'!F:F,MATCH(Table233[[#This Row],[کد تفصیلی]],'مانده سوفاله'!A:A,0)),0)</f>
        <v>-332</v>
      </c>
    </row>
    <row r="18" spans="1:7" ht="29.25" customHeight="1" x14ac:dyDescent="0.35">
      <c r="A18" s="75">
        <v>10057</v>
      </c>
      <c r="B18" s="72" t="s">
        <v>579</v>
      </c>
      <c r="C18" s="91">
        <f>IFERROR(INDEX('حسابهای دریافتنی'!H:H,MATCH(Table233[[#This Row],[کد تفصیلی]],'حسابهای دریافتنی'!A:A,0)),0)</f>
        <v>1390485500</v>
      </c>
      <c r="D18" s="92">
        <f>IFERROR(INDEX('درجریان وصول'!F:F,MATCH(Table233[[#This Row],[کد تفصیلی]],'درجریان وصول'!A:A,0)),0)</f>
        <v>0</v>
      </c>
      <c r="E18" s="92">
        <f>IFERROR(INDEX('چکهای دریافتنی'!F:F,MATCH(Table233[[#This Row],[کد تفصیلی]],'چکهای دریافتنی'!A:A,0)),0)</f>
        <v>0</v>
      </c>
      <c r="F18" s="92">
        <f>Table233[[#This Row],[حسابهای دریافتنی]]+Table233[[#This Row],[چکهای در جریان وصول]]+Table233[[#This Row],[چکهای نزد صندوق]]</f>
        <v>1390485500</v>
      </c>
      <c r="G18" s="93">
        <f>IFERROR(INDEX('مانده سوفاله'!F:F,MATCH(Table233[[#This Row],[کد تفصیلی]],'مانده سوفاله'!A:A,0)),0)</f>
        <v>-2044</v>
      </c>
    </row>
    <row r="19" spans="1:7" ht="29.25" customHeight="1" x14ac:dyDescent="0.35">
      <c r="A19" s="74">
        <v>30081</v>
      </c>
      <c r="B19" s="73" t="s">
        <v>580</v>
      </c>
      <c r="C19" s="91">
        <f>IFERROR(INDEX('حسابهای دریافتنی'!H:H,MATCH(Table233[[#This Row],[کد تفصیلی]],'حسابهای دریافتنی'!A:A,0)),0)</f>
        <v>1148992373</v>
      </c>
      <c r="D19" s="92">
        <f>IFERROR(INDEX('درجریان وصول'!F:F,MATCH(Table233[[#This Row],[کد تفصیلی]],'درجریان وصول'!A:A,0)),0)</f>
        <v>0</v>
      </c>
      <c r="E19" s="92">
        <f>IFERROR(INDEX('چکهای دریافتنی'!F:F,MATCH(Table233[[#This Row],[کد تفصیلی]],'چکهای دریافتنی'!A:A,0)),0)</f>
        <v>0</v>
      </c>
      <c r="F19" s="92">
        <f>Table233[[#This Row],[حسابهای دریافتنی]]+Table233[[#This Row],[چکهای در جریان وصول]]+Table233[[#This Row],[چکهای نزد صندوق]]</f>
        <v>1148992373</v>
      </c>
      <c r="G19" s="93">
        <f>IFERROR(INDEX('مانده سوفاله'!F:F,MATCH(Table233[[#This Row],[کد تفصیلی]],'مانده سوفاله'!A:A,0)),0)</f>
        <v>-6924</v>
      </c>
    </row>
    <row r="20" spans="1:7" ht="29.25" customHeight="1" x14ac:dyDescent="0.35">
      <c r="A20" s="75">
        <v>30186</v>
      </c>
      <c r="B20" s="72" t="s">
        <v>367</v>
      </c>
      <c r="C20" s="91">
        <f>IFERROR(INDEX('حسابهای دریافتنی'!H:H,MATCH(Table233[[#This Row],[کد تفصیلی]],'حسابهای دریافتنی'!A:A,0)),0)</f>
        <v>986425000</v>
      </c>
      <c r="D20" s="92">
        <f>IFERROR(INDEX('درجریان وصول'!F:F,MATCH(Table233[[#This Row],[کد تفصیلی]],'درجریان وصول'!A:A,0)),0)</f>
        <v>0</v>
      </c>
      <c r="E20" s="92">
        <f>IFERROR(INDEX('چکهای دریافتنی'!F:F,MATCH(Table233[[#This Row],[کد تفصیلی]],'چکهای دریافتنی'!A:A,0)),0)</f>
        <v>5982430000</v>
      </c>
      <c r="F20" s="92">
        <f>Table233[[#This Row],[حسابهای دریافتنی]]+Table233[[#This Row],[چکهای در جریان وصول]]+Table233[[#This Row],[چکهای نزد صندوق]]</f>
        <v>6968855000</v>
      </c>
      <c r="G20" s="93">
        <f>IFERROR(INDEX('مانده سوفاله'!F:F,MATCH(Table233[[#This Row],[کد تفصیلی]],'مانده سوفاله'!A:A,0)),0)</f>
        <v>-7388</v>
      </c>
    </row>
    <row r="21" spans="1:7" ht="29.25" customHeight="1" x14ac:dyDescent="0.35">
      <c r="A21" s="75">
        <v>30017</v>
      </c>
      <c r="B21" s="72" t="s">
        <v>581</v>
      </c>
      <c r="C21" s="91">
        <f>IFERROR(INDEX('حسابهای دریافتنی'!H:H,MATCH(Table233[[#This Row],[کد تفصیلی]],'حسابهای دریافتنی'!A:A,0)),0)</f>
        <v>905000830</v>
      </c>
      <c r="D21" s="92">
        <f>IFERROR(INDEX('درجریان وصول'!F:F,MATCH(Table233[[#This Row],[کد تفصیلی]],'درجریان وصول'!A:A,0)),0)</f>
        <v>0</v>
      </c>
      <c r="E21" s="92">
        <f>IFERROR(INDEX('چکهای دریافتنی'!F:F,MATCH(Table233[[#This Row],[کد تفصیلی]],'چکهای دریافتنی'!A:A,0)),0)</f>
        <v>0</v>
      </c>
      <c r="F21" s="92">
        <f>Table233[[#This Row],[حسابهای دریافتنی]]+Table233[[#This Row],[چکهای در جریان وصول]]+Table233[[#This Row],[چکهای نزد صندوق]]</f>
        <v>905000830</v>
      </c>
      <c r="G21" s="93">
        <f>IFERROR(INDEX('مانده سوفاله'!F:F,MATCH(Table233[[#This Row],[کد تفصیلی]],'مانده سوفاله'!A:A,0)),0)</f>
        <v>-2186</v>
      </c>
    </row>
    <row r="22" spans="1:7" ht="29.25" customHeight="1" x14ac:dyDescent="0.35">
      <c r="A22" s="75">
        <v>30184</v>
      </c>
      <c r="B22" s="72" t="s">
        <v>582</v>
      </c>
      <c r="C22" s="91">
        <f>IFERROR(INDEX('حسابهای دریافتنی'!H:H,MATCH(Table233[[#This Row],[کد تفصیلی]],'حسابهای دریافتنی'!A:A,0)),0)</f>
        <v>904890480</v>
      </c>
      <c r="D22" s="92">
        <f>IFERROR(INDEX('درجریان وصول'!F:F,MATCH(Table233[[#This Row],[کد تفصیلی]],'درجریان وصول'!A:A,0)),0)</f>
        <v>0</v>
      </c>
      <c r="E22" s="92">
        <f>IFERROR(INDEX('چکهای دریافتنی'!F:F,MATCH(Table233[[#This Row],[کد تفصیلی]],'چکهای دریافتنی'!A:A,0)),0)</f>
        <v>0</v>
      </c>
      <c r="F22" s="92">
        <f>Table233[[#This Row],[حسابهای دریافتنی]]+Table233[[#This Row],[چکهای در جریان وصول]]+Table233[[#This Row],[چکهای نزد صندوق]]</f>
        <v>904890480</v>
      </c>
      <c r="G22" s="93">
        <f>IFERROR(INDEX('مانده سوفاله'!F:F,MATCH(Table233[[#This Row],[کد تفصیلی]],'مانده سوفاله'!A:A,0)),0)</f>
        <v>-100</v>
      </c>
    </row>
    <row r="23" spans="1:7" ht="29.25" customHeight="1" x14ac:dyDescent="0.35">
      <c r="A23" s="75">
        <v>50011</v>
      </c>
      <c r="B23" s="72" t="s">
        <v>147</v>
      </c>
      <c r="C23" s="91">
        <f>IFERROR(INDEX('حسابهای دریافتنی'!H:H,MATCH(Table233[[#This Row],[کد تفصیلی]],'حسابهای دریافتنی'!A:A,0)),0)</f>
        <v>832182413</v>
      </c>
      <c r="D23" s="92">
        <f>IFERROR(INDEX('درجریان وصول'!F:F,MATCH(Table233[[#This Row],[کد تفصیلی]],'درجریان وصول'!A:A,0)),0)</f>
        <v>0</v>
      </c>
      <c r="E23" s="92">
        <f>IFERROR(INDEX('چکهای دریافتنی'!F:F,MATCH(Table233[[#This Row],[کد تفصیلی]],'چکهای دریافتنی'!A:A,0)),0)</f>
        <v>0</v>
      </c>
      <c r="F23" s="92">
        <f>Table233[[#This Row],[حسابهای دریافتنی]]+Table233[[#This Row],[چکهای در جریان وصول]]+Table233[[#This Row],[چکهای نزد صندوق]]</f>
        <v>832182413</v>
      </c>
      <c r="G23" s="93">
        <f>IFERROR(INDEX('مانده سوفاله'!F:F,MATCH(Table233[[#This Row],[کد تفصیلی]],'مانده سوفاله'!A:A,0)),0)</f>
        <v>30</v>
      </c>
    </row>
    <row r="24" spans="1:7" ht="29.25" customHeight="1" x14ac:dyDescent="0.35">
      <c r="A24" s="75">
        <v>30019</v>
      </c>
      <c r="B24" s="72" t="s">
        <v>67</v>
      </c>
      <c r="C24" s="91">
        <f>IFERROR(INDEX('حسابهای دریافتنی'!H:H,MATCH(Table233[[#This Row],[کد تفصیلی]],'حسابهای دریافتنی'!A:A,0)),0)</f>
        <v>823484840</v>
      </c>
      <c r="D24" s="92">
        <f>IFERROR(INDEX('درجریان وصول'!F:F,MATCH(Table233[[#This Row],[کد تفصیلی]],'درجریان وصول'!A:A,0)),0)</f>
        <v>0</v>
      </c>
      <c r="E24" s="92">
        <f>IFERROR(INDEX('چکهای دریافتنی'!F:F,MATCH(Table233[[#This Row],[کد تفصیلی]],'چکهای دریافتنی'!A:A,0)),0)</f>
        <v>0</v>
      </c>
      <c r="F24" s="92">
        <f>Table233[[#This Row],[حسابهای دریافتنی]]+Table233[[#This Row],[چکهای در جریان وصول]]+Table233[[#This Row],[چکهای نزد صندوق]]</f>
        <v>823484840</v>
      </c>
      <c r="G24" s="93">
        <f>IFERROR(INDEX('مانده سوفاله'!F:F,MATCH(Table233[[#This Row],[کد تفصیلی]],'مانده سوفاله'!A:A,0)),0)</f>
        <v>612</v>
      </c>
    </row>
    <row r="25" spans="1:7" ht="29.25" customHeight="1" x14ac:dyDescent="0.35">
      <c r="A25" s="74">
        <v>10056</v>
      </c>
      <c r="B25" s="73" t="s">
        <v>166</v>
      </c>
      <c r="C25" s="91">
        <f>IFERROR(INDEX('حسابهای دریافتنی'!H:H,MATCH(Table233[[#This Row],[کد تفصیلی]],'حسابهای دریافتنی'!A:A,0)),0)</f>
        <v>812653500</v>
      </c>
      <c r="D25" s="92">
        <f>IFERROR(INDEX('درجریان وصول'!F:F,MATCH(Table233[[#This Row],[کد تفصیلی]],'درجریان وصول'!A:A,0)),0)</f>
        <v>0</v>
      </c>
      <c r="E25" s="92">
        <f>IFERROR(INDEX('چکهای دریافتنی'!F:F,MATCH(Table233[[#This Row],[کد تفصیلی]],'چکهای دریافتنی'!A:A,0)),0)</f>
        <v>0</v>
      </c>
      <c r="F25" s="92">
        <f>Table233[[#This Row],[حسابهای دریافتنی]]+Table233[[#This Row],[چکهای در جریان وصول]]+Table233[[#This Row],[چکهای نزد صندوق]]</f>
        <v>812653500</v>
      </c>
      <c r="G25" s="93">
        <f>IFERROR(INDEX('مانده سوفاله'!F:F,MATCH(Table233[[#This Row],[کد تفصیلی]],'مانده سوفاله'!A:A,0)),0)</f>
        <v>0</v>
      </c>
    </row>
    <row r="26" spans="1:7" ht="29.25" customHeight="1" x14ac:dyDescent="0.35">
      <c r="A26" s="74">
        <v>10127</v>
      </c>
      <c r="B26" s="73" t="s">
        <v>583</v>
      </c>
      <c r="C26" s="91">
        <f>IFERROR(INDEX('حسابهای دریافتنی'!H:H,MATCH(Table233[[#This Row],[کد تفصیلی]],'حسابهای دریافتنی'!A:A,0)),0)</f>
        <v>803728000</v>
      </c>
      <c r="D26" s="92">
        <f>IFERROR(INDEX('درجریان وصول'!F:F,MATCH(Table233[[#This Row],[کد تفصیلی]],'درجریان وصول'!A:A,0)),0)</f>
        <v>0</v>
      </c>
      <c r="E26" s="92">
        <f>IFERROR(INDEX('چکهای دریافتنی'!F:F,MATCH(Table233[[#This Row],[کد تفصیلی]],'چکهای دریافتنی'!A:A,0)),0)</f>
        <v>0</v>
      </c>
      <c r="F26" s="92">
        <f>Table233[[#This Row],[حسابهای دریافتنی]]+Table233[[#This Row],[چکهای در جریان وصول]]+Table233[[#This Row],[چکهای نزد صندوق]]</f>
        <v>803728000</v>
      </c>
      <c r="G26" s="93">
        <f>IFERROR(INDEX('مانده سوفاله'!F:F,MATCH(Table233[[#This Row],[کد تفصیلی]],'مانده سوفاله'!A:A,0)),0)</f>
        <v>-1469</v>
      </c>
    </row>
    <row r="27" spans="1:7" ht="29.25" customHeight="1" x14ac:dyDescent="0.35">
      <c r="A27" s="74">
        <v>30191</v>
      </c>
      <c r="B27" s="73" t="s">
        <v>460</v>
      </c>
      <c r="C27" s="91">
        <f>IFERROR(INDEX('حسابهای دریافتنی'!H:H,MATCH(Table233[[#This Row],[کد تفصیلی]],'حسابهای دریافتنی'!A:A,0)),0)</f>
        <v>792933000</v>
      </c>
      <c r="D27" s="92">
        <f>IFERROR(INDEX('درجریان وصول'!F:F,MATCH(Table233[[#This Row],[کد تفصیلی]],'درجریان وصول'!A:A,0)),0)</f>
        <v>0</v>
      </c>
      <c r="E27" s="92">
        <f>IFERROR(INDEX('چکهای دریافتنی'!F:F,MATCH(Table233[[#This Row],[کد تفصیلی]],'چکهای دریافتنی'!A:A,0)),0)</f>
        <v>0</v>
      </c>
      <c r="F27" s="92">
        <f>Table233[[#This Row],[حسابهای دریافتنی]]+Table233[[#This Row],[چکهای در جریان وصول]]+Table233[[#This Row],[چکهای نزد صندوق]]</f>
        <v>792933000</v>
      </c>
      <c r="G27" s="93">
        <f>IFERROR(INDEX('مانده سوفاله'!F:F,MATCH(Table233[[#This Row],[کد تفصیلی]],'مانده سوفاله'!A:A,0)),0)</f>
        <v>134</v>
      </c>
    </row>
    <row r="28" spans="1:7" ht="29.25" customHeight="1" x14ac:dyDescent="0.35">
      <c r="A28" s="75">
        <v>30003</v>
      </c>
      <c r="B28" s="72" t="s">
        <v>53</v>
      </c>
      <c r="C28" s="91">
        <f>IFERROR(INDEX('حسابهای دریافتنی'!H:H,MATCH(Table233[[#This Row],[کد تفصیلی]],'حسابهای دریافتنی'!A:A,0)),0)</f>
        <v>754765900</v>
      </c>
      <c r="D28" s="92">
        <f>IFERROR(INDEX('درجریان وصول'!F:F,MATCH(Table233[[#This Row],[کد تفصیلی]],'درجریان وصول'!A:A,0)),0)</f>
        <v>0</v>
      </c>
      <c r="E28" s="92">
        <f>IFERROR(INDEX('چکهای دریافتنی'!F:F,MATCH(Table233[[#This Row],[کد تفصیلی]],'چکهای دریافتنی'!A:A,0)),0)</f>
        <v>571000000</v>
      </c>
      <c r="F28" s="92">
        <f>Table233[[#This Row],[حسابهای دریافتنی]]+Table233[[#This Row],[چکهای در جریان وصول]]+Table233[[#This Row],[چکهای نزد صندوق]]</f>
        <v>1325765900</v>
      </c>
      <c r="G28" s="93">
        <f>IFERROR(INDEX('مانده سوفاله'!F:F,MATCH(Table233[[#This Row],[کد تفصیلی]],'مانده سوفاله'!A:A,0)),0)</f>
        <v>-3538</v>
      </c>
    </row>
    <row r="29" spans="1:7" ht="29.25" customHeight="1" x14ac:dyDescent="0.35">
      <c r="A29" s="74">
        <v>10008</v>
      </c>
      <c r="B29" s="73" t="s">
        <v>584</v>
      </c>
      <c r="C29" s="91">
        <f>IFERROR(INDEX('حسابهای دریافتنی'!H:H,MATCH(Table233[[#This Row],[کد تفصیلی]],'حسابهای دریافتنی'!A:A,0)),0)</f>
        <v>597342000</v>
      </c>
      <c r="D29" s="92">
        <f>IFERROR(INDEX('درجریان وصول'!F:F,MATCH(Table233[[#This Row],[کد تفصیلی]],'درجریان وصول'!A:A,0)),0)</f>
        <v>0</v>
      </c>
      <c r="E29" s="92">
        <f>IFERROR(INDEX('چکهای دریافتنی'!F:F,MATCH(Table233[[#This Row],[کد تفصیلی]],'چکهای دریافتنی'!A:A,0)),0)</f>
        <v>0</v>
      </c>
      <c r="F29" s="92">
        <f>Table233[[#This Row],[حسابهای دریافتنی]]+Table233[[#This Row],[چکهای در جریان وصول]]+Table233[[#This Row],[چکهای نزد صندوق]]</f>
        <v>597342000</v>
      </c>
      <c r="G29" s="93">
        <f>IFERROR(INDEX('مانده سوفاله'!F:F,MATCH(Table233[[#This Row],[کد تفصیلی]],'مانده سوفاله'!A:A,0)),0)</f>
        <v>-578</v>
      </c>
    </row>
    <row r="30" spans="1:7" ht="29.25" customHeight="1" x14ac:dyDescent="0.35">
      <c r="A30" s="75">
        <v>30140</v>
      </c>
      <c r="B30" s="72" t="s">
        <v>585</v>
      </c>
      <c r="C30" s="91">
        <f>IFERROR(INDEX('حسابهای دریافتنی'!H:H,MATCH(Table233[[#This Row],[کد تفصیلی]],'حسابهای دریافتنی'!A:A,0)),0)</f>
        <v>553728200</v>
      </c>
      <c r="D30" s="92">
        <f>IFERROR(INDEX('درجریان وصول'!F:F,MATCH(Table233[[#This Row],[کد تفصیلی]],'درجریان وصول'!A:A,0)),0)</f>
        <v>0</v>
      </c>
      <c r="E30" s="92">
        <f>IFERROR(INDEX('چکهای دریافتنی'!F:F,MATCH(Table233[[#This Row],[کد تفصیلی]],'چکهای دریافتنی'!A:A,0)),0)</f>
        <v>1030000000</v>
      </c>
      <c r="F30" s="92">
        <f>Table233[[#This Row],[حسابهای دریافتنی]]+Table233[[#This Row],[چکهای در جریان وصول]]+Table233[[#This Row],[چکهای نزد صندوق]]</f>
        <v>1583728200</v>
      </c>
      <c r="G30" s="93">
        <f>IFERROR(INDEX('مانده سوفاله'!F:F,MATCH(Table233[[#This Row],[کد تفصیلی]],'مانده سوفاله'!A:A,0)),0)</f>
        <v>-12630</v>
      </c>
    </row>
    <row r="31" spans="1:7" ht="29.25" customHeight="1" x14ac:dyDescent="0.35">
      <c r="A31" s="74">
        <v>10070</v>
      </c>
      <c r="B31" s="73" t="s">
        <v>586</v>
      </c>
      <c r="C31" s="91">
        <f>IFERROR(INDEX('حسابهای دریافتنی'!H:H,MATCH(Table233[[#This Row],[کد تفصیلی]],'حسابهای دریافتنی'!A:A,0)),0)</f>
        <v>508152500</v>
      </c>
      <c r="D31" s="92">
        <f>IFERROR(INDEX('درجریان وصول'!F:F,MATCH(Table233[[#This Row],[کد تفصیلی]],'درجریان وصول'!A:A,0)),0)</f>
        <v>0</v>
      </c>
      <c r="E31" s="92">
        <f>IFERROR(INDEX('چکهای دریافتنی'!F:F,MATCH(Table233[[#This Row],[کد تفصیلی]],'چکهای دریافتنی'!A:A,0)),0)</f>
        <v>570000000</v>
      </c>
      <c r="F31" s="92">
        <f>Table233[[#This Row],[حسابهای دریافتنی]]+Table233[[#This Row],[چکهای در جریان وصول]]+Table233[[#This Row],[چکهای نزد صندوق]]</f>
        <v>1078152500</v>
      </c>
      <c r="G31" s="93">
        <f>IFERROR(INDEX('مانده سوفاله'!F:F,MATCH(Table233[[#This Row],[کد تفصیلی]],'مانده سوفاله'!A:A,0)),0)</f>
        <v>-3170</v>
      </c>
    </row>
    <row r="32" spans="1:7" ht="29.25" customHeight="1" x14ac:dyDescent="0.35">
      <c r="A32" s="74">
        <v>30034</v>
      </c>
      <c r="B32" s="73" t="s">
        <v>587</v>
      </c>
      <c r="C32" s="91">
        <f>IFERROR(INDEX('حسابهای دریافتنی'!H:H,MATCH(Table233[[#This Row],[کد تفصیلی]],'حسابهای دریافتنی'!A:A,0)),0)</f>
        <v>388329200</v>
      </c>
      <c r="D32" s="92">
        <f>IFERROR(INDEX('درجریان وصول'!F:F,MATCH(Table233[[#This Row],[کد تفصیلی]],'درجریان وصول'!A:A,0)),0)</f>
        <v>0</v>
      </c>
      <c r="E32" s="92">
        <f>IFERROR(INDEX('چکهای دریافتنی'!F:F,MATCH(Table233[[#This Row],[کد تفصیلی]],'چکهای دریافتنی'!A:A,0)),0)</f>
        <v>0</v>
      </c>
      <c r="F32" s="92">
        <f>Table233[[#This Row],[حسابهای دریافتنی]]+Table233[[#This Row],[چکهای در جریان وصول]]+Table233[[#This Row],[چکهای نزد صندوق]]</f>
        <v>388329200</v>
      </c>
      <c r="G32" s="93">
        <f>IFERROR(INDEX('مانده سوفاله'!F:F,MATCH(Table233[[#This Row],[کد تفصیلی]],'مانده سوفاله'!A:A,0)),0)</f>
        <v>2886</v>
      </c>
    </row>
    <row r="33" spans="1:7" ht="29.25" customHeight="1" x14ac:dyDescent="0.35">
      <c r="A33" s="74">
        <v>30069</v>
      </c>
      <c r="B33" s="73" t="s">
        <v>588</v>
      </c>
      <c r="C33" s="91">
        <f>IFERROR(INDEX('حسابهای دریافتنی'!H:H,MATCH(Table233[[#This Row],[کد تفصیلی]],'حسابهای دریافتنی'!A:A,0)),0)</f>
        <v>377909400</v>
      </c>
      <c r="D33" s="92">
        <f>IFERROR(INDEX('درجریان وصول'!F:F,MATCH(Table233[[#This Row],[کد تفصیلی]],'درجریان وصول'!A:A,0)),0)</f>
        <v>0</v>
      </c>
      <c r="E33" s="92">
        <f>IFERROR(INDEX('چکهای دریافتنی'!F:F,MATCH(Table233[[#This Row],[کد تفصیلی]],'چکهای دریافتنی'!A:A,0)),0)</f>
        <v>0</v>
      </c>
      <c r="F33" s="92">
        <f>Table233[[#This Row],[حسابهای دریافتنی]]+Table233[[#This Row],[چکهای در جریان وصول]]+Table233[[#This Row],[چکهای نزد صندوق]]</f>
        <v>377909400</v>
      </c>
      <c r="G33" s="93">
        <f>IFERROR(INDEX('مانده سوفاله'!F:F,MATCH(Table233[[#This Row],[کد تفصیلی]],'مانده سوفاله'!A:A,0)),0)</f>
        <v>66</v>
      </c>
    </row>
    <row r="34" spans="1:7" ht="29.25" customHeight="1" x14ac:dyDescent="0.35">
      <c r="A34" s="74">
        <v>10084</v>
      </c>
      <c r="B34" s="73" t="s">
        <v>589</v>
      </c>
      <c r="C34" s="91">
        <f>IFERROR(INDEX('حسابهای دریافتنی'!H:H,MATCH(Table233[[#This Row],[کد تفصیلی]],'حسابهای دریافتنی'!A:A,0)),0)</f>
        <v>358092810</v>
      </c>
      <c r="D34" s="92">
        <f>IFERROR(INDEX('درجریان وصول'!F:F,MATCH(Table233[[#This Row],[کد تفصیلی]],'درجریان وصول'!A:A,0)),0)</f>
        <v>0</v>
      </c>
      <c r="E34" s="92">
        <f>IFERROR(INDEX('چکهای دریافتنی'!F:F,MATCH(Table233[[#This Row],[کد تفصیلی]],'چکهای دریافتنی'!A:A,0)),0)</f>
        <v>870000000</v>
      </c>
      <c r="F34" s="92">
        <f>Table233[[#This Row],[حسابهای دریافتنی]]+Table233[[#This Row],[چکهای در جریان وصول]]+Table233[[#This Row],[چکهای نزد صندوق]]</f>
        <v>1228092810</v>
      </c>
      <c r="G34" s="93">
        <f>IFERROR(INDEX('مانده سوفاله'!F:F,MATCH(Table233[[#This Row],[کد تفصیلی]],'مانده سوفاله'!A:A,0)),0)</f>
        <v>-1656</v>
      </c>
    </row>
    <row r="35" spans="1:7" ht="29.25" customHeight="1" x14ac:dyDescent="0.35">
      <c r="A35" s="74">
        <v>30187</v>
      </c>
      <c r="B35" s="73" t="s">
        <v>547</v>
      </c>
      <c r="C35" s="91">
        <f>IFERROR(INDEX('حسابهای دریافتنی'!H:H,MATCH(Table233[[#This Row],[کد تفصیلی]],'حسابهای دریافتنی'!A:A,0)),0)</f>
        <v>337825500</v>
      </c>
      <c r="D35" s="92">
        <f>IFERROR(INDEX('درجریان وصول'!F:F,MATCH(Table233[[#This Row],[کد تفصیلی]],'درجریان وصول'!A:A,0)),0)</f>
        <v>0</v>
      </c>
      <c r="E35" s="92">
        <f>IFERROR(INDEX('چکهای دریافتنی'!F:F,MATCH(Table233[[#This Row],[کد تفصیلی]],'چکهای دریافتنی'!A:A,0)),0)</f>
        <v>0</v>
      </c>
      <c r="F35" s="92">
        <f>Table233[[#This Row],[حسابهای دریافتنی]]+Table233[[#This Row],[چکهای در جریان وصول]]+Table233[[#This Row],[چکهای نزد صندوق]]</f>
        <v>337825500</v>
      </c>
      <c r="G35" s="93">
        <f>IFERROR(INDEX('مانده سوفاله'!F:F,MATCH(Table233[[#This Row],[کد تفصیلی]],'مانده سوفاله'!A:A,0)),0)</f>
        <v>-108</v>
      </c>
    </row>
    <row r="36" spans="1:7" ht="29.25" customHeight="1" x14ac:dyDescent="0.35">
      <c r="A36" s="74">
        <v>30190</v>
      </c>
      <c r="B36" s="73" t="s">
        <v>459</v>
      </c>
      <c r="C36" s="91">
        <f>IFERROR(INDEX('حسابهای دریافتنی'!H:H,MATCH(Table233[[#This Row],[کد تفصیلی]],'حسابهای دریافتنی'!A:A,0)),0)</f>
        <v>328477520</v>
      </c>
      <c r="D36" s="92">
        <f>IFERROR(INDEX('درجریان وصول'!F:F,MATCH(Table233[[#This Row],[کد تفصیلی]],'درجریان وصول'!A:A,0)),0)</f>
        <v>0</v>
      </c>
      <c r="E36" s="92">
        <f>IFERROR(INDEX('چکهای دریافتنی'!F:F,MATCH(Table233[[#This Row],[کد تفصیلی]],'چکهای دریافتنی'!A:A,0)),0)</f>
        <v>0</v>
      </c>
      <c r="F36" s="92">
        <f>Table233[[#This Row],[حسابهای دریافتنی]]+Table233[[#This Row],[چکهای در جریان وصول]]+Table233[[#This Row],[چکهای نزد صندوق]]</f>
        <v>328477520</v>
      </c>
      <c r="G36" s="93">
        <f>IFERROR(INDEX('مانده سوفاله'!F:F,MATCH(Table233[[#This Row],[کد تفصیلی]],'مانده سوفاله'!A:A,0)),0)</f>
        <v>1790</v>
      </c>
    </row>
    <row r="37" spans="1:7" ht="29.25" customHeight="1" x14ac:dyDescent="0.35">
      <c r="A37" s="75">
        <v>10097</v>
      </c>
      <c r="B37" s="72" t="s">
        <v>590</v>
      </c>
      <c r="C37" s="91">
        <f>IFERROR(INDEX('حسابهای دریافتنی'!H:H,MATCH(Table233[[#This Row],[کد تفصیلی]],'حسابهای دریافتنی'!A:A,0)),0)</f>
        <v>270642500</v>
      </c>
      <c r="D37" s="92">
        <f>IFERROR(INDEX('درجریان وصول'!F:F,MATCH(Table233[[#This Row],[کد تفصیلی]],'درجریان وصول'!A:A,0)),0)</f>
        <v>0</v>
      </c>
      <c r="E37" s="92">
        <f>IFERROR(INDEX('چکهای دریافتنی'!F:F,MATCH(Table233[[#This Row],[کد تفصیلی]],'چکهای دریافتنی'!A:A,0)),0)</f>
        <v>287000000</v>
      </c>
      <c r="F37" s="92">
        <f>Table233[[#This Row],[حسابهای دریافتنی]]+Table233[[#This Row],[چکهای در جریان وصول]]+Table233[[#This Row],[چکهای نزد صندوق]]</f>
        <v>557642500</v>
      </c>
      <c r="G37" s="93">
        <f>IFERROR(INDEX('مانده سوفاله'!F:F,MATCH(Table233[[#This Row],[کد تفصیلی]],'مانده سوفاله'!A:A,0)),0)</f>
        <v>0</v>
      </c>
    </row>
    <row r="38" spans="1:7" ht="29.25" customHeight="1" x14ac:dyDescent="0.35">
      <c r="A38" s="75">
        <v>30162</v>
      </c>
      <c r="B38" s="72" t="s">
        <v>591</v>
      </c>
      <c r="C38" s="91">
        <f>IFERROR(INDEX('حسابهای دریافتنی'!H:H,MATCH(Table233[[#This Row],[کد تفصیلی]],'حسابهای دریافتنی'!A:A,0)),0)</f>
        <v>204890235</v>
      </c>
      <c r="D38" s="92">
        <f>IFERROR(INDEX('درجریان وصول'!F:F,MATCH(Table233[[#This Row],[کد تفصیلی]],'درجریان وصول'!A:A,0)),0)</f>
        <v>0</v>
      </c>
      <c r="E38" s="92">
        <f>IFERROR(INDEX('چکهای دریافتنی'!F:F,MATCH(Table233[[#This Row],[کد تفصیلی]],'چکهای دریافتنی'!A:A,0)),0)</f>
        <v>0</v>
      </c>
      <c r="F38" s="92">
        <f>Table233[[#This Row],[حسابهای دریافتنی]]+Table233[[#This Row],[چکهای در جریان وصول]]+Table233[[#This Row],[چکهای نزد صندوق]]</f>
        <v>204890235</v>
      </c>
      <c r="G38" s="93">
        <f>IFERROR(INDEX('مانده سوفاله'!F:F,MATCH(Table233[[#This Row],[کد تفصیلی]],'مانده سوفاله'!A:A,0)),0)</f>
        <v>-251</v>
      </c>
    </row>
    <row r="39" spans="1:7" ht="29.25" customHeight="1" x14ac:dyDescent="0.35">
      <c r="A39" s="74">
        <v>30101</v>
      </c>
      <c r="B39" s="73" t="s">
        <v>548</v>
      </c>
      <c r="C39" s="91">
        <f>IFERROR(INDEX('حسابهای دریافتنی'!H:H,MATCH(Table233[[#This Row],[کد تفصیلی]],'حسابهای دریافتنی'!A:A,0)),0)</f>
        <v>203336095</v>
      </c>
      <c r="D39" s="92">
        <f>IFERROR(INDEX('درجریان وصول'!F:F,MATCH(Table233[[#This Row],[کد تفصیلی]],'درجریان وصول'!A:A,0)),0)</f>
        <v>0</v>
      </c>
      <c r="E39" s="92">
        <f>IFERROR(INDEX('چکهای دریافتنی'!F:F,MATCH(Table233[[#This Row],[کد تفصیلی]],'چکهای دریافتنی'!A:A,0)),0)</f>
        <v>0</v>
      </c>
      <c r="F39" s="92">
        <f>Table233[[#This Row],[حسابهای دریافتنی]]+Table233[[#This Row],[چکهای در جریان وصول]]+Table233[[#This Row],[چکهای نزد صندوق]]</f>
        <v>203336095</v>
      </c>
      <c r="G39" s="93">
        <f>IFERROR(INDEX('مانده سوفاله'!F:F,MATCH(Table233[[#This Row],[کد تفصیلی]],'مانده سوفاله'!A:A,0)),0)</f>
        <v>15</v>
      </c>
    </row>
    <row r="40" spans="1:7" ht="29.25" customHeight="1" x14ac:dyDescent="0.35">
      <c r="A40" s="75">
        <v>30086</v>
      </c>
      <c r="B40" s="72" t="s">
        <v>592</v>
      </c>
      <c r="C40" s="91">
        <f>IFERROR(INDEX('حسابهای دریافتنی'!H:H,MATCH(Table233[[#This Row],[کد تفصیلی]],'حسابهای دریافتنی'!A:A,0)),0)</f>
        <v>187376603</v>
      </c>
      <c r="D40" s="92">
        <f>IFERROR(INDEX('درجریان وصول'!F:F,MATCH(Table233[[#This Row],[کد تفصیلی]],'درجریان وصول'!A:A,0)),0)</f>
        <v>0</v>
      </c>
      <c r="E40" s="92">
        <f>IFERROR(INDEX('چکهای دریافتنی'!F:F,MATCH(Table233[[#This Row],[کد تفصیلی]],'چکهای دریافتنی'!A:A,0)),0)</f>
        <v>0</v>
      </c>
      <c r="F40" s="92">
        <f>Table233[[#This Row],[حسابهای دریافتنی]]+Table233[[#This Row],[چکهای در جریان وصول]]+Table233[[#This Row],[چکهای نزد صندوق]]</f>
        <v>187376603</v>
      </c>
      <c r="G40" s="93">
        <f>IFERROR(INDEX('مانده سوفاله'!F:F,MATCH(Table233[[#This Row],[کد تفصیلی]],'مانده سوفاله'!A:A,0)),0)</f>
        <v>1549</v>
      </c>
    </row>
    <row r="41" spans="1:7" ht="29.25" customHeight="1" x14ac:dyDescent="0.35">
      <c r="A41" s="75">
        <v>30164</v>
      </c>
      <c r="B41" s="72" t="s">
        <v>593</v>
      </c>
      <c r="C41" s="91">
        <f>IFERROR(INDEX('حسابهای دریافتنی'!H:H,MATCH(Table233[[#This Row],[کد تفصیلی]],'حسابهای دریافتنی'!A:A,0)),0)</f>
        <v>184944000</v>
      </c>
      <c r="D41" s="92">
        <f>IFERROR(INDEX('درجریان وصول'!F:F,MATCH(Table233[[#This Row],[کد تفصیلی]],'درجریان وصول'!A:A,0)),0)</f>
        <v>0</v>
      </c>
      <c r="E41" s="92">
        <f>IFERROR(INDEX('چکهای دریافتنی'!F:F,MATCH(Table233[[#This Row],[کد تفصیلی]],'چکهای دریافتنی'!A:A,0)),0)</f>
        <v>0</v>
      </c>
      <c r="F41" s="92">
        <f>Table233[[#This Row],[حسابهای دریافتنی]]+Table233[[#This Row],[چکهای در جریان وصول]]+Table233[[#This Row],[چکهای نزد صندوق]]</f>
        <v>184944000</v>
      </c>
      <c r="G41" s="93">
        <f>IFERROR(INDEX('مانده سوفاله'!F:F,MATCH(Table233[[#This Row],[کد تفصیلی]],'مانده سوفاله'!A:A,0)),0)</f>
        <v>561</v>
      </c>
    </row>
    <row r="42" spans="1:7" ht="29.25" customHeight="1" x14ac:dyDescent="0.35">
      <c r="A42" s="75">
        <v>30001</v>
      </c>
      <c r="B42" s="72" t="s">
        <v>594</v>
      </c>
      <c r="C42" s="91">
        <f>IFERROR(INDEX('حسابهای دریافتنی'!H:H,MATCH(Table233[[#This Row],[کد تفصیلی]],'حسابهای دریافتنی'!A:A,0)),0)</f>
        <v>119647176</v>
      </c>
      <c r="D42" s="92">
        <f>IFERROR(INDEX('درجریان وصول'!F:F,MATCH(Table233[[#This Row],[کد تفصیلی]],'درجریان وصول'!A:A,0)),0)</f>
        <v>0</v>
      </c>
      <c r="E42" s="92">
        <f>IFERROR(INDEX('چکهای دریافتنی'!F:F,MATCH(Table233[[#This Row],[کد تفصیلی]],'چکهای دریافتنی'!A:A,0)),0)</f>
        <v>0</v>
      </c>
      <c r="F42" s="92">
        <f>Table233[[#This Row],[حسابهای دریافتنی]]+Table233[[#This Row],[چکهای در جریان وصول]]+Table233[[#This Row],[چکهای نزد صندوق]]</f>
        <v>119647176</v>
      </c>
      <c r="G42" s="93">
        <f>IFERROR(INDEX('مانده سوفاله'!F:F,MATCH(Table233[[#This Row],[کد تفصیلی]],'مانده سوفاله'!A:A,0)),0)</f>
        <v>123</v>
      </c>
    </row>
    <row r="43" spans="1:7" ht="29.25" customHeight="1" x14ac:dyDescent="0.35">
      <c r="A43" s="75">
        <v>10141</v>
      </c>
      <c r="B43" s="72" t="s">
        <v>532</v>
      </c>
      <c r="C43" s="91">
        <f>IFERROR(INDEX('حسابهای دریافتنی'!H:H,MATCH(Table233[[#This Row],[کد تفصیلی]],'حسابهای دریافتنی'!A:A,0)),0)</f>
        <v>116510000</v>
      </c>
      <c r="D43" s="92">
        <f>IFERROR(INDEX('درجریان وصول'!F:F,MATCH(Table233[[#This Row],[کد تفصیلی]],'درجریان وصول'!A:A,0)),0)</f>
        <v>0</v>
      </c>
      <c r="E43" s="92">
        <f>IFERROR(INDEX('چکهای دریافتنی'!F:F,MATCH(Table233[[#This Row],[کد تفصیلی]],'چکهای دریافتنی'!A:A,0)),0)</f>
        <v>0</v>
      </c>
      <c r="F43" s="92">
        <f>Table233[[#This Row],[حسابهای دریافتنی]]+Table233[[#This Row],[چکهای در جریان وصول]]+Table233[[#This Row],[چکهای نزد صندوق]]</f>
        <v>116510000</v>
      </c>
      <c r="G43" s="93">
        <f>IFERROR(INDEX('مانده سوفاله'!F:F,MATCH(Table233[[#This Row],[کد تفصیلی]],'مانده سوفاله'!A:A,0)),0)</f>
        <v>0</v>
      </c>
    </row>
    <row r="44" spans="1:7" ht="29.25" customHeight="1" x14ac:dyDescent="0.35">
      <c r="A44" s="74">
        <v>10018</v>
      </c>
      <c r="B44" s="73" t="s">
        <v>595</v>
      </c>
      <c r="C44" s="91">
        <f>IFERROR(INDEX('حسابهای دریافتنی'!H:H,MATCH(Table233[[#This Row],[کد تفصیلی]],'حسابهای دریافتنی'!A:A,0)),0)</f>
        <v>95282000</v>
      </c>
      <c r="D44" s="92">
        <f>IFERROR(INDEX('درجریان وصول'!F:F,MATCH(Table233[[#This Row],[کد تفصیلی]],'درجریان وصول'!A:A,0)),0)</f>
        <v>0</v>
      </c>
      <c r="E44" s="92">
        <f>IFERROR(INDEX('چکهای دریافتنی'!F:F,MATCH(Table233[[#This Row],[کد تفصیلی]],'چکهای دریافتنی'!A:A,0)),0)</f>
        <v>0</v>
      </c>
      <c r="F44" s="92">
        <f>Table233[[#This Row],[حسابهای دریافتنی]]+Table233[[#This Row],[چکهای در جریان وصول]]+Table233[[#This Row],[چکهای نزد صندوق]]</f>
        <v>95282000</v>
      </c>
      <c r="G44" s="93">
        <f>IFERROR(INDEX('مانده سوفاله'!F:F,MATCH(Table233[[#This Row],[کد تفصیلی]],'مانده سوفاله'!A:A,0)),0)</f>
        <v>-32</v>
      </c>
    </row>
    <row r="45" spans="1:7" ht="29.25" customHeight="1" x14ac:dyDescent="0.35">
      <c r="A45" s="75">
        <v>10091</v>
      </c>
      <c r="B45" s="72" t="s">
        <v>596</v>
      </c>
      <c r="C45" s="91">
        <f>IFERROR(INDEX('حسابهای دریافتنی'!H:H,MATCH(Table233[[#This Row],[کد تفصیلی]],'حسابهای دریافتنی'!A:A,0)),0)</f>
        <v>59321500</v>
      </c>
      <c r="D45" s="92">
        <f>IFERROR(INDEX('درجریان وصول'!F:F,MATCH(Table233[[#This Row],[کد تفصیلی]],'درجریان وصول'!A:A,0)),0)</f>
        <v>0</v>
      </c>
      <c r="E45" s="92">
        <f>IFERROR(INDEX('چکهای دریافتنی'!F:F,MATCH(Table233[[#This Row],[کد تفصیلی]],'چکهای دریافتنی'!A:A,0)),0)</f>
        <v>0</v>
      </c>
      <c r="F45" s="92">
        <f>Table233[[#This Row],[حسابهای دریافتنی]]+Table233[[#This Row],[چکهای در جریان وصول]]+Table233[[#This Row],[چکهای نزد صندوق]]</f>
        <v>59321500</v>
      </c>
      <c r="G45" s="93">
        <f>IFERROR(INDEX('مانده سوفاله'!F:F,MATCH(Table233[[#This Row],[کد تفصیلی]],'مانده سوفاله'!A:A,0)),0)</f>
        <v>0</v>
      </c>
    </row>
    <row r="46" spans="1:7" ht="29.25" customHeight="1" x14ac:dyDescent="0.35">
      <c r="A46" s="74">
        <v>10020</v>
      </c>
      <c r="B46" s="73" t="s">
        <v>597</v>
      </c>
      <c r="C46" s="91">
        <f>IFERROR(INDEX('حسابهای دریافتنی'!H:H,MATCH(Table233[[#This Row],[کد تفصیلی]],'حسابهای دریافتنی'!A:A,0)),0)</f>
        <v>57999963</v>
      </c>
      <c r="D46" s="92">
        <f>IFERROR(INDEX('درجریان وصول'!F:F,MATCH(Table233[[#This Row],[کد تفصیلی]],'درجریان وصول'!A:A,0)),0)</f>
        <v>0</v>
      </c>
      <c r="E46" s="92">
        <f>IFERROR(INDEX('چکهای دریافتنی'!F:F,MATCH(Table233[[#This Row],[کد تفصیلی]],'چکهای دریافتنی'!A:A,0)),0)</f>
        <v>728000000</v>
      </c>
      <c r="F46" s="92">
        <f>Table233[[#This Row],[حسابهای دریافتنی]]+Table233[[#This Row],[چکهای در جریان وصول]]+Table233[[#This Row],[چکهای نزد صندوق]]</f>
        <v>785999963</v>
      </c>
      <c r="G46" s="93">
        <f>IFERROR(INDEX('مانده سوفاله'!F:F,MATCH(Table233[[#This Row],[کد تفصیلی]],'مانده سوفاله'!A:A,0)),0)</f>
        <v>-1031</v>
      </c>
    </row>
    <row r="47" spans="1:7" ht="29.25" customHeight="1" x14ac:dyDescent="0.35">
      <c r="A47" s="74">
        <v>10096</v>
      </c>
      <c r="B47" s="73" t="s">
        <v>598</v>
      </c>
      <c r="C47" s="91">
        <f>IFERROR(INDEX('حسابهای دریافتنی'!H:H,MATCH(Table233[[#This Row],[کد تفصیلی]],'حسابهای دریافتنی'!A:A,0)),0)</f>
        <v>36455500</v>
      </c>
      <c r="D47" s="92">
        <f>IFERROR(INDEX('درجریان وصول'!F:F,MATCH(Table233[[#This Row],[کد تفصیلی]],'درجریان وصول'!A:A,0)),0)</f>
        <v>0</v>
      </c>
      <c r="E47" s="92">
        <f>IFERROR(INDEX('چکهای دریافتنی'!F:F,MATCH(Table233[[#This Row],[کد تفصیلی]],'چکهای دریافتنی'!A:A,0)),0)</f>
        <v>0</v>
      </c>
      <c r="F47" s="92">
        <f>Table233[[#This Row],[حسابهای دریافتنی]]+Table233[[#This Row],[چکهای در جریان وصول]]+Table233[[#This Row],[چکهای نزد صندوق]]</f>
        <v>36455500</v>
      </c>
      <c r="G47" s="93">
        <f>IFERROR(INDEX('مانده سوفاله'!F:F,MATCH(Table233[[#This Row],[کد تفصیلی]],'مانده سوفاله'!A:A,0)),0)</f>
        <v>0</v>
      </c>
    </row>
    <row r="48" spans="1:7" ht="29.25" customHeight="1" x14ac:dyDescent="0.35">
      <c r="A48" s="75">
        <v>30025</v>
      </c>
      <c r="B48" s="72" t="s">
        <v>549</v>
      </c>
      <c r="C48" s="91">
        <f>IFERROR(INDEX('حسابهای دریافتنی'!H:H,MATCH(Table233[[#This Row],[کد تفصیلی]],'حسابهای دریافتنی'!A:A,0)),0)</f>
        <v>35598920</v>
      </c>
      <c r="D48" s="92">
        <f>IFERROR(INDEX('درجریان وصول'!F:F,MATCH(Table233[[#This Row],[کد تفصیلی]],'درجریان وصول'!A:A,0)),0)</f>
        <v>0</v>
      </c>
      <c r="E48" s="92">
        <f>IFERROR(INDEX('چکهای دریافتنی'!F:F,MATCH(Table233[[#This Row],[کد تفصیلی]],'چکهای دریافتنی'!A:A,0)),0)</f>
        <v>0</v>
      </c>
      <c r="F48" s="92">
        <f>Table233[[#This Row],[حسابهای دریافتنی]]+Table233[[#This Row],[چکهای در جریان وصول]]+Table233[[#This Row],[چکهای نزد صندوق]]</f>
        <v>35598920</v>
      </c>
      <c r="G48" s="93">
        <f>IFERROR(INDEX('مانده سوفاله'!F:F,MATCH(Table233[[#This Row],[کد تفصیلی]],'مانده سوفاله'!A:A,0)),0)</f>
        <v>-165</v>
      </c>
    </row>
    <row r="49" spans="1:7" ht="29.25" customHeight="1" x14ac:dyDescent="0.35">
      <c r="A49" s="75">
        <v>30005</v>
      </c>
      <c r="B49" s="72" t="s">
        <v>55</v>
      </c>
      <c r="C49" s="91">
        <f>IFERROR(INDEX('حسابهای دریافتنی'!H:H,MATCH(Table233[[#This Row],[کد تفصیلی]],'حسابهای دریافتنی'!A:A,0)),0)</f>
        <v>35368209</v>
      </c>
      <c r="D49" s="92">
        <f>IFERROR(INDEX('درجریان وصول'!F:F,MATCH(Table233[[#This Row],[کد تفصیلی]],'درجریان وصول'!A:A,0)),0)</f>
        <v>0</v>
      </c>
      <c r="E49" s="92">
        <f>IFERROR(INDEX('چکهای دریافتنی'!F:F,MATCH(Table233[[#This Row],[کد تفصیلی]],'چکهای دریافتنی'!A:A,0)),0)</f>
        <v>0</v>
      </c>
      <c r="F49" s="92">
        <f>Table233[[#This Row],[حسابهای دریافتنی]]+Table233[[#This Row],[چکهای در جریان وصول]]+Table233[[#This Row],[چکهای نزد صندوق]]</f>
        <v>35368209</v>
      </c>
      <c r="G49" s="93">
        <f>IFERROR(INDEX('مانده سوفاله'!F:F,MATCH(Table233[[#This Row],[کد تفصیلی]],'مانده سوفاله'!A:A,0)),0)</f>
        <v>61</v>
      </c>
    </row>
    <row r="50" spans="1:7" ht="29.25" customHeight="1" x14ac:dyDescent="0.35">
      <c r="A50" s="75">
        <v>10027</v>
      </c>
      <c r="B50" s="72" t="s">
        <v>599</v>
      </c>
      <c r="C50" s="91">
        <f>IFERROR(INDEX('حسابهای دریافتنی'!H:H,MATCH(Table233[[#This Row],[کد تفصیلی]],'حسابهای دریافتنی'!A:A,0)),0)</f>
        <v>33078340</v>
      </c>
      <c r="D50" s="92">
        <f>IFERROR(INDEX('درجریان وصول'!F:F,MATCH(Table233[[#This Row],[کد تفصیلی]],'درجریان وصول'!A:A,0)),0)</f>
        <v>0</v>
      </c>
      <c r="E50" s="92">
        <f>IFERROR(INDEX('چکهای دریافتنی'!F:F,MATCH(Table233[[#This Row],[کد تفصیلی]],'چکهای دریافتنی'!A:A,0)),0)</f>
        <v>1588359160</v>
      </c>
      <c r="F50" s="92">
        <f>Table233[[#This Row],[حسابهای دریافتنی]]+Table233[[#This Row],[چکهای در جریان وصول]]+Table233[[#This Row],[چکهای نزد صندوق]]</f>
        <v>1621437500</v>
      </c>
      <c r="G50" s="93">
        <f>IFERROR(INDEX('مانده سوفاله'!F:F,MATCH(Table233[[#This Row],[کد تفصیلی]],'مانده سوفاله'!A:A,0)),0)</f>
        <v>-647</v>
      </c>
    </row>
    <row r="51" spans="1:7" ht="29.25" customHeight="1" x14ac:dyDescent="0.35">
      <c r="A51" s="75">
        <v>30189</v>
      </c>
      <c r="B51" s="72" t="s">
        <v>458</v>
      </c>
      <c r="C51" s="91">
        <f>IFERROR(INDEX('حسابهای دریافتنی'!H:H,MATCH(Table233[[#This Row],[کد تفصیلی]],'حسابهای دریافتنی'!A:A,0)),0)</f>
        <v>20776490</v>
      </c>
      <c r="D51" s="92">
        <f>IFERROR(INDEX('درجریان وصول'!F:F,MATCH(Table233[[#This Row],[کد تفصیلی]],'درجریان وصول'!A:A,0)),0)</f>
        <v>0</v>
      </c>
      <c r="E51" s="92">
        <f>IFERROR(INDEX('چکهای دریافتنی'!F:F,MATCH(Table233[[#This Row],[کد تفصیلی]],'چکهای دریافتنی'!A:A,0)),0)</f>
        <v>0</v>
      </c>
      <c r="F51" s="92">
        <f>Table233[[#This Row],[حسابهای دریافتنی]]+Table233[[#This Row],[چکهای در جریان وصول]]+Table233[[#This Row],[چکهای نزد صندوق]]</f>
        <v>20776490</v>
      </c>
      <c r="G51" s="93">
        <f>IFERROR(INDEX('مانده سوفاله'!F:F,MATCH(Table233[[#This Row],[کد تفصیلی]],'مانده سوفاله'!A:A,0)),0)</f>
        <v>0</v>
      </c>
    </row>
    <row r="52" spans="1:7" ht="29.25" customHeight="1" x14ac:dyDescent="0.35">
      <c r="A52" s="74">
        <v>30024</v>
      </c>
      <c r="B52" s="73" t="s">
        <v>600</v>
      </c>
      <c r="C52" s="91">
        <f>IFERROR(INDEX('حسابهای دریافتنی'!H:H,MATCH(Table233[[#This Row],[کد تفصیلی]],'حسابهای دریافتنی'!A:A,0)),0)</f>
        <v>16135000</v>
      </c>
      <c r="D52" s="92">
        <f>IFERROR(INDEX('درجریان وصول'!F:F,MATCH(Table233[[#This Row],[کد تفصیلی]],'درجریان وصول'!A:A,0)),0)</f>
        <v>0</v>
      </c>
      <c r="E52" s="92">
        <f>IFERROR(INDEX('چکهای دریافتنی'!F:F,MATCH(Table233[[#This Row],[کد تفصیلی]],'چکهای دریافتنی'!A:A,0)),0)</f>
        <v>0</v>
      </c>
      <c r="F52" s="92">
        <f>Table233[[#This Row],[حسابهای دریافتنی]]+Table233[[#This Row],[چکهای در جریان وصول]]+Table233[[#This Row],[چکهای نزد صندوق]]</f>
        <v>16135000</v>
      </c>
      <c r="G52" s="93">
        <f>IFERROR(INDEX('مانده سوفاله'!F:F,MATCH(Table233[[#This Row],[کد تفصیلی]],'مانده سوفاله'!A:A,0)),0)</f>
        <v>0</v>
      </c>
    </row>
    <row r="53" spans="1:7" ht="29.25" customHeight="1" x14ac:dyDescent="0.35">
      <c r="A53" s="74">
        <v>30008</v>
      </c>
      <c r="B53" s="73" t="s">
        <v>601</v>
      </c>
      <c r="C53" s="91">
        <f>IFERROR(INDEX('حسابهای دریافتنی'!H:H,MATCH(Table233[[#This Row],[کد تفصیلی]],'حسابهای دریافتنی'!A:A,0)),0)</f>
        <v>15520000</v>
      </c>
      <c r="D53" s="92">
        <f>IFERROR(INDEX('درجریان وصول'!F:F,MATCH(Table233[[#This Row],[کد تفصیلی]],'درجریان وصول'!A:A,0)),0)</f>
        <v>0</v>
      </c>
      <c r="E53" s="92">
        <f>IFERROR(INDEX('چکهای دریافتنی'!F:F,MATCH(Table233[[#This Row],[کد تفصیلی]],'چکهای دریافتنی'!A:A,0)),0)</f>
        <v>0</v>
      </c>
      <c r="F53" s="92">
        <f>Table233[[#This Row],[حسابهای دریافتنی]]+Table233[[#This Row],[چکهای در جریان وصول]]+Table233[[#This Row],[چکهای نزد صندوق]]</f>
        <v>15520000</v>
      </c>
      <c r="G53" s="93">
        <f>IFERROR(INDEX('مانده سوفاله'!F:F,MATCH(Table233[[#This Row],[کد تفصیلی]],'مانده سوفاله'!A:A,0)),0)</f>
        <v>0</v>
      </c>
    </row>
    <row r="54" spans="1:7" ht="29.25" customHeight="1" x14ac:dyDescent="0.35">
      <c r="A54" s="75">
        <v>10007</v>
      </c>
      <c r="B54" s="72" t="s">
        <v>602</v>
      </c>
      <c r="C54" s="91">
        <f>IFERROR(INDEX('حسابهای دریافتنی'!H:H,MATCH(Table233[[#This Row],[کد تفصیلی]],'حسابهای دریافتنی'!A:A,0)),0)</f>
        <v>12770000</v>
      </c>
      <c r="D54" s="92">
        <f>IFERROR(INDEX('درجریان وصول'!F:F,MATCH(Table233[[#This Row],[کد تفصیلی]],'درجریان وصول'!A:A,0)),0)</f>
        <v>0</v>
      </c>
      <c r="E54" s="92">
        <f>IFERROR(INDEX('چکهای دریافتنی'!F:F,MATCH(Table233[[#This Row],[کد تفصیلی]],'چکهای دریافتنی'!A:A,0)),0)</f>
        <v>0</v>
      </c>
      <c r="F54" s="92">
        <f>Table233[[#This Row],[حسابهای دریافتنی]]+Table233[[#This Row],[چکهای در جریان وصول]]+Table233[[#This Row],[چکهای نزد صندوق]]</f>
        <v>12770000</v>
      </c>
      <c r="G54" s="93">
        <f>IFERROR(INDEX('مانده سوفاله'!F:F,MATCH(Table233[[#This Row],[کد تفصیلی]],'مانده سوفاله'!A:A,0)),0)</f>
        <v>-52.5</v>
      </c>
    </row>
    <row r="55" spans="1:7" ht="29.25" customHeight="1" x14ac:dyDescent="0.35">
      <c r="A55" s="75">
        <v>10126</v>
      </c>
      <c r="B55" s="72" t="s">
        <v>396</v>
      </c>
      <c r="C55" s="91">
        <f>IFERROR(INDEX('حسابهای دریافتنی'!H:H,MATCH(Table233[[#This Row],[کد تفصیلی]],'حسابهای دریافتنی'!A:A,0)),0)</f>
        <v>12165000</v>
      </c>
      <c r="D55" s="92">
        <f>IFERROR(INDEX('درجریان وصول'!F:F,MATCH(Table233[[#This Row],[کد تفصیلی]],'درجریان وصول'!A:A,0)),0)</f>
        <v>0</v>
      </c>
      <c r="E55" s="92">
        <f>IFERROR(INDEX('چکهای دریافتنی'!F:F,MATCH(Table233[[#This Row],[کد تفصیلی]],'چکهای دریافتنی'!A:A,0)),0)</f>
        <v>0</v>
      </c>
      <c r="F55" s="92">
        <f>Table233[[#This Row],[حسابهای دریافتنی]]+Table233[[#This Row],[چکهای در جریان وصول]]+Table233[[#This Row],[چکهای نزد صندوق]]</f>
        <v>12165000</v>
      </c>
      <c r="G55" s="93">
        <f>IFERROR(INDEX('مانده سوفاله'!F:F,MATCH(Table233[[#This Row],[کد تفصیلی]],'مانده سوفاله'!A:A,0)),0)</f>
        <v>0</v>
      </c>
    </row>
    <row r="56" spans="1:7" ht="29.25" customHeight="1" x14ac:dyDescent="0.35">
      <c r="A56" s="75">
        <v>10105</v>
      </c>
      <c r="B56" s="72" t="s">
        <v>603</v>
      </c>
      <c r="C56" s="91">
        <f>IFERROR(INDEX('حسابهای دریافتنی'!H:H,MATCH(Table233[[#This Row],[کد تفصیلی]],'حسابهای دریافتنی'!A:A,0)),0)</f>
        <v>7630000</v>
      </c>
      <c r="D56" s="92">
        <f>IFERROR(INDEX('درجریان وصول'!F:F,MATCH(Table233[[#This Row],[کد تفصیلی]],'درجریان وصول'!A:A,0)),0)</f>
        <v>0</v>
      </c>
      <c r="E56" s="92">
        <f>IFERROR(INDEX('چکهای دریافتنی'!F:F,MATCH(Table233[[#This Row],[کد تفصیلی]],'چکهای دریافتنی'!A:A,0)),0)</f>
        <v>0</v>
      </c>
      <c r="F56" s="92">
        <f>Table233[[#This Row],[حسابهای دریافتنی]]+Table233[[#This Row],[چکهای در جریان وصول]]+Table233[[#This Row],[چکهای نزد صندوق]]</f>
        <v>7630000</v>
      </c>
      <c r="G56" s="93">
        <f>IFERROR(INDEX('مانده سوفاله'!F:F,MATCH(Table233[[#This Row],[کد تفصیلی]],'مانده سوفاله'!A:A,0)),0)</f>
        <v>0</v>
      </c>
    </row>
    <row r="57" spans="1:7" ht="29.25" customHeight="1" x14ac:dyDescent="0.35">
      <c r="A57" s="74">
        <v>30145</v>
      </c>
      <c r="B57" s="73" t="s">
        <v>550</v>
      </c>
      <c r="C57" s="91">
        <f>IFERROR(INDEX('حسابهای دریافتنی'!H:H,MATCH(Table233[[#This Row],[کد تفصیلی]],'حسابهای دریافتنی'!A:A,0)),0)</f>
        <v>6442500</v>
      </c>
      <c r="D57" s="92">
        <f>IFERROR(INDEX('درجریان وصول'!F:F,MATCH(Table233[[#This Row],[کد تفصیلی]],'درجریان وصول'!A:A,0)),0)</f>
        <v>0</v>
      </c>
      <c r="E57" s="92">
        <f>IFERROR(INDEX('چکهای دریافتنی'!F:F,MATCH(Table233[[#This Row],[کد تفصیلی]],'چکهای دریافتنی'!A:A,0)),0)</f>
        <v>0</v>
      </c>
      <c r="F57" s="92">
        <f>Table233[[#This Row],[حسابهای دریافتنی]]+Table233[[#This Row],[چکهای در جریان وصول]]+Table233[[#This Row],[چکهای نزد صندوق]]</f>
        <v>6442500</v>
      </c>
      <c r="G57" s="93">
        <f>IFERROR(INDEX('مانده سوفاله'!F:F,MATCH(Table233[[#This Row],[کد تفصیلی]],'مانده سوفاله'!A:A,0)),0)</f>
        <v>0</v>
      </c>
    </row>
    <row r="58" spans="1:7" ht="29.25" customHeight="1" x14ac:dyDescent="0.35">
      <c r="A58" s="75">
        <v>30047</v>
      </c>
      <c r="B58" s="72" t="s">
        <v>604</v>
      </c>
      <c r="C58" s="91">
        <f>IFERROR(INDEX('حسابهای دریافتنی'!H:H,MATCH(Table233[[#This Row],[کد تفصیلی]],'حسابهای دریافتنی'!A:A,0)),0)</f>
        <v>5794900</v>
      </c>
      <c r="D58" s="92">
        <f>IFERROR(INDEX('درجریان وصول'!F:F,MATCH(Table233[[#This Row],[کد تفصیلی]],'درجریان وصول'!A:A,0)),0)</f>
        <v>0</v>
      </c>
      <c r="E58" s="92">
        <f>IFERROR(INDEX('چکهای دریافتنی'!F:F,MATCH(Table233[[#This Row],[کد تفصیلی]],'چکهای دریافتنی'!A:A,0)),0)</f>
        <v>0</v>
      </c>
      <c r="F58" s="92">
        <f>Table233[[#This Row],[حسابهای دریافتنی]]+Table233[[#This Row],[چکهای در جریان وصول]]+Table233[[#This Row],[چکهای نزد صندوق]]</f>
        <v>5794900</v>
      </c>
      <c r="G58" s="93">
        <f>IFERROR(INDEX('مانده سوفاله'!F:F,MATCH(Table233[[#This Row],[کد تفصیلی]],'مانده سوفاله'!A:A,0)),0)</f>
        <v>-630</v>
      </c>
    </row>
    <row r="59" spans="1:7" ht="29.25" customHeight="1" x14ac:dyDescent="0.35">
      <c r="A59" s="74">
        <v>30026</v>
      </c>
      <c r="B59" s="73" t="s">
        <v>551</v>
      </c>
      <c r="C59" s="91">
        <f>IFERROR(INDEX('حسابهای دریافتنی'!H:H,MATCH(Table233[[#This Row],[کد تفصیلی]],'حسابهای دریافتنی'!A:A,0)),0)</f>
        <v>5689439</v>
      </c>
      <c r="D59" s="92">
        <f>IFERROR(INDEX('درجریان وصول'!F:F,MATCH(Table233[[#This Row],[کد تفصیلی]],'درجریان وصول'!A:A,0)),0)</f>
        <v>0</v>
      </c>
      <c r="E59" s="92">
        <f>IFERROR(INDEX('چکهای دریافتنی'!F:F,MATCH(Table233[[#This Row],[کد تفصیلی]],'چکهای دریافتنی'!A:A,0)),0)</f>
        <v>0</v>
      </c>
      <c r="F59" s="92">
        <f>Table233[[#This Row],[حسابهای دریافتنی]]+Table233[[#This Row],[چکهای در جریان وصول]]+Table233[[#This Row],[چکهای نزد صندوق]]</f>
        <v>5689439</v>
      </c>
      <c r="G59" s="93">
        <f>IFERROR(INDEX('مانده سوفاله'!F:F,MATCH(Table233[[#This Row],[کد تفصیلی]],'مانده سوفاله'!A:A,0)),0)</f>
        <v>764</v>
      </c>
    </row>
    <row r="60" spans="1:7" ht="29.25" customHeight="1" x14ac:dyDescent="0.35">
      <c r="A60" s="75">
        <v>30011</v>
      </c>
      <c r="B60" s="72" t="s">
        <v>605</v>
      </c>
      <c r="C60" s="91">
        <f>IFERROR(INDEX('حسابهای دریافتنی'!H:H,MATCH(Table233[[#This Row],[کد تفصیلی]],'حسابهای دریافتنی'!A:A,0)),0)</f>
        <v>5595200</v>
      </c>
      <c r="D60" s="92">
        <f>IFERROR(INDEX('درجریان وصول'!F:F,MATCH(Table233[[#This Row],[کد تفصیلی]],'درجریان وصول'!A:A,0)),0)</f>
        <v>0</v>
      </c>
      <c r="E60" s="92">
        <f>IFERROR(INDEX('چکهای دریافتنی'!F:F,MATCH(Table233[[#This Row],[کد تفصیلی]],'چکهای دریافتنی'!A:A,0)),0)</f>
        <v>0</v>
      </c>
      <c r="F60" s="92">
        <f>Table233[[#This Row],[حسابهای دریافتنی]]+Table233[[#This Row],[چکهای در جریان وصول]]+Table233[[#This Row],[چکهای نزد صندوق]]</f>
        <v>5595200</v>
      </c>
      <c r="G60" s="93">
        <f>IFERROR(INDEX('مانده سوفاله'!F:F,MATCH(Table233[[#This Row],[کد تفصیلی]],'مانده سوفاله'!A:A,0)),0)</f>
        <v>-5</v>
      </c>
    </row>
    <row r="61" spans="1:7" ht="29.25" customHeight="1" x14ac:dyDescent="0.35">
      <c r="A61" s="74">
        <v>10080</v>
      </c>
      <c r="B61" s="73" t="s">
        <v>606</v>
      </c>
      <c r="C61" s="91">
        <f>IFERROR(INDEX('حسابهای دریافتنی'!H:H,MATCH(Table233[[#This Row],[کد تفصیلی]],'حسابهای دریافتنی'!A:A,0)),0)</f>
        <v>5395000</v>
      </c>
      <c r="D61" s="92">
        <f>IFERROR(INDEX('درجریان وصول'!F:F,MATCH(Table233[[#This Row],[کد تفصیلی]],'درجریان وصول'!A:A,0)),0)</f>
        <v>0</v>
      </c>
      <c r="E61" s="92">
        <f>IFERROR(INDEX('چکهای دریافتنی'!F:F,MATCH(Table233[[#This Row],[کد تفصیلی]],'چکهای دریافتنی'!A:A,0)),0)</f>
        <v>0</v>
      </c>
      <c r="F61" s="92">
        <f>Table233[[#This Row],[حسابهای دریافتنی]]+Table233[[#This Row],[چکهای در جریان وصول]]+Table233[[#This Row],[چکهای نزد صندوق]]</f>
        <v>5395000</v>
      </c>
      <c r="G61" s="93">
        <f>IFERROR(INDEX('مانده سوفاله'!F:F,MATCH(Table233[[#This Row],[کد تفصیلی]],'مانده سوفاله'!A:A,0)),0)</f>
        <v>0</v>
      </c>
    </row>
    <row r="62" spans="1:7" ht="29.25" customHeight="1" x14ac:dyDescent="0.35">
      <c r="A62" s="75">
        <v>30114</v>
      </c>
      <c r="B62" s="72" t="s">
        <v>607</v>
      </c>
      <c r="C62" s="91">
        <f>IFERROR(INDEX('حسابهای دریافتنی'!H:H,MATCH(Table233[[#This Row],[کد تفصیلی]],'حسابهای دریافتنی'!A:A,0)),0)</f>
        <v>5385600</v>
      </c>
      <c r="D62" s="92">
        <f>IFERROR(INDEX('درجریان وصول'!F:F,MATCH(Table233[[#This Row],[کد تفصیلی]],'درجریان وصول'!A:A,0)),0)</f>
        <v>0</v>
      </c>
      <c r="E62" s="92">
        <f>IFERROR(INDEX('چکهای دریافتنی'!F:F,MATCH(Table233[[#This Row],[کد تفصیلی]],'چکهای دریافتنی'!A:A,0)),0)</f>
        <v>0</v>
      </c>
      <c r="F62" s="92">
        <f>Table233[[#This Row],[حسابهای دریافتنی]]+Table233[[#This Row],[چکهای در جریان وصول]]+Table233[[#This Row],[چکهای نزد صندوق]]</f>
        <v>5385600</v>
      </c>
      <c r="G62" s="93">
        <f>IFERROR(INDEX('مانده سوفاله'!F:F,MATCH(Table233[[#This Row],[کد تفصیلی]],'مانده سوفاله'!A:A,0)),0)</f>
        <v>0</v>
      </c>
    </row>
    <row r="63" spans="1:7" ht="29.25" customHeight="1" x14ac:dyDescent="0.35">
      <c r="A63" s="74">
        <v>30123</v>
      </c>
      <c r="B63" s="73" t="s">
        <v>608</v>
      </c>
      <c r="C63" s="91">
        <f>IFERROR(INDEX('حسابهای دریافتنی'!H:H,MATCH(Table233[[#This Row],[کد تفصیلی]],'حسابهای دریافتنی'!A:A,0)),0)</f>
        <v>4138250</v>
      </c>
      <c r="D63" s="92">
        <f>IFERROR(INDEX('درجریان وصول'!F:F,MATCH(Table233[[#This Row],[کد تفصیلی]],'درجریان وصول'!A:A,0)),0)</f>
        <v>0</v>
      </c>
      <c r="E63" s="92">
        <f>IFERROR(INDEX('چکهای دریافتنی'!F:F,MATCH(Table233[[#This Row],[کد تفصیلی]],'چکهای دریافتنی'!A:A,0)),0)</f>
        <v>0</v>
      </c>
      <c r="F63" s="92">
        <f>Table233[[#This Row],[حسابهای دریافتنی]]+Table233[[#This Row],[چکهای در جریان وصول]]+Table233[[#This Row],[چکهای نزد صندوق]]</f>
        <v>4138250</v>
      </c>
      <c r="G63" s="93">
        <f>IFERROR(INDEX('مانده سوفاله'!F:F,MATCH(Table233[[#This Row],[کد تفصیلی]],'مانده سوفاله'!A:A,0)),0)</f>
        <v>-20</v>
      </c>
    </row>
    <row r="64" spans="1:7" ht="29.25" customHeight="1" x14ac:dyDescent="0.35">
      <c r="A64" s="75">
        <v>10116</v>
      </c>
      <c r="B64" s="72" t="s">
        <v>609</v>
      </c>
      <c r="C64" s="91">
        <f>IFERROR(INDEX('حسابهای دریافتنی'!H:H,MATCH(Table233[[#This Row],[کد تفصیلی]],'حسابهای دریافتنی'!A:A,0)),0)</f>
        <v>3892500</v>
      </c>
      <c r="D64" s="92">
        <f>IFERROR(INDEX('درجریان وصول'!F:F,MATCH(Table233[[#This Row],[کد تفصیلی]],'درجریان وصول'!A:A,0)),0)</f>
        <v>0</v>
      </c>
      <c r="E64" s="92">
        <f>IFERROR(INDEX('چکهای دریافتنی'!F:F,MATCH(Table233[[#This Row],[کد تفصیلی]],'چکهای دریافتنی'!A:A,0)),0)</f>
        <v>0</v>
      </c>
      <c r="F64" s="92">
        <f>Table233[[#This Row],[حسابهای دریافتنی]]+Table233[[#This Row],[چکهای در جریان وصول]]+Table233[[#This Row],[چکهای نزد صندوق]]</f>
        <v>3892500</v>
      </c>
      <c r="G64" s="93">
        <f>IFERROR(INDEX('مانده سوفاله'!F:F,MATCH(Table233[[#This Row],[کد تفصیلی]],'مانده سوفاله'!A:A,0)),0)</f>
        <v>0</v>
      </c>
    </row>
    <row r="65" spans="1:7" ht="29.25" customHeight="1" x14ac:dyDescent="0.35">
      <c r="A65" s="74">
        <v>10142</v>
      </c>
      <c r="B65" s="73" t="s">
        <v>538</v>
      </c>
      <c r="C65" s="91">
        <f>IFERROR(INDEX('حسابهای دریافتنی'!H:H,MATCH(Table233[[#This Row],[کد تفصیلی]],'حسابهای دریافتنی'!A:A,0)),0)</f>
        <v>3502000</v>
      </c>
      <c r="D65" s="92">
        <f>IFERROR(INDEX('درجریان وصول'!F:F,MATCH(Table233[[#This Row],[کد تفصیلی]],'درجریان وصول'!A:A,0)),0)</f>
        <v>0</v>
      </c>
      <c r="E65" s="92">
        <f>IFERROR(INDEX('چکهای دریافتنی'!F:F,MATCH(Table233[[#This Row],[کد تفصیلی]],'چکهای دریافتنی'!A:A,0)),0)</f>
        <v>0</v>
      </c>
      <c r="F65" s="92">
        <f>Table233[[#This Row],[حسابهای دریافتنی]]+Table233[[#This Row],[چکهای در جریان وصول]]+Table233[[#This Row],[چکهای نزد صندوق]]</f>
        <v>3502000</v>
      </c>
      <c r="G65" s="93">
        <f>IFERROR(INDEX('مانده سوفاله'!F:F,MATCH(Table233[[#This Row],[کد تفصیلی]],'مانده سوفاله'!A:A,0)),0)</f>
        <v>0</v>
      </c>
    </row>
    <row r="66" spans="1:7" ht="29.25" customHeight="1" x14ac:dyDescent="0.35">
      <c r="A66" s="75">
        <v>10122</v>
      </c>
      <c r="B66" s="72" t="s">
        <v>552</v>
      </c>
      <c r="C66" s="91">
        <f>IFERROR(INDEX('حسابهای دریافتنی'!H:H,MATCH(Table233[[#This Row],[کد تفصیلی]],'حسابهای دریافتنی'!A:A,0)),0)</f>
        <v>3375000</v>
      </c>
      <c r="D66" s="92">
        <f>IFERROR(INDEX('درجریان وصول'!F:F,MATCH(Table233[[#This Row],[کد تفصیلی]],'درجریان وصول'!A:A,0)),0)</f>
        <v>0</v>
      </c>
      <c r="E66" s="92">
        <f>IFERROR(INDEX('چکهای دریافتنی'!F:F,MATCH(Table233[[#This Row],[کد تفصیلی]],'چکهای دریافتنی'!A:A,0)),0)</f>
        <v>0</v>
      </c>
      <c r="F66" s="92">
        <f>Table233[[#This Row],[حسابهای دریافتنی]]+Table233[[#This Row],[چکهای در جریان وصول]]+Table233[[#This Row],[چکهای نزد صندوق]]</f>
        <v>3375000</v>
      </c>
      <c r="G66" s="93">
        <f>IFERROR(INDEX('مانده سوفاله'!F:F,MATCH(Table233[[#This Row],[کد تفصیلی]],'مانده سوفاله'!A:A,0)),0)</f>
        <v>0</v>
      </c>
    </row>
    <row r="67" spans="1:7" ht="29.25" customHeight="1" x14ac:dyDescent="0.35">
      <c r="A67" s="74">
        <v>10030</v>
      </c>
      <c r="B67" s="73" t="s">
        <v>610</v>
      </c>
      <c r="C67" s="91">
        <f>IFERROR(INDEX('حسابهای دریافتنی'!H:H,MATCH(Table233[[#This Row],[کد تفصیلی]],'حسابهای دریافتنی'!A:A,0)),0)</f>
        <v>3272000</v>
      </c>
      <c r="D67" s="92">
        <f>IFERROR(INDEX('درجریان وصول'!F:F,MATCH(Table233[[#This Row],[کد تفصیلی]],'درجریان وصول'!A:A,0)),0)</f>
        <v>0</v>
      </c>
      <c r="E67" s="92">
        <f>IFERROR(INDEX('چکهای دریافتنی'!F:F,MATCH(Table233[[#This Row],[کد تفصیلی]],'چکهای دریافتنی'!A:A,0)),0)</f>
        <v>0</v>
      </c>
      <c r="F67" s="92">
        <f>Table233[[#This Row],[حسابهای دریافتنی]]+Table233[[#This Row],[چکهای در جریان وصول]]+Table233[[#This Row],[چکهای نزد صندوق]]</f>
        <v>3272000</v>
      </c>
      <c r="G67" s="93">
        <f>IFERROR(INDEX('مانده سوفاله'!F:F,MATCH(Table233[[#This Row],[کد تفصیلی]],'مانده سوفاله'!A:A,0)),0)</f>
        <v>-222</v>
      </c>
    </row>
    <row r="68" spans="1:7" ht="29.25" customHeight="1" x14ac:dyDescent="0.35">
      <c r="A68" s="75">
        <v>30178</v>
      </c>
      <c r="B68" s="72" t="s">
        <v>386</v>
      </c>
      <c r="C68" s="91">
        <f>IFERROR(INDEX('حسابهای دریافتنی'!H:H,MATCH(Table233[[#This Row],[کد تفصیلی]],'حسابهای دریافتنی'!A:A,0)),0)</f>
        <v>3040000</v>
      </c>
      <c r="D68" s="92">
        <f>IFERROR(INDEX('درجریان وصول'!F:F,MATCH(Table233[[#This Row],[کد تفصیلی]],'درجریان وصول'!A:A,0)),0)</f>
        <v>0</v>
      </c>
      <c r="E68" s="92">
        <f>IFERROR(INDEX('چکهای دریافتنی'!F:F,MATCH(Table233[[#This Row],[کد تفصیلی]],'چکهای دریافتنی'!A:A,0)),0)</f>
        <v>0</v>
      </c>
      <c r="F68" s="92">
        <f>Table233[[#This Row],[حسابهای دریافتنی]]+Table233[[#This Row],[چکهای در جریان وصول]]+Table233[[#This Row],[چکهای نزد صندوق]]</f>
        <v>3040000</v>
      </c>
      <c r="G68" s="93">
        <f>IFERROR(INDEX('مانده سوفاله'!F:F,MATCH(Table233[[#This Row],[کد تفصیلی]],'مانده سوفاله'!A:A,0)),0)</f>
        <v>0</v>
      </c>
    </row>
    <row r="69" spans="1:7" ht="29.25" customHeight="1" x14ac:dyDescent="0.35">
      <c r="A69" s="74">
        <v>30020</v>
      </c>
      <c r="B69" s="73" t="s">
        <v>611</v>
      </c>
      <c r="C69" s="91">
        <f>IFERROR(INDEX('حسابهای دریافتنی'!H:H,MATCH(Table233[[#This Row],[کد تفصیلی]],'حسابهای دریافتنی'!A:A,0)),0)</f>
        <v>2253500</v>
      </c>
      <c r="D69" s="92">
        <f>IFERROR(INDEX('درجریان وصول'!F:F,MATCH(Table233[[#This Row],[کد تفصیلی]],'درجریان وصول'!A:A,0)),0)</f>
        <v>0</v>
      </c>
      <c r="E69" s="92">
        <f>IFERROR(INDEX('چکهای دریافتنی'!F:F,MATCH(Table233[[#This Row],[کد تفصیلی]],'چکهای دریافتنی'!A:A,0)),0)</f>
        <v>0</v>
      </c>
      <c r="F69" s="92">
        <f>Table233[[#This Row],[حسابهای دریافتنی]]+Table233[[#This Row],[چکهای در جریان وصول]]+Table233[[#This Row],[چکهای نزد صندوق]]</f>
        <v>2253500</v>
      </c>
      <c r="G69" s="93">
        <f>IFERROR(INDEX('مانده سوفاله'!F:F,MATCH(Table233[[#This Row],[کد تفصیلی]],'مانده سوفاله'!A:A,0)),0)</f>
        <v>4</v>
      </c>
    </row>
    <row r="70" spans="1:7" ht="29.25" customHeight="1" x14ac:dyDescent="0.35">
      <c r="A70" s="75">
        <v>30084</v>
      </c>
      <c r="B70" s="72" t="s">
        <v>129</v>
      </c>
      <c r="C70" s="91">
        <f>IFERROR(INDEX('حسابهای دریافتنی'!H:H,MATCH(Table233[[#This Row],[کد تفصیلی]],'حسابهای دریافتنی'!A:A,0)),0)</f>
        <v>1220000</v>
      </c>
      <c r="D70" s="92">
        <f>IFERROR(INDEX('درجریان وصول'!F:F,MATCH(Table233[[#This Row],[کد تفصیلی]],'درجریان وصول'!A:A,0)),0)</f>
        <v>0</v>
      </c>
      <c r="E70" s="92">
        <f>IFERROR(INDEX('چکهای دریافتنی'!F:F,MATCH(Table233[[#This Row],[کد تفصیلی]],'چکهای دریافتنی'!A:A,0)),0)</f>
        <v>0</v>
      </c>
      <c r="F70" s="92">
        <f>Table233[[#This Row],[حسابهای دریافتنی]]+Table233[[#This Row],[چکهای در جریان وصول]]+Table233[[#This Row],[چکهای نزد صندوق]]</f>
        <v>1220000</v>
      </c>
      <c r="G70" s="93">
        <f>IFERROR(INDEX('مانده سوفاله'!F:F,MATCH(Table233[[#This Row],[کد تفصیلی]],'مانده سوفاله'!A:A,0)),0)</f>
        <v>0</v>
      </c>
    </row>
    <row r="71" spans="1:7" ht="29.25" customHeight="1" x14ac:dyDescent="0.35">
      <c r="A71" s="75">
        <v>10069</v>
      </c>
      <c r="B71" s="72" t="s">
        <v>204</v>
      </c>
      <c r="C71" s="91">
        <f>IFERROR(INDEX('حسابهای دریافتنی'!H:H,MATCH(Table233[[#This Row],[کد تفصیلی]],'حسابهای دریافتنی'!A:A,0)),0)</f>
        <v>952500</v>
      </c>
      <c r="D71" s="92">
        <f>IFERROR(INDEX('درجریان وصول'!F:F,MATCH(Table233[[#This Row],[کد تفصیلی]],'درجریان وصول'!A:A,0)),0)</f>
        <v>0</v>
      </c>
      <c r="E71" s="92">
        <f>IFERROR(INDEX('چکهای دریافتنی'!F:F,MATCH(Table233[[#This Row],[کد تفصیلی]],'چکهای دریافتنی'!A:A,0)),0)</f>
        <v>73000000</v>
      </c>
      <c r="F71" s="92">
        <f>Table233[[#This Row],[حسابهای دریافتنی]]+Table233[[#This Row],[چکهای در جریان وصول]]+Table233[[#This Row],[چکهای نزد صندوق]]</f>
        <v>73952500</v>
      </c>
      <c r="G71" s="93">
        <f>IFERROR(INDEX('مانده سوفاله'!F:F,MATCH(Table233[[#This Row],[کد تفصیلی]],'مانده سوفاله'!A:A,0)),0)</f>
        <v>339</v>
      </c>
    </row>
    <row r="72" spans="1:7" ht="29.25" customHeight="1" x14ac:dyDescent="0.35">
      <c r="A72" s="74">
        <v>79055</v>
      </c>
      <c r="B72" s="73" t="s">
        <v>612</v>
      </c>
      <c r="C72" s="91">
        <f>IFERROR(INDEX('حسابهای دریافتنی'!H:H,MATCH(Table233[[#This Row],[کد تفصیلی]],'حسابهای دریافتنی'!A:A,0)),0)</f>
        <v>896500</v>
      </c>
      <c r="D72" s="92">
        <f>IFERROR(INDEX('درجریان وصول'!F:F,MATCH(Table233[[#This Row],[کد تفصیلی]],'درجریان وصول'!A:A,0)),0)</f>
        <v>0</v>
      </c>
      <c r="E72" s="92">
        <f>IFERROR(INDEX('چکهای دریافتنی'!F:F,MATCH(Table233[[#This Row],[کد تفصیلی]],'چکهای دریافتنی'!A:A,0)),0)</f>
        <v>0</v>
      </c>
      <c r="F72" s="92">
        <f>Table233[[#This Row],[حسابهای دریافتنی]]+Table233[[#This Row],[چکهای در جریان وصول]]+Table233[[#This Row],[چکهای نزد صندوق]]</f>
        <v>896500</v>
      </c>
      <c r="G72" s="93">
        <f>IFERROR(INDEX('مانده سوفاله'!F:F,MATCH(Table233[[#This Row],[کد تفصیلی]],'مانده سوفاله'!A:A,0)),0)</f>
        <v>0</v>
      </c>
    </row>
    <row r="73" spans="1:7" ht="29.25" customHeight="1" x14ac:dyDescent="0.35">
      <c r="A73" s="74">
        <v>10004</v>
      </c>
      <c r="B73" s="73" t="s">
        <v>613</v>
      </c>
      <c r="C73" s="91">
        <f>IFERROR(INDEX('حسابهای دریافتنی'!H:H,MATCH(Table233[[#This Row],[کد تفصیلی]],'حسابهای دریافتنی'!A:A,0)),0)</f>
        <v>853000</v>
      </c>
      <c r="D73" s="92">
        <f>IFERROR(INDEX('درجریان وصول'!F:F,MATCH(Table233[[#This Row],[کد تفصیلی]],'درجریان وصول'!A:A,0)),0)</f>
        <v>0</v>
      </c>
      <c r="E73" s="92">
        <f>IFERROR(INDEX('چکهای دریافتنی'!F:F,MATCH(Table233[[#This Row],[کد تفصیلی]],'چکهای دریافتنی'!A:A,0)),0)</f>
        <v>341000000</v>
      </c>
      <c r="F73" s="92">
        <f>Table233[[#This Row],[حسابهای دریافتنی]]+Table233[[#This Row],[چکهای در جریان وصول]]+Table233[[#This Row],[چکهای نزد صندوق]]</f>
        <v>341853000</v>
      </c>
      <c r="G73" s="93">
        <f>IFERROR(INDEX('مانده سوفاله'!F:F,MATCH(Table233[[#This Row],[کد تفصیلی]],'مانده سوفاله'!A:A,0)),0)</f>
        <v>-12</v>
      </c>
    </row>
    <row r="74" spans="1:7" ht="29.25" customHeight="1" x14ac:dyDescent="0.35">
      <c r="A74" s="74">
        <v>30030</v>
      </c>
      <c r="B74" s="73" t="s">
        <v>77</v>
      </c>
      <c r="C74" s="91">
        <f>IFERROR(INDEX('حسابهای دریافتنی'!H:H,MATCH(Table233[[#This Row],[کد تفصیلی]],'حسابهای دریافتنی'!A:A,0)),0)</f>
        <v>850500</v>
      </c>
      <c r="D74" s="92">
        <f>IFERROR(INDEX('درجریان وصول'!F:F,MATCH(Table233[[#This Row],[کد تفصیلی]],'درجریان وصول'!A:A,0)),0)</f>
        <v>0</v>
      </c>
      <c r="E74" s="92">
        <f>IFERROR(INDEX('چکهای دریافتنی'!F:F,MATCH(Table233[[#This Row],[کد تفصیلی]],'چکهای دریافتنی'!A:A,0)),0)</f>
        <v>0</v>
      </c>
      <c r="F74" s="92">
        <f>Table233[[#This Row],[حسابهای دریافتنی]]+Table233[[#This Row],[چکهای در جریان وصول]]+Table233[[#This Row],[چکهای نزد صندوق]]</f>
        <v>850500</v>
      </c>
      <c r="G74" s="93">
        <f>IFERROR(INDEX('مانده سوفاله'!F:F,MATCH(Table233[[#This Row],[کد تفصیلی]],'مانده سوفاله'!A:A,0)),0)</f>
        <v>-49</v>
      </c>
    </row>
    <row r="75" spans="1:7" ht="29.25" customHeight="1" x14ac:dyDescent="0.35">
      <c r="A75" s="74">
        <v>30129</v>
      </c>
      <c r="B75" s="73" t="s">
        <v>614</v>
      </c>
      <c r="C75" s="91">
        <f>IFERROR(INDEX('حسابهای دریافتنی'!H:H,MATCH(Table233[[#This Row],[کد تفصیلی]],'حسابهای دریافتنی'!A:A,0)),0)</f>
        <v>783000</v>
      </c>
      <c r="D75" s="92">
        <f>IFERROR(INDEX('درجریان وصول'!F:F,MATCH(Table233[[#This Row],[کد تفصیلی]],'درجریان وصول'!A:A,0)),0)</f>
        <v>0</v>
      </c>
      <c r="E75" s="92">
        <f>IFERROR(INDEX('چکهای دریافتنی'!F:F,MATCH(Table233[[#This Row],[کد تفصیلی]],'چکهای دریافتنی'!A:A,0)),0)</f>
        <v>0</v>
      </c>
      <c r="F75" s="92">
        <f>Table233[[#This Row],[حسابهای دریافتنی]]+Table233[[#This Row],[چکهای در جریان وصول]]+Table233[[#This Row],[چکهای نزد صندوق]]</f>
        <v>783000</v>
      </c>
      <c r="G75" s="93">
        <f>IFERROR(INDEX('مانده سوفاله'!F:F,MATCH(Table233[[#This Row],[کد تفصیلی]],'مانده سوفاله'!A:A,0)),0)</f>
        <v>0</v>
      </c>
    </row>
    <row r="76" spans="1:7" ht="29.25" customHeight="1" x14ac:dyDescent="0.35">
      <c r="A76" s="75">
        <v>30090</v>
      </c>
      <c r="B76" s="72" t="s">
        <v>615</v>
      </c>
      <c r="C76" s="91">
        <f>IFERROR(INDEX('حسابهای دریافتنی'!H:H,MATCH(Table233[[#This Row],[کد تفصیلی]],'حسابهای دریافتنی'!A:A,0)),0)</f>
        <v>640100</v>
      </c>
      <c r="D76" s="92">
        <f>IFERROR(INDEX('درجریان وصول'!F:F,MATCH(Table233[[#This Row],[کد تفصیلی]],'درجریان وصول'!A:A,0)),0)</f>
        <v>0</v>
      </c>
      <c r="E76" s="92">
        <f>IFERROR(INDEX('چکهای دریافتنی'!F:F,MATCH(Table233[[#This Row],[کد تفصیلی]],'چکهای دریافتنی'!A:A,0)),0)</f>
        <v>0</v>
      </c>
      <c r="F76" s="92">
        <f>Table233[[#This Row],[حسابهای دریافتنی]]+Table233[[#This Row],[چکهای در جریان وصول]]+Table233[[#This Row],[چکهای نزد صندوق]]</f>
        <v>640100</v>
      </c>
      <c r="G76" s="93">
        <f>IFERROR(INDEX('مانده سوفاله'!F:F,MATCH(Table233[[#This Row],[کد تفصیلی]],'مانده سوفاله'!A:A,0)),0)</f>
        <v>0</v>
      </c>
    </row>
    <row r="77" spans="1:7" ht="29.25" customHeight="1" x14ac:dyDescent="0.35">
      <c r="A77" s="74">
        <v>30109</v>
      </c>
      <c r="B77" s="73" t="s">
        <v>616</v>
      </c>
      <c r="C77" s="91">
        <f>IFERROR(INDEX('حسابهای دریافتنی'!H:H,MATCH(Table233[[#This Row],[کد تفصیلی]],'حسابهای دریافتنی'!A:A,0)),0)</f>
        <v>607300</v>
      </c>
      <c r="D77" s="92">
        <f>IFERROR(INDEX('درجریان وصول'!F:F,MATCH(Table233[[#This Row],[کد تفصیلی]],'درجریان وصول'!A:A,0)),0)</f>
        <v>0</v>
      </c>
      <c r="E77" s="92">
        <f>IFERROR(INDEX('چکهای دریافتنی'!F:F,MATCH(Table233[[#This Row],[کد تفصیلی]],'چکهای دریافتنی'!A:A,0)),0)</f>
        <v>0</v>
      </c>
      <c r="F77" s="92">
        <f>Table233[[#This Row],[حسابهای دریافتنی]]+Table233[[#This Row],[چکهای در جریان وصول]]+Table233[[#This Row],[چکهای نزد صندوق]]</f>
        <v>607300</v>
      </c>
      <c r="G77" s="93">
        <f>IFERROR(INDEX('مانده سوفاله'!F:F,MATCH(Table233[[#This Row],[کد تفصیلی]],'مانده سوفاله'!A:A,0)),0)</f>
        <v>0</v>
      </c>
    </row>
    <row r="78" spans="1:7" ht="29.25" customHeight="1" x14ac:dyDescent="0.35">
      <c r="A78" s="74">
        <v>30010</v>
      </c>
      <c r="B78" s="73" t="s">
        <v>617</v>
      </c>
      <c r="C78" s="91">
        <f>IFERROR(INDEX('حسابهای دریافتنی'!H:H,MATCH(Table233[[#This Row],[کد تفصیلی]],'حسابهای دریافتنی'!A:A,0)),0)</f>
        <v>366215</v>
      </c>
      <c r="D78" s="92">
        <f>IFERROR(INDEX('درجریان وصول'!F:F,MATCH(Table233[[#This Row],[کد تفصیلی]],'درجریان وصول'!A:A,0)),0)</f>
        <v>0</v>
      </c>
      <c r="E78" s="92">
        <f>IFERROR(INDEX('چکهای دریافتنی'!F:F,MATCH(Table233[[#This Row],[کد تفصیلی]],'چکهای دریافتنی'!A:A,0)),0)</f>
        <v>0</v>
      </c>
      <c r="F78" s="92">
        <f>Table233[[#This Row],[حسابهای دریافتنی]]+Table233[[#This Row],[چکهای در جریان وصول]]+Table233[[#This Row],[چکهای نزد صندوق]]</f>
        <v>366215</v>
      </c>
      <c r="G78" s="93">
        <f>IFERROR(INDEX('مانده سوفاله'!F:F,MATCH(Table233[[#This Row],[کد تفصیلی]],'مانده سوفاله'!A:A,0)),0)</f>
        <v>8</v>
      </c>
    </row>
    <row r="79" spans="1:7" ht="29.25" customHeight="1" x14ac:dyDescent="0.35">
      <c r="A79" s="74">
        <v>30077</v>
      </c>
      <c r="B79" s="73" t="s">
        <v>618</v>
      </c>
      <c r="C79" s="91">
        <f>IFERROR(INDEX('حسابهای دریافتنی'!H:H,MATCH(Table233[[#This Row],[کد تفصیلی]],'حسابهای دریافتنی'!A:A,0)),0)</f>
        <v>360000</v>
      </c>
      <c r="D79" s="92">
        <f>IFERROR(INDEX('درجریان وصول'!F:F,MATCH(Table233[[#This Row],[کد تفصیلی]],'درجریان وصول'!A:A,0)),0)</f>
        <v>0</v>
      </c>
      <c r="E79" s="92">
        <f>IFERROR(INDEX('چکهای دریافتنی'!F:F,MATCH(Table233[[#This Row],[کد تفصیلی]],'چکهای دریافتنی'!A:A,0)),0)</f>
        <v>0</v>
      </c>
      <c r="F79" s="92">
        <f>Table233[[#This Row],[حسابهای دریافتنی]]+Table233[[#This Row],[چکهای در جریان وصول]]+Table233[[#This Row],[چکهای نزد صندوق]]</f>
        <v>360000</v>
      </c>
      <c r="G79" s="93">
        <f>IFERROR(INDEX('مانده سوفاله'!F:F,MATCH(Table233[[#This Row],[کد تفصیلی]],'مانده سوفاله'!A:A,0)),0)</f>
        <v>-32</v>
      </c>
    </row>
    <row r="80" spans="1:7" ht="29.25" customHeight="1" x14ac:dyDescent="0.35">
      <c r="A80" s="75">
        <v>30027</v>
      </c>
      <c r="B80" s="72" t="s">
        <v>619</v>
      </c>
      <c r="C80" s="91">
        <f>IFERROR(INDEX('حسابهای دریافتنی'!H:H,MATCH(Table233[[#This Row],[کد تفصیلی]],'حسابهای دریافتنی'!A:A,0)),0)</f>
        <v>326950</v>
      </c>
      <c r="D80" s="92">
        <f>IFERROR(INDEX('درجریان وصول'!F:F,MATCH(Table233[[#This Row],[کد تفصیلی]],'درجریان وصول'!A:A,0)),0)</f>
        <v>0</v>
      </c>
      <c r="E80" s="92">
        <f>IFERROR(INDEX('چکهای دریافتنی'!F:F,MATCH(Table233[[#This Row],[کد تفصیلی]],'چکهای دریافتنی'!A:A,0)),0)</f>
        <v>0</v>
      </c>
      <c r="F80" s="92">
        <f>Table233[[#This Row],[حسابهای دریافتنی]]+Table233[[#This Row],[چکهای در جریان وصول]]+Table233[[#This Row],[چکهای نزد صندوق]]</f>
        <v>326950</v>
      </c>
      <c r="G80" s="93">
        <f>IFERROR(INDEX('مانده سوفاله'!F:F,MATCH(Table233[[#This Row],[کد تفصیلی]],'مانده سوفاله'!A:A,0)),0)</f>
        <v>0</v>
      </c>
    </row>
    <row r="81" spans="1:7" ht="29.25" customHeight="1" x14ac:dyDescent="0.35">
      <c r="A81" s="74">
        <v>30135</v>
      </c>
      <c r="B81" s="73" t="s">
        <v>620</v>
      </c>
      <c r="C81" s="91">
        <f>IFERROR(INDEX('حسابهای دریافتنی'!H:H,MATCH(Table233[[#This Row],[کد تفصیلی]],'حسابهای دریافتنی'!A:A,0)),0)</f>
        <v>195000</v>
      </c>
      <c r="D81" s="92">
        <f>IFERROR(INDEX('درجریان وصول'!F:F,MATCH(Table233[[#This Row],[کد تفصیلی]],'درجریان وصول'!A:A,0)),0)</f>
        <v>0</v>
      </c>
      <c r="E81" s="92">
        <f>IFERROR(INDEX('چکهای دریافتنی'!F:F,MATCH(Table233[[#This Row],[کد تفصیلی]],'چکهای دریافتنی'!A:A,0)),0)</f>
        <v>0</v>
      </c>
      <c r="F81" s="92">
        <f>Table233[[#This Row],[حسابهای دریافتنی]]+Table233[[#This Row],[چکهای در جریان وصول]]+Table233[[#This Row],[چکهای نزد صندوق]]</f>
        <v>195000</v>
      </c>
      <c r="G81" s="93">
        <f>IFERROR(INDEX('مانده سوفاله'!F:F,MATCH(Table233[[#This Row],[کد تفصیلی]],'مانده سوفاله'!A:A,0)),0)</f>
        <v>-5</v>
      </c>
    </row>
    <row r="82" spans="1:7" ht="29.25" customHeight="1" x14ac:dyDescent="0.35">
      <c r="A82" s="74">
        <v>10048</v>
      </c>
      <c r="B82" s="73" t="s">
        <v>621</v>
      </c>
      <c r="C82" s="91">
        <f>IFERROR(INDEX('حسابهای دریافتنی'!H:H,MATCH(Table233[[#This Row],[کد تفصیلی]],'حسابهای دریافتنی'!A:A,0)),0)</f>
        <v>0</v>
      </c>
      <c r="D82" s="92">
        <f>IFERROR(INDEX('درجریان وصول'!F:F,MATCH(Table233[[#This Row],[کد تفصیلی]],'درجریان وصول'!A:A,0)),0)</f>
        <v>0</v>
      </c>
      <c r="E82" s="92">
        <f>IFERROR(INDEX('چکهای دریافتنی'!F:F,MATCH(Table233[[#This Row],[کد تفصیلی]],'چکهای دریافتنی'!A:A,0)),0)</f>
        <v>0</v>
      </c>
      <c r="F82" s="92">
        <f>Table233[[#This Row],[حسابهای دریافتنی]]+Table233[[#This Row],[چکهای در جریان وصول]]+Table233[[#This Row],[چکهای نزد صندوق]]</f>
        <v>0</v>
      </c>
      <c r="G82" s="93">
        <f>IFERROR(INDEX('مانده سوفاله'!F:F,MATCH(Table233[[#This Row],[کد تفصیلی]],'مانده سوفاله'!A:A,0)),0)</f>
        <v>-1097</v>
      </c>
    </row>
    <row r="83" spans="1:7" ht="29.25" customHeight="1" x14ac:dyDescent="0.35">
      <c r="A83" s="75">
        <v>30160</v>
      </c>
      <c r="B83" s="72" t="s">
        <v>622</v>
      </c>
      <c r="C83" s="91">
        <f>IFERROR(INDEX('حسابهای دریافتنی'!H:H,MATCH(Table233[[#This Row],[کد تفصیلی]],'حسابهای دریافتنی'!A:A,0)),0)</f>
        <v>0</v>
      </c>
      <c r="D83" s="92">
        <f>IFERROR(INDEX('درجریان وصول'!F:F,MATCH(Table233[[#This Row],[کد تفصیلی]],'درجریان وصول'!A:A,0)),0)</f>
        <v>0</v>
      </c>
      <c r="E83" s="92">
        <f>IFERROR(INDEX('چکهای دریافتنی'!F:F,MATCH(Table233[[#This Row],[کد تفصیلی]],'چکهای دریافتنی'!A:A,0)),0)</f>
        <v>0</v>
      </c>
      <c r="F83" s="92">
        <f>Table233[[#This Row],[حسابهای دریافتنی]]+Table233[[#This Row],[چکهای در جریان وصول]]+Table233[[#This Row],[چکهای نزد صندوق]]</f>
        <v>0</v>
      </c>
      <c r="G83" s="93">
        <f>IFERROR(INDEX('مانده سوفاله'!F:F,MATCH(Table233[[#This Row],[کد تفصیلی]],'مانده سوفاله'!A:A,0)),0)</f>
        <v>-425</v>
      </c>
    </row>
    <row r="84" spans="1:7" ht="29.25" customHeight="1" x14ac:dyDescent="0.35">
      <c r="A84" s="74">
        <v>79010</v>
      </c>
      <c r="B84" s="73" t="s">
        <v>553</v>
      </c>
      <c r="C84" s="91">
        <f>IFERROR(INDEX('حسابهای دریافتنی'!H:H,MATCH(Table233[[#This Row],[کد تفصیلی]],'حسابهای دریافتنی'!A:A,0)),0)</f>
        <v>0</v>
      </c>
      <c r="D84" s="92">
        <f>IFERROR(INDEX('درجریان وصول'!F:F,MATCH(Table233[[#This Row],[کد تفصیلی]],'درجریان وصول'!A:A,0)),0)</f>
        <v>0</v>
      </c>
      <c r="E84" s="92">
        <f>IFERROR(INDEX('چکهای دریافتنی'!F:F,MATCH(Table233[[#This Row],[کد تفصیلی]],'چکهای دریافتنی'!A:A,0)),0)</f>
        <v>0</v>
      </c>
      <c r="F84" s="92">
        <f>Table233[[#This Row],[حسابهای دریافتنی]]+Table233[[#This Row],[چکهای در جریان وصول]]+Table233[[#This Row],[چکهای نزد صندوق]]</f>
        <v>0</v>
      </c>
      <c r="G84" s="93">
        <f>IFERROR(INDEX('مانده سوفاله'!F:F,MATCH(Table233[[#This Row],[کد تفصیلی]],'مانده سوفاله'!A:A,0)),0)</f>
        <v>-110</v>
      </c>
    </row>
    <row r="85" spans="1:7" ht="29.25" customHeight="1" x14ac:dyDescent="0.35">
      <c r="A85" s="74">
        <v>30079</v>
      </c>
      <c r="B85" s="73" t="s">
        <v>623</v>
      </c>
      <c r="C85" s="91">
        <f>IFERROR(INDEX('حسابهای دریافتنی'!H:H,MATCH(Table233[[#This Row],[کد تفصیلی]],'حسابهای دریافتنی'!A:A,0)),0)</f>
        <v>0</v>
      </c>
      <c r="D85" s="92">
        <f>IFERROR(INDEX('درجریان وصول'!F:F,MATCH(Table233[[#This Row],[کد تفصیلی]],'درجریان وصول'!A:A,0)),0)</f>
        <v>0</v>
      </c>
      <c r="E85" s="92">
        <f>IFERROR(INDEX('چکهای دریافتنی'!F:F,MATCH(Table233[[#This Row],[کد تفصیلی]],'چکهای دریافتنی'!A:A,0)),0)</f>
        <v>0</v>
      </c>
      <c r="F85" s="92">
        <f>Table233[[#This Row],[حسابهای دریافتنی]]+Table233[[#This Row],[چکهای در جریان وصول]]+Table233[[#This Row],[چکهای نزد صندوق]]</f>
        <v>0</v>
      </c>
      <c r="G85" s="93">
        <f>IFERROR(INDEX('مانده سوفاله'!F:F,MATCH(Table233[[#This Row],[کد تفصیلی]],'مانده سوفاله'!A:A,0)),0)</f>
        <v>-85</v>
      </c>
    </row>
    <row r="86" spans="1:7" ht="29.25" customHeight="1" x14ac:dyDescent="0.35">
      <c r="A86" s="74">
        <v>30097</v>
      </c>
      <c r="B86" s="73" t="s">
        <v>624</v>
      </c>
      <c r="C86" s="91">
        <f>IFERROR(INDEX('حسابهای دریافتنی'!H:H,MATCH(Table233[[#This Row],[کد تفصیلی]],'حسابهای دریافتنی'!A:A,0)),0)</f>
        <v>0</v>
      </c>
      <c r="D86" s="92">
        <f>IFERROR(INDEX('درجریان وصول'!F:F,MATCH(Table233[[#This Row],[کد تفصیلی]],'درجریان وصول'!A:A,0)),0)</f>
        <v>0</v>
      </c>
      <c r="E86" s="92">
        <f>IFERROR(INDEX('چکهای دریافتنی'!F:F,MATCH(Table233[[#This Row],[کد تفصیلی]],'چکهای دریافتنی'!A:A,0)),0)</f>
        <v>0</v>
      </c>
      <c r="F86" s="92">
        <f>Table233[[#This Row],[حسابهای دریافتنی]]+Table233[[#This Row],[چکهای در جریان وصول]]+Table233[[#This Row],[چکهای نزد صندوق]]</f>
        <v>0</v>
      </c>
      <c r="G86" s="93">
        <f>IFERROR(INDEX('مانده سوفاله'!F:F,MATCH(Table233[[#This Row],[کد تفصیلی]],'مانده سوفاله'!A:A,0)),0)</f>
        <v>-82</v>
      </c>
    </row>
    <row r="87" spans="1:7" ht="29.25" customHeight="1" x14ac:dyDescent="0.35">
      <c r="A87" s="74">
        <v>30141</v>
      </c>
      <c r="B87" s="73" t="s">
        <v>554</v>
      </c>
      <c r="C87" s="91">
        <f>IFERROR(INDEX('حسابهای دریافتنی'!H:H,MATCH(Table233[[#This Row],[کد تفصیلی]],'حسابهای دریافتنی'!A:A,0)),0)</f>
        <v>0</v>
      </c>
      <c r="D87" s="92">
        <f>IFERROR(INDEX('درجریان وصول'!F:F,MATCH(Table233[[#This Row],[کد تفصیلی]],'درجریان وصول'!A:A,0)),0)</f>
        <v>0</v>
      </c>
      <c r="E87" s="92">
        <f>IFERROR(INDEX('چکهای دریافتنی'!F:F,MATCH(Table233[[#This Row],[کد تفصیلی]],'چکهای دریافتنی'!A:A,0)),0)</f>
        <v>0</v>
      </c>
      <c r="F87" s="92">
        <f>Table233[[#This Row],[حسابهای دریافتنی]]+Table233[[#This Row],[چکهای در جریان وصول]]+Table233[[#This Row],[چکهای نزد صندوق]]</f>
        <v>0</v>
      </c>
      <c r="G87" s="93">
        <f>IFERROR(INDEX('مانده سوفاله'!F:F,MATCH(Table233[[#This Row],[کد تفصیلی]],'مانده سوفاله'!A:A,0)),0)</f>
        <v>-42</v>
      </c>
    </row>
    <row r="88" spans="1:7" ht="29.25" customHeight="1" x14ac:dyDescent="0.35">
      <c r="A88" s="75">
        <v>30118</v>
      </c>
      <c r="B88" s="72" t="s">
        <v>205</v>
      </c>
      <c r="C88" s="91">
        <f>IFERROR(INDEX('حسابهای دریافتنی'!H:H,MATCH(Table233[[#This Row],[کد تفصیلی]],'حسابهای دریافتنی'!A:A,0)),0)</f>
        <v>0</v>
      </c>
      <c r="D88" s="92">
        <f>IFERROR(INDEX('درجریان وصول'!F:F,MATCH(Table233[[#This Row],[کد تفصیلی]],'درجریان وصول'!A:A,0)),0)</f>
        <v>0</v>
      </c>
      <c r="E88" s="92">
        <f>IFERROR(INDEX('چکهای دریافتنی'!F:F,MATCH(Table233[[#This Row],[کد تفصیلی]],'چکهای دریافتنی'!A:A,0)),0)</f>
        <v>0</v>
      </c>
      <c r="F88" s="92">
        <f>Table233[[#This Row],[حسابهای دریافتنی]]+Table233[[#This Row],[چکهای در جریان وصول]]+Table233[[#This Row],[چکهای نزد صندوق]]</f>
        <v>0</v>
      </c>
      <c r="G88" s="93">
        <f>IFERROR(INDEX('مانده سوفاله'!F:F,MATCH(Table233[[#This Row],[کد تفصیلی]],'مانده سوفاله'!A:A,0)),0)</f>
        <v>-20</v>
      </c>
    </row>
    <row r="89" spans="1:7" ht="29.25" customHeight="1" x14ac:dyDescent="0.35">
      <c r="A89" s="74">
        <v>10076</v>
      </c>
      <c r="B89" s="73" t="s">
        <v>625</v>
      </c>
      <c r="C89" s="91">
        <f>IFERROR(INDEX('حسابهای دریافتنی'!H:H,MATCH(Table233[[#This Row],[کد تفصیلی]],'حسابهای دریافتنی'!A:A,0)),0)</f>
        <v>0</v>
      </c>
      <c r="D89" s="92">
        <f>IFERROR(INDEX('درجریان وصول'!F:F,MATCH(Table233[[#This Row],[کد تفصیلی]],'درجریان وصول'!A:A,0)),0)</f>
        <v>0</v>
      </c>
      <c r="E89" s="92">
        <f>IFERROR(INDEX('چکهای دریافتنی'!F:F,MATCH(Table233[[#This Row],[کد تفصیلی]],'چکهای دریافتنی'!A:A,0)),0)</f>
        <v>0</v>
      </c>
      <c r="F89" s="92">
        <f>Table233[[#This Row],[حسابهای دریافتنی]]+Table233[[#This Row],[چکهای در جریان وصول]]+Table233[[#This Row],[چکهای نزد صندوق]]</f>
        <v>0</v>
      </c>
      <c r="G89" s="93">
        <f>IFERROR(INDEX('مانده سوفاله'!F:F,MATCH(Table233[[#This Row],[کد تفصیلی]],'مانده سوفاله'!A:A,0)),0)</f>
        <v>-13</v>
      </c>
    </row>
    <row r="90" spans="1:7" ht="29.25" customHeight="1" x14ac:dyDescent="0.35">
      <c r="A90" s="75">
        <v>30031</v>
      </c>
      <c r="B90" s="72" t="s">
        <v>78</v>
      </c>
      <c r="C90" s="91">
        <f>IFERROR(INDEX('حسابهای دریافتنی'!H:H,MATCH(Table233[[#This Row],[کد تفصیلی]],'حسابهای دریافتنی'!A:A,0)),0)</f>
        <v>0</v>
      </c>
      <c r="D90" s="92">
        <f>IFERROR(INDEX('درجریان وصول'!F:F,MATCH(Table233[[#This Row],[کد تفصیلی]],'درجریان وصول'!A:A,0)),0)</f>
        <v>0</v>
      </c>
      <c r="E90" s="92">
        <f>IFERROR(INDEX('چکهای دریافتنی'!F:F,MATCH(Table233[[#This Row],[کد تفصیلی]],'چکهای دریافتنی'!A:A,0)),0)</f>
        <v>0</v>
      </c>
      <c r="F90" s="92">
        <f>Table233[[#This Row],[حسابهای دریافتنی]]+Table233[[#This Row],[چکهای در جریان وصول]]+Table233[[#This Row],[چکهای نزد صندوق]]</f>
        <v>0</v>
      </c>
      <c r="G90" s="93">
        <f>IFERROR(INDEX('مانده سوفاله'!F:F,MATCH(Table233[[#This Row],[کد تفصیلی]],'مانده سوفاله'!A:A,0)),0)</f>
        <v>-1</v>
      </c>
    </row>
    <row r="91" spans="1:7" ht="29.25" customHeight="1" x14ac:dyDescent="0.35">
      <c r="A91" s="74">
        <v>30202</v>
      </c>
      <c r="B91" s="73" t="s">
        <v>525</v>
      </c>
      <c r="C91" s="91">
        <f>IFERROR(INDEX('حسابهای دریافتنی'!H:H,MATCH(Table233[[#This Row],[کد تفصیلی]],'حسابهای دریافتنی'!A:A,0)),0)</f>
        <v>0</v>
      </c>
      <c r="D91" s="92">
        <f>IFERROR(INDEX('درجریان وصول'!F:F,MATCH(Table233[[#This Row],[کد تفصیلی]],'درجریان وصول'!A:A,0)),0)</f>
        <v>0</v>
      </c>
      <c r="E91" s="92">
        <f>IFERROR(INDEX('چکهای دریافتنی'!F:F,MATCH(Table233[[#This Row],[کد تفصیلی]],'چکهای دریافتنی'!A:A,0)),0)</f>
        <v>0</v>
      </c>
      <c r="F91" s="92">
        <f>Table233[[#This Row],[حسابهای دریافتنی]]+Table233[[#This Row],[چکهای در جریان وصول]]+Table233[[#This Row],[چکهای نزد صندوق]]</f>
        <v>0</v>
      </c>
      <c r="G91" s="93">
        <f>IFERROR(INDEX('مانده سوفاله'!F:F,MATCH(Table233[[#This Row],[کد تفصیلی]],'مانده سوفاله'!A:A,0)),0)</f>
        <v>1</v>
      </c>
    </row>
    <row r="92" spans="1:7" ht="29.25" customHeight="1" x14ac:dyDescent="0.35">
      <c r="A92" s="75">
        <v>30062</v>
      </c>
      <c r="B92" s="72" t="s">
        <v>626</v>
      </c>
      <c r="C92" s="91">
        <f>IFERROR(INDEX('حسابهای دریافتنی'!H:H,MATCH(Table233[[#This Row],[کد تفصیلی]],'حسابهای دریافتنی'!A:A,0)),0)</f>
        <v>0</v>
      </c>
      <c r="D92" s="92">
        <f>IFERROR(INDEX('درجریان وصول'!F:F,MATCH(Table233[[#This Row],[کد تفصیلی]],'درجریان وصول'!A:A,0)),0)</f>
        <v>0</v>
      </c>
      <c r="E92" s="92">
        <f>IFERROR(INDEX('چکهای دریافتنی'!F:F,MATCH(Table233[[#This Row],[کد تفصیلی]],'چکهای دریافتنی'!A:A,0)),0)</f>
        <v>0</v>
      </c>
      <c r="F92" s="92">
        <f>Table233[[#This Row],[حسابهای دریافتنی]]+Table233[[#This Row],[چکهای در جریان وصول]]+Table233[[#This Row],[چکهای نزد صندوق]]</f>
        <v>0</v>
      </c>
      <c r="G92" s="93">
        <f>IFERROR(INDEX('مانده سوفاله'!F:F,MATCH(Table233[[#This Row],[کد تفصیلی]],'مانده سوفاله'!A:A,0)),0)</f>
        <v>1</v>
      </c>
    </row>
    <row r="93" spans="1:7" ht="29.25" customHeight="1" x14ac:dyDescent="0.35">
      <c r="A93" s="74">
        <v>30071</v>
      </c>
      <c r="B93" s="73" t="s">
        <v>555</v>
      </c>
      <c r="C93" s="91">
        <f>IFERROR(INDEX('حسابهای دریافتنی'!H:H,MATCH(Table233[[#This Row],[کد تفصیلی]],'حسابهای دریافتنی'!A:A,0)),0)</f>
        <v>0</v>
      </c>
      <c r="D93" s="92">
        <f>IFERROR(INDEX('درجریان وصول'!F:F,MATCH(Table233[[#This Row],[کد تفصیلی]],'درجریان وصول'!A:A,0)),0)</f>
        <v>0</v>
      </c>
      <c r="E93" s="92">
        <f>IFERROR(INDEX('چکهای دریافتنی'!F:F,MATCH(Table233[[#This Row],[کد تفصیلی]],'چکهای دریافتنی'!A:A,0)),0)</f>
        <v>0</v>
      </c>
      <c r="F93" s="92">
        <f>Table233[[#This Row],[حسابهای دریافتنی]]+Table233[[#This Row],[چکهای در جریان وصول]]+Table233[[#This Row],[چکهای نزد صندوق]]</f>
        <v>0</v>
      </c>
      <c r="G93" s="93">
        <f>IFERROR(INDEX('مانده سوفاله'!F:F,MATCH(Table233[[#This Row],[کد تفصیلی]],'مانده سوفاله'!A:A,0)),0)</f>
        <v>3</v>
      </c>
    </row>
    <row r="94" spans="1:7" ht="29.25" customHeight="1" x14ac:dyDescent="0.35">
      <c r="A94" s="75">
        <v>10039</v>
      </c>
      <c r="B94" s="72" t="s">
        <v>627</v>
      </c>
      <c r="C94" s="91">
        <f>IFERROR(INDEX('حسابهای دریافتنی'!H:H,MATCH(Table233[[#This Row],[کد تفصیلی]],'حسابهای دریافتنی'!A:A,0)),0)</f>
        <v>0</v>
      </c>
      <c r="D94" s="92">
        <f>IFERROR(INDEX('درجریان وصول'!F:F,MATCH(Table233[[#This Row],[کد تفصیلی]],'درجریان وصول'!A:A,0)),0)</f>
        <v>0</v>
      </c>
      <c r="E94" s="92">
        <f>IFERROR(INDEX('چکهای دریافتنی'!F:F,MATCH(Table233[[#This Row],[کد تفصیلی]],'چکهای دریافتنی'!A:A,0)),0)</f>
        <v>0</v>
      </c>
      <c r="F94" s="92">
        <f>Table233[[#This Row],[حسابهای دریافتنی]]+Table233[[#This Row],[چکهای در جریان وصول]]+Table233[[#This Row],[چکهای نزد صندوق]]</f>
        <v>0</v>
      </c>
      <c r="G94" s="93">
        <f>IFERROR(INDEX('مانده سوفاله'!F:F,MATCH(Table233[[#This Row],[کد تفصیلی]],'مانده سوفاله'!A:A,0)),0)</f>
        <v>4</v>
      </c>
    </row>
    <row r="95" spans="1:7" ht="29.25" customHeight="1" x14ac:dyDescent="0.35">
      <c r="A95" s="75">
        <v>10023</v>
      </c>
      <c r="B95" s="72" t="s">
        <v>628</v>
      </c>
      <c r="C95" s="91">
        <f>IFERROR(INDEX('حسابهای دریافتنی'!H:H,MATCH(Table233[[#This Row],[کد تفصیلی]],'حسابهای دریافتنی'!A:A,0)),0)</f>
        <v>0</v>
      </c>
      <c r="D95" s="92">
        <f>IFERROR(INDEX('درجریان وصول'!F:F,MATCH(Table233[[#This Row],[کد تفصیلی]],'درجریان وصول'!A:A,0)),0)</f>
        <v>0</v>
      </c>
      <c r="E95" s="92">
        <f>IFERROR(INDEX('چکهای دریافتنی'!F:F,MATCH(Table233[[#This Row],[کد تفصیلی]],'چکهای دریافتنی'!A:A,0)),0)</f>
        <v>0</v>
      </c>
      <c r="F95" s="92">
        <f>Table233[[#This Row],[حسابهای دریافتنی]]+Table233[[#This Row],[چکهای در جریان وصول]]+Table233[[#This Row],[چکهای نزد صندوق]]</f>
        <v>0</v>
      </c>
      <c r="G95" s="93">
        <f>IFERROR(INDEX('مانده سوفاله'!F:F,MATCH(Table233[[#This Row],[کد تفصیلی]],'مانده سوفاله'!A:A,0)),0)</f>
        <v>6</v>
      </c>
    </row>
    <row r="96" spans="1:7" ht="29.25" customHeight="1" x14ac:dyDescent="0.35">
      <c r="A96" s="74">
        <v>10010</v>
      </c>
      <c r="B96" s="73" t="s">
        <v>629</v>
      </c>
      <c r="C96" s="91">
        <f>IFERROR(INDEX('حسابهای دریافتنی'!H:H,MATCH(Table233[[#This Row],[کد تفصیلی]],'حسابهای دریافتنی'!A:A,0)),0)</f>
        <v>0</v>
      </c>
      <c r="D96" s="92">
        <f>IFERROR(INDEX('درجریان وصول'!F:F,MATCH(Table233[[#This Row],[کد تفصیلی]],'درجریان وصول'!A:A,0)),0)</f>
        <v>0</v>
      </c>
      <c r="E96" s="92">
        <f>IFERROR(INDEX('چکهای دریافتنی'!F:F,MATCH(Table233[[#This Row],[کد تفصیلی]],'چکهای دریافتنی'!A:A,0)),0)</f>
        <v>0</v>
      </c>
      <c r="F96" s="92">
        <f>Table233[[#This Row],[حسابهای دریافتنی]]+Table233[[#This Row],[چکهای در جریان وصول]]+Table233[[#This Row],[چکهای نزد صندوق]]</f>
        <v>0</v>
      </c>
      <c r="G96" s="93">
        <f>IFERROR(INDEX('مانده سوفاله'!F:F,MATCH(Table233[[#This Row],[کد تفصیلی]],'مانده سوفاله'!A:A,0)),0)</f>
        <v>8</v>
      </c>
    </row>
    <row r="97" spans="1:7" ht="29.25" customHeight="1" x14ac:dyDescent="0.35">
      <c r="A97" s="75">
        <v>30142</v>
      </c>
      <c r="B97" s="72" t="s">
        <v>630</v>
      </c>
      <c r="C97" s="91">
        <f>IFERROR(INDEX('حسابهای دریافتنی'!H:H,MATCH(Table233[[#This Row],[کد تفصیلی]],'حسابهای دریافتنی'!A:A,0)),0)</f>
        <v>0</v>
      </c>
      <c r="D97" s="92">
        <f>IFERROR(INDEX('درجریان وصول'!F:F,MATCH(Table233[[#This Row],[کد تفصیلی]],'درجریان وصول'!A:A,0)),0)</f>
        <v>0</v>
      </c>
      <c r="E97" s="92">
        <f>IFERROR(INDEX('چکهای دریافتنی'!F:F,MATCH(Table233[[#This Row],[کد تفصیلی]],'چکهای دریافتنی'!A:A,0)),0)</f>
        <v>0</v>
      </c>
      <c r="F97" s="92">
        <f>Table233[[#This Row],[حسابهای دریافتنی]]+Table233[[#This Row],[چکهای در جریان وصول]]+Table233[[#This Row],[چکهای نزد صندوق]]</f>
        <v>0</v>
      </c>
      <c r="G97" s="93">
        <f>IFERROR(INDEX('مانده سوفاله'!F:F,MATCH(Table233[[#This Row],[کد تفصیلی]],'مانده سوفاله'!A:A,0)),0)</f>
        <v>13</v>
      </c>
    </row>
    <row r="98" spans="1:7" ht="29.25" customHeight="1" x14ac:dyDescent="0.35">
      <c r="A98" s="74">
        <v>10014</v>
      </c>
      <c r="B98" s="73" t="s">
        <v>631</v>
      </c>
      <c r="C98" s="91">
        <f>IFERROR(INDEX('حسابهای دریافتنی'!H:H,MATCH(Table233[[#This Row],[کد تفصیلی]],'حسابهای دریافتنی'!A:A,0)),0)</f>
        <v>0</v>
      </c>
      <c r="D98" s="92">
        <f>IFERROR(INDEX('درجریان وصول'!F:F,MATCH(Table233[[#This Row],[کد تفصیلی]],'درجریان وصول'!A:A,0)),0)</f>
        <v>0</v>
      </c>
      <c r="E98" s="92">
        <f>IFERROR(INDEX('چکهای دریافتنی'!F:F,MATCH(Table233[[#This Row],[کد تفصیلی]],'چکهای دریافتنی'!A:A,0)),0)</f>
        <v>0</v>
      </c>
      <c r="F98" s="92">
        <f>Table233[[#This Row],[حسابهای دریافتنی]]+Table233[[#This Row],[چکهای در جریان وصول]]+Table233[[#This Row],[چکهای نزد صندوق]]</f>
        <v>0</v>
      </c>
      <c r="G98" s="93">
        <f>IFERROR(INDEX('مانده سوفاله'!F:F,MATCH(Table233[[#This Row],[کد تفصیلی]],'مانده سوفاله'!A:A,0)),0)</f>
        <v>21</v>
      </c>
    </row>
    <row r="99" spans="1:7" ht="29.25" customHeight="1" x14ac:dyDescent="0.35">
      <c r="A99" s="74">
        <v>30065</v>
      </c>
      <c r="B99" s="73" t="s">
        <v>110</v>
      </c>
      <c r="C99" s="91">
        <f>IFERROR(INDEX('حسابهای دریافتنی'!H:H,MATCH(Table233[[#This Row],[کد تفصیلی]],'حسابهای دریافتنی'!A:A,0)),0)</f>
        <v>0</v>
      </c>
      <c r="D99" s="92">
        <f>IFERROR(INDEX('درجریان وصول'!F:F,MATCH(Table233[[#This Row],[کد تفصیلی]],'درجریان وصول'!A:A,0)),0)</f>
        <v>0</v>
      </c>
      <c r="E99" s="92">
        <f>IFERROR(INDEX('چکهای دریافتنی'!F:F,MATCH(Table233[[#This Row],[کد تفصیلی]],'چکهای دریافتنی'!A:A,0)),0)</f>
        <v>0</v>
      </c>
      <c r="F99" s="92">
        <f>Table233[[#This Row],[حسابهای دریافتنی]]+Table233[[#This Row],[چکهای در جریان وصول]]+Table233[[#This Row],[چکهای نزد صندوق]]</f>
        <v>0</v>
      </c>
      <c r="G99" s="93">
        <f>IFERROR(INDEX('مانده سوفاله'!F:F,MATCH(Table233[[#This Row],[کد تفصیلی]],'مانده سوفاله'!A:A,0)),0)</f>
        <v>33</v>
      </c>
    </row>
    <row r="100" spans="1:7" ht="29.25" customHeight="1" x14ac:dyDescent="0.35">
      <c r="A100" s="74">
        <v>30055</v>
      </c>
      <c r="B100" s="73" t="s">
        <v>556</v>
      </c>
      <c r="C100" s="91">
        <f>IFERROR(INDEX('حسابهای دریافتنی'!H:H,MATCH(Table233[[#This Row],[کد تفصیلی]],'حسابهای دریافتنی'!A:A,0)),0)</f>
        <v>0</v>
      </c>
      <c r="D100" s="92">
        <f>IFERROR(INDEX('درجریان وصول'!F:F,MATCH(Table233[[#This Row],[کد تفصیلی]],'درجریان وصول'!A:A,0)),0)</f>
        <v>0</v>
      </c>
      <c r="E100" s="92">
        <f>IFERROR(INDEX('چکهای دریافتنی'!F:F,MATCH(Table233[[#This Row],[کد تفصیلی]],'چکهای دریافتنی'!A:A,0)),0)</f>
        <v>0</v>
      </c>
      <c r="F100" s="92">
        <f>Table233[[#This Row],[حسابهای دریافتنی]]+Table233[[#This Row],[چکهای در جریان وصول]]+Table233[[#This Row],[چکهای نزد صندوق]]</f>
        <v>0</v>
      </c>
      <c r="G100" s="93">
        <f>IFERROR(INDEX('مانده سوفاله'!F:F,MATCH(Table233[[#This Row],[کد تفصیلی]],'مانده سوفاله'!A:A,0)),0)</f>
        <v>48</v>
      </c>
    </row>
    <row r="101" spans="1:7" ht="29.25" customHeight="1" x14ac:dyDescent="0.35">
      <c r="A101" s="74">
        <v>10046</v>
      </c>
      <c r="B101" s="73" t="s">
        <v>632</v>
      </c>
      <c r="C101" s="91">
        <f>IFERROR(INDEX('حسابهای دریافتنی'!H:H,MATCH(Table233[[#This Row],[کد تفصیلی]],'حسابهای دریافتنی'!A:A,0)),0)</f>
        <v>0</v>
      </c>
      <c r="D101" s="92">
        <f>IFERROR(INDEX('درجریان وصول'!F:F,MATCH(Table233[[#This Row],[کد تفصیلی]],'درجریان وصول'!A:A,0)),0)</f>
        <v>0</v>
      </c>
      <c r="E101" s="92">
        <f>IFERROR(INDEX('چکهای دریافتنی'!F:F,MATCH(Table233[[#This Row],[کد تفصیلی]],'چکهای دریافتنی'!A:A,0)),0)</f>
        <v>0</v>
      </c>
      <c r="F101" s="92">
        <f>Table233[[#This Row],[حسابهای دریافتنی]]+Table233[[#This Row],[چکهای در جریان وصول]]+Table233[[#This Row],[چکهای نزد صندوق]]</f>
        <v>0</v>
      </c>
      <c r="G101" s="93">
        <f>IFERROR(INDEX('مانده سوفاله'!F:F,MATCH(Table233[[#This Row],[کد تفصیلی]],'مانده سوفاله'!A:A,0)),0)</f>
        <v>118</v>
      </c>
    </row>
    <row r="102" spans="1:7" ht="29.25" customHeight="1" x14ac:dyDescent="0.35">
      <c r="A102" s="75">
        <v>10065</v>
      </c>
      <c r="B102" s="72" t="s">
        <v>633</v>
      </c>
      <c r="C102" s="91">
        <f>IFERROR(INDEX('حسابهای دریافتنی'!H:H,MATCH(Table233[[#This Row],[کد تفصیلی]],'حسابهای دریافتنی'!A:A,0)),0)</f>
        <v>0</v>
      </c>
      <c r="D102" s="92">
        <f>IFERROR(INDEX('درجریان وصول'!F:F,MATCH(Table233[[#This Row],[کد تفصیلی]],'درجریان وصول'!A:A,0)),0)</f>
        <v>0</v>
      </c>
      <c r="E102" s="92">
        <f>IFERROR(INDEX('چکهای دریافتنی'!F:F,MATCH(Table233[[#This Row],[کد تفصیلی]],'چکهای دریافتنی'!A:A,0)),0)</f>
        <v>0</v>
      </c>
      <c r="F102" s="92">
        <f>Table233[[#This Row],[حسابهای دریافتنی]]+Table233[[#This Row],[چکهای در جریان وصول]]+Table233[[#This Row],[چکهای نزد صندوق]]</f>
        <v>0</v>
      </c>
      <c r="G102" s="93">
        <f>IFERROR(INDEX('مانده سوفاله'!F:F,MATCH(Table233[[#This Row],[کد تفصیلی]],'مانده سوفاله'!A:A,0)),0)</f>
        <v>127</v>
      </c>
    </row>
    <row r="103" spans="1:7" ht="29.25" customHeight="1" x14ac:dyDescent="0.35">
      <c r="A103" s="75">
        <v>10019</v>
      </c>
      <c r="B103" s="72" t="s">
        <v>634</v>
      </c>
      <c r="C103" s="91">
        <f>IFERROR(INDEX('حسابهای دریافتنی'!H:H,MATCH(Table233[[#This Row],[کد تفصیلی]],'حسابهای دریافتنی'!A:A,0)),0)</f>
        <v>0</v>
      </c>
      <c r="D103" s="92">
        <f>IFERROR(INDEX('درجریان وصول'!F:F,MATCH(Table233[[#This Row],[کد تفصیلی]],'درجریان وصول'!A:A,0)),0)</f>
        <v>0</v>
      </c>
      <c r="E103" s="92">
        <f>IFERROR(INDEX('چکهای دریافتنی'!F:F,MATCH(Table233[[#This Row],[کد تفصیلی]],'چکهای دریافتنی'!A:A,0)),0)</f>
        <v>0</v>
      </c>
      <c r="F103" s="92">
        <f>Table233[[#This Row],[حسابهای دریافتنی]]+Table233[[#This Row],[چکهای در جریان وصول]]+Table233[[#This Row],[چکهای نزد صندوق]]</f>
        <v>0</v>
      </c>
      <c r="G103" s="93">
        <f>IFERROR(INDEX('مانده سوفاله'!F:F,MATCH(Table233[[#This Row],[کد تفصیلی]],'مانده سوفاله'!A:A,0)),0)</f>
        <v>285</v>
      </c>
    </row>
    <row r="104" spans="1:7" ht="29.25" customHeight="1" x14ac:dyDescent="0.35">
      <c r="A104" s="75">
        <v>30124</v>
      </c>
      <c r="B104" s="72" t="s">
        <v>635</v>
      </c>
      <c r="C104" s="91">
        <f>IFERROR(INDEX('حسابهای دریافتنی'!H:H,MATCH(Table233[[#This Row],[کد تفصیلی]],'حسابهای دریافتنی'!A:A,0)),0)</f>
        <v>0</v>
      </c>
      <c r="D104" s="92">
        <f>IFERROR(INDEX('درجریان وصول'!F:F,MATCH(Table233[[#This Row],[کد تفصیلی]],'درجریان وصول'!A:A,0)),0)</f>
        <v>0</v>
      </c>
      <c r="E104" s="92">
        <f>IFERROR(INDEX('چکهای دریافتنی'!F:F,MATCH(Table233[[#This Row],[کد تفصیلی]],'چکهای دریافتنی'!A:A,0)),0)</f>
        <v>505676000</v>
      </c>
      <c r="F104" s="92">
        <f>Table233[[#This Row],[حسابهای دریافتنی]]+Table233[[#This Row],[چکهای در جریان وصول]]+Table233[[#This Row],[چکهای نزد صندوق]]</f>
        <v>505676000</v>
      </c>
      <c r="G104" s="93">
        <f>IFERROR(INDEX('مانده سوفاله'!F:F,MATCH(Table233[[#This Row],[کد تفصیلی]],'مانده سوفاله'!A:A,0)),0)</f>
        <v>1498</v>
      </c>
    </row>
    <row r="105" spans="1:7" ht="29.25" customHeight="1" x14ac:dyDescent="0.35">
      <c r="A105" s="74">
        <v>10104</v>
      </c>
      <c r="B105" s="73" t="s">
        <v>636</v>
      </c>
      <c r="C105" s="91">
        <f>IFERROR(INDEX('حسابهای دریافتنی'!H:H,MATCH(Table233[[#This Row],[کد تفصیلی]],'حسابهای دریافتنی'!A:A,0)),0)</f>
        <v>0</v>
      </c>
      <c r="D105" s="92">
        <f>IFERROR(INDEX('درجریان وصول'!F:F,MATCH(Table233[[#This Row],[کد تفصیلی]],'درجریان وصول'!A:A,0)),0)</f>
        <v>0</v>
      </c>
      <c r="E105" s="92">
        <f>IFERROR(INDEX('چکهای دریافتنی'!F:F,MATCH(Table233[[#This Row],[کد تفصیلی]],'چکهای دریافتنی'!A:A,0)),0)</f>
        <v>0</v>
      </c>
      <c r="F105" s="92">
        <f>Table233[[#This Row],[حسابهای دریافتنی]]+Table233[[#This Row],[چکهای در جریان وصول]]+Table233[[#This Row],[چکهای نزد صندوق]]</f>
        <v>0</v>
      </c>
      <c r="G105" s="93">
        <f>IFERROR(INDEX('مانده سوفاله'!F:F,MATCH(Table233[[#This Row],[کد تفصیلی]],'مانده سوفاله'!A:A,0)),0)</f>
        <v>4065</v>
      </c>
    </row>
    <row r="106" spans="1:7" ht="29.25" customHeight="1" x14ac:dyDescent="0.35">
      <c r="A106" s="75">
        <v>10128</v>
      </c>
      <c r="B106" s="72" t="s">
        <v>397</v>
      </c>
      <c r="C106" s="91">
        <f>IFERROR(INDEX('حسابهای دریافتنی'!H:H,MATCH(Table233[[#This Row],[کد تفصیلی]],'حسابهای دریافتنی'!A:A,0)),0)</f>
        <v>-45000</v>
      </c>
      <c r="D106" s="92">
        <f>IFERROR(INDEX('درجریان وصول'!F:F,MATCH(Table233[[#This Row],[کد تفصیلی]],'درجریان وصول'!A:A,0)),0)</f>
        <v>0</v>
      </c>
      <c r="E106" s="92">
        <f>IFERROR(INDEX('چکهای دریافتنی'!F:F,MATCH(Table233[[#This Row],[کد تفصیلی]],'چکهای دریافتنی'!A:A,0)),0)</f>
        <v>0</v>
      </c>
      <c r="F106" s="92">
        <f>Table233[[#This Row],[حسابهای دریافتنی]]+Table233[[#This Row],[چکهای در جریان وصول]]+Table233[[#This Row],[چکهای نزد صندوق]]</f>
        <v>-45000</v>
      </c>
      <c r="G106" s="93">
        <f>IFERROR(INDEX('مانده سوفاله'!F:F,MATCH(Table233[[#This Row],[کد تفصیلی]],'مانده سوفاله'!A:A,0)),0)</f>
        <v>6</v>
      </c>
    </row>
    <row r="107" spans="1:7" ht="29.25" customHeight="1" x14ac:dyDescent="0.35">
      <c r="A107" s="74">
        <v>10066</v>
      </c>
      <c r="B107" s="73" t="s">
        <v>637</v>
      </c>
      <c r="C107" s="91">
        <f>IFERROR(INDEX('حسابهای دریافتنی'!H:H,MATCH(Table233[[#This Row],[کد تفصیلی]],'حسابهای دریافتنی'!A:A,0)),0)</f>
        <v>-191500</v>
      </c>
      <c r="D107" s="92">
        <f>IFERROR(INDEX('درجریان وصول'!F:F,MATCH(Table233[[#This Row],[کد تفصیلی]],'درجریان وصول'!A:A,0)),0)</f>
        <v>0</v>
      </c>
      <c r="E107" s="92">
        <f>IFERROR(INDEX('چکهای دریافتنی'!F:F,MATCH(Table233[[#This Row],[کد تفصیلی]],'چکهای دریافتنی'!A:A,0)),0)</f>
        <v>0</v>
      </c>
      <c r="F107" s="92">
        <f>Table233[[#This Row],[حسابهای دریافتنی]]+Table233[[#This Row],[چکهای در جریان وصول]]+Table233[[#This Row],[چکهای نزد صندوق]]</f>
        <v>-191500</v>
      </c>
      <c r="G107" s="93">
        <f>IFERROR(INDEX('مانده سوفاله'!F:F,MATCH(Table233[[#This Row],[کد تفصیلی]],'مانده سوفاله'!A:A,0)),0)</f>
        <v>2</v>
      </c>
    </row>
    <row r="108" spans="1:7" ht="29.25" customHeight="1" x14ac:dyDescent="0.35">
      <c r="A108" s="74">
        <v>30167</v>
      </c>
      <c r="B108" s="73" t="s">
        <v>638</v>
      </c>
      <c r="C108" s="91">
        <f>IFERROR(INDEX('حسابهای دریافتنی'!H:H,MATCH(Table233[[#This Row],[کد تفصیلی]],'حسابهای دریافتنی'!A:A,0)),0)</f>
        <v>-221000</v>
      </c>
      <c r="D108" s="92">
        <f>IFERROR(INDEX('درجریان وصول'!F:F,MATCH(Table233[[#This Row],[کد تفصیلی]],'درجریان وصول'!A:A,0)),0)</f>
        <v>0</v>
      </c>
      <c r="E108" s="92">
        <f>IFERROR(INDEX('چکهای دریافتنی'!F:F,MATCH(Table233[[#This Row],[کد تفصیلی]],'چکهای دریافتنی'!A:A,0)),0)</f>
        <v>0</v>
      </c>
      <c r="F108" s="92">
        <f>Table233[[#This Row],[حسابهای دریافتنی]]+Table233[[#This Row],[چکهای در جریان وصول]]+Table233[[#This Row],[چکهای نزد صندوق]]</f>
        <v>-221000</v>
      </c>
      <c r="G108" s="93">
        <f>IFERROR(INDEX('مانده سوفاله'!F:F,MATCH(Table233[[#This Row],[کد تفصیلی]],'مانده سوفاله'!A:A,0)),0)</f>
        <v>6</v>
      </c>
    </row>
    <row r="109" spans="1:7" ht="29.25" customHeight="1" x14ac:dyDescent="0.35">
      <c r="A109" s="75">
        <v>10077</v>
      </c>
      <c r="B109" s="72" t="s">
        <v>639</v>
      </c>
      <c r="C109" s="91">
        <f>IFERROR(INDEX('حسابهای دریافتنی'!H:H,MATCH(Table233[[#This Row],[کد تفصیلی]],'حسابهای دریافتنی'!A:A,0)),0)</f>
        <v>-238500</v>
      </c>
      <c r="D109" s="92">
        <f>IFERROR(INDEX('درجریان وصول'!F:F,MATCH(Table233[[#This Row],[کد تفصیلی]],'درجریان وصول'!A:A,0)),0)</f>
        <v>0</v>
      </c>
      <c r="E109" s="92">
        <f>IFERROR(INDEX('چکهای دریافتنی'!F:F,MATCH(Table233[[#This Row],[کد تفصیلی]],'چکهای دریافتنی'!A:A,0)),0)</f>
        <v>0</v>
      </c>
      <c r="F109" s="92">
        <f>Table233[[#This Row],[حسابهای دریافتنی]]+Table233[[#This Row],[چکهای در جریان وصول]]+Table233[[#This Row],[چکهای نزد صندوق]]</f>
        <v>-238500</v>
      </c>
      <c r="G109" s="93">
        <f>IFERROR(INDEX('مانده سوفاله'!F:F,MATCH(Table233[[#This Row],[کد تفصیلی]],'مانده سوفاله'!A:A,0)),0)</f>
        <v>0</v>
      </c>
    </row>
    <row r="110" spans="1:7" ht="29.25" customHeight="1" x14ac:dyDescent="0.35">
      <c r="A110" s="74">
        <v>10012</v>
      </c>
      <c r="B110" s="73" t="s">
        <v>640</v>
      </c>
      <c r="C110" s="91">
        <f>IFERROR(INDEX('حسابهای دریافتنی'!H:H,MATCH(Table233[[#This Row],[کد تفصیلی]],'حسابهای دریافتنی'!A:A,0)),0)</f>
        <v>-244000</v>
      </c>
      <c r="D110" s="92">
        <f>IFERROR(INDEX('درجریان وصول'!F:F,MATCH(Table233[[#This Row],[کد تفصیلی]],'درجریان وصول'!A:A,0)),0)</f>
        <v>0</v>
      </c>
      <c r="E110" s="92">
        <f>IFERROR(INDEX('چکهای دریافتنی'!F:F,MATCH(Table233[[#This Row],[کد تفصیلی]],'چکهای دریافتنی'!A:A,0)),0)</f>
        <v>0</v>
      </c>
      <c r="F110" s="92">
        <f>Table233[[#This Row],[حسابهای دریافتنی]]+Table233[[#This Row],[چکهای در جریان وصول]]+Table233[[#This Row],[چکهای نزد صندوق]]</f>
        <v>-244000</v>
      </c>
      <c r="G110" s="93">
        <f>IFERROR(INDEX('مانده سوفاله'!F:F,MATCH(Table233[[#This Row],[کد تفصیلی]],'مانده سوفاله'!A:A,0)),0)</f>
        <v>0</v>
      </c>
    </row>
    <row r="111" spans="1:7" ht="29.25" customHeight="1" x14ac:dyDescent="0.35">
      <c r="A111" s="75">
        <v>30088</v>
      </c>
      <c r="B111" s="72" t="s">
        <v>557</v>
      </c>
      <c r="C111" s="91">
        <f>IFERROR(INDEX('حسابهای دریافتنی'!H:H,MATCH(Table233[[#This Row],[کد تفصیلی]],'حسابهای دریافتنی'!A:A,0)),0)</f>
        <v>-252000</v>
      </c>
      <c r="D111" s="92">
        <f>IFERROR(INDEX('درجریان وصول'!F:F,MATCH(Table233[[#This Row],[کد تفصیلی]],'درجریان وصول'!A:A,0)),0)</f>
        <v>0</v>
      </c>
      <c r="E111" s="92">
        <f>IFERROR(INDEX('چکهای دریافتنی'!F:F,MATCH(Table233[[#This Row],[کد تفصیلی]],'چکهای دریافتنی'!A:A,0)),0)</f>
        <v>0</v>
      </c>
      <c r="F111" s="92">
        <f>Table233[[#This Row],[حسابهای دریافتنی]]+Table233[[#This Row],[چکهای در جریان وصول]]+Table233[[#This Row],[چکهای نزد صندوق]]</f>
        <v>-252000</v>
      </c>
      <c r="G111" s="93">
        <f>IFERROR(INDEX('مانده سوفاله'!F:F,MATCH(Table233[[#This Row],[کد تفصیلی]],'مانده سوفاله'!A:A,0)),0)</f>
        <v>0</v>
      </c>
    </row>
    <row r="112" spans="1:7" ht="29.25" customHeight="1" x14ac:dyDescent="0.35">
      <c r="A112" s="75">
        <v>10045</v>
      </c>
      <c r="B112" s="72" t="s">
        <v>641</v>
      </c>
      <c r="C112" s="91">
        <f>IFERROR(INDEX('حسابهای دریافتنی'!H:H,MATCH(Table233[[#This Row],[کد تفصیلی]],'حسابهای دریافتنی'!A:A,0)),0)</f>
        <v>-383000</v>
      </c>
      <c r="D112" s="92">
        <f>IFERROR(INDEX('درجریان وصول'!F:F,MATCH(Table233[[#This Row],[کد تفصیلی]],'درجریان وصول'!A:A,0)),0)</f>
        <v>0</v>
      </c>
      <c r="E112" s="92">
        <f>IFERROR(INDEX('چکهای دریافتنی'!F:F,MATCH(Table233[[#This Row],[کد تفصیلی]],'چکهای دریافتنی'!A:A,0)),0)</f>
        <v>0</v>
      </c>
      <c r="F112" s="92">
        <f>Table233[[#This Row],[حسابهای دریافتنی]]+Table233[[#This Row],[چکهای در جریان وصول]]+Table233[[#This Row],[چکهای نزد صندوق]]</f>
        <v>-383000</v>
      </c>
      <c r="G112" s="93">
        <f>IFERROR(INDEX('مانده سوفاله'!F:F,MATCH(Table233[[#This Row],[کد تفصیلی]],'مانده سوفاله'!A:A,0)),0)</f>
        <v>-30</v>
      </c>
    </row>
    <row r="113" spans="1:7" ht="29.25" customHeight="1" x14ac:dyDescent="0.35">
      <c r="A113" s="75">
        <v>30051</v>
      </c>
      <c r="B113" s="72" t="s">
        <v>98</v>
      </c>
      <c r="C113" s="91">
        <f>IFERROR(INDEX('حسابهای دریافتنی'!H:H,MATCH(Table233[[#This Row],[کد تفصیلی]],'حسابهای دریافتنی'!A:A,0)),0)</f>
        <v>-384000</v>
      </c>
      <c r="D113" s="92">
        <f>IFERROR(INDEX('درجریان وصول'!F:F,MATCH(Table233[[#This Row],[کد تفصیلی]],'درجریان وصول'!A:A,0)),0)</f>
        <v>0</v>
      </c>
      <c r="E113" s="92">
        <f>IFERROR(INDEX('چکهای دریافتنی'!F:F,MATCH(Table233[[#This Row],[کد تفصیلی]],'چکهای دریافتنی'!A:A,0)),0)</f>
        <v>0</v>
      </c>
      <c r="F113" s="92">
        <f>Table233[[#This Row],[حسابهای دریافتنی]]+Table233[[#This Row],[چکهای در جریان وصول]]+Table233[[#This Row],[چکهای نزد صندوق]]</f>
        <v>-384000</v>
      </c>
      <c r="G113" s="93">
        <f>IFERROR(INDEX('مانده سوفاله'!F:F,MATCH(Table233[[#This Row],[کد تفصیلی]],'مانده سوفاله'!A:A,0)),0)</f>
        <v>0</v>
      </c>
    </row>
    <row r="114" spans="1:7" ht="29.25" customHeight="1" x14ac:dyDescent="0.35">
      <c r="A114" s="74">
        <v>30044</v>
      </c>
      <c r="B114" s="73" t="s">
        <v>642</v>
      </c>
      <c r="C114" s="91">
        <f>IFERROR(INDEX('حسابهای دریافتنی'!H:H,MATCH(Table233[[#This Row],[کد تفصیلی]],'حسابهای دریافتنی'!A:A,0)),0)</f>
        <v>-492500</v>
      </c>
      <c r="D114" s="92">
        <f>IFERROR(INDEX('درجریان وصول'!F:F,MATCH(Table233[[#This Row],[کد تفصیلی]],'درجریان وصول'!A:A,0)),0)</f>
        <v>0</v>
      </c>
      <c r="E114" s="92">
        <f>IFERROR(INDEX('چکهای دریافتنی'!F:F,MATCH(Table233[[#This Row],[کد تفصیلی]],'چکهای دریافتنی'!A:A,0)),0)</f>
        <v>0</v>
      </c>
      <c r="F114" s="92">
        <f>Table233[[#This Row],[حسابهای دریافتنی]]+Table233[[#This Row],[چکهای در جریان وصول]]+Table233[[#This Row],[چکهای نزد صندوق]]</f>
        <v>-492500</v>
      </c>
      <c r="G114" s="93">
        <f>IFERROR(INDEX('مانده سوفاله'!F:F,MATCH(Table233[[#This Row],[کد تفصیلی]],'مانده سوفاله'!A:A,0)),0)</f>
        <v>2</v>
      </c>
    </row>
    <row r="115" spans="1:7" ht="29.25" customHeight="1" x14ac:dyDescent="0.35">
      <c r="A115" s="75">
        <v>10095</v>
      </c>
      <c r="B115" s="72" t="s">
        <v>643</v>
      </c>
      <c r="C115" s="91">
        <f>IFERROR(INDEX('حسابهای دریافتنی'!H:H,MATCH(Table233[[#This Row],[کد تفصیلی]],'حسابهای دریافتنی'!A:A,0)),0)</f>
        <v>-496500</v>
      </c>
      <c r="D115" s="92">
        <f>IFERROR(INDEX('درجریان وصول'!F:F,MATCH(Table233[[#This Row],[کد تفصیلی]],'درجریان وصول'!A:A,0)),0)</f>
        <v>0</v>
      </c>
      <c r="E115" s="92">
        <f>IFERROR(INDEX('چکهای دریافتنی'!F:F,MATCH(Table233[[#This Row],[کد تفصیلی]],'چکهای دریافتنی'!A:A,0)),0)</f>
        <v>0</v>
      </c>
      <c r="F115" s="92">
        <f>Table233[[#This Row],[حسابهای دریافتنی]]+Table233[[#This Row],[چکهای در جریان وصول]]+Table233[[#This Row],[چکهای نزد صندوق]]</f>
        <v>-496500</v>
      </c>
      <c r="G115" s="93">
        <f>IFERROR(INDEX('مانده سوفاله'!F:F,MATCH(Table233[[#This Row],[کد تفصیلی]],'مانده سوفاله'!A:A,0)),0)</f>
        <v>0</v>
      </c>
    </row>
    <row r="116" spans="1:7" ht="29.25" customHeight="1" x14ac:dyDescent="0.35">
      <c r="A116" s="74">
        <v>30052</v>
      </c>
      <c r="B116" s="73" t="s">
        <v>644</v>
      </c>
      <c r="C116" s="91">
        <f>IFERROR(INDEX('حسابهای دریافتنی'!H:H,MATCH(Table233[[#This Row],[کد تفصیلی]],'حسابهای دریافتنی'!A:A,0)),0)</f>
        <v>-539000</v>
      </c>
      <c r="D116" s="92">
        <f>IFERROR(INDEX('درجریان وصول'!F:F,MATCH(Table233[[#This Row],[کد تفصیلی]],'درجریان وصول'!A:A,0)),0)</f>
        <v>0</v>
      </c>
      <c r="E116" s="92">
        <f>IFERROR(INDEX('چکهای دریافتنی'!F:F,MATCH(Table233[[#This Row],[کد تفصیلی]],'چکهای دریافتنی'!A:A,0)),0)</f>
        <v>0</v>
      </c>
      <c r="F116" s="92">
        <f>Table233[[#This Row],[حسابهای دریافتنی]]+Table233[[#This Row],[چکهای در جریان وصول]]+Table233[[#This Row],[چکهای نزد صندوق]]</f>
        <v>-539000</v>
      </c>
      <c r="G116" s="93">
        <f>IFERROR(INDEX('مانده سوفاله'!F:F,MATCH(Table233[[#This Row],[کد تفصیلی]],'مانده سوفاله'!A:A,0)),0)</f>
        <v>0</v>
      </c>
    </row>
    <row r="117" spans="1:7" ht="29.25" customHeight="1" x14ac:dyDescent="0.35">
      <c r="A117" s="75">
        <v>10061</v>
      </c>
      <c r="B117" s="72" t="s">
        <v>645</v>
      </c>
      <c r="C117" s="91">
        <f>IFERROR(INDEX('حسابهای دریافتنی'!H:H,MATCH(Table233[[#This Row],[کد تفصیلی]],'حسابهای دریافتنی'!A:A,0)),0)</f>
        <v>-565500</v>
      </c>
      <c r="D117" s="92">
        <f>IFERROR(INDEX('درجریان وصول'!F:F,MATCH(Table233[[#This Row],[کد تفصیلی]],'درجریان وصول'!A:A,0)),0)</f>
        <v>0</v>
      </c>
      <c r="E117" s="92">
        <f>IFERROR(INDEX('چکهای دریافتنی'!F:F,MATCH(Table233[[#This Row],[کد تفصیلی]],'چکهای دریافتنی'!A:A,0)),0)</f>
        <v>0</v>
      </c>
      <c r="F117" s="92">
        <f>Table233[[#This Row],[حسابهای دریافتنی]]+Table233[[#This Row],[چکهای در جریان وصول]]+Table233[[#This Row],[چکهای نزد صندوق]]</f>
        <v>-565500</v>
      </c>
      <c r="G117" s="93">
        <f>IFERROR(INDEX('مانده سوفاله'!F:F,MATCH(Table233[[#This Row],[کد تفصیلی]],'مانده سوفاله'!A:A,0)),0)</f>
        <v>0</v>
      </c>
    </row>
    <row r="118" spans="1:7" ht="29.25" customHeight="1" x14ac:dyDescent="0.35">
      <c r="A118" s="75">
        <v>10118</v>
      </c>
      <c r="B118" s="72" t="s">
        <v>646</v>
      </c>
      <c r="C118" s="91">
        <f>IFERROR(INDEX('حسابهای دریافتنی'!H:H,MATCH(Table233[[#This Row],[کد تفصیلی]],'حسابهای دریافتنی'!A:A,0)),0)</f>
        <v>-587500</v>
      </c>
      <c r="D118" s="92">
        <f>IFERROR(INDEX('درجریان وصول'!F:F,MATCH(Table233[[#This Row],[کد تفصیلی]],'درجریان وصول'!A:A,0)),0)</f>
        <v>0</v>
      </c>
      <c r="E118" s="92">
        <f>IFERROR(INDEX('چکهای دریافتنی'!F:F,MATCH(Table233[[#This Row],[کد تفصیلی]],'چکهای دریافتنی'!A:A,0)),0)</f>
        <v>0</v>
      </c>
      <c r="F118" s="92">
        <f>Table233[[#This Row],[حسابهای دریافتنی]]+Table233[[#This Row],[چکهای در جریان وصول]]+Table233[[#This Row],[چکهای نزد صندوق]]</f>
        <v>-587500</v>
      </c>
      <c r="G118" s="93">
        <f>IFERROR(INDEX('مانده سوفاله'!F:F,MATCH(Table233[[#This Row],[کد تفصیلی]],'مانده سوفاله'!A:A,0)),0)</f>
        <v>0</v>
      </c>
    </row>
    <row r="119" spans="1:7" ht="29.25" customHeight="1" x14ac:dyDescent="0.35">
      <c r="A119" s="74">
        <v>30179</v>
      </c>
      <c r="B119" s="73" t="s">
        <v>647</v>
      </c>
      <c r="C119" s="91">
        <f>IFERROR(INDEX('حسابهای دریافتنی'!H:H,MATCH(Table233[[#This Row],[کد تفصیلی]],'حسابهای دریافتنی'!A:A,0)),0)</f>
        <v>-637200</v>
      </c>
      <c r="D119" s="92">
        <f>IFERROR(INDEX('درجریان وصول'!F:F,MATCH(Table233[[#This Row],[کد تفصیلی]],'درجریان وصول'!A:A,0)),0)</f>
        <v>0</v>
      </c>
      <c r="E119" s="92">
        <f>IFERROR(INDEX('چکهای دریافتنی'!F:F,MATCH(Table233[[#This Row],[کد تفصیلی]],'چکهای دریافتنی'!A:A,0)),0)</f>
        <v>0</v>
      </c>
      <c r="F119" s="92">
        <f>Table233[[#This Row],[حسابهای دریافتنی]]+Table233[[#This Row],[چکهای در جریان وصول]]+Table233[[#This Row],[چکهای نزد صندوق]]</f>
        <v>-637200</v>
      </c>
      <c r="G119" s="93">
        <f>IFERROR(INDEX('مانده سوفاله'!F:F,MATCH(Table233[[#This Row],[کد تفصیلی]],'مانده سوفاله'!A:A,0)),0)</f>
        <v>0</v>
      </c>
    </row>
    <row r="120" spans="1:7" ht="29.25" customHeight="1" x14ac:dyDescent="0.35">
      <c r="A120" s="75">
        <v>30112</v>
      </c>
      <c r="B120" s="72" t="s">
        <v>648</v>
      </c>
      <c r="C120" s="91">
        <f>IFERROR(INDEX('حسابهای دریافتنی'!H:H,MATCH(Table233[[#This Row],[کد تفصیلی]],'حسابهای دریافتنی'!A:A,0)),0)</f>
        <v>-720500</v>
      </c>
      <c r="D120" s="92">
        <f>IFERROR(INDEX('درجریان وصول'!F:F,MATCH(Table233[[#This Row],[کد تفصیلی]],'درجریان وصول'!A:A,0)),0)</f>
        <v>0</v>
      </c>
      <c r="E120" s="92">
        <f>IFERROR(INDEX('چکهای دریافتنی'!F:F,MATCH(Table233[[#This Row],[کد تفصیلی]],'چکهای دریافتنی'!A:A,0)),0)</f>
        <v>0</v>
      </c>
      <c r="F120" s="92">
        <f>Table233[[#This Row],[حسابهای دریافتنی]]+Table233[[#This Row],[چکهای در جریان وصول]]+Table233[[#This Row],[چکهای نزد صندوق]]</f>
        <v>-720500</v>
      </c>
      <c r="G120" s="93">
        <f>IFERROR(INDEX('مانده سوفاله'!F:F,MATCH(Table233[[#This Row],[کد تفصیلی]],'مانده سوفاله'!A:A,0)),0)</f>
        <v>36</v>
      </c>
    </row>
    <row r="121" spans="1:7" ht="29.25" customHeight="1" x14ac:dyDescent="0.35">
      <c r="A121" s="75">
        <v>10013</v>
      </c>
      <c r="B121" s="72" t="s">
        <v>649</v>
      </c>
      <c r="C121" s="91">
        <f>IFERROR(INDEX('حسابهای دریافتنی'!H:H,MATCH(Table233[[#This Row],[کد تفصیلی]],'حسابهای دریافتنی'!A:A,0)),0)</f>
        <v>-915000</v>
      </c>
      <c r="D121" s="92">
        <f>IFERROR(INDEX('درجریان وصول'!F:F,MATCH(Table233[[#This Row],[کد تفصیلی]],'درجریان وصول'!A:A,0)),0)</f>
        <v>0</v>
      </c>
      <c r="E121" s="92">
        <f>IFERROR(INDEX('چکهای دریافتنی'!F:F,MATCH(Table233[[#This Row],[کد تفصیلی]],'چکهای دریافتنی'!A:A,0)),0)</f>
        <v>0</v>
      </c>
      <c r="F121" s="92">
        <f>Table233[[#This Row],[حسابهای دریافتنی]]+Table233[[#This Row],[چکهای در جریان وصول]]+Table233[[#This Row],[چکهای نزد صندوق]]</f>
        <v>-915000</v>
      </c>
      <c r="G121" s="93">
        <f>IFERROR(INDEX('مانده سوفاله'!F:F,MATCH(Table233[[#This Row],[کد تفصیلی]],'مانده سوفاله'!A:A,0)),0)</f>
        <v>0</v>
      </c>
    </row>
    <row r="122" spans="1:7" ht="29.25" customHeight="1" x14ac:dyDescent="0.35">
      <c r="A122" s="74">
        <v>10042</v>
      </c>
      <c r="B122" s="73" t="s">
        <v>650</v>
      </c>
      <c r="C122" s="91">
        <f>IFERROR(INDEX('حسابهای دریافتنی'!H:H,MATCH(Table233[[#This Row],[کد تفصیلی]],'حسابهای دریافتنی'!A:A,0)),0)</f>
        <v>-1120000</v>
      </c>
      <c r="D122" s="92">
        <f>IFERROR(INDEX('درجریان وصول'!F:F,MATCH(Table233[[#This Row],[کد تفصیلی]],'درجریان وصول'!A:A,0)),0)</f>
        <v>0</v>
      </c>
      <c r="E122" s="92">
        <f>IFERROR(INDEX('چکهای دریافتنی'!F:F,MATCH(Table233[[#This Row],[کد تفصیلی]],'چکهای دریافتنی'!A:A,0)),0)</f>
        <v>0</v>
      </c>
      <c r="F122" s="92">
        <f>Table233[[#This Row],[حسابهای دریافتنی]]+Table233[[#This Row],[چکهای در جریان وصول]]+Table233[[#This Row],[چکهای نزد صندوق]]</f>
        <v>-1120000</v>
      </c>
      <c r="G122" s="93">
        <f>IFERROR(INDEX('مانده سوفاله'!F:F,MATCH(Table233[[#This Row],[کد تفصیلی]],'مانده سوفاله'!A:A,0)),0)</f>
        <v>2</v>
      </c>
    </row>
    <row r="123" spans="1:7" ht="29.25" customHeight="1" x14ac:dyDescent="0.35">
      <c r="A123" s="75">
        <v>10131</v>
      </c>
      <c r="B123" s="72" t="s">
        <v>457</v>
      </c>
      <c r="C123" s="91">
        <f>IFERROR(INDEX('حسابهای دریافتنی'!H:H,MATCH(Table233[[#This Row],[کد تفصیلی]],'حسابهای دریافتنی'!A:A,0)),0)</f>
        <v>-1194000</v>
      </c>
      <c r="D123" s="92">
        <f>IFERROR(INDEX('درجریان وصول'!F:F,MATCH(Table233[[#This Row],[کد تفصیلی]],'درجریان وصول'!A:A,0)),0)</f>
        <v>0</v>
      </c>
      <c r="E123" s="92">
        <f>IFERROR(INDEX('چکهای دریافتنی'!F:F,MATCH(Table233[[#This Row],[کد تفصیلی]],'چکهای دریافتنی'!A:A,0)),0)</f>
        <v>0</v>
      </c>
      <c r="F123" s="92">
        <f>Table233[[#This Row],[حسابهای دریافتنی]]+Table233[[#This Row],[چکهای در جریان وصول]]+Table233[[#This Row],[چکهای نزد صندوق]]</f>
        <v>-1194000</v>
      </c>
      <c r="G123" s="93">
        <f>IFERROR(INDEX('مانده سوفاله'!F:F,MATCH(Table233[[#This Row],[کد تفصیلی]],'مانده سوفاله'!A:A,0)),0)</f>
        <v>1</v>
      </c>
    </row>
    <row r="124" spans="1:7" ht="29.25" customHeight="1" x14ac:dyDescent="0.35">
      <c r="A124" s="74">
        <v>30032</v>
      </c>
      <c r="B124" s="73" t="s">
        <v>79</v>
      </c>
      <c r="C124" s="91">
        <f>IFERROR(INDEX('حسابهای دریافتنی'!H:H,MATCH(Table233[[#This Row],[کد تفصیلی]],'حسابهای دریافتنی'!A:A,0)),0)</f>
        <v>-1347000</v>
      </c>
      <c r="D124" s="92">
        <f>IFERROR(INDEX('درجریان وصول'!F:F,MATCH(Table233[[#This Row],[کد تفصیلی]],'درجریان وصول'!A:A,0)),0)</f>
        <v>0</v>
      </c>
      <c r="E124" s="92">
        <f>IFERROR(INDEX('چکهای دریافتنی'!F:F,MATCH(Table233[[#This Row],[کد تفصیلی]],'چکهای دریافتنی'!A:A,0)),0)</f>
        <v>0</v>
      </c>
      <c r="F124" s="92">
        <f>Table233[[#This Row],[حسابهای دریافتنی]]+Table233[[#This Row],[چکهای در جریان وصول]]+Table233[[#This Row],[چکهای نزد صندوق]]</f>
        <v>-1347000</v>
      </c>
      <c r="G124" s="93">
        <f>IFERROR(INDEX('مانده سوفاله'!F:F,MATCH(Table233[[#This Row],[کد تفصیلی]],'مانده سوفاله'!A:A,0)),0)</f>
        <v>0</v>
      </c>
    </row>
    <row r="125" spans="1:7" ht="29.25" customHeight="1" x14ac:dyDescent="0.35">
      <c r="A125" s="74">
        <v>30171</v>
      </c>
      <c r="B125" s="73" t="s">
        <v>558</v>
      </c>
      <c r="C125" s="91">
        <f>IFERROR(INDEX('حسابهای دریافتنی'!H:H,MATCH(Table233[[#This Row],[کد تفصیلی]],'حسابهای دریافتنی'!A:A,0)),0)</f>
        <v>-1500000</v>
      </c>
      <c r="D125" s="92">
        <f>IFERROR(INDEX('درجریان وصول'!F:F,MATCH(Table233[[#This Row],[کد تفصیلی]],'درجریان وصول'!A:A,0)),0)</f>
        <v>0</v>
      </c>
      <c r="E125" s="92">
        <f>IFERROR(INDEX('چکهای دریافتنی'!F:F,MATCH(Table233[[#This Row],[کد تفصیلی]],'چکهای دریافتنی'!A:A,0)),0)</f>
        <v>0</v>
      </c>
      <c r="F125" s="92">
        <f>Table233[[#This Row],[حسابهای دریافتنی]]+Table233[[#This Row],[چکهای در جریان وصول]]+Table233[[#This Row],[چکهای نزد صندوق]]</f>
        <v>-1500000</v>
      </c>
      <c r="G125" s="93">
        <f>IFERROR(INDEX('مانده سوفاله'!F:F,MATCH(Table233[[#This Row],[کد تفصیلی]],'مانده سوفاله'!A:A,0)),0)</f>
        <v>0</v>
      </c>
    </row>
    <row r="126" spans="1:7" ht="29.25" customHeight="1" x14ac:dyDescent="0.35">
      <c r="A126" s="75">
        <v>10103</v>
      </c>
      <c r="B126" s="72" t="s">
        <v>651</v>
      </c>
      <c r="C126" s="91">
        <f>IFERROR(INDEX('حسابهای دریافتنی'!H:H,MATCH(Table233[[#This Row],[کد تفصیلی]],'حسابهای دریافتنی'!A:A,0)),0)</f>
        <v>-1580000</v>
      </c>
      <c r="D126" s="92">
        <f>IFERROR(INDEX('درجریان وصول'!F:F,MATCH(Table233[[#This Row],[کد تفصیلی]],'درجریان وصول'!A:A,0)),0)</f>
        <v>0</v>
      </c>
      <c r="E126" s="92">
        <f>IFERROR(INDEX('چکهای دریافتنی'!F:F,MATCH(Table233[[#This Row],[کد تفصیلی]],'چکهای دریافتنی'!A:A,0)),0)</f>
        <v>0</v>
      </c>
      <c r="F126" s="92">
        <f>Table233[[#This Row],[حسابهای دریافتنی]]+Table233[[#This Row],[چکهای در جریان وصول]]+Table233[[#This Row],[چکهای نزد صندوق]]</f>
        <v>-1580000</v>
      </c>
      <c r="G126" s="93">
        <f>IFERROR(INDEX('مانده سوفاله'!F:F,MATCH(Table233[[#This Row],[کد تفصیلی]],'مانده سوفاله'!A:A,0)),0)</f>
        <v>0</v>
      </c>
    </row>
    <row r="127" spans="1:7" ht="29.25" customHeight="1" x14ac:dyDescent="0.35">
      <c r="A127" s="74">
        <v>10125</v>
      </c>
      <c r="B127" s="73" t="s">
        <v>652</v>
      </c>
      <c r="C127" s="91">
        <f>IFERROR(INDEX('حسابهای دریافتنی'!H:H,MATCH(Table233[[#This Row],[کد تفصیلی]],'حسابهای دریافتنی'!A:A,0)),0)</f>
        <v>-1650000</v>
      </c>
      <c r="D127" s="92">
        <f>IFERROR(INDEX('درجریان وصول'!F:F,MATCH(Table233[[#This Row],[کد تفصیلی]],'درجریان وصول'!A:A,0)),0)</f>
        <v>0</v>
      </c>
      <c r="E127" s="92">
        <f>IFERROR(INDEX('چکهای دریافتنی'!F:F,MATCH(Table233[[#This Row],[کد تفصیلی]],'چکهای دریافتنی'!A:A,0)),0)</f>
        <v>0</v>
      </c>
      <c r="F127" s="92">
        <f>Table233[[#This Row],[حسابهای دریافتنی]]+Table233[[#This Row],[چکهای در جریان وصول]]+Table233[[#This Row],[چکهای نزد صندوق]]</f>
        <v>-1650000</v>
      </c>
      <c r="G127" s="93">
        <f>IFERROR(INDEX('مانده سوفاله'!F:F,MATCH(Table233[[#This Row],[کد تفصیلی]],'مانده سوفاله'!A:A,0)),0)</f>
        <v>0</v>
      </c>
    </row>
    <row r="128" spans="1:7" ht="29.25" customHeight="1" x14ac:dyDescent="0.35">
      <c r="A128" s="75">
        <v>10110</v>
      </c>
      <c r="B128" s="72" t="s">
        <v>653</v>
      </c>
      <c r="C128" s="91">
        <f>IFERROR(INDEX('حسابهای دریافتنی'!H:H,MATCH(Table233[[#This Row],[کد تفصیلی]],'حسابهای دریافتنی'!A:A,0)),0)</f>
        <v>-1817500</v>
      </c>
      <c r="D128" s="92">
        <f>IFERROR(INDEX('درجریان وصول'!F:F,MATCH(Table233[[#This Row],[کد تفصیلی]],'درجریان وصول'!A:A,0)),0)</f>
        <v>0</v>
      </c>
      <c r="E128" s="92">
        <f>IFERROR(INDEX('چکهای دریافتنی'!F:F,MATCH(Table233[[#This Row],[کد تفصیلی]],'چکهای دریافتنی'!A:A,0)),0)</f>
        <v>0</v>
      </c>
      <c r="F128" s="92">
        <f>Table233[[#This Row],[حسابهای دریافتنی]]+Table233[[#This Row],[چکهای در جریان وصول]]+Table233[[#This Row],[چکهای نزد صندوق]]</f>
        <v>-1817500</v>
      </c>
      <c r="G128" s="93">
        <f>IFERROR(INDEX('مانده سوفاله'!F:F,MATCH(Table233[[#This Row],[کد تفصیلی]],'مانده سوفاله'!A:A,0)),0)</f>
        <v>7</v>
      </c>
    </row>
    <row r="129" spans="1:7" ht="29.25" customHeight="1" x14ac:dyDescent="0.35">
      <c r="A129" s="74">
        <v>30103</v>
      </c>
      <c r="B129" s="73" t="s">
        <v>559</v>
      </c>
      <c r="C129" s="91">
        <f>IFERROR(INDEX('حسابهای دریافتنی'!H:H,MATCH(Table233[[#This Row],[کد تفصیلی]],'حسابهای دریافتنی'!A:A,0)),0)</f>
        <v>-1820000</v>
      </c>
      <c r="D129" s="92">
        <f>IFERROR(INDEX('درجریان وصول'!F:F,MATCH(Table233[[#This Row],[کد تفصیلی]],'درجریان وصول'!A:A,0)),0)</f>
        <v>0</v>
      </c>
      <c r="E129" s="92">
        <f>IFERROR(INDEX('چکهای دریافتنی'!F:F,MATCH(Table233[[#This Row],[کد تفصیلی]],'چکهای دریافتنی'!A:A,0)),0)</f>
        <v>0</v>
      </c>
      <c r="F129" s="92">
        <f>Table233[[#This Row],[حسابهای دریافتنی]]+Table233[[#This Row],[چکهای در جریان وصول]]+Table233[[#This Row],[چکهای نزد صندوق]]</f>
        <v>-1820000</v>
      </c>
      <c r="G129" s="93">
        <f>IFERROR(INDEX('مانده سوفاله'!F:F,MATCH(Table233[[#This Row],[کد تفصیلی]],'مانده سوفاله'!A:A,0)),0)</f>
        <v>0</v>
      </c>
    </row>
    <row r="130" spans="1:7" ht="29.25" customHeight="1" x14ac:dyDescent="0.35">
      <c r="A130" s="74">
        <v>30195</v>
      </c>
      <c r="B130" s="73" t="s">
        <v>477</v>
      </c>
      <c r="C130" s="91">
        <f>IFERROR(INDEX('حسابهای دریافتنی'!H:H,MATCH(Table233[[#This Row],[کد تفصیلی]],'حسابهای دریافتنی'!A:A,0)),0)</f>
        <v>-1861000</v>
      </c>
      <c r="D130" s="92">
        <f>IFERROR(INDEX('درجریان وصول'!F:F,MATCH(Table233[[#This Row],[کد تفصیلی]],'درجریان وصول'!A:A,0)),0)</f>
        <v>0</v>
      </c>
      <c r="E130" s="92">
        <f>IFERROR(INDEX('چکهای دریافتنی'!F:F,MATCH(Table233[[#This Row],[کد تفصیلی]],'چکهای دریافتنی'!A:A,0)),0)</f>
        <v>0</v>
      </c>
      <c r="F130" s="92">
        <f>Table233[[#This Row],[حسابهای دریافتنی]]+Table233[[#This Row],[چکهای در جریان وصول]]+Table233[[#This Row],[چکهای نزد صندوق]]</f>
        <v>-1861000</v>
      </c>
      <c r="G130" s="93">
        <f>IFERROR(INDEX('مانده سوفاله'!F:F,MATCH(Table233[[#This Row],[کد تفصیلی]],'مانده سوفاله'!A:A,0)),0)</f>
        <v>0</v>
      </c>
    </row>
    <row r="131" spans="1:7" ht="29.25" customHeight="1" x14ac:dyDescent="0.35">
      <c r="A131" s="75">
        <v>10093</v>
      </c>
      <c r="B131" s="72" t="s">
        <v>654</v>
      </c>
      <c r="C131" s="91">
        <f>IFERROR(INDEX('حسابهای دریافتنی'!H:H,MATCH(Table233[[#This Row],[کد تفصیلی]],'حسابهای دریافتنی'!A:A,0)),0)</f>
        <v>-2214000</v>
      </c>
      <c r="D131" s="92">
        <f>IFERROR(INDEX('درجریان وصول'!F:F,MATCH(Table233[[#This Row],[کد تفصیلی]],'درجریان وصول'!A:A,0)),0)</f>
        <v>0</v>
      </c>
      <c r="E131" s="92">
        <f>IFERROR(INDEX('چکهای دریافتنی'!F:F,MATCH(Table233[[#This Row],[کد تفصیلی]],'چکهای دریافتنی'!A:A,0)),0)</f>
        <v>0</v>
      </c>
      <c r="F131" s="92">
        <f>Table233[[#This Row],[حسابهای دریافتنی]]+Table233[[#This Row],[چکهای در جریان وصول]]+Table233[[#This Row],[چکهای نزد صندوق]]</f>
        <v>-2214000</v>
      </c>
      <c r="G131" s="93">
        <f>IFERROR(INDEX('مانده سوفاله'!F:F,MATCH(Table233[[#This Row],[کد تفصیلی]],'مانده سوفاله'!A:A,0)),0)</f>
        <v>0</v>
      </c>
    </row>
    <row r="132" spans="1:7" ht="29.25" customHeight="1" x14ac:dyDescent="0.35">
      <c r="A132" s="75">
        <v>30128</v>
      </c>
      <c r="B132" s="72" t="s">
        <v>655</v>
      </c>
      <c r="C132" s="91">
        <f>IFERROR(INDEX('حسابهای دریافتنی'!H:H,MATCH(Table233[[#This Row],[کد تفصیلی]],'حسابهای دریافتنی'!A:A,0)),0)</f>
        <v>-2451320</v>
      </c>
      <c r="D132" s="92">
        <f>IFERROR(INDEX('درجریان وصول'!F:F,MATCH(Table233[[#This Row],[کد تفصیلی]],'درجریان وصول'!A:A,0)),0)</f>
        <v>0</v>
      </c>
      <c r="E132" s="92">
        <f>IFERROR(INDEX('چکهای دریافتنی'!F:F,MATCH(Table233[[#This Row],[کد تفصیلی]],'چکهای دریافتنی'!A:A,0)),0)</f>
        <v>0</v>
      </c>
      <c r="F132" s="92">
        <f>Table233[[#This Row],[حسابهای دریافتنی]]+Table233[[#This Row],[چکهای در جریان وصول]]+Table233[[#This Row],[چکهای نزد صندوق]]</f>
        <v>-2451320</v>
      </c>
      <c r="G132" s="93">
        <f>IFERROR(INDEX('مانده سوفاله'!F:F,MATCH(Table233[[#This Row],[کد تفصیلی]],'مانده سوفاله'!A:A,0)),0)</f>
        <v>0</v>
      </c>
    </row>
    <row r="133" spans="1:7" ht="29.25" customHeight="1" x14ac:dyDescent="0.35">
      <c r="A133" s="74">
        <v>10119</v>
      </c>
      <c r="B133" s="73" t="s">
        <v>656</v>
      </c>
      <c r="C133" s="91">
        <f>IFERROR(INDEX('حسابهای دریافتنی'!H:H,MATCH(Table233[[#This Row],[کد تفصیلی]],'حسابهای دریافتنی'!A:A,0)),0)</f>
        <v>-2592000</v>
      </c>
      <c r="D133" s="92">
        <f>IFERROR(INDEX('درجریان وصول'!F:F,MATCH(Table233[[#This Row],[کد تفصیلی]],'درجریان وصول'!A:A,0)),0)</f>
        <v>0</v>
      </c>
      <c r="E133" s="92">
        <f>IFERROR(INDEX('چکهای دریافتنی'!F:F,MATCH(Table233[[#This Row],[کد تفصیلی]],'چکهای دریافتنی'!A:A,0)),0)</f>
        <v>0</v>
      </c>
      <c r="F133" s="92">
        <f>Table233[[#This Row],[حسابهای دریافتنی]]+Table233[[#This Row],[چکهای در جریان وصول]]+Table233[[#This Row],[چکهای نزد صندوق]]</f>
        <v>-2592000</v>
      </c>
      <c r="G133" s="93">
        <f>IFERROR(INDEX('مانده سوفاله'!F:F,MATCH(Table233[[#This Row],[کد تفصیلی]],'مانده سوفاله'!A:A,0)),0)</f>
        <v>353</v>
      </c>
    </row>
    <row r="134" spans="1:7" ht="29.25" customHeight="1" x14ac:dyDescent="0.35">
      <c r="A134" s="75">
        <v>30013</v>
      </c>
      <c r="B134" s="72" t="s">
        <v>62</v>
      </c>
      <c r="C134" s="91">
        <f>IFERROR(INDEX('حسابهای دریافتنی'!H:H,MATCH(Table233[[#This Row],[کد تفصیلی]],'حسابهای دریافتنی'!A:A,0)),0)</f>
        <v>-2744620</v>
      </c>
      <c r="D134" s="92">
        <f>IFERROR(INDEX('درجریان وصول'!F:F,MATCH(Table233[[#This Row],[کد تفصیلی]],'درجریان وصول'!A:A,0)),0)</f>
        <v>0</v>
      </c>
      <c r="E134" s="92">
        <f>IFERROR(INDEX('چکهای دریافتنی'!F:F,MATCH(Table233[[#This Row],[کد تفصیلی]],'چکهای دریافتنی'!A:A,0)),0)</f>
        <v>0</v>
      </c>
      <c r="F134" s="92">
        <f>Table233[[#This Row],[حسابهای دریافتنی]]+Table233[[#This Row],[چکهای در جریان وصول]]+Table233[[#This Row],[چکهای نزد صندوق]]</f>
        <v>-2744620</v>
      </c>
      <c r="G134" s="93">
        <f>IFERROR(INDEX('مانده سوفاله'!F:F,MATCH(Table233[[#This Row],[کد تفصیلی]],'مانده سوفاله'!A:A,0)),0)</f>
        <v>0</v>
      </c>
    </row>
    <row r="135" spans="1:7" ht="29.25" customHeight="1" x14ac:dyDescent="0.35">
      <c r="A135" s="75">
        <v>30015</v>
      </c>
      <c r="B135" s="72" t="s">
        <v>657</v>
      </c>
      <c r="C135" s="91">
        <f>IFERROR(INDEX('حسابهای دریافتنی'!H:H,MATCH(Table233[[#This Row],[کد تفصیلی]],'حسابهای دریافتنی'!A:A,0)),0)</f>
        <v>-3105895</v>
      </c>
      <c r="D135" s="92">
        <f>IFERROR(INDEX('درجریان وصول'!F:F,MATCH(Table233[[#This Row],[کد تفصیلی]],'درجریان وصول'!A:A,0)),0)</f>
        <v>0</v>
      </c>
      <c r="E135" s="92">
        <f>IFERROR(INDEX('چکهای دریافتنی'!F:F,MATCH(Table233[[#This Row],[کد تفصیلی]],'چکهای دریافتنی'!A:A,0)),0)</f>
        <v>0</v>
      </c>
      <c r="F135" s="92">
        <f>Table233[[#This Row],[حسابهای دریافتنی]]+Table233[[#This Row],[چکهای در جریان وصول]]+Table233[[#This Row],[چکهای نزد صندوق]]</f>
        <v>-3105895</v>
      </c>
      <c r="G135" s="93">
        <f>IFERROR(INDEX('مانده سوفاله'!F:F,MATCH(Table233[[#This Row],[کد تفصیلی]],'مانده سوفاله'!A:A,0)),0)</f>
        <v>0</v>
      </c>
    </row>
    <row r="136" spans="1:7" ht="29.25" customHeight="1" x14ac:dyDescent="0.35">
      <c r="A136" s="75">
        <v>30110</v>
      </c>
      <c r="B136" s="72" t="s">
        <v>200</v>
      </c>
      <c r="C136" s="91">
        <f>IFERROR(INDEX('حسابهای دریافتنی'!H:H,MATCH(Table233[[#This Row],[کد تفصیلی]],'حسابهای دریافتنی'!A:A,0)),0)</f>
        <v>-3492360</v>
      </c>
      <c r="D136" s="92">
        <f>IFERROR(INDEX('درجریان وصول'!F:F,MATCH(Table233[[#This Row],[کد تفصیلی]],'درجریان وصول'!A:A,0)),0)</f>
        <v>0</v>
      </c>
      <c r="E136" s="92">
        <f>IFERROR(INDEX('چکهای دریافتنی'!F:F,MATCH(Table233[[#This Row],[کد تفصیلی]],'چکهای دریافتنی'!A:A,0)),0)</f>
        <v>0</v>
      </c>
      <c r="F136" s="92">
        <f>Table233[[#This Row],[حسابهای دریافتنی]]+Table233[[#This Row],[چکهای در جریان وصول]]+Table233[[#This Row],[چکهای نزد صندوق]]</f>
        <v>-3492360</v>
      </c>
      <c r="G136" s="93">
        <f>IFERROR(INDEX('مانده سوفاله'!F:F,MATCH(Table233[[#This Row],[کد تفصیلی]],'مانده سوفاله'!A:A,0)),0)</f>
        <v>0</v>
      </c>
    </row>
    <row r="137" spans="1:7" ht="29.25" customHeight="1" x14ac:dyDescent="0.35">
      <c r="A137" s="75">
        <v>10015</v>
      </c>
      <c r="B137" s="72" t="s">
        <v>658</v>
      </c>
      <c r="C137" s="91">
        <f>IFERROR(INDEX('حسابهای دریافتنی'!H:H,MATCH(Table233[[#This Row],[کد تفصیلی]],'حسابهای دریافتنی'!A:A,0)),0)</f>
        <v>-4735000</v>
      </c>
      <c r="D137" s="92">
        <f>IFERROR(INDEX('درجریان وصول'!F:F,MATCH(Table233[[#This Row],[کد تفصیلی]],'درجریان وصول'!A:A,0)),0)</f>
        <v>0</v>
      </c>
      <c r="E137" s="92">
        <f>IFERROR(INDEX('چکهای دریافتنی'!F:F,MATCH(Table233[[#This Row],[کد تفصیلی]],'چکهای دریافتنی'!A:A,0)),0)</f>
        <v>0</v>
      </c>
      <c r="F137" s="92">
        <f>Table233[[#This Row],[حسابهای دریافتنی]]+Table233[[#This Row],[چکهای در جریان وصول]]+Table233[[#This Row],[چکهای نزد صندوق]]</f>
        <v>-4735000</v>
      </c>
      <c r="G137" s="93">
        <f>IFERROR(INDEX('مانده سوفاله'!F:F,MATCH(Table233[[#This Row],[کد تفصیلی]],'مانده سوفاله'!A:A,0)),0)</f>
        <v>12</v>
      </c>
    </row>
    <row r="138" spans="1:7" customFormat="1" ht="29.25" customHeight="1" x14ac:dyDescent="0.35">
      <c r="A138" s="77">
        <v>30153</v>
      </c>
      <c r="B138" s="73" t="s">
        <v>560</v>
      </c>
      <c r="C138" s="91">
        <f>IFERROR(INDEX('حسابهای دریافتنی'!H:H,MATCH(Table233[[#This Row],[کد تفصیلی]],'حسابهای دریافتنی'!A:A,0)),0)</f>
        <v>-4818000</v>
      </c>
      <c r="D138" s="92">
        <f>IFERROR(INDEX('درجریان وصول'!F:F,MATCH(Table233[[#This Row],[کد تفصیلی]],'درجریان وصول'!A:A,0)),0)</f>
        <v>0</v>
      </c>
      <c r="E138" s="92">
        <f>IFERROR(INDEX('چکهای دریافتنی'!F:F,MATCH(Table233[[#This Row],[کد تفصیلی]],'چکهای دریافتنی'!A:A,0)),0)</f>
        <v>0</v>
      </c>
      <c r="F138" s="92">
        <f>Table233[[#This Row],[حسابهای دریافتنی]]+Table233[[#This Row],[چکهای در جریان وصول]]+Table233[[#This Row],[چکهای نزد صندوق]]</f>
        <v>-4818000</v>
      </c>
      <c r="G138" s="93">
        <f>IFERROR(INDEX('مانده سوفاله'!F:F,MATCH(Table233[[#This Row],[کد تفصیلی]],'مانده سوفاله'!A:A,0)),0)</f>
        <v>0</v>
      </c>
    </row>
    <row r="139" spans="1:7" customFormat="1" ht="29.25" customHeight="1" x14ac:dyDescent="0.35">
      <c r="A139" s="76">
        <v>30023</v>
      </c>
      <c r="B139" s="72" t="s">
        <v>659</v>
      </c>
      <c r="C139" s="91">
        <f>IFERROR(INDEX('حسابهای دریافتنی'!H:H,MATCH(Table233[[#This Row],[کد تفصیلی]],'حسابهای دریافتنی'!A:A,0)),0)</f>
        <v>-5793600</v>
      </c>
      <c r="D139" s="92">
        <f>IFERROR(INDEX('درجریان وصول'!F:F,MATCH(Table233[[#This Row],[کد تفصیلی]],'درجریان وصول'!A:A,0)),0)</f>
        <v>0</v>
      </c>
      <c r="E139" s="92">
        <f>IFERROR(INDEX('چکهای دریافتنی'!F:F,MATCH(Table233[[#This Row],[کد تفصیلی]],'چکهای دریافتنی'!A:A,0)),0)</f>
        <v>0</v>
      </c>
      <c r="F139" s="92">
        <f>Table233[[#This Row],[حسابهای دریافتنی]]+Table233[[#This Row],[چکهای در جریان وصول]]+Table233[[#This Row],[چکهای نزد صندوق]]</f>
        <v>-5793600</v>
      </c>
      <c r="G139" s="93">
        <f>IFERROR(INDEX('مانده سوفاله'!F:F,MATCH(Table233[[#This Row],[کد تفصیلی]],'مانده سوفاله'!A:A,0)),0)</f>
        <v>0</v>
      </c>
    </row>
    <row r="140" spans="1:7" customFormat="1" ht="29.25" customHeight="1" x14ac:dyDescent="0.35">
      <c r="A140" s="76">
        <v>30176</v>
      </c>
      <c r="B140" s="72" t="s">
        <v>561</v>
      </c>
      <c r="C140" s="91">
        <f>IFERROR(INDEX('حسابهای دریافتنی'!H:H,MATCH(Table233[[#This Row],[کد تفصیلی]],'حسابهای دریافتنی'!A:A,0)),0)</f>
        <v>-7540075</v>
      </c>
      <c r="D140" s="92">
        <f>IFERROR(INDEX('درجریان وصول'!F:F,MATCH(Table233[[#This Row],[کد تفصیلی]],'درجریان وصول'!A:A,0)),0)</f>
        <v>0</v>
      </c>
      <c r="E140" s="92">
        <f>IFERROR(INDEX('چکهای دریافتنی'!F:F,MATCH(Table233[[#This Row],[کد تفصیلی]],'چکهای دریافتنی'!A:A,0)),0)</f>
        <v>0</v>
      </c>
      <c r="F140" s="92">
        <f>Table233[[#This Row],[حسابهای دریافتنی]]+Table233[[#This Row],[چکهای در جریان وصول]]+Table233[[#This Row],[چکهای نزد صندوق]]</f>
        <v>-7540075</v>
      </c>
      <c r="G140" s="93">
        <f>IFERROR(INDEX('مانده سوفاله'!F:F,MATCH(Table233[[#This Row],[کد تفصیلی]],'مانده سوفاله'!A:A,0)),0)</f>
        <v>0</v>
      </c>
    </row>
    <row r="141" spans="1:7" customFormat="1" ht="29.25" customHeight="1" x14ac:dyDescent="0.35">
      <c r="A141" s="76">
        <v>10106</v>
      </c>
      <c r="B141" s="72" t="s">
        <v>660</v>
      </c>
      <c r="C141" s="91">
        <f>IFERROR(INDEX('حسابهای دریافتنی'!H:H,MATCH(Table233[[#This Row],[کد تفصیلی]],'حسابهای دریافتنی'!A:A,0)),0)</f>
        <v>-9134000</v>
      </c>
      <c r="D141" s="92">
        <f>IFERROR(INDEX('درجریان وصول'!F:F,MATCH(Table233[[#This Row],[کد تفصیلی]],'درجریان وصول'!A:A,0)),0)</f>
        <v>0</v>
      </c>
      <c r="E141" s="92">
        <f>IFERROR(INDEX('چکهای دریافتنی'!F:F,MATCH(Table233[[#This Row],[کد تفصیلی]],'چکهای دریافتنی'!A:A,0)),0)</f>
        <v>0</v>
      </c>
      <c r="F141" s="92">
        <f>Table233[[#This Row],[حسابهای دریافتنی]]+Table233[[#This Row],[چکهای در جریان وصول]]+Table233[[#This Row],[چکهای نزد صندوق]]</f>
        <v>-9134000</v>
      </c>
      <c r="G141" s="93">
        <f>IFERROR(INDEX('مانده سوفاله'!F:F,MATCH(Table233[[#This Row],[کد تفصیلی]],'مانده سوفاله'!A:A,0)),0)</f>
        <v>0</v>
      </c>
    </row>
    <row r="142" spans="1:7" customFormat="1" ht="29.25" customHeight="1" x14ac:dyDescent="0.35">
      <c r="A142" s="77">
        <v>10102</v>
      </c>
      <c r="B142" s="73" t="s">
        <v>661</v>
      </c>
      <c r="C142" s="91">
        <f>IFERROR(INDEX('حسابهای دریافتنی'!H:H,MATCH(Table233[[#This Row],[کد تفصیلی]],'حسابهای دریافتنی'!A:A,0)),0)</f>
        <v>-10374000</v>
      </c>
      <c r="D142" s="92">
        <f>IFERROR(INDEX('درجریان وصول'!F:F,MATCH(Table233[[#This Row],[کد تفصیلی]],'درجریان وصول'!A:A,0)),0)</f>
        <v>0</v>
      </c>
      <c r="E142" s="92">
        <f>IFERROR(INDEX('چکهای دریافتنی'!F:F,MATCH(Table233[[#This Row],[کد تفصیلی]],'چکهای دریافتنی'!A:A,0)),0)</f>
        <v>0</v>
      </c>
      <c r="F142" s="92">
        <f>Table233[[#This Row],[حسابهای دریافتنی]]+Table233[[#This Row],[چکهای در جریان وصول]]+Table233[[#This Row],[چکهای نزد صندوق]]</f>
        <v>-10374000</v>
      </c>
      <c r="G142" s="93">
        <f>IFERROR(INDEX('مانده سوفاله'!F:F,MATCH(Table233[[#This Row],[کد تفصیلی]],'مانده سوفاله'!A:A,0)),0)</f>
        <v>0</v>
      </c>
    </row>
    <row r="143" spans="1:7" customFormat="1" ht="29.25" customHeight="1" x14ac:dyDescent="0.35">
      <c r="A143" s="77">
        <v>10058</v>
      </c>
      <c r="B143" s="73" t="s">
        <v>662</v>
      </c>
      <c r="C143" s="91">
        <f>IFERROR(INDEX('حسابهای دریافتنی'!H:H,MATCH(Table233[[#This Row],[کد تفصیلی]],'حسابهای دریافتنی'!A:A,0)),0)</f>
        <v>-13650000</v>
      </c>
      <c r="D143" s="92">
        <f>IFERROR(INDEX('درجریان وصول'!F:F,MATCH(Table233[[#This Row],[کد تفصیلی]],'درجریان وصول'!A:A,0)),0)</f>
        <v>0</v>
      </c>
      <c r="E143" s="92">
        <f>IFERROR(INDEX('چکهای دریافتنی'!F:F,MATCH(Table233[[#This Row],[کد تفصیلی]],'چکهای دریافتنی'!A:A,0)),0)</f>
        <v>0</v>
      </c>
      <c r="F143" s="92">
        <f>Table233[[#This Row],[حسابهای دریافتنی]]+Table233[[#This Row],[چکهای در جریان وصول]]+Table233[[#This Row],[چکهای نزد صندوق]]</f>
        <v>-13650000</v>
      </c>
      <c r="G143" s="93">
        <f>IFERROR(INDEX('مانده سوفاله'!F:F,MATCH(Table233[[#This Row],[کد تفصیلی]],'مانده سوفاله'!A:A,0)),0)</f>
        <v>0</v>
      </c>
    </row>
    <row r="144" spans="1:7" customFormat="1" ht="29.25" customHeight="1" x14ac:dyDescent="0.35">
      <c r="A144" s="76">
        <v>30082</v>
      </c>
      <c r="B144" s="72" t="s">
        <v>127</v>
      </c>
      <c r="C144" s="91">
        <f>IFERROR(INDEX('حسابهای دریافتنی'!H:H,MATCH(Table233[[#This Row],[کد تفصیلی]],'حسابهای دریافتنی'!A:A,0)),0)</f>
        <v>-15037000</v>
      </c>
      <c r="D144" s="92">
        <f>IFERROR(INDEX('درجریان وصول'!F:F,MATCH(Table233[[#This Row],[کد تفصیلی]],'درجریان وصول'!A:A,0)),0)</f>
        <v>0</v>
      </c>
      <c r="E144" s="92">
        <f>IFERROR(INDEX('چکهای دریافتنی'!F:F,MATCH(Table233[[#This Row],[کد تفصیلی]],'چکهای دریافتنی'!A:A,0)),0)</f>
        <v>0</v>
      </c>
      <c r="F144" s="92">
        <f>Table233[[#This Row],[حسابهای دریافتنی]]+Table233[[#This Row],[چکهای در جریان وصول]]+Table233[[#This Row],[چکهای نزد صندوق]]</f>
        <v>-15037000</v>
      </c>
      <c r="G144" s="93">
        <f>IFERROR(INDEX('مانده سوفاله'!F:F,MATCH(Table233[[#This Row],[کد تفصیلی]],'مانده سوفاله'!A:A,0)),0)</f>
        <v>-16</v>
      </c>
    </row>
    <row r="145" spans="1:7" customFormat="1" ht="29.25" customHeight="1" x14ac:dyDescent="0.35">
      <c r="A145" s="77">
        <v>30042</v>
      </c>
      <c r="B145" s="73" t="s">
        <v>89</v>
      </c>
      <c r="C145" s="91">
        <f>IFERROR(INDEX('حسابهای دریافتنی'!H:H,MATCH(Table233[[#This Row],[کد تفصیلی]],'حسابهای دریافتنی'!A:A,0)),0)</f>
        <v>-18303540</v>
      </c>
      <c r="D145" s="92">
        <f>IFERROR(INDEX('درجریان وصول'!F:F,MATCH(Table233[[#This Row],[کد تفصیلی]],'درجریان وصول'!A:A,0)),0)</f>
        <v>0</v>
      </c>
      <c r="E145" s="92">
        <f>IFERROR(INDEX('چکهای دریافتنی'!F:F,MATCH(Table233[[#This Row],[کد تفصیلی]],'چکهای دریافتنی'!A:A,0)),0)</f>
        <v>0</v>
      </c>
      <c r="F145" s="92">
        <f>Table233[[#This Row],[حسابهای دریافتنی]]+Table233[[#This Row],[چکهای در جریان وصول]]+Table233[[#This Row],[چکهای نزد صندوق]]</f>
        <v>-18303540</v>
      </c>
      <c r="G145" s="93">
        <f>IFERROR(INDEX('مانده سوفاله'!F:F,MATCH(Table233[[#This Row],[کد تفصیلی]],'مانده سوفاله'!A:A,0)),0)</f>
        <v>0</v>
      </c>
    </row>
    <row r="146" spans="1:7" customFormat="1" ht="29.25" customHeight="1" x14ac:dyDescent="0.35">
      <c r="A146" s="77">
        <v>30028</v>
      </c>
      <c r="B146" s="73" t="s">
        <v>76</v>
      </c>
      <c r="C146" s="91">
        <f>IFERROR(INDEX('حسابهای دریافتنی'!H:H,MATCH(Table233[[#This Row],[کد تفصیلی]],'حسابهای دریافتنی'!A:A,0)),0)</f>
        <v>-23665000</v>
      </c>
      <c r="D146" s="92">
        <f>IFERROR(INDEX('درجریان وصول'!F:F,MATCH(Table233[[#This Row],[کد تفصیلی]],'درجریان وصول'!A:A,0)),0)</f>
        <v>0</v>
      </c>
      <c r="E146" s="92">
        <f>IFERROR(INDEX('چکهای دریافتنی'!F:F,MATCH(Table233[[#This Row],[کد تفصیلی]],'چکهای دریافتنی'!A:A,0)),0)</f>
        <v>0</v>
      </c>
      <c r="F146" s="92">
        <f>Table233[[#This Row],[حسابهای دریافتنی]]+Table233[[#This Row],[چکهای در جریان وصول]]+Table233[[#This Row],[چکهای نزد صندوق]]</f>
        <v>-23665000</v>
      </c>
      <c r="G146" s="93">
        <f>IFERROR(INDEX('مانده سوفاله'!F:F,MATCH(Table233[[#This Row],[کد تفصیلی]],'مانده سوفاله'!A:A,0)),0)</f>
        <v>0</v>
      </c>
    </row>
    <row r="147" spans="1:7" customFormat="1" ht="29.25" customHeight="1" x14ac:dyDescent="0.35">
      <c r="A147" s="76">
        <v>30072</v>
      </c>
      <c r="B147" s="72" t="s">
        <v>663</v>
      </c>
      <c r="C147" s="91">
        <f>IFERROR(INDEX('حسابهای دریافتنی'!H:H,MATCH(Table233[[#This Row],[کد تفصیلی]],'حسابهای دریافتنی'!A:A,0)),0)</f>
        <v>-30178900</v>
      </c>
      <c r="D147" s="92">
        <f>IFERROR(INDEX('درجریان وصول'!F:F,MATCH(Table233[[#This Row],[کد تفصیلی]],'درجریان وصول'!A:A,0)),0)</f>
        <v>0</v>
      </c>
      <c r="E147" s="92">
        <f>IFERROR(INDEX('چکهای دریافتنی'!F:F,MATCH(Table233[[#This Row],[کد تفصیلی]],'چکهای دریافتنی'!A:A,0)),0)</f>
        <v>0</v>
      </c>
      <c r="F147" s="92">
        <f>Table233[[#This Row],[حسابهای دریافتنی]]+Table233[[#This Row],[چکهای در جریان وصول]]+Table233[[#This Row],[چکهای نزد صندوق]]</f>
        <v>-30178900</v>
      </c>
      <c r="G147" s="93">
        <f>IFERROR(INDEX('مانده سوفاله'!F:F,MATCH(Table233[[#This Row],[کد تفصیلی]],'مانده سوفاله'!A:A,0)),0)</f>
        <v>-79</v>
      </c>
    </row>
    <row r="148" spans="1:7" customFormat="1" ht="29.25" customHeight="1" x14ac:dyDescent="0.35">
      <c r="A148" s="76">
        <v>10049</v>
      </c>
      <c r="B148" s="72" t="s">
        <v>664</v>
      </c>
      <c r="C148" s="91">
        <f>IFERROR(INDEX('حسابهای دریافتنی'!H:H,MATCH(Table233[[#This Row],[کد تفصیلی]],'حسابهای دریافتنی'!A:A,0)),0)</f>
        <v>-32909500</v>
      </c>
      <c r="D148" s="92">
        <f>IFERROR(INDEX('درجریان وصول'!F:F,MATCH(Table233[[#This Row],[کد تفصیلی]],'درجریان وصول'!A:A,0)),0)</f>
        <v>0</v>
      </c>
      <c r="E148" s="92">
        <f>IFERROR(INDEX('چکهای دریافتنی'!F:F,MATCH(Table233[[#This Row],[کد تفصیلی]],'چکهای دریافتنی'!A:A,0)),0)</f>
        <v>0</v>
      </c>
      <c r="F148" s="92">
        <f>Table233[[#This Row],[حسابهای دریافتنی]]+Table233[[#This Row],[چکهای در جریان وصول]]+Table233[[#This Row],[چکهای نزد صندوق]]</f>
        <v>-32909500</v>
      </c>
      <c r="G148" s="93">
        <f>IFERROR(INDEX('مانده سوفاله'!F:F,MATCH(Table233[[#This Row],[کد تفصیلی]],'مانده سوفاله'!A:A,0)),0)</f>
        <v>0</v>
      </c>
    </row>
    <row r="149" spans="1:7" customFormat="1" ht="29.25" customHeight="1" x14ac:dyDescent="0.35">
      <c r="A149" s="76">
        <v>30098</v>
      </c>
      <c r="B149" s="72" t="s">
        <v>665</v>
      </c>
      <c r="C149" s="91">
        <f>IFERROR(INDEX('حسابهای دریافتنی'!H:H,MATCH(Table233[[#This Row],[کد تفصیلی]],'حسابهای دریافتنی'!A:A,0)),0)</f>
        <v>-45125000</v>
      </c>
      <c r="D149" s="92">
        <f>IFERROR(INDEX('درجریان وصول'!F:F,MATCH(Table233[[#This Row],[کد تفصیلی]],'درجریان وصول'!A:A,0)),0)</f>
        <v>0</v>
      </c>
      <c r="E149" s="92">
        <f>IFERROR(INDEX('چکهای دریافتنی'!F:F,MATCH(Table233[[#This Row],[کد تفصیلی]],'چکهای دریافتنی'!A:A,0)),0)</f>
        <v>0</v>
      </c>
      <c r="F149" s="92">
        <f>Table233[[#This Row],[حسابهای دریافتنی]]+Table233[[#This Row],[چکهای در جریان وصول]]+Table233[[#This Row],[چکهای نزد صندوق]]</f>
        <v>-45125000</v>
      </c>
      <c r="G149" s="93">
        <f>IFERROR(INDEX('مانده سوفاله'!F:F,MATCH(Table233[[#This Row],[کد تفصیلی]],'مانده سوفاله'!A:A,0)),0)</f>
        <v>0</v>
      </c>
    </row>
    <row r="150" spans="1:7" customFormat="1" ht="29.25" customHeight="1" x14ac:dyDescent="0.35">
      <c r="A150" s="77">
        <v>30012</v>
      </c>
      <c r="B150" s="73" t="s">
        <v>61</v>
      </c>
      <c r="C150" s="91">
        <f>IFERROR(INDEX('حسابهای دریافتنی'!H:H,MATCH(Table233[[#This Row],[کد تفصیلی]],'حسابهای دریافتنی'!A:A,0)),0)</f>
        <v>-46099000</v>
      </c>
      <c r="D150" s="92">
        <f>IFERROR(INDEX('درجریان وصول'!F:F,MATCH(Table233[[#This Row],[کد تفصیلی]],'درجریان وصول'!A:A,0)),0)</f>
        <v>0</v>
      </c>
      <c r="E150" s="92">
        <f>IFERROR(INDEX('چکهای دریافتنی'!F:F,MATCH(Table233[[#This Row],[کد تفصیلی]],'چکهای دریافتنی'!A:A,0)),0)</f>
        <v>348650000</v>
      </c>
      <c r="F150" s="92">
        <f>Table233[[#This Row],[حسابهای دریافتنی]]+Table233[[#This Row],[چکهای در جریان وصول]]+Table233[[#This Row],[چکهای نزد صندوق]]</f>
        <v>302551000</v>
      </c>
      <c r="G150" s="93">
        <f>IFERROR(INDEX('مانده سوفاله'!F:F,MATCH(Table233[[#This Row],[کد تفصیلی]],'مانده سوفاله'!A:A,0)),0)</f>
        <v>141</v>
      </c>
    </row>
    <row r="151" spans="1:7" customFormat="1" ht="29.25" customHeight="1" x14ac:dyDescent="0.35">
      <c r="A151" s="76">
        <v>30064</v>
      </c>
      <c r="B151" s="72" t="s">
        <v>666</v>
      </c>
      <c r="C151" s="91">
        <f>IFERROR(INDEX('حسابهای دریافتنی'!H:H,MATCH(Table233[[#This Row],[کد تفصیلی]],'حسابهای دریافتنی'!A:A,0)),0)</f>
        <v>-49679500</v>
      </c>
      <c r="D151" s="92">
        <f>IFERROR(INDEX('درجریان وصول'!F:F,MATCH(Table233[[#This Row],[کد تفصیلی]],'درجریان وصول'!A:A,0)),0)</f>
        <v>0</v>
      </c>
      <c r="E151" s="92">
        <f>IFERROR(INDEX('چکهای دریافتنی'!F:F,MATCH(Table233[[#This Row],[کد تفصیلی]],'چکهای دریافتنی'!A:A,0)),0)</f>
        <v>0</v>
      </c>
      <c r="F151" s="92">
        <f>Table233[[#This Row],[حسابهای دریافتنی]]+Table233[[#This Row],[چکهای در جریان وصول]]+Table233[[#This Row],[چکهای نزد صندوق]]</f>
        <v>-49679500</v>
      </c>
      <c r="G151" s="93">
        <f>IFERROR(INDEX('مانده سوفاله'!F:F,MATCH(Table233[[#This Row],[کد تفصیلی]],'مانده سوفاله'!A:A,0)),0)</f>
        <v>0</v>
      </c>
    </row>
    <row r="152" spans="1:7" customFormat="1" ht="29.25" customHeight="1" x14ac:dyDescent="0.35">
      <c r="A152" s="77">
        <v>10123</v>
      </c>
      <c r="B152" s="73" t="s">
        <v>376</v>
      </c>
      <c r="C152" s="91">
        <f>IFERROR(INDEX('حسابهای دریافتنی'!H:H,MATCH(Table233[[#This Row],[کد تفصیلی]],'حسابهای دریافتنی'!A:A,0)),0)</f>
        <v>-50813000</v>
      </c>
      <c r="D152" s="92">
        <f>IFERROR(INDEX('درجریان وصول'!F:F,MATCH(Table233[[#This Row],[کد تفصیلی]],'درجریان وصول'!A:A,0)),0)</f>
        <v>0</v>
      </c>
      <c r="E152" s="92">
        <f>IFERROR(INDEX('چکهای دریافتنی'!F:F,MATCH(Table233[[#This Row],[کد تفصیلی]],'چکهای دریافتنی'!A:A,0)),0)</f>
        <v>0</v>
      </c>
      <c r="F152" s="92">
        <f>Table233[[#This Row],[حسابهای دریافتنی]]+Table233[[#This Row],[چکهای در جریان وصول]]+Table233[[#This Row],[چکهای نزد صندوق]]</f>
        <v>-50813000</v>
      </c>
      <c r="G152" s="93">
        <f>IFERROR(INDEX('مانده سوفاله'!F:F,MATCH(Table233[[#This Row],[کد تفصیلی]],'مانده سوفاله'!A:A,0)),0)</f>
        <v>0</v>
      </c>
    </row>
    <row r="153" spans="1:7" customFormat="1" ht="29.25" customHeight="1" x14ac:dyDescent="0.35">
      <c r="A153" s="77">
        <v>30000</v>
      </c>
      <c r="B153" s="73" t="s">
        <v>562</v>
      </c>
      <c r="C153" s="91">
        <f>IFERROR(INDEX('حسابهای دریافتنی'!H:H,MATCH(Table233[[#This Row],[کد تفصیلی]],'حسابهای دریافتنی'!A:A,0)),0)</f>
        <v>-55440000</v>
      </c>
      <c r="D153" s="92">
        <f>IFERROR(INDEX('درجریان وصول'!F:F,MATCH(Table233[[#This Row],[کد تفصیلی]],'درجریان وصول'!A:A,0)),0)</f>
        <v>0</v>
      </c>
      <c r="E153" s="92">
        <f>IFERROR(INDEX('چکهای دریافتنی'!F:F,MATCH(Table233[[#This Row],[کد تفصیلی]],'چکهای دریافتنی'!A:A,0)),0)</f>
        <v>0</v>
      </c>
      <c r="F153" s="92">
        <f>Table233[[#This Row],[حسابهای دریافتنی]]+Table233[[#This Row],[چکهای در جریان وصول]]+Table233[[#This Row],[چکهای نزد صندوق]]</f>
        <v>-55440000</v>
      </c>
      <c r="G153" s="93">
        <f>IFERROR(INDEX('مانده سوفاله'!F:F,MATCH(Table233[[#This Row],[کد تفصیلی]],'مانده سوفاله'!A:A,0)),0)</f>
        <v>0</v>
      </c>
    </row>
    <row r="154" spans="1:7" customFormat="1" ht="29.25" customHeight="1" x14ac:dyDescent="0.35">
      <c r="A154" s="76">
        <v>30205</v>
      </c>
      <c r="B154" s="72" t="s">
        <v>531</v>
      </c>
      <c r="C154" s="91">
        <f>IFERROR(INDEX('حسابهای دریافتنی'!H:H,MATCH(Table233[[#This Row],[کد تفصیلی]],'حسابهای دریافتنی'!A:A,0)),0)</f>
        <v>-66014320</v>
      </c>
      <c r="D154" s="92">
        <f>IFERROR(INDEX('درجریان وصول'!F:F,MATCH(Table233[[#This Row],[کد تفصیلی]],'درجریان وصول'!A:A,0)),0)</f>
        <v>0</v>
      </c>
      <c r="E154" s="92">
        <f>IFERROR(INDEX('چکهای دریافتنی'!F:F,MATCH(Table233[[#This Row],[کد تفصیلی]],'چکهای دریافتنی'!A:A,0)),0)</f>
        <v>0</v>
      </c>
      <c r="F154" s="92">
        <f>Table233[[#This Row],[حسابهای دریافتنی]]+Table233[[#This Row],[چکهای در جریان وصول]]+Table233[[#This Row],[چکهای نزد صندوق]]</f>
        <v>-66014320</v>
      </c>
      <c r="G154" s="93">
        <f>IFERROR(INDEX('مانده سوفاله'!F:F,MATCH(Table233[[#This Row],[کد تفصیلی]],'مانده سوفاله'!A:A,0)),0)</f>
        <v>0</v>
      </c>
    </row>
    <row r="155" spans="1:7" customFormat="1" ht="29.25" customHeight="1" x14ac:dyDescent="0.35">
      <c r="A155" s="77">
        <v>30133</v>
      </c>
      <c r="B155" s="73" t="s">
        <v>667</v>
      </c>
      <c r="C155" s="91">
        <f>IFERROR(INDEX('حسابهای دریافتنی'!H:H,MATCH(Table233[[#This Row],[کد تفصیلی]],'حسابهای دریافتنی'!A:A,0)),0)</f>
        <v>-66889500</v>
      </c>
      <c r="D155" s="92">
        <f>IFERROR(INDEX('درجریان وصول'!F:F,MATCH(Table233[[#This Row],[کد تفصیلی]],'درجریان وصول'!A:A,0)),0)</f>
        <v>0</v>
      </c>
      <c r="E155" s="92">
        <f>IFERROR(INDEX('چکهای دریافتنی'!F:F,MATCH(Table233[[#This Row],[کد تفصیلی]],'چکهای دریافتنی'!A:A,0)),0)</f>
        <v>0</v>
      </c>
      <c r="F155" s="92">
        <f>Table233[[#This Row],[حسابهای دریافتنی]]+Table233[[#This Row],[چکهای در جریان وصول]]+Table233[[#This Row],[چکهای نزد صندوق]]</f>
        <v>-66889500</v>
      </c>
      <c r="G155" s="93">
        <f>IFERROR(INDEX('مانده سوفاله'!F:F,MATCH(Table233[[#This Row],[کد تفصیلی]],'مانده سوفاله'!A:A,0)),0)</f>
        <v>0</v>
      </c>
    </row>
    <row r="156" spans="1:7" customFormat="1" ht="29.25" customHeight="1" x14ac:dyDescent="0.35">
      <c r="A156" s="76">
        <v>30168</v>
      </c>
      <c r="B156" s="72" t="s">
        <v>668</v>
      </c>
      <c r="C156" s="91">
        <f>IFERROR(INDEX('حسابهای دریافتنی'!H:H,MATCH(Table233[[#This Row],[کد تفصیلی]],'حسابهای دریافتنی'!A:A,0)),0)</f>
        <v>-104220000</v>
      </c>
      <c r="D156" s="92">
        <f>IFERROR(INDEX('درجریان وصول'!F:F,MATCH(Table233[[#This Row],[کد تفصیلی]],'درجریان وصول'!A:A,0)),0)</f>
        <v>0</v>
      </c>
      <c r="E156" s="92">
        <f>IFERROR(INDEX('چکهای دریافتنی'!F:F,MATCH(Table233[[#This Row],[کد تفصیلی]],'چکهای دریافتنی'!A:A,0)),0)</f>
        <v>0</v>
      </c>
      <c r="F156" s="92">
        <f>Table233[[#This Row],[حسابهای دریافتنی]]+Table233[[#This Row],[چکهای در جریان وصول]]+Table233[[#This Row],[چکهای نزد صندوق]]</f>
        <v>-104220000</v>
      </c>
      <c r="G156" s="93">
        <f>IFERROR(INDEX('مانده سوفاله'!F:F,MATCH(Table233[[#This Row],[کد تفصیلی]],'مانده سوفاله'!A:A,0)),0)</f>
        <v>0</v>
      </c>
    </row>
    <row r="157" spans="1:7" customFormat="1" ht="29.25" customHeight="1" x14ac:dyDescent="0.35">
      <c r="A157" s="76">
        <v>10089</v>
      </c>
      <c r="B157" s="72" t="s">
        <v>669</v>
      </c>
      <c r="C157" s="91">
        <f>IFERROR(INDEX('حسابهای دریافتنی'!H:H,MATCH(Table233[[#This Row],[کد تفصیلی]],'حسابهای دریافتنی'!A:A,0)),0)</f>
        <v>-143944000</v>
      </c>
      <c r="D157" s="92">
        <f>IFERROR(INDEX('درجریان وصول'!F:F,MATCH(Table233[[#This Row],[کد تفصیلی]],'درجریان وصول'!A:A,0)),0)</f>
        <v>0</v>
      </c>
      <c r="E157" s="92">
        <f>IFERROR(INDEX('چکهای دریافتنی'!F:F,MATCH(Table233[[#This Row],[کد تفصیلی]],'چکهای دریافتنی'!A:A,0)),0)</f>
        <v>0</v>
      </c>
      <c r="F157" s="92">
        <f>Table233[[#This Row],[حسابهای دریافتنی]]+Table233[[#This Row],[چکهای در جریان وصول]]+Table233[[#This Row],[چکهای نزد صندوق]]</f>
        <v>-143944000</v>
      </c>
      <c r="G157" s="93">
        <f>IFERROR(INDEX('مانده سوفاله'!F:F,MATCH(Table233[[#This Row],[کد تفصیلی]],'مانده سوفاله'!A:A,0)),0)</f>
        <v>-948</v>
      </c>
    </row>
    <row r="158" spans="1:7" customFormat="1" ht="29.25" customHeight="1" x14ac:dyDescent="0.35">
      <c r="A158" s="77">
        <v>30006</v>
      </c>
      <c r="B158" s="73" t="s">
        <v>56</v>
      </c>
      <c r="C158" s="91">
        <f>IFERROR(INDEX('حسابهای دریافتنی'!H:H,MATCH(Table233[[#This Row],[کد تفصیلی]],'حسابهای دریافتنی'!A:A,0)),0)</f>
        <v>-162677545</v>
      </c>
      <c r="D158" s="92">
        <f>IFERROR(INDEX('درجریان وصول'!F:F,MATCH(Table233[[#This Row],[کد تفصیلی]],'درجریان وصول'!A:A,0)),0)</f>
        <v>0</v>
      </c>
      <c r="E158" s="92">
        <f>IFERROR(INDEX('چکهای دریافتنی'!F:F,MATCH(Table233[[#This Row],[کد تفصیلی]],'چکهای دریافتنی'!A:A,0)),0)</f>
        <v>0</v>
      </c>
      <c r="F158" s="92">
        <f>Table233[[#This Row],[حسابهای دریافتنی]]+Table233[[#This Row],[چکهای در جریان وصول]]+Table233[[#This Row],[چکهای نزد صندوق]]</f>
        <v>-162677545</v>
      </c>
      <c r="G158" s="93">
        <f>IFERROR(INDEX('مانده سوفاله'!F:F,MATCH(Table233[[#This Row],[کد تفصیلی]],'مانده سوفاله'!A:A,0)),0)</f>
        <v>-6</v>
      </c>
    </row>
    <row r="159" spans="1:7" customFormat="1" ht="29.25" customHeight="1" x14ac:dyDescent="0.35">
      <c r="A159" s="76">
        <v>30156</v>
      </c>
      <c r="B159" s="72" t="s">
        <v>670</v>
      </c>
      <c r="C159" s="91">
        <f>IFERROR(INDEX('حسابهای دریافتنی'!H:H,MATCH(Table233[[#This Row],[کد تفصیلی]],'حسابهای دریافتنی'!A:A,0)),0)</f>
        <v>-180917500</v>
      </c>
      <c r="D159" s="92">
        <f>IFERROR(INDEX('درجریان وصول'!F:F,MATCH(Table233[[#This Row],[کد تفصیلی]],'درجریان وصول'!A:A,0)),0)</f>
        <v>0</v>
      </c>
      <c r="E159" s="92">
        <f>IFERROR(INDEX('چکهای دریافتنی'!F:F,MATCH(Table233[[#This Row],[کد تفصیلی]],'چکهای دریافتنی'!A:A,0)),0)</f>
        <v>0</v>
      </c>
      <c r="F159" s="92">
        <f>Table233[[#This Row],[حسابهای دریافتنی]]+Table233[[#This Row],[چکهای در جریان وصول]]+Table233[[#This Row],[چکهای نزد صندوق]]</f>
        <v>-180917500</v>
      </c>
      <c r="G159" s="93">
        <f>IFERROR(INDEX('مانده سوفاله'!F:F,MATCH(Table233[[#This Row],[کد تفصیلی]],'مانده سوفاله'!A:A,0)),0)</f>
        <v>0</v>
      </c>
    </row>
    <row r="160" spans="1:7" customFormat="1" ht="29.25" customHeight="1" x14ac:dyDescent="0.35">
      <c r="A160" s="76">
        <v>10079</v>
      </c>
      <c r="B160" s="72" t="s">
        <v>671</v>
      </c>
      <c r="C160" s="91">
        <f>IFERROR(INDEX('حسابهای دریافتنی'!H:H,MATCH(Table233[[#This Row],[کد تفصیلی]],'حسابهای دریافتنی'!A:A,0)),0)</f>
        <v>-226593500</v>
      </c>
      <c r="D160" s="92">
        <f>IFERROR(INDEX('درجریان وصول'!F:F,MATCH(Table233[[#This Row],[کد تفصیلی]],'درجریان وصول'!A:A,0)),0)</f>
        <v>0</v>
      </c>
      <c r="E160" s="92">
        <f>IFERROR(INDEX('چکهای دریافتنی'!F:F,MATCH(Table233[[#This Row],[کد تفصیلی]],'چکهای دریافتنی'!A:A,0)),0)</f>
        <v>0</v>
      </c>
      <c r="F160" s="92">
        <f>Table233[[#This Row],[حسابهای دریافتنی]]+Table233[[#This Row],[چکهای در جریان وصول]]+Table233[[#This Row],[چکهای نزد صندوق]]</f>
        <v>-226593500</v>
      </c>
      <c r="G160" s="93">
        <f>IFERROR(INDEX('مانده سوفاله'!F:F,MATCH(Table233[[#This Row],[کد تفصیلی]],'مانده سوفاله'!A:A,0)),0)</f>
        <v>0</v>
      </c>
    </row>
    <row r="161" spans="1:7" customFormat="1" ht="29.25" customHeight="1" x14ac:dyDescent="0.35">
      <c r="A161" s="76">
        <v>10139</v>
      </c>
      <c r="B161" s="72" t="s">
        <v>518</v>
      </c>
      <c r="C161" s="91">
        <f>IFERROR(INDEX('حسابهای دریافتنی'!H:H,MATCH(Table233[[#This Row],[کد تفصیلی]],'حسابهای دریافتنی'!A:A,0)),0)</f>
        <v>-267193000</v>
      </c>
      <c r="D161" s="92">
        <f>IFERROR(INDEX('درجریان وصول'!F:F,MATCH(Table233[[#This Row],[کد تفصیلی]],'درجریان وصول'!A:A,0)),0)</f>
        <v>0</v>
      </c>
      <c r="E161" s="92">
        <f>IFERROR(INDEX('چکهای دریافتنی'!F:F,MATCH(Table233[[#This Row],[کد تفصیلی]],'چکهای دریافتنی'!A:A,0)),0)</f>
        <v>0</v>
      </c>
      <c r="F161" s="92">
        <f>Table233[[#This Row],[حسابهای دریافتنی]]+Table233[[#This Row],[چکهای در جریان وصول]]+Table233[[#This Row],[چکهای نزد صندوق]]</f>
        <v>-267193000</v>
      </c>
      <c r="G161" s="93">
        <f>IFERROR(INDEX('مانده سوفاله'!F:F,MATCH(Table233[[#This Row],[کد تفصیلی]],'مانده سوفاله'!A:A,0)),0)</f>
        <v>0</v>
      </c>
    </row>
    <row r="162" spans="1:7" customFormat="1" ht="29.25" customHeight="1" x14ac:dyDescent="0.35">
      <c r="A162" s="77">
        <v>50008</v>
      </c>
      <c r="B162" s="73" t="s">
        <v>672</v>
      </c>
      <c r="C162" s="91">
        <f>IFERROR(INDEX('حسابهای دریافتنی'!H:H,MATCH(Table233[[#This Row],[کد تفصیلی]],'حسابهای دریافتنی'!A:A,0)),0)</f>
        <v>-406230000</v>
      </c>
      <c r="D162" s="92">
        <f>IFERROR(INDEX('درجریان وصول'!F:F,MATCH(Table233[[#This Row],[کد تفصیلی]],'درجریان وصول'!A:A,0)),0)</f>
        <v>0</v>
      </c>
      <c r="E162" s="92">
        <f>IFERROR(INDEX('چکهای دریافتنی'!F:F,MATCH(Table233[[#This Row],[کد تفصیلی]],'چکهای دریافتنی'!A:A,0)),0)</f>
        <v>0</v>
      </c>
      <c r="F162" s="92">
        <f>Table233[[#This Row],[حسابهای دریافتنی]]+Table233[[#This Row],[چکهای در جریان وصول]]+Table233[[#This Row],[چکهای نزد صندوق]]</f>
        <v>-406230000</v>
      </c>
      <c r="G162" s="93">
        <f>IFERROR(INDEX('مانده سوفاله'!F:F,MATCH(Table233[[#This Row],[کد تفصیلی]],'مانده سوفاله'!A:A,0)),0)</f>
        <v>0</v>
      </c>
    </row>
    <row r="163" spans="1:7" customFormat="1" ht="29.25" customHeight="1" x14ac:dyDescent="0.35">
      <c r="A163" s="77">
        <v>30155</v>
      </c>
      <c r="B163" s="73" t="s">
        <v>673</v>
      </c>
      <c r="C163" s="91">
        <f>IFERROR(INDEX('حسابهای دریافتنی'!H:H,MATCH(Table233[[#This Row],[کد تفصیلی]],'حسابهای دریافتنی'!A:A,0)),0)</f>
        <v>-454985417</v>
      </c>
      <c r="D163" s="92">
        <f>IFERROR(INDEX('درجریان وصول'!F:F,MATCH(Table233[[#This Row],[کد تفصیلی]],'درجریان وصول'!A:A,0)),0)</f>
        <v>0</v>
      </c>
      <c r="E163" s="92">
        <f>IFERROR(INDEX('چکهای دریافتنی'!F:F,MATCH(Table233[[#This Row],[کد تفصیلی]],'چکهای دریافتنی'!A:A,0)),0)</f>
        <v>1379936267</v>
      </c>
      <c r="F163" s="92">
        <f>Table233[[#This Row],[حسابهای دریافتنی]]+Table233[[#This Row],[چکهای در جریان وصول]]+Table233[[#This Row],[چکهای نزد صندوق]]</f>
        <v>924950850</v>
      </c>
      <c r="G163" s="93">
        <f>IFERROR(INDEX('مانده سوفاله'!F:F,MATCH(Table233[[#This Row],[کد تفصیلی]],'مانده سوفاله'!A:A,0)),0)</f>
        <v>0</v>
      </c>
    </row>
    <row r="164" spans="1:7" ht="29.25" customHeight="1" x14ac:dyDescent="0.35">
      <c r="A164" s="75">
        <v>30182</v>
      </c>
      <c r="B164" s="72" t="s">
        <v>387</v>
      </c>
      <c r="C164" s="91">
        <f>IFERROR(INDEX('حسابهای دریافتنی'!H:H,MATCH(Table233[[#This Row],[کد تفصیلی]],'حسابهای دریافتنی'!A:A,0)),0)</f>
        <v>-528256400</v>
      </c>
      <c r="D164" s="92">
        <f>IFERROR(INDEX('درجریان وصول'!F:F,MATCH(Table233[[#This Row],[کد تفصیلی]],'درجریان وصول'!A:A,0)),0)</f>
        <v>0</v>
      </c>
      <c r="E164" s="92">
        <f>IFERROR(INDEX('چکهای دریافتنی'!F:F,MATCH(Table233[[#This Row],[کد تفصیلی]],'چکهای دریافتنی'!A:A,0)),0)</f>
        <v>0</v>
      </c>
      <c r="F164" s="92">
        <f>Table233[[#This Row],[حسابهای دریافتنی]]+Table233[[#This Row],[چکهای در جریان وصول]]+Table233[[#This Row],[چکهای نزد صندوق]]</f>
        <v>-528256400</v>
      </c>
      <c r="G164" s="93">
        <f>IFERROR(INDEX('مانده سوفاله'!F:F,MATCH(Table233[[#This Row],[کد تفصیلی]],'مانده سوفاله'!A:A,0)),0)</f>
        <v>0</v>
      </c>
    </row>
    <row r="165" spans="1:7" ht="29.25" customHeight="1" x14ac:dyDescent="0.35">
      <c r="A165" s="74">
        <v>30169</v>
      </c>
      <c r="B165" s="73" t="s">
        <v>563</v>
      </c>
      <c r="C165" s="91">
        <f>IFERROR(INDEX('حسابهای دریافتنی'!H:H,MATCH(Table233[[#This Row],[کد تفصیلی]],'حسابهای دریافتنی'!A:A,0)),0)</f>
        <v>-658993316</v>
      </c>
      <c r="D165" s="92">
        <f>IFERROR(INDEX('درجریان وصول'!F:F,MATCH(Table233[[#This Row],[کد تفصیلی]],'درجریان وصول'!A:A,0)),0)</f>
        <v>0</v>
      </c>
      <c r="E165" s="92">
        <f>IFERROR(INDEX('چکهای دریافتنی'!F:F,MATCH(Table233[[#This Row],[کد تفصیلی]],'چکهای دریافتنی'!A:A,0)),0)</f>
        <v>2085000000</v>
      </c>
      <c r="F165" s="92">
        <f>Table233[[#This Row],[حسابهای دریافتنی]]+Table233[[#This Row],[چکهای در جریان وصول]]+Table233[[#This Row],[چکهای نزد صندوق]]</f>
        <v>1426006684</v>
      </c>
      <c r="G165" s="93">
        <f>IFERROR(INDEX('مانده سوفاله'!F:F,MATCH(Table233[[#This Row],[کد تفصیلی]],'مانده سوفاله'!A:A,0)),0)</f>
        <v>0</v>
      </c>
    </row>
    <row r="166" spans="1:7" ht="29.25" customHeight="1" x14ac:dyDescent="0.35">
      <c r="A166" s="75">
        <v>10029</v>
      </c>
      <c r="B166" s="72" t="s">
        <v>674</v>
      </c>
      <c r="C166" s="91">
        <f>IFERROR(INDEX('حسابهای دریافتنی'!H:H,MATCH(Table233[[#This Row],[کد تفصیلی]],'حسابهای دریافتنی'!A:A,0)),0)</f>
        <v>-1038298620</v>
      </c>
      <c r="D166" s="92">
        <f>IFERROR(INDEX('درجریان وصول'!F:F,MATCH(Table233[[#This Row],[کد تفصیلی]],'درجریان وصول'!A:A,0)),0)</f>
        <v>0</v>
      </c>
      <c r="E166" s="92">
        <f>IFERROR(INDEX('چکهای دریافتنی'!F:F,MATCH(Table233[[#This Row],[کد تفصیلی]],'چکهای دریافتنی'!A:A,0)),0)</f>
        <v>2019000000</v>
      </c>
      <c r="F166" s="92">
        <f>Table233[[#This Row],[حسابهای دریافتنی]]+Table233[[#This Row],[چکهای در جریان وصول]]+Table233[[#This Row],[چکهای نزد صندوق]]</f>
        <v>980701380</v>
      </c>
      <c r="G166" s="93">
        <f>IFERROR(INDEX('مانده سوفاله'!F:F,MATCH(Table233[[#This Row],[کد تفصیلی]],'مانده سوفاله'!A:A,0)),0)</f>
        <v>6603</v>
      </c>
    </row>
    <row r="167" spans="1:7" ht="29.25" customHeight="1" x14ac:dyDescent="0.35">
      <c r="A167" s="74">
        <v>10109</v>
      </c>
      <c r="B167" s="73" t="s">
        <v>675</v>
      </c>
      <c r="C167" s="91">
        <f>IFERROR(INDEX('حسابهای دریافتنی'!H:H,MATCH(Table233[[#This Row],[کد تفصیلی]],'حسابهای دریافتنی'!A:A,0)),0)</f>
        <v>-1124737000</v>
      </c>
      <c r="D167" s="92">
        <f>IFERROR(INDEX('درجریان وصول'!F:F,MATCH(Table233[[#This Row],[کد تفصیلی]],'درجریان وصول'!A:A,0)),0)</f>
        <v>0</v>
      </c>
      <c r="E167" s="92">
        <f>IFERROR(INDEX('چکهای دریافتنی'!F:F,MATCH(Table233[[#This Row],[کد تفصیلی]],'چکهای دریافتنی'!A:A,0)),0)</f>
        <v>0</v>
      </c>
      <c r="F167" s="92">
        <f>Table233[[#This Row],[حسابهای دریافتنی]]+Table233[[#This Row],[چکهای در جریان وصول]]+Table233[[#This Row],[چکهای نزد صندوق]]</f>
        <v>-1124737000</v>
      </c>
      <c r="G167" s="93">
        <f>IFERROR(INDEX('مانده سوفاله'!F:F,MATCH(Table233[[#This Row],[کد تفصیلی]],'مانده سوفاله'!A:A,0)),0)</f>
        <v>-241</v>
      </c>
    </row>
    <row r="168" spans="1:7" ht="29.25" customHeight="1" x14ac:dyDescent="0.35">
      <c r="A168" s="74">
        <v>30165</v>
      </c>
      <c r="B168" s="73" t="s">
        <v>676</v>
      </c>
      <c r="C168" s="91">
        <f>IFERROR(INDEX('حسابهای دریافتنی'!H:H,MATCH(Table233[[#This Row],[کد تفصیلی]],'حسابهای دریافتنی'!A:A,0)),0)</f>
        <v>-1139268000</v>
      </c>
      <c r="D168" s="92">
        <f>IFERROR(INDEX('درجریان وصول'!F:F,MATCH(Table233[[#This Row],[کد تفصیلی]],'درجریان وصول'!A:A,0)),0)</f>
        <v>0</v>
      </c>
      <c r="E168" s="92">
        <f>IFERROR(INDEX('چکهای دریافتنی'!F:F,MATCH(Table233[[#This Row],[کد تفصیلی]],'چکهای دریافتنی'!A:A,0)),0)</f>
        <v>0</v>
      </c>
      <c r="F168" s="92">
        <f>Table233[[#This Row],[حسابهای دریافتنی]]+Table233[[#This Row],[چکهای در جریان وصول]]+Table233[[#This Row],[چکهای نزد صندوق]]</f>
        <v>-1139268000</v>
      </c>
      <c r="G168" s="93">
        <f>IFERROR(INDEX('مانده سوفاله'!F:F,MATCH(Table233[[#This Row],[کد تفصیلی]],'مانده سوفاله'!A:A,0)),0)</f>
        <v>0</v>
      </c>
    </row>
    <row r="169" spans="1:7" ht="29.25" customHeight="1" x14ac:dyDescent="0.35">
      <c r="A169" s="74">
        <v>10133</v>
      </c>
      <c r="B169" s="73" t="s">
        <v>465</v>
      </c>
      <c r="C169" s="91">
        <f>IFERROR(INDEX('حسابهای دریافتنی'!H:H,MATCH(Table233[[#This Row],[کد تفصیلی]],'حسابهای دریافتنی'!A:A,0)),0)</f>
        <v>-1249039000</v>
      </c>
      <c r="D169" s="92">
        <f>IFERROR(INDEX('درجریان وصول'!F:F,MATCH(Table233[[#This Row],[کد تفصیلی]],'درجریان وصول'!A:A,0)),0)</f>
        <v>0</v>
      </c>
      <c r="E169" s="92">
        <f>IFERROR(INDEX('چکهای دریافتنی'!F:F,MATCH(Table233[[#This Row],[کد تفصیلی]],'چکهای دریافتنی'!A:A,0)),0)</f>
        <v>0</v>
      </c>
      <c r="F169" s="92">
        <f>Table233[[#This Row],[حسابهای دریافتنی]]+Table233[[#This Row],[چکهای در جریان وصول]]+Table233[[#This Row],[چکهای نزد صندوق]]</f>
        <v>-1249039000</v>
      </c>
      <c r="G169" s="93">
        <f>IFERROR(INDEX('مانده سوفاله'!F:F,MATCH(Table233[[#This Row],[کد تفصیلی]],'مانده سوفاله'!A:A,0)),0)</f>
        <v>0</v>
      </c>
    </row>
    <row r="170" spans="1:7" ht="29.25" customHeight="1" x14ac:dyDescent="0.35">
      <c r="A170" s="74">
        <v>30204</v>
      </c>
      <c r="B170" s="73" t="s">
        <v>530</v>
      </c>
      <c r="C170" s="91">
        <f>IFERROR(INDEX('حسابهای دریافتنی'!H:H,MATCH(Table233[[#This Row],[کد تفصیلی]],'حسابهای دریافتنی'!A:A,0)),0)</f>
        <v>-1354830000</v>
      </c>
      <c r="D170" s="92">
        <f>IFERROR(INDEX('درجریان وصول'!F:F,MATCH(Table233[[#This Row],[کد تفصیلی]],'درجریان وصول'!A:A,0)),0)</f>
        <v>0</v>
      </c>
      <c r="E170" s="92">
        <f>IFERROR(INDEX('چکهای دریافتنی'!F:F,MATCH(Table233[[#This Row],[کد تفصیلی]],'چکهای دریافتنی'!A:A,0)),0)</f>
        <v>0</v>
      </c>
      <c r="F170" s="92">
        <f>Table233[[#This Row],[حسابهای دریافتنی]]+Table233[[#This Row],[چکهای در جریان وصول]]+Table233[[#This Row],[چکهای نزد صندوق]]</f>
        <v>-1354830000</v>
      </c>
      <c r="G170" s="93">
        <f>IFERROR(INDEX('مانده سوفاله'!F:F,MATCH(Table233[[#This Row],[کد تفصیلی]],'مانده سوفاله'!A:A,0)),0)</f>
        <v>0</v>
      </c>
    </row>
    <row r="171" spans="1:7" ht="29.25" customHeight="1" x14ac:dyDescent="0.35">
      <c r="A171" s="74">
        <v>10092</v>
      </c>
      <c r="B171" s="73" t="s">
        <v>677</v>
      </c>
      <c r="C171" s="91">
        <f>IFERROR(INDEX('حسابهای دریافتنی'!H:H,MATCH(Table233[[#This Row],[کد تفصیلی]],'حسابهای دریافتنی'!A:A,0)),0)</f>
        <v>-1749946500</v>
      </c>
      <c r="D171" s="92">
        <f>IFERROR(INDEX('درجریان وصول'!F:F,MATCH(Table233[[#This Row],[کد تفصیلی]],'درجریان وصول'!A:A,0)),0)</f>
        <v>0</v>
      </c>
      <c r="E171" s="92">
        <f>IFERROR(INDEX('چکهای دریافتنی'!F:F,MATCH(Table233[[#This Row],[کد تفصیلی]],'چکهای دریافتنی'!A:A,0)),0)</f>
        <v>300000000</v>
      </c>
      <c r="F171" s="92">
        <f>Table233[[#This Row],[حسابهای دریافتنی]]+Table233[[#This Row],[چکهای در جریان وصول]]+Table233[[#This Row],[چکهای نزد صندوق]]</f>
        <v>-1449946500</v>
      </c>
      <c r="G171" s="93">
        <f>IFERROR(INDEX('مانده سوفاله'!F:F,MATCH(Table233[[#This Row],[کد تفصیلی]],'مانده سوفاله'!A:A,0)),0)</f>
        <v>0</v>
      </c>
    </row>
    <row r="172" spans="1:7" ht="29.25" customHeight="1" x14ac:dyDescent="0.35">
      <c r="A172" s="74">
        <v>10002</v>
      </c>
      <c r="B172" s="73" t="s">
        <v>678</v>
      </c>
      <c r="C172" s="91">
        <f>IFERROR(INDEX('حسابهای دریافتنی'!H:H,MATCH(Table233[[#This Row],[کد تفصیلی]],'حسابهای دریافتنی'!A:A,0)),0)</f>
        <v>-3600000000</v>
      </c>
      <c r="D172" s="92">
        <f>IFERROR(INDEX('درجریان وصول'!F:F,MATCH(Table233[[#This Row],[کد تفصیلی]],'درجریان وصول'!A:A,0)),0)</f>
        <v>0</v>
      </c>
      <c r="E172" s="92">
        <f>IFERROR(INDEX('چکهای دریافتنی'!F:F,MATCH(Table233[[#This Row],[کد تفصیلی]],'چکهای دریافتنی'!A:A,0)),0)</f>
        <v>0</v>
      </c>
      <c r="F172" s="92">
        <f>Table233[[#This Row],[حسابهای دریافتنی]]+Table233[[#This Row],[چکهای در جریان وصول]]+Table233[[#This Row],[چکهای نزد صندوق]]</f>
        <v>-3600000000</v>
      </c>
      <c r="G172" s="93">
        <f>IFERROR(INDEX('مانده سوفاله'!F:F,MATCH(Table233[[#This Row],[کد تفصیلی]],'مانده سوفاله'!A:A,0)),0)</f>
        <v>0</v>
      </c>
    </row>
    <row r="173" spans="1:7" ht="29.25" customHeight="1" x14ac:dyDescent="0.35">
      <c r="A173" s="75">
        <v>30146</v>
      </c>
      <c r="B173" s="72" t="s">
        <v>679</v>
      </c>
      <c r="C173" s="91">
        <f>IFERROR(INDEX('حسابهای دریافتنی'!H:H,MATCH(Table233[[#This Row],[کد تفصیلی]],'حسابهای دریافتنی'!A:A,0)),0)</f>
        <v>-4146512500</v>
      </c>
      <c r="D173" s="92">
        <f>IFERROR(INDEX('درجریان وصول'!F:F,MATCH(Table233[[#This Row],[کد تفصیلی]],'درجریان وصول'!A:A,0)),0)</f>
        <v>0</v>
      </c>
      <c r="E173" s="92">
        <f>IFERROR(INDEX('چکهای دریافتنی'!F:F,MATCH(Table233[[#This Row],[کد تفصیلی]],'چکهای دریافتنی'!A:A,0)),0)</f>
        <v>0</v>
      </c>
      <c r="F173" s="92">
        <f>Table233[[#This Row],[حسابهای دریافتنی]]+Table233[[#This Row],[چکهای در جریان وصول]]+Table233[[#This Row],[چکهای نزد صندوق]]</f>
        <v>-4146512500</v>
      </c>
      <c r="G173" s="93">
        <f>IFERROR(INDEX('مانده سوفاله'!F:F,MATCH(Table233[[#This Row],[کد تفصیلی]],'مانده سوفاله'!A:A,0)),0)</f>
        <v>2823</v>
      </c>
    </row>
    <row r="174" spans="1:7" ht="29.25" customHeight="1" x14ac:dyDescent="0.35">
      <c r="A174" s="75">
        <v>10009</v>
      </c>
      <c r="B174" s="72" t="s">
        <v>680</v>
      </c>
      <c r="C174" s="91">
        <f>IFERROR(INDEX('حسابهای دریافتنی'!H:H,MATCH(Table233[[#This Row],[کد تفصیلی]],'حسابهای دریافتنی'!A:A,0)),0)</f>
        <v>-4260580000</v>
      </c>
      <c r="D174" s="92">
        <f>IFERROR(INDEX('درجریان وصول'!F:F,MATCH(Table233[[#This Row],[کد تفصیلی]],'درجریان وصول'!A:A,0)),0)</f>
        <v>0</v>
      </c>
      <c r="E174" s="92">
        <f>IFERROR(INDEX('چکهای دریافتنی'!F:F,MATCH(Table233[[#This Row],[کد تفصیلی]],'چکهای دریافتنی'!A:A,0)),0)</f>
        <v>1600000000</v>
      </c>
      <c r="F174" s="92">
        <f>Table233[[#This Row],[حسابهای دریافتنی]]+Table233[[#This Row],[چکهای در جریان وصول]]+Table233[[#This Row],[چکهای نزد صندوق]]</f>
        <v>-2660580000</v>
      </c>
      <c r="G174" s="93">
        <f>IFERROR(INDEX('مانده سوفاله'!F:F,MATCH(Table233[[#This Row],[کد تفصیلی]],'مانده سوفاله'!A:A,0)),0)</f>
        <v>9952</v>
      </c>
    </row>
    <row r="175" spans="1:7" ht="29.25" customHeight="1" x14ac:dyDescent="0.35">
      <c r="A175" s="74">
        <v>30131</v>
      </c>
      <c r="B175" s="73" t="s">
        <v>681</v>
      </c>
      <c r="C175" s="91">
        <f>IFERROR(INDEX('حسابهای دریافتنی'!H:H,MATCH(Table233[[#This Row],[کد تفصیلی]],'حسابهای دریافتنی'!A:A,0)),0)</f>
        <v>-6228486500</v>
      </c>
      <c r="D175" s="92">
        <f>IFERROR(INDEX('درجریان وصول'!F:F,MATCH(Table233[[#This Row],[کد تفصیلی]],'درجریان وصول'!A:A,0)),0)</f>
        <v>0</v>
      </c>
      <c r="E175" s="92">
        <f>IFERROR(INDEX('چکهای دریافتنی'!F:F,MATCH(Table233[[#This Row],[کد تفصیلی]],'چکهای دریافتنی'!A:A,0)),0)</f>
        <v>0</v>
      </c>
      <c r="F175" s="92">
        <f>Table233[[#This Row],[حسابهای دریافتنی]]+Table233[[#This Row],[چکهای در جریان وصول]]+Table233[[#This Row],[چکهای نزد صندوق]]</f>
        <v>-6228486500</v>
      </c>
      <c r="G175" s="93">
        <f>IFERROR(INDEX('مانده سوفاله'!F:F,MATCH(Table233[[#This Row],[کد تفصیلی]],'مانده سوفاله'!A:A,0)),0)</f>
        <v>222</v>
      </c>
    </row>
    <row r="176" spans="1:7" ht="29.25" customHeight="1" x14ac:dyDescent="0.35">
      <c r="A176" s="75">
        <v>79120</v>
      </c>
      <c r="B176" s="72" t="s">
        <v>682</v>
      </c>
      <c r="C176" s="91">
        <f>IFERROR(INDEX('حسابهای دریافتنی'!H:H,MATCH(Table233[[#This Row],[کد تفصیلی]],'حسابهای دریافتنی'!A:A,0)),0)</f>
        <v>-15776160000</v>
      </c>
      <c r="D176" s="92">
        <f>IFERROR(INDEX('درجریان وصول'!F:F,MATCH(Table233[[#This Row],[کد تفصیلی]],'درجریان وصول'!A:A,0)),0)</f>
        <v>0</v>
      </c>
      <c r="E176" s="92">
        <f>IFERROR(INDEX('چکهای دریافتنی'!F:F,MATCH(Table233[[#This Row],[کد تفصیلی]],'چکهای دریافتنی'!A:A,0)),0)</f>
        <v>0</v>
      </c>
      <c r="F176" s="92">
        <f>Table233[[#This Row],[حسابهای دریافتنی]]+Table233[[#This Row],[چکهای در جریان وصول]]+Table233[[#This Row],[چکهای نزد صندوق]]</f>
        <v>-15776160000</v>
      </c>
      <c r="G176" s="93">
        <f>IFERROR(INDEX('مانده سوفاله'!F:F,MATCH(Table233[[#This Row],[کد تفصیلی]],'مانده سوفاله'!A:A,0)),0)</f>
        <v>0</v>
      </c>
    </row>
    <row r="177" spans="1:7" ht="29.25" customHeight="1" x14ac:dyDescent="0.35">
      <c r="A177" s="74">
        <v>79043</v>
      </c>
      <c r="B177" s="73" t="s">
        <v>683</v>
      </c>
      <c r="C177" s="91">
        <f>IFERROR(INDEX('حسابهای دریافتنی'!H:H,MATCH(Table233[[#This Row],[کد تفصیلی]],'حسابهای دریافتنی'!A:A,0)),0)</f>
        <v>-16110730000</v>
      </c>
      <c r="D177" s="92">
        <f>IFERROR(INDEX('درجریان وصول'!F:F,MATCH(Table233[[#This Row],[کد تفصیلی]],'درجریان وصول'!A:A,0)),0)</f>
        <v>0</v>
      </c>
      <c r="E177" s="92">
        <f>IFERROR(INDEX('چکهای دریافتنی'!F:F,MATCH(Table233[[#This Row],[کد تفصیلی]],'چکهای دریافتنی'!A:A,0)),0)</f>
        <v>0</v>
      </c>
      <c r="F177" s="92">
        <f>Table233[[#This Row],[حسابهای دریافتنی]]+Table233[[#This Row],[چکهای در جریان وصول]]+Table233[[#This Row],[چکهای نزد صندوق]]</f>
        <v>-16110730000</v>
      </c>
      <c r="G177" s="93">
        <f>IFERROR(INDEX('مانده سوفاله'!F:F,MATCH(Table233[[#This Row],[کد تفصیلی]],'مانده سوفاله'!A:A,0)),0)</f>
        <v>0</v>
      </c>
    </row>
    <row r="178" spans="1:7" ht="29.25" customHeight="1" x14ac:dyDescent="0.35">
      <c r="A178" s="36"/>
      <c r="B178" s="37"/>
      <c r="C178" s="94">
        <f>SUBTOTAL(109,Table233[حسابهای دریافتنی])</f>
        <v>76368025714</v>
      </c>
      <c r="D178" s="94">
        <f>SUBTOTAL(109,Table233[چکهای در جریان وصول])</f>
        <v>0</v>
      </c>
      <c r="E178" s="94">
        <f>SUBTOTAL(109,Table233[چکهای نزد صندوق])</f>
        <v>61866946742</v>
      </c>
      <c r="F178" s="94"/>
      <c r="G178" s="95">
        <f>SUBTOTAL(109,Table233[مانده سوفاله])</f>
        <v>-132197.5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rightToLeft="1" workbookViewId="0">
      <selection activeCell="E11" sqref="E11"/>
    </sheetView>
  </sheetViews>
  <sheetFormatPr defaultRowHeight="14.5" x14ac:dyDescent="0.35"/>
  <cols>
    <col min="1" max="1" width="9.7265625" bestFit="1" customWidth="1"/>
    <col min="2" max="2" width="25.08984375" bestFit="1" customWidth="1"/>
    <col min="3" max="3" width="9.453125" bestFit="1" customWidth="1"/>
    <col min="4" max="4" width="16" style="1" bestFit="1" customWidth="1"/>
    <col min="5" max="5" width="15.453125" style="1" bestFit="1" customWidth="1"/>
    <col min="6" max="6" width="14" style="1" bestFit="1" customWidth="1"/>
    <col min="7" max="7" width="13.08984375" style="1" bestFit="1" customWidth="1"/>
  </cols>
  <sheetData>
    <row r="1" spans="1:7" x14ac:dyDescent="0.35">
      <c r="A1" s="32" t="s">
        <v>134</v>
      </c>
      <c r="B1" s="32" t="s">
        <v>5</v>
      </c>
      <c r="C1" s="32" t="s">
        <v>6</v>
      </c>
      <c r="D1" s="80" t="s">
        <v>135</v>
      </c>
      <c r="E1" s="80" t="s">
        <v>136</v>
      </c>
      <c r="F1" s="80" t="s">
        <v>137</v>
      </c>
      <c r="G1" s="80" t="s">
        <v>138</v>
      </c>
    </row>
    <row r="2" spans="1:7" x14ac:dyDescent="0.35">
      <c r="A2" s="81">
        <v>30003</v>
      </c>
      <c r="B2" s="81" t="s">
        <v>53</v>
      </c>
      <c r="C2" s="81" t="s">
        <v>7</v>
      </c>
      <c r="D2" s="82">
        <v>8410501650</v>
      </c>
      <c r="E2" s="82">
        <v>8410501650</v>
      </c>
      <c r="F2" s="82">
        <v>0</v>
      </c>
      <c r="G2" s="82">
        <v>0</v>
      </c>
    </row>
    <row r="3" spans="1:7" x14ac:dyDescent="0.35">
      <c r="A3" s="83">
        <v>30004</v>
      </c>
      <c r="B3" s="83" t="s">
        <v>54</v>
      </c>
      <c r="C3" s="83" t="s">
        <v>7</v>
      </c>
      <c r="D3" s="84">
        <v>1820000000</v>
      </c>
      <c r="E3" s="84">
        <v>1820000000</v>
      </c>
      <c r="F3" s="84">
        <v>0</v>
      </c>
      <c r="G3" s="84">
        <v>0</v>
      </c>
    </row>
    <row r="4" spans="1:7" x14ac:dyDescent="0.35">
      <c r="A4" s="81">
        <v>30005</v>
      </c>
      <c r="B4" s="81" t="s">
        <v>55</v>
      </c>
      <c r="C4" s="81" t="s">
        <v>7</v>
      </c>
      <c r="D4" s="82">
        <v>4338470320</v>
      </c>
      <c r="E4" s="82">
        <v>4338470320</v>
      </c>
      <c r="F4" s="82">
        <v>0</v>
      </c>
      <c r="G4" s="82">
        <v>0</v>
      </c>
    </row>
    <row r="5" spans="1:7" x14ac:dyDescent="0.35">
      <c r="A5" s="83">
        <v>30009</v>
      </c>
      <c r="B5" s="83" t="s">
        <v>164</v>
      </c>
      <c r="C5" s="83" t="s">
        <v>7</v>
      </c>
      <c r="D5" s="84">
        <v>3468544360</v>
      </c>
      <c r="E5" s="84">
        <v>3468544360</v>
      </c>
      <c r="F5" s="84">
        <v>0</v>
      </c>
      <c r="G5" s="84">
        <v>0</v>
      </c>
    </row>
    <row r="6" spans="1:7" x14ac:dyDescent="0.35">
      <c r="A6" s="81">
        <v>30013</v>
      </c>
      <c r="B6" s="81" t="s">
        <v>62</v>
      </c>
      <c r="C6" s="81" t="s">
        <v>7</v>
      </c>
      <c r="D6" s="82">
        <v>202507180</v>
      </c>
      <c r="E6" s="82">
        <v>202507180</v>
      </c>
      <c r="F6" s="82">
        <v>0</v>
      </c>
      <c r="G6" s="82">
        <v>0</v>
      </c>
    </row>
    <row r="7" spans="1:7" x14ac:dyDescent="0.35">
      <c r="A7" s="83">
        <v>30070</v>
      </c>
      <c r="B7" s="83" t="s">
        <v>115</v>
      </c>
      <c r="C7" s="83" t="s">
        <v>7</v>
      </c>
      <c r="D7" s="84">
        <v>4759864000</v>
      </c>
      <c r="E7" s="84">
        <v>4759864000</v>
      </c>
      <c r="F7" s="84">
        <v>0</v>
      </c>
      <c r="G7" s="84">
        <v>0</v>
      </c>
    </row>
    <row r="8" spans="1:7" x14ac:dyDescent="0.35">
      <c r="A8" s="81">
        <v>10003</v>
      </c>
      <c r="B8" s="81" t="s">
        <v>10</v>
      </c>
      <c r="C8" s="81" t="s">
        <v>7</v>
      </c>
      <c r="D8" s="82">
        <v>41715000000</v>
      </c>
      <c r="E8" s="82">
        <v>41715000000</v>
      </c>
      <c r="F8" s="82">
        <v>0</v>
      </c>
      <c r="G8" s="82">
        <v>0</v>
      </c>
    </row>
    <row r="9" spans="1:7" x14ac:dyDescent="0.35">
      <c r="A9" s="83">
        <v>10026</v>
      </c>
      <c r="B9" s="83" t="s">
        <v>32</v>
      </c>
      <c r="C9" s="83" t="s">
        <v>7</v>
      </c>
      <c r="D9" s="84">
        <v>6219000000</v>
      </c>
      <c r="E9" s="84">
        <v>6219000000</v>
      </c>
      <c r="F9" s="84">
        <v>0</v>
      </c>
      <c r="G9" s="84">
        <v>0</v>
      </c>
    </row>
    <row r="10" spans="1:7" x14ac:dyDescent="0.35">
      <c r="A10" s="81">
        <v>10027</v>
      </c>
      <c r="B10" s="81" t="s">
        <v>33</v>
      </c>
      <c r="C10" s="81" t="s">
        <v>7</v>
      </c>
      <c r="D10" s="82">
        <v>5020657500</v>
      </c>
      <c r="E10" s="82">
        <v>5020657500</v>
      </c>
      <c r="F10" s="82">
        <v>0</v>
      </c>
      <c r="G10" s="82">
        <v>0</v>
      </c>
    </row>
    <row r="11" spans="1:7" x14ac:dyDescent="0.35">
      <c r="A11" s="83">
        <v>30093</v>
      </c>
      <c r="B11" s="83" t="s">
        <v>151</v>
      </c>
      <c r="C11" s="83" t="s">
        <v>7</v>
      </c>
      <c r="D11" s="84">
        <v>1900000000</v>
      </c>
      <c r="E11" s="84">
        <v>1900000000</v>
      </c>
      <c r="F11" s="84">
        <v>0</v>
      </c>
      <c r="G11" s="84">
        <v>0</v>
      </c>
    </row>
    <row r="12" spans="1:7" x14ac:dyDescent="0.35">
      <c r="A12" s="81">
        <v>30146</v>
      </c>
      <c r="B12" s="81" t="s">
        <v>309</v>
      </c>
      <c r="C12" s="81" t="s">
        <v>7</v>
      </c>
      <c r="D12" s="82">
        <v>650000000</v>
      </c>
      <c r="E12" s="82">
        <v>650000000</v>
      </c>
      <c r="F12" s="82">
        <v>0</v>
      </c>
      <c r="G12" s="82">
        <v>0</v>
      </c>
    </row>
    <row r="13" spans="1:7" x14ac:dyDescent="0.35">
      <c r="A13" s="83">
        <v>79241</v>
      </c>
      <c r="B13" s="83" t="s">
        <v>485</v>
      </c>
      <c r="C13" s="83" t="s">
        <v>7</v>
      </c>
      <c r="D13" s="84">
        <v>30000000</v>
      </c>
      <c r="E13" s="84">
        <v>30000000</v>
      </c>
      <c r="F13" s="84">
        <v>0</v>
      </c>
      <c r="G13" s="84">
        <v>0</v>
      </c>
    </row>
    <row r="14" spans="1:7" x14ac:dyDescent="0.35">
      <c r="A14" s="81">
        <v>30169</v>
      </c>
      <c r="B14" s="81" t="s">
        <v>318</v>
      </c>
      <c r="C14" s="81" t="s">
        <v>7</v>
      </c>
      <c r="D14" s="82">
        <v>1202951750</v>
      </c>
      <c r="E14" s="82">
        <v>1202951750</v>
      </c>
      <c r="F14" s="82">
        <v>0</v>
      </c>
      <c r="G14" s="82">
        <v>0</v>
      </c>
    </row>
    <row r="15" spans="1:7" x14ac:dyDescent="0.35">
      <c r="A15" s="83">
        <v>30184</v>
      </c>
      <c r="B15" s="83" t="s">
        <v>368</v>
      </c>
      <c r="C15" s="83" t="s">
        <v>7</v>
      </c>
      <c r="D15" s="84">
        <v>2256574970</v>
      </c>
      <c r="E15" s="84">
        <v>2256574970</v>
      </c>
      <c r="F15" s="84">
        <v>0</v>
      </c>
      <c r="G15" s="84">
        <v>0</v>
      </c>
    </row>
    <row r="16" spans="1:7" x14ac:dyDescent="0.35">
      <c r="A16" s="81">
        <v>30187</v>
      </c>
      <c r="B16" s="81" t="s">
        <v>369</v>
      </c>
      <c r="C16" s="81" t="s">
        <v>7</v>
      </c>
      <c r="D16" s="82">
        <v>3194100000</v>
      </c>
      <c r="E16" s="82">
        <v>3194100000</v>
      </c>
      <c r="F16" s="82">
        <v>0</v>
      </c>
      <c r="G16" s="82">
        <v>0</v>
      </c>
    </row>
    <row r="17" spans="1:7" x14ac:dyDescent="0.35">
      <c r="A17" s="83">
        <v>30190</v>
      </c>
      <c r="B17" s="83" t="s">
        <v>451</v>
      </c>
      <c r="C17" s="83" t="s">
        <v>7</v>
      </c>
      <c r="D17" s="84">
        <v>469352365</v>
      </c>
      <c r="E17" s="84">
        <v>469352365</v>
      </c>
      <c r="F17" s="84">
        <v>0</v>
      </c>
      <c r="G17" s="84">
        <v>0</v>
      </c>
    </row>
    <row r="18" spans="1:7" x14ac:dyDescent="0.35">
      <c r="A18" s="81" t="s">
        <v>3</v>
      </c>
      <c r="B18" s="81" t="s">
        <v>3</v>
      </c>
      <c r="C18" s="81" t="s">
        <v>3</v>
      </c>
      <c r="D18" s="82">
        <v>85657524095</v>
      </c>
      <c r="E18" s="82">
        <v>85657524095</v>
      </c>
      <c r="F18" s="82">
        <v>0</v>
      </c>
      <c r="G18" s="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2"/>
  <sheetViews>
    <sheetView rightToLeft="1" workbookViewId="0">
      <selection activeCell="H9" sqref="H9"/>
    </sheetView>
  </sheetViews>
  <sheetFormatPr defaultRowHeight="14.5" x14ac:dyDescent="0.35"/>
  <cols>
    <col min="1" max="1" width="9.7265625" bestFit="1" customWidth="1"/>
    <col min="2" max="2" width="25.08984375" bestFit="1" customWidth="1"/>
    <col min="3" max="3" width="9.453125" bestFit="1" customWidth="1"/>
    <col min="4" max="4" width="16" style="1" bestFit="1" customWidth="1"/>
    <col min="5" max="5" width="15.453125" style="1" bestFit="1" customWidth="1"/>
    <col min="6" max="6" width="14" style="1" bestFit="1" customWidth="1"/>
    <col min="7" max="7" width="13.08984375" style="1" bestFit="1" customWidth="1"/>
  </cols>
  <sheetData>
    <row r="1" spans="1:7" x14ac:dyDescent="0.35">
      <c r="A1" s="32" t="s">
        <v>134</v>
      </c>
      <c r="B1" s="32" t="s">
        <v>5</v>
      </c>
      <c r="C1" s="32" t="s">
        <v>6</v>
      </c>
      <c r="D1" s="80" t="s">
        <v>135</v>
      </c>
      <c r="E1" s="80" t="s">
        <v>136</v>
      </c>
      <c r="F1" s="80" t="s">
        <v>137</v>
      </c>
      <c r="G1" s="80" t="s">
        <v>138</v>
      </c>
    </row>
    <row r="2" spans="1:7" x14ac:dyDescent="0.35">
      <c r="A2" s="81">
        <v>10003</v>
      </c>
      <c r="B2" s="81" t="s">
        <v>10</v>
      </c>
      <c r="C2" s="81" t="s">
        <v>7</v>
      </c>
      <c r="D2" s="82">
        <v>178256928408</v>
      </c>
      <c r="E2" s="82">
        <v>164558927128</v>
      </c>
      <c r="F2" s="82">
        <v>13698001280</v>
      </c>
      <c r="G2" s="82">
        <v>0</v>
      </c>
    </row>
    <row r="3" spans="1:7" x14ac:dyDescent="0.35">
      <c r="A3" s="83">
        <v>30004</v>
      </c>
      <c r="B3" s="83" t="s">
        <v>54</v>
      </c>
      <c r="C3" s="83" t="s">
        <v>7</v>
      </c>
      <c r="D3" s="84">
        <v>97086757240</v>
      </c>
      <c r="E3" s="84">
        <v>85387997240</v>
      </c>
      <c r="F3" s="84">
        <v>11698760000</v>
      </c>
      <c r="G3" s="84">
        <v>0</v>
      </c>
    </row>
    <row r="4" spans="1:7" x14ac:dyDescent="0.35">
      <c r="A4" s="81">
        <v>30009</v>
      </c>
      <c r="B4" s="81" t="s">
        <v>164</v>
      </c>
      <c r="C4" s="81" t="s">
        <v>7</v>
      </c>
      <c r="D4" s="82">
        <v>40782014568</v>
      </c>
      <c r="E4" s="82">
        <v>34307179188</v>
      </c>
      <c r="F4" s="82">
        <v>6474835380</v>
      </c>
      <c r="G4" s="82">
        <v>0</v>
      </c>
    </row>
    <row r="5" spans="1:7" x14ac:dyDescent="0.35">
      <c r="A5" s="83">
        <v>30186</v>
      </c>
      <c r="B5" s="83" t="s">
        <v>367</v>
      </c>
      <c r="C5" s="83" t="s">
        <v>7</v>
      </c>
      <c r="D5" s="84">
        <v>20408257000</v>
      </c>
      <c r="E5" s="84">
        <v>14425827000</v>
      </c>
      <c r="F5" s="84">
        <v>5982430000</v>
      </c>
      <c r="G5" s="84">
        <v>0</v>
      </c>
    </row>
    <row r="6" spans="1:7" x14ac:dyDescent="0.35">
      <c r="A6" s="81">
        <v>30070</v>
      </c>
      <c r="B6" s="81" t="s">
        <v>115</v>
      </c>
      <c r="C6" s="81" t="s">
        <v>7</v>
      </c>
      <c r="D6" s="82">
        <v>8419864000</v>
      </c>
      <c r="E6" s="82">
        <v>4759864000</v>
      </c>
      <c r="F6" s="82">
        <v>3660000000</v>
      </c>
      <c r="G6" s="82">
        <v>0</v>
      </c>
    </row>
    <row r="7" spans="1:7" x14ac:dyDescent="0.35">
      <c r="A7" s="83">
        <v>10055</v>
      </c>
      <c r="B7" s="83" t="s">
        <v>162</v>
      </c>
      <c r="C7" s="83" t="s">
        <v>7</v>
      </c>
      <c r="D7" s="84">
        <v>58952963175</v>
      </c>
      <c r="E7" s="84">
        <v>56169664520</v>
      </c>
      <c r="F7" s="84">
        <v>2783298655</v>
      </c>
      <c r="G7" s="84">
        <v>0</v>
      </c>
    </row>
    <row r="8" spans="1:7" x14ac:dyDescent="0.35">
      <c r="A8" s="81">
        <v>10026</v>
      </c>
      <c r="B8" s="81" t="s">
        <v>32</v>
      </c>
      <c r="C8" s="81" t="s">
        <v>7</v>
      </c>
      <c r="D8" s="82">
        <v>101953078720</v>
      </c>
      <c r="E8" s="82">
        <v>99263078720</v>
      </c>
      <c r="F8" s="82">
        <v>2690000000</v>
      </c>
      <c r="G8" s="82">
        <v>0</v>
      </c>
    </row>
    <row r="9" spans="1:7" x14ac:dyDescent="0.35">
      <c r="A9" s="83">
        <v>30169</v>
      </c>
      <c r="B9" s="83" t="s">
        <v>318</v>
      </c>
      <c r="C9" s="83" t="s">
        <v>7</v>
      </c>
      <c r="D9" s="84">
        <v>21346438316</v>
      </c>
      <c r="E9" s="84">
        <v>19261438316</v>
      </c>
      <c r="F9" s="84">
        <v>2085000000</v>
      </c>
      <c r="G9" s="84">
        <v>0</v>
      </c>
    </row>
    <row r="10" spans="1:7" x14ac:dyDescent="0.35">
      <c r="A10" s="81">
        <v>10029</v>
      </c>
      <c r="B10" s="81" t="s">
        <v>35</v>
      </c>
      <c r="C10" s="81" t="s">
        <v>7</v>
      </c>
      <c r="D10" s="82">
        <v>32504121120</v>
      </c>
      <c r="E10" s="82">
        <v>30485121120</v>
      </c>
      <c r="F10" s="82">
        <v>2019000000</v>
      </c>
      <c r="G10" s="82">
        <v>0</v>
      </c>
    </row>
    <row r="11" spans="1:7" x14ac:dyDescent="0.35">
      <c r="A11" s="83">
        <v>10009</v>
      </c>
      <c r="B11" s="83" t="s">
        <v>16</v>
      </c>
      <c r="C11" s="83" t="s">
        <v>7</v>
      </c>
      <c r="D11" s="84">
        <v>8610000000</v>
      </c>
      <c r="E11" s="84">
        <v>7010000000</v>
      </c>
      <c r="F11" s="84">
        <v>1600000000</v>
      </c>
      <c r="G11" s="84">
        <v>0</v>
      </c>
    </row>
    <row r="12" spans="1:7" x14ac:dyDescent="0.35">
      <c r="A12" s="81">
        <v>10027</v>
      </c>
      <c r="B12" s="81" t="s">
        <v>33</v>
      </c>
      <c r="C12" s="81" t="s">
        <v>7</v>
      </c>
      <c r="D12" s="82">
        <v>10205176660</v>
      </c>
      <c r="E12" s="82">
        <v>8616817500</v>
      </c>
      <c r="F12" s="82">
        <v>1588359160</v>
      </c>
      <c r="G12" s="82">
        <v>0</v>
      </c>
    </row>
    <row r="13" spans="1:7" x14ac:dyDescent="0.35">
      <c r="A13" s="83">
        <v>30155</v>
      </c>
      <c r="B13" s="83" t="s">
        <v>289</v>
      </c>
      <c r="C13" s="83" t="s">
        <v>7</v>
      </c>
      <c r="D13" s="84">
        <v>4302184217</v>
      </c>
      <c r="E13" s="84">
        <v>2922247950</v>
      </c>
      <c r="F13" s="84">
        <v>1379936267</v>
      </c>
      <c r="G13" s="84">
        <v>0</v>
      </c>
    </row>
    <row r="14" spans="1:7" x14ac:dyDescent="0.35">
      <c r="A14" s="81">
        <v>30140</v>
      </c>
      <c r="B14" s="81" t="s">
        <v>259</v>
      </c>
      <c r="C14" s="81" t="s">
        <v>7</v>
      </c>
      <c r="D14" s="82">
        <v>3872000000</v>
      </c>
      <c r="E14" s="82">
        <v>2842000000</v>
      </c>
      <c r="F14" s="82">
        <v>1030000000</v>
      </c>
      <c r="G14" s="82">
        <v>0</v>
      </c>
    </row>
    <row r="15" spans="1:7" x14ac:dyDescent="0.35">
      <c r="A15" s="83">
        <v>10084</v>
      </c>
      <c r="B15" s="83" t="s">
        <v>217</v>
      </c>
      <c r="C15" s="83" t="s">
        <v>7</v>
      </c>
      <c r="D15" s="84">
        <v>2718578190</v>
      </c>
      <c r="E15" s="84">
        <v>1848578190</v>
      </c>
      <c r="F15" s="84">
        <v>870000000</v>
      </c>
      <c r="G15" s="84">
        <v>0</v>
      </c>
    </row>
    <row r="16" spans="1:7" x14ac:dyDescent="0.35">
      <c r="A16" s="81">
        <v>10020</v>
      </c>
      <c r="B16" s="81" t="s">
        <v>27</v>
      </c>
      <c r="C16" s="81" t="s">
        <v>7</v>
      </c>
      <c r="D16" s="82">
        <v>8783500000</v>
      </c>
      <c r="E16" s="82">
        <v>8055500000</v>
      </c>
      <c r="F16" s="82">
        <v>728000000</v>
      </c>
      <c r="G16" s="82">
        <v>0</v>
      </c>
    </row>
    <row r="17" spans="1:7" x14ac:dyDescent="0.35">
      <c r="A17" s="83">
        <v>30099</v>
      </c>
      <c r="B17" s="83" t="s">
        <v>167</v>
      </c>
      <c r="C17" s="83" t="s">
        <v>7</v>
      </c>
      <c r="D17" s="84">
        <v>8910400000</v>
      </c>
      <c r="E17" s="84">
        <v>8327400000</v>
      </c>
      <c r="F17" s="84">
        <v>583000000</v>
      </c>
      <c r="G17" s="84">
        <v>0</v>
      </c>
    </row>
    <row r="18" spans="1:7" x14ac:dyDescent="0.35">
      <c r="A18" s="81">
        <v>30003</v>
      </c>
      <c r="B18" s="81" t="s">
        <v>53</v>
      </c>
      <c r="C18" s="81" t="s">
        <v>7</v>
      </c>
      <c r="D18" s="82">
        <v>13017145650</v>
      </c>
      <c r="E18" s="82">
        <v>12446145650</v>
      </c>
      <c r="F18" s="82">
        <v>571000000</v>
      </c>
      <c r="G18" s="82">
        <v>0</v>
      </c>
    </row>
    <row r="19" spans="1:7" x14ac:dyDescent="0.35">
      <c r="A19" s="83">
        <v>10070</v>
      </c>
      <c r="B19" s="83" t="s">
        <v>230</v>
      </c>
      <c r="C19" s="83" t="s">
        <v>7</v>
      </c>
      <c r="D19" s="84">
        <v>4207500000</v>
      </c>
      <c r="E19" s="84">
        <v>3637500000</v>
      </c>
      <c r="F19" s="84">
        <v>570000000</v>
      </c>
      <c r="G19" s="84">
        <v>0</v>
      </c>
    </row>
    <row r="20" spans="1:7" x14ac:dyDescent="0.35">
      <c r="A20" s="81">
        <v>30124</v>
      </c>
      <c r="B20" s="81" t="s">
        <v>246</v>
      </c>
      <c r="C20" s="81" t="s">
        <v>7</v>
      </c>
      <c r="D20" s="82">
        <v>4429915000</v>
      </c>
      <c r="E20" s="82">
        <v>3924239000</v>
      </c>
      <c r="F20" s="82">
        <v>505676000</v>
      </c>
      <c r="G20" s="82">
        <v>0</v>
      </c>
    </row>
    <row r="21" spans="1:7" x14ac:dyDescent="0.35">
      <c r="A21" s="83">
        <v>10072</v>
      </c>
      <c r="B21" s="83" t="s">
        <v>177</v>
      </c>
      <c r="C21" s="83" t="s">
        <v>7</v>
      </c>
      <c r="D21" s="84">
        <v>5791020860</v>
      </c>
      <c r="E21" s="84">
        <v>5363320860</v>
      </c>
      <c r="F21" s="84">
        <v>427700000</v>
      </c>
      <c r="G21" s="84">
        <v>0</v>
      </c>
    </row>
    <row r="22" spans="1:7" x14ac:dyDescent="0.35">
      <c r="A22" s="81">
        <v>30012</v>
      </c>
      <c r="B22" s="81" t="s">
        <v>61</v>
      </c>
      <c r="C22" s="81" t="s">
        <v>7</v>
      </c>
      <c r="D22" s="82">
        <v>2242780000</v>
      </c>
      <c r="E22" s="82">
        <v>1894130000</v>
      </c>
      <c r="F22" s="82">
        <v>348650000</v>
      </c>
      <c r="G22" s="82">
        <v>0</v>
      </c>
    </row>
    <row r="23" spans="1:7" x14ac:dyDescent="0.35">
      <c r="A23" s="83">
        <v>10004</v>
      </c>
      <c r="B23" s="83" t="s">
        <v>11</v>
      </c>
      <c r="C23" s="83" t="s">
        <v>7</v>
      </c>
      <c r="D23" s="84">
        <v>1512800000</v>
      </c>
      <c r="E23" s="84">
        <v>1171800000</v>
      </c>
      <c r="F23" s="84">
        <v>341000000</v>
      </c>
      <c r="G23" s="84">
        <v>0</v>
      </c>
    </row>
    <row r="24" spans="1:7" x14ac:dyDescent="0.35">
      <c r="A24" s="81">
        <v>10092</v>
      </c>
      <c r="B24" s="81" t="s">
        <v>260</v>
      </c>
      <c r="C24" s="81" t="s">
        <v>7</v>
      </c>
      <c r="D24" s="82">
        <v>1574660000</v>
      </c>
      <c r="E24" s="82">
        <v>1274660000</v>
      </c>
      <c r="F24" s="82">
        <v>300000000</v>
      </c>
      <c r="G24" s="82">
        <v>0</v>
      </c>
    </row>
    <row r="25" spans="1:7" x14ac:dyDescent="0.35">
      <c r="A25" s="83">
        <v>10097</v>
      </c>
      <c r="B25" s="83" t="s">
        <v>270</v>
      </c>
      <c r="C25" s="83" t="s">
        <v>7</v>
      </c>
      <c r="D25" s="84">
        <v>2032000000</v>
      </c>
      <c r="E25" s="84">
        <v>1745000000</v>
      </c>
      <c r="F25" s="84">
        <v>287000000</v>
      </c>
      <c r="G25" s="84">
        <v>0</v>
      </c>
    </row>
    <row r="26" spans="1:7" x14ac:dyDescent="0.35">
      <c r="A26" s="81">
        <v>30137</v>
      </c>
      <c r="B26" s="81" t="s">
        <v>218</v>
      </c>
      <c r="C26" s="81" t="s">
        <v>7</v>
      </c>
      <c r="D26" s="82">
        <v>559124700</v>
      </c>
      <c r="E26" s="82">
        <v>345942500</v>
      </c>
      <c r="F26" s="82">
        <v>213182200</v>
      </c>
      <c r="G26" s="82">
        <v>0</v>
      </c>
    </row>
    <row r="27" spans="1:7" x14ac:dyDescent="0.35">
      <c r="A27" s="83">
        <v>10069</v>
      </c>
      <c r="B27" s="83" t="s">
        <v>204</v>
      </c>
      <c r="C27" s="83" t="s">
        <v>7</v>
      </c>
      <c r="D27" s="84">
        <v>1505700000</v>
      </c>
      <c r="E27" s="84">
        <v>1432700000</v>
      </c>
      <c r="F27" s="84">
        <v>73000000</v>
      </c>
      <c r="G27" s="84">
        <v>0</v>
      </c>
    </row>
    <row r="28" spans="1:7" x14ac:dyDescent="0.35">
      <c r="A28" s="81">
        <v>30005</v>
      </c>
      <c r="B28" s="81" t="s">
        <v>55</v>
      </c>
      <c r="C28" s="81" t="s">
        <v>7</v>
      </c>
      <c r="D28" s="82">
        <v>4338470320</v>
      </c>
      <c r="E28" s="82">
        <v>4338470320</v>
      </c>
      <c r="F28" s="82">
        <v>0</v>
      </c>
      <c r="G28" s="82">
        <v>0</v>
      </c>
    </row>
    <row r="29" spans="1:7" x14ac:dyDescent="0.35">
      <c r="A29" s="83">
        <v>30006</v>
      </c>
      <c r="B29" s="83" t="s">
        <v>56</v>
      </c>
      <c r="C29" s="83" t="s">
        <v>7</v>
      </c>
      <c r="D29" s="84">
        <v>4160671000</v>
      </c>
      <c r="E29" s="84">
        <v>4160671000</v>
      </c>
      <c r="F29" s="84">
        <v>0</v>
      </c>
      <c r="G29" s="84">
        <v>0</v>
      </c>
    </row>
    <row r="30" spans="1:7" x14ac:dyDescent="0.35">
      <c r="A30" s="81">
        <v>30013</v>
      </c>
      <c r="B30" s="81" t="s">
        <v>62</v>
      </c>
      <c r="C30" s="81" t="s">
        <v>7</v>
      </c>
      <c r="D30" s="82">
        <v>202507180</v>
      </c>
      <c r="E30" s="82">
        <v>202507180</v>
      </c>
      <c r="F30" s="82">
        <v>0</v>
      </c>
      <c r="G30" s="82">
        <v>0</v>
      </c>
    </row>
    <row r="31" spans="1:7" x14ac:dyDescent="0.35">
      <c r="A31" s="83">
        <v>30014</v>
      </c>
      <c r="B31" s="83" t="s">
        <v>63</v>
      </c>
      <c r="C31" s="83" t="s">
        <v>7</v>
      </c>
      <c r="D31" s="84">
        <v>8981966000</v>
      </c>
      <c r="E31" s="84">
        <v>8981966000</v>
      </c>
      <c r="F31" s="84">
        <v>0</v>
      </c>
      <c r="G31" s="84">
        <v>0</v>
      </c>
    </row>
    <row r="32" spans="1:7" x14ac:dyDescent="0.35">
      <c r="A32" s="81">
        <v>30015</v>
      </c>
      <c r="B32" s="81" t="s">
        <v>64</v>
      </c>
      <c r="C32" s="81" t="s">
        <v>7</v>
      </c>
      <c r="D32" s="82">
        <v>1395952900</v>
      </c>
      <c r="E32" s="82">
        <v>1395952900</v>
      </c>
      <c r="F32" s="82">
        <v>0</v>
      </c>
      <c r="G32" s="82">
        <v>0</v>
      </c>
    </row>
    <row r="33" spans="1:7" x14ac:dyDescent="0.35">
      <c r="A33" s="83">
        <v>30018</v>
      </c>
      <c r="B33" s="83" t="s">
        <v>66</v>
      </c>
      <c r="C33" s="83" t="s">
        <v>7</v>
      </c>
      <c r="D33" s="84">
        <v>270105000</v>
      </c>
      <c r="E33" s="84">
        <v>270105000</v>
      </c>
      <c r="F33" s="84">
        <v>0</v>
      </c>
      <c r="G33" s="84">
        <v>0</v>
      </c>
    </row>
    <row r="34" spans="1:7" x14ac:dyDescent="0.35">
      <c r="A34" s="81">
        <v>30020</v>
      </c>
      <c r="B34" s="81" t="s">
        <v>68</v>
      </c>
      <c r="C34" s="81" t="s">
        <v>7</v>
      </c>
      <c r="D34" s="82">
        <v>2038345000</v>
      </c>
      <c r="E34" s="82">
        <v>2038345000</v>
      </c>
      <c r="F34" s="82">
        <v>0</v>
      </c>
      <c r="G34" s="82">
        <v>0</v>
      </c>
    </row>
    <row r="35" spans="1:7" x14ac:dyDescent="0.35">
      <c r="A35" s="83">
        <v>30024</v>
      </c>
      <c r="B35" s="83" t="s">
        <v>72</v>
      </c>
      <c r="C35" s="83" t="s">
        <v>7</v>
      </c>
      <c r="D35" s="84">
        <v>171550000</v>
      </c>
      <c r="E35" s="84">
        <v>171550000</v>
      </c>
      <c r="F35" s="84">
        <v>0</v>
      </c>
      <c r="G35" s="84">
        <v>0</v>
      </c>
    </row>
    <row r="36" spans="1:7" x14ac:dyDescent="0.35">
      <c r="A36" s="81">
        <v>10028</v>
      </c>
      <c r="B36" s="81" t="s">
        <v>34</v>
      </c>
      <c r="C36" s="81" t="s">
        <v>7</v>
      </c>
      <c r="D36" s="82">
        <v>122600000</v>
      </c>
      <c r="E36" s="82">
        <v>122600000</v>
      </c>
      <c r="F36" s="82">
        <v>0</v>
      </c>
      <c r="G36" s="82">
        <v>0</v>
      </c>
    </row>
    <row r="37" spans="1:7" x14ac:dyDescent="0.35">
      <c r="A37" s="83">
        <v>30040</v>
      </c>
      <c r="B37" s="83" t="s">
        <v>87</v>
      </c>
      <c r="C37" s="83" t="s">
        <v>7</v>
      </c>
      <c r="D37" s="84">
        <v>8067160000</v>
      </c>
      <c r="E37" s="84">
        <v>8067160000</v>
      </c>
      <c r="F37" s="84">
        <v>0</v>
      </c>
      <c r="G37" s="84">
        <v>0</v>
      </c>
    </row>
    <row r="38" spans="1:7" x14ac:dyDescent="0.35">
      <c r="A38" s="81">
        <v>30058</v>
      </c>
      <c r="B38" s="81" t="s">
        <v>103</v>
      </c>
      <c r="C38" s="81" t="s">
        <v>7</v>
      </c>
      <c r="D38" s="82">
        <v>10535312000</v>
      </c>
      <c r="E38" s="82">
        <v>10535312000</v>
      </c>
      <c r="F38" s="82">
        <v>0</v>
      </c>
      <c r="G38" s="82">
        <v>0</v>
      </c>
    </row>
    <row r="39" spans="1:7" x14ac:dyDescent="0.35">
      <c r="A39" s="83">
        <v>30064</v>
      </c>
      <c r="B39" s="83" t="s">
        <v>109</v>
      </c>
      <c r="C39" s="83" t="s">
        <v>7</v>
      </c>
      <c r="D39" s="84">
        <v>319134000</v>
      </c>
      <c r="E39" s="84">
        <v>319134000</v>
      </c>
      <c r="F39" s="84">
        <v>0</v>
      </c>
      <c r="G39" s="84">
        <v>0</v>
      </c>
    </row>
    <row r="40" spans="1:7" x14ac:dyDescent="0.35">
      <c r="A40" s="81">
        <v>30066</v>
      </c>
      <c r="B40" s="81" t="s">
        <v>111</v>
      </c>
      <c r="C40" s="81" t="s">
        <v>7</v>
      </c>
      <c r="D40" s="82">
        <v>59805000000</v>
      </c>
      <c r="E40" s="82">
        <v>59805000000</v>
      </c>
      <c r="F40" s="82">
        <v>0</v>
      </c>
      <c r="G40" s="82">
        <v>0</v>
      </c>
    </row>
    <row r="41" spans="1:7" x14ac:dyDescent="0.35">
      <c r="A41" s="83">
        <v>30077</v>
      </c>
      <c r="B41" s="83" t="s">
        <v>122</v>
      </c>
      <c r="C41" s="83" t="s">
        <v>7</v>
      </c>
      <c r="D41" s="84">
        <v>11840000</v>
      </c>
      <c r="E41" s="84">
        <v>11840000</v>
      </c>
      <c r="F41" s="84">
        <v>0</v>
      </c>
      <c r="G41" s="84">
        <v>0</v>
      </c>
    </row>
    <row r="42" spans="1:7" x14ac:dyDescent="0.35">
      <c r="A42" s="81">
        <v>30081</v>
      </c>
      <c r="B42" s="81" t="s">
        <v>126</v>
      </c>
      <c r="C42" s="81" t="s">
        <v>7</v>
      </c>
      <c r="D42" s="82">
        <v>15949300000</v>
      </c>
      <c r="E42" s="82">
        <v>15949300000</v>
      </c>
      <c r="F42" s="82">
        <v>0</v>
      </c>
      <c r="G42" s="82">
        <v>0</v>
      </c>
    </row>
    <row r="43" spans="1:7" x14ac:dyDescent="0.35">
      <c r="A43" s="83">
        <v>30082</v>
      </c>
      <c r="B43" s="83" t="s">
        <v>127</v>
      </c>
      <c r="C43" s="83" t="s">
        <v>7</v>
      </c>
      <c r="D43" s="84">
        <v>400000000</v>
      </c>
      <c r="E43" s="84">
        <v>400000000</v>
      </c>
      <c r="F43" s="84">
        <v>0</v>
      </c>
      <c r="G43" s="84">
        <v>0</v>
      </c>
    </row>
    <row r="44" spans="1:7" x14ac:dyDescent="0.35">
      <c r="A44" s="81">
        <v>50011</v>
      </c>
      <c r="B44" s="81" t="s">
        <v>147</v>
      </c>
      <c r="C44" s="81" t="s">
        <v>7</v>
      </c>
      <c r="D44" s="82">
        <v>1350000000</v>
      </c>
      <c r="E44" s="82">
        <v>1350000000</v>
      </c>
      <c r="F44" s="82">
        <v>0</v>
      </c>
      <c r="G44" s="82">
        <v>0</v>
      </c>
    </row>
    <row r="45" spans="1:7" x14ac:dyDescent="0.35">
      <c r="A45" s="83">
        <v>50016</v>
      </c>
      <c r="B45" s="83" t="s">
        <v>160</v>
      </c>
      <c r="C45" s="83" t="s">
        <v>7</v>
      </c>
      <c r="D45" s="84">
        <v>11914768400</v>
      </c>
      <c r="E45" s="84">
        <v>11914768400</v>
      </c>
      <c r="F45" s="84">
        <v>0</v>
      </c>
      <c r="G45" s="84">
        <v>0</v>
      </c>
    </row>
    <row r="46" spans="1:7" x14ac:dyDescent="0.35">
      <c r="A46" s="81">
        <v>30093</v>
      </c>
      <c r="B46" s="81" t="s">
        <v>151</v>
      </c>
      <c r="C46" s="81" t="s">
        <v>7</v>
      </c>
      <c r="D46" s="82">
        <v>14600000000</v>
      </c>
      <c r="E46" s="82">
        <v>14600000000</v>
      </c>
      <c r="F46" s="82">
        <v>0</v>
      </c>
      <c r="G46" s="82">
        <v>0</v>
      </c>
    </row>
    <row r="47" spans="1:7" x14ac:dyDescent="0.35">
      <c r="A47" s="83">
        <v>10057</v>
      </c>
      <c r="B47" s="83" t="s">
        <v>225</v>
      </c>
      <c r="C47" s="83" t="s">
        <v>7</v>
      </c>
      <c r="D47" s="84">
        <v>1500000000</v>
      </c>
      <c r="E47" s="84">
        <v>1500000000</v>
      </c>
      <c r="F47" s="84">
        <v>0</v>
      </c>
      <c r="G47" s="84">
        <v>0</v>
      </c>
    </row>
    <row r="48" spans="1:7" x14ac:dyDescent="0.35">
      <c r="A48" s="81">
        <v>79120</v>
      </c>
      <c r="B48" s="81" t="s">
        <v>195</v>
      </c>
      <c r="C48" s="81" t="s">
        <v>7</v>
      </c>
      <c r="D48" s="82">
        <v>12158800000</v>
      </c>
      <c r="E48" s="82">
        <v>12158800000</v>
      </c>
      <c r="F48" s="82">
        <v>0</v>
      </c>
      <c r="G48" s="82">
        <v>0</v>
      </c>
    </row>
    <row r="49" spans="1:7" x14ac:dyDescent="0.35">
      <c r="A49" s="83">
        <v>2605</v>
      </c>
      <c r="B49" s="83" t="s">
        <v>272</v>
      </c>
      <c r="C49" s="83" t="s">
        <v>7</v>
      </c>
      <c r="D49" s="84">
        <v>20000000000</v>
      </c>
      <c r="E49" s="84">
        <v>20000000000</v>
      </c>
      <c r="F49" s="84">
        <v>0</v>
      </c>
      <c r="G49" s="84">
        <v>0</v>
      </c>
    </row>
    <row r="50" spans="1:7" x14ac:dyDescent="0.35">
      <c r="A50" s="81">
        <v>30127</v>
      </c>
      <c r="B50" s="81" t="s">
        <v>163</v>
      </c>
      <c r="C50" s="81" t="s">
        <v>7</v>
      </c>
      <c r="D50" s="82">
        <v>35798550000</v>
      </c>
      <c r="E50" s="82">
        <v>35798550000</v>
      </c>
      <c r="F50" s="82">
        <v>0</v>
      </c>
      <c r="G50" s="82">
        <v>0</v>
      </c>
    </row>
    <row r="51" spans="1:7" x14ac:dyDescent="0.35">
      <c r="A51" s="83">
        <v>30131</v>
      </c>
      <c r="B51" s="83" t="s">
        <v>213</v>
      </c>
      <c r="C51" s="83" t="s">
        <v>7</v>
      </c>
      <c r="D51" s="84">
        <v>2048557500</v>
      </c>
      <c r="E51" s="84">
        <v>2048557500</v>
      </c>
      <c r="F51" s="84">
        <v>0</v>
      </c>
      <c r="G51" s="84">
        <v>0</v>
      </c>
    </row>
    <row r="52" spans="1:7" x14ac:dyDescent="0.35">
      <c r="A52" s="81">
        <v>30133</v>
      </c>
      <c r="B52" s="81" t="s">
        <v>251</v>
      </c>
      <c r="C52" s="81" t="s">
        <v>7</v>
      </c>
      <c r="D52" s="82">
        <v>940000000</v>
      </c>
      <c r="E52" s="82">
        <v>940000000</v>
      </c>
      <c r="F52" s="82">
        <v>0</v>
      </c>
      <c r="G52" s="82">
        <v>0</v>
      </c>
    </row>
    <row r="53" spans="1:7" x14ac:dyDescent="0.35">
      <c r="A53" s="83">
        <v>10088</v>
      </c>
      <c r="B53" s="83" t="s">
        <v>254</v>
      </c>
      <c r="C53" s="83" t="s">
        <v>7</v>
      </c>
      <c r="D53" s="84">
        <v>4870992500</v>
      </c>
      <c r="E53" s="84">
        <v>4870992500</v>
      </c>
      <c r="F53" s="84">
        <v>0</v>
      </c>
      <c r="G53" s="84">
        <v>0</v>
      </c>
    </row>
    <row r="54" spans="1:7" x14ac:dyDescent="0.35">
      <c r="A54" s="81">
        <v>10089</v>
      </c>
      <c r="B54" s="81" t="s">
        <v>255</v>
      </c>
      <c r="C54" s="81" t="s">
        <v>7</v>
      </c>
      <c r="D54" s="82">
        <v>1170000000</v>
      </c>
      <c r="E54" s="82">
        <v>1170000000</v>
      </c>
      <c r="F54" s="82">
        <v>0</v>
      </c>
      <c r="G54" s="82">
        <v>0</v>
      </c>
    </row>
    <row r="55" spans="1:7" x14ac:dyDescent="0.35">
      <c r="A55" s="83">
        <v>30146</v>
      </c>
      <c r="B55" s="83" t="s">
        <v>309</v>
      </c>
      <c r="C55" s="83" t="s">
        <v>7</v>
      </c>
      <c r="D55" s="84">
        <v>36085200000</v>
      </c>
      <c r="E55" s="84">
        <v>36085200000</v>
      </c>
      <c r="F55" s="84">
        <v>0</v>
      </c>
      <c r="G55" s="84">
        <v>0</v>
      </c>
    </row>
    <row r="56" spans="1:7" x14ac:dyDescent="0.35">
      <c r="A56" s="81">
        <v>30156</v>
      </c>
      <c r="B56" s="81" t="s">
        <v>290</v>
      </c>
      <c r="C56" s="81" t="s">
        <v>7</v>
      </c>
      <c r="D56" s="82">
        <v>375000000</v>
      </c>
      <c r="E56" s="82">
        <v>375000000</v>
      </c>
      <c r="F56" s="82">
        <v>0</v>
      </c>
      <c r="G56" s="82">
        <v>0</v>
      </c>
    </row>
    <row r="57" spans="1:7" x14ac:dyDescent="0.35">
      <c r="A57" s="83">
        <v>10105</v>
      </c>
      <c r="B57" s="83" t="s">
        <v>294</v>
      </c>
      <c r="C57" s="83" t="s">
        <v>7</v>
      </c>
      <c r="D57" s="84">
        <v>875000000</v>
      </c>
      <c r="E57" s="84">
        <v>875000000</v>
      </c>
      <c r="F57" s="84">
        <v>0</v>
      </c>
      <c r="G57" s="84">
        <v>0</v>
      </c>
    </row>
    <row r="58" spans="1:7" x14ac:dyDescent="0.35">
      <c r="A58" s="81">
        <v>30162</v>
      </c>
      <c r="B58" s="81" t="s">
        <v>301</v>
      </c>
      <c r="C58" s="81" t="s">
        <v>7</v>
      </c>
      <c r="D58" s="82">
        <v>10705353765</v>
      </c>
      <c r="E58" s="82">
        <v>10705353765</v>
      </c>
      <c r="F58" s="82">
        <v>0</v>
      </c>
      <c r="G58" s="82">
        <v>0</v>
      </c>
    </row>
    <row r="59" spans="1:7" x14ac:dyDescent="0.35">
      <c r="A59" s="83">
        <v>10109</v>
      </c>
      <c r="B59" s="83" t="s">
        <v>303</v>
      </c>
      <c r="C59" s="83" t="s">
        <v>7</v>
      </c>
      <c r="D59" s="84">
        <v>4800000000</v>
      </c>
      <c r="E59" s="84">
        <v>4800000000</v>
      </c>
      <c r="F59" s="84">
        <v>0</v>
      </c>
      <c r="G59" s="84">
        <v>0</v>
      </c>
    </row>
    <row r="60" spans="1:7" x14ac:dyDescent="0.35">
      <c r="A60" s="81">
        <v>79241</v>
      </c>
      <c r="B60" s="81" t="s">
        <v>485</v>
      </c>
      <c r="C60" s="81" t="s">
        <v>7</v>
      </c>
      <c r="D60" s="82">
        <v>30000000</v>
      </c>
      <c r="E60" s="82">
        <v>30000000</v>
      </c>
      <c r="F60" s="82">
        <v>0</v>
      </c>
      <c r="G60" s="82">
        <v>0</v>
      </c>
    </row>
    <row r="61" spans="1:7" x14ac:dyDescent="0.35">
      <c r="A61" s="83">
        <v>10123</v>
      </c>
      <c r="B61" s="83" t="s">
        <v>340</v>
      </c>
      <c r="C61" s="83" t="s">
        <v>7</v>
      </c>
      <c r="D61" s="84">
        <v>1846000000</v>
      </c>
      <c r="E61" s="84">
        <v>1846000000</v>
      </c>
      <c r="F61" s="84">
        <v>0</v>
      </c>
      <c r="G61" s="84">
        <v>0</v>
      </c>
    </row>
    <row r="62" spans="1:7" x14ac:dyDescent="0.35">
      <c r="A62" s="81">
        <v>30184</v>
      </c>
      <c r="B62" s="81" t="s">
        <v>368</v>
      </c>
      <c r="C62" s="81" t="s">
        <v>7</v>
      </c>
      <c r="D62" s="82">
        <v>4205715930</v>
      </c>
      <c r="E62" s="82">
        <v>4205715930</v>
      </c>
      <c r="F62" s="82">
        <v>0</v>
      </c>
      <c r="G62" s="82">
        <v>0</v>
      </c>
    </row>
    <row r="63" spans="1:7" x14ac:dyDescent="0.35">
      <c r="A63" s="83">
        <v>30187</v>
      </c>
      <c r="B63" s="83" t="s">
        <v>369</v>
      </c>
      <c r="C63" s="83" t="s">
        <v>7</v>
      </c>
      <c r="D63" s="84">
        <v>17994100000</v>
      </c>
      <c r="E63" s="84">
        <v>17994100000</v>
      </c>
      <c r="F63" s="84">
        <v>0</v>
      </c>
      <c r="G63" s="84">
        <v>0</v>
      </c>
    </row>
    <row r="64" spans="1:7" x14ac:dyDescent="0.35">
      <c r="A64" s="81">
        <v>10127</v>
      </c>
      <c r="B64" s="81" t="s">
        <v>468</v>
      </c>
      <c r="C64" s="81" t="s">
        <v>7</v>
      </c>
      <c r="D64" s="82">
        <v>741803000</v>
      </c>
      <c r="E64" s="82">
        <v>741803000</v>
      </c>
      <c r="F64" s="82">
        <v>0</v>
      </c>
      <c r="G64" s="82">
        <v>0</v>
      </c>
    </row>
    <row r="65" spans="1:7" x14ac:dyDescent="0.35">
      <c r="A65" s="83">
        <v>10130</v>
      </c>
      <c r="B65" s="83" t="s">
        <v>454</v>
      </c>
      <c r="C65" s="83" t="s">
        <v>7</v>
      </c>
      <c r="D65" s="84">
        <v>156500000</v>
      </c>
      <c r="E65" s="84">
        <v>156500000</v>
      </c>
      <c r="F65" s="84">
        <v>0</v>
      </c>
      <c r="G65" s="84">
        <v>0</v>
      </c>
    </row>
    <row r="66" spans="1:7" x14ac:dyDescent="0.35">
      <c r="A66" s="81">
        <v>30190</v>
      </c>
      <c r="B66" s="81" t="s">
        <v>451</v>
      </c>
      <c r="C66" s="81" t="s">
        <v>7</v>
      </c>
      <c r="D66" s="82">
        <v>1074757440</v>
      </c>
      <c r="E66" s="82">
        <v>1074757440</v>
      </c>
      <c r="F66" s="82">
        <v>0</v>
      </c>
      <c r="G66" s="82">
        <v>0</v>
      </c>
    </row>
    <row r="67" spans="1:7" x14ac:dyDescent="0.35">
      <c r="A67" s="83">
        <v>30191</v>
      </c>
      <c r="B67" s="83" t="s">
        <v>452</v>
      </c>
      <c r="C67" s="83" t="s">
        <v>7</v>
      </c>
      <c r="D67" s="84">
        <v>4511897500</v>
      </c>
      <c r="E67" s="84">
        <v>4511897500</v>
      </c>
      <c r="F67" s="84">
        <v>0</v>
      </c>
      <c r="G67" s="84">
        <v>0</v>
      </c>
    </row>
    <row r="68" spans="1:7" x14ac:dyDescent="0.35">
      <c r="A68" s="81">
        <v>30194</v>
      </c>
      <c r="B68" s="81" t="s">
        <v>470</v>
      </c>
      <c r="C68" s="81" t="s">
        <v>7</v>
      </c>
      <c r="D68" s="82">
        <v>262550000</v>
      </c>
      <c r="E68" s="82">
        <v>262550000</v>
      </c>
      <c r="F68" s="82">
        <v>0</v>
      </c>
      <c r="G68" s="82">
        <v>0</v>
      </c>
    </row>
    <row r="69" spans="1:7" x14ac:dyDescent="0.35">
      <c r="A69" s="83">
        <v>30195</v>
      </c>
      <c r="B69" s="83" t="s">
        <v>475</v>
      </c>
      <c r="C69" s="83" t="s">
        <v>7</v>
      </c>
      <c r="D69" s="84">
        <v>80350000</v>
      </c>
      <c r="E69" s="84">
        <v>80350000</v>
      </c>
      <c r="F69" s="84">
        <v>0</v>
      </c>
      <c r="G69" s="84">
        <v>0</v>
      </c>
    </row>
    <row r="70" spans="1:7" x14ac:dyDescent="0.35">
      <c r="A70" s="81">
        <v>30196</v>
      </c>
      <c r="B70" s="81" t="s">
        <v>479</v>
      </c>
      <c r="C70" s="81" t="s">
        <v>7</v>
      </c>
      <c r="D70" s="82">
        <v>8160800000</v>
      </c>
      <c r="E70" s="82">
        <v>8160800000</v>
      </c>
      <c r="F70" s="82">
        <v>0</v>
      </c>
      <c r="G70" s="82">
        <v>0</v>
      </c>
    </row>
    <row r="71" spans="1:7" x14ac:dyDescent="0.35">
      <c r="A71" s="83">
        <v>10136</v>
      </c>
      <c r="B71" s="83" t="s">
        <v>545</v>
      </c>
      <c r="C71" s="83" t="s">
        <v>7</v>
      </c>
      <c r="D71" s="84">
        <v>1789700000</v>
      </c>
      <c r="E71" s="84">
        <v>1789700000</v>
      </c>
      <c r="F71" s="84">
        <v>0</v>
      </c>
      <c r="G71" s="84">
        <v>0</v>
      </c>
    </row>
    <row r="72" spans="1:7" x14ac:dyDescent="0.35">
      <c r="A72" s="81" t="s">
        <v>3</v>
      </c>
      <c r="B72" s="81" t="s">
        <v>3</v>
      </c>
      <c r="C72" s="81" t="s">
        <v>3</v>
      </c>
      <c r="D72" s="82">
        <v>960801217259</v>
      </c>
      <c r="E72" s="82">
        <v>898293388317</v>
      </c>
      <c r="F72" s="82">
        <v>62507828942</v>
      </c>
      <c r="G72" s="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3"/>
  <sheetViews>
    <sheetView rightToLeft="1" zoomScaleNormal="100" workbookViewId="0">
      <selection sqref="A1:XFD1048576"/>
    </sheetView>
  </sheetViews>
  <sheetFormatPr defaultColWidth="9.08984375" defaultRowHeight="18" customHeight="1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8.5" customHeight="1" thickBot="1" x14ac:dyDescent="0.4">
      <c r="A1" s="97" t="s">
        <v>391</v>
      </c>
      <c r="B1" s="98"/>
      <c r="C1" s="98"/>
      <c r="D1" s="98"/>
      <c r="E1" s="98"/>
      <c r="F1" s="98"/>
      <c r="G1" s="99"/>
    </row>
    <row r="2" spans="1:7" s="2" customFormat="1" ht="41.2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18" customHeight="1" x14ac:dyDescent="0.25">
      <c r="A3" s="20">
        <v>30127</v>
      </c>
      <c r="B3" s="21" t="s">
        <v>163</v>
      </c>
      <c r="C3" s="10">
        <f>IFERROR(INDEX('حسابهای دریافتنی'!H:H,MATCH(Table2[[#This Row],[كد تفصيلي]],'حسابهای دریافتنی'!A:A,0)),0)</f>
        <v>31800110000</v>
      </c>
      <c r="D3" s="11">
        <f>IFERROR(INDEX('درجریان وصول'!F:F,MATCH(Table2[[#This Row],[كد تفصيلي]],'درجریان وصول'!A:A,0)),0)</f>
        <v>0</v>
      </c>
      <c r="E3" s="11">
        <f>IFERROR(INDEX('چکهای دریافتنی'!F:F,MATCH(Table2[[#This Row],[كد تفصيلي]],'چکهای دریافتنی'!A:A,0)),0)</f>
        <v>0</v>
      </c>
      <c r="F3" s="11">
        <f>Table2[[#This Row],[حسابهای دریافتنی]]+Table2[[#This Row],[چکهای در جریان وصول]]+Table2[[#This Row],[چکهای نزد صندوق]]</f>
        <v>31800110000</v>
      </c>
      <c r="G3" s="12">
        <f>IFERROR(INDEX('مانده سوفاله'!F:F,MATCH(Table2[[#This Row],[كد تفصيلي]],'مانده سوفاله'!A:A,0)),0)</f>
        <v>-18472</v>
      </c>
    </row>
    <row r="4" spans="1:7" ht="18" customHeight="1" x14ac:dyDescent="0.25">
      <c r="A4" s="18">
        <v>10003</v>
      </c>
      <c r="B4" s="19" t="s">
        <v>10</v>
      </c>
      <c r="C4" s="10">
        <f>IFERROR(INDEX('حسابهای دریافتنی'!H:H,MATCH(Table2[[#This Row],[كد تفصيلي]],'حسابهای دریافتنی'!A:A,0)),0)</f>
        <v>10804267992</v>
      </c>
      <c r="D4" s="11">
        <f>IFERROR(INDEX('درجریان وصول'!F:F,MATCH(Table2[[#This Row],[كد تفصيلي]],'درجریان وصول'!A:A,0)),0)</f>
        <v>0</v>
      </c>
      <c r="E4" s="11">
        <f>IFERROR(INDEX('چکهای دریافتنی'!F:F,MATCH(Table2[[#This Row],[كد تفصيلي]],'چکهای دریافتنی'!A:A,0)),0)</f>
        <v>13698001280</v>
      </c>
      <c r="F4" s="11">
        <f>Table2[[#This Row],[حسابهای دریافتنی]]+Table2[[#This Row],[چکهای در جریان وصول]]+Table2[[#This Row],[چکهای نزد صندوق]]</f>
        <v>24502269272</v>
      </c>
      <c r="G4" s="12">
        <f>IFERROR(INDEX('مانده سوفاله'!F:F,MATCH(Table2[[#This Row],[كد تفصيلي]],'مانده سوفاله'!A:A,0)),0)</f>
        <v>-39886</v>
      </c>
    </row>
    <row r="5" spans="1:7" ht="18" customHeight="1" x14ac:dyDescent="0.25">
      <c r="A5" s="18">
        <v>30009</v>
      </c>
      <c r="B5" s="19" t="s">
        <v>164</v>
      </c>
      <c r="C5" s="10">
        <f>IFERROR(INDEX('حسابهای دریافتنی'!H:H,MATCH(Table2[[#This Row],[كد تفصيلي]],'حسابهای دریافتنی'!A:A,0)),0)</f>
        <v>7853844277</v>
      </c>
      <c r="D5" s="11">
        <f>IFERROR(INDEX('درجریان وصول'!F:F,MATCH(Table2[[#This Row],[كد تفصيلي]],'درجریان وصول'!A:A,0)),0)</f>
        <v>0</v>
      </c>
      <c r="E5" s="11">
        <f>IFERROR(INDEX('چکهای دریافتنی'!F:F,MATCH(Table2[[#This Row],[كد تفصيلي]],'چکهای دریافتنی'!A:A,0)),0)</f>
        <v>6474835380</v>
      </c>
      <c r="F5" s="11">
        <f>Table2[[#This Row],[حسابهای دریافتنی]]+Table2[[#This Row],[چکهای در جریان وصول]]+Table2[[#This Row],[چکهای نزد صندوق]]</f>
        <v>14328679657</v>
      </c>
      <c r="G5" s="12">
        <f>IFERROR(INDEX('مانده سوفاله'!F:F,MATCH(Table2[[#This Row],[كد تفصيلي]],'مانده سوفاله'!A:A,0)),0)</f>
        <v>-11452</v>
      </c>
    </row>
    <row r="6" spans="1:7" ht="18" customHeight="1" x14ac:dyDescent="0.25">
      <c r="A6" s="18">
        <v>10055</v>
      </c>
      <c r="B6" s="19" t="s">
        <v>162</v>
      </c>
      <c r="C6" s="10">
        <f>IFERROR(INDEX('حسابهای دریافتنی'!H:H,MATCH(Table2[[#This Row],[كد تفصيلي]],'حسابهای دریافتنی'!A:A,0)),0)</f>
        <v>10460111325</v>
      </c>
      <c r="D6" s="11">
        <f>IFERROR(INDEX('درجریان وصول'!F:F,MATCH(Table2[[#This Row],[كد تفصيلي]],'درجریان وصول'!A:A,0)),0)</f>
        <v>0</v>
      </c>
      <c r="E6" s="11">
        <f>IFERROR(INDEX('چکهای دریافتنی'!F:F,MATCH(Table2[[#This Row],[كد تفصيلي]],'چکهای دریافتنی'!A:A,0)),0)</f>
        <v>2783298655</v>
      </c>
      <c r="F6" s="11">
        <f>Table2[[#This Row],[حسابهای دریافتنی]]+Table2[[#This Row],[چکهای در جریان وصول]]+Table2[[#This Row],[چکهای نزد صندوق]]</f>
        <v>13243409980</v>
      </c>
      <c r="G6" s="12">
        <f>IFERROR(INDEX('مانده سوفاله'!F:F,MATCH(Table2[[#This Row],[كد تفصيلي]],'مانده سوفاله'!A:A,0)),0)</f>
        <v>-12714</v>
      </c>
    </row>
    <row r="7" spans="1:7" ht="18" customHeight="1" x14ac:dyDescent="0.25">
      <c r="A7" s="20">
        <v>30004</v>
      </c>
      <c r="B7" s="21" t="s">
        <v>54</v>
      </c>
      <c r="C7" s="10">
        <f>IFERROR(INDEX('حسابهای دریافتنی'!H:H,MATCH(Table2[[#This Row],[كد تفصيلي]],'حسابهای دریافتنی'!A:A,0)),0)</f>
        <v>7598548260</v>
      </c>
      <c r="D7" s="11">
        <f>IFERROR(INDEX('درجریان وصول'!F:F,MATCH(Table2[[#This Row],[كد تفصيلي]],'درجریان وصول'!A:A,0)),0)</f>
        <v>0</v>
      </c>
      <c r="E7" s="11">
        <f>IFERROR(INDEX('چکهای دریافتنی'!F:F,MATCH(Table2[[#This Row],[كد تفصيلي]],'چکهای دریافتنی'!A:A,0)),0)</f>
        <v>11698760000</v>
      </c>
      <c r="F7" s="11">
        <f>Table2[[#This Row],[حسابهای دریافتنی]]+Table2[[#This Row],[چکهای در جریان وصول]]+Table2[[#This Row],[چکهای نزد صندوق]]</f>
        <v>19297308260</v>
      </c>
      <c r="G7" s="12">
        <f>IFERROR(INDEX('مانده سوفاله'!F:F,MATCH(Table2[[#This Row],[كد تفصيلي]],'مانده سوفاله'!A:A,0)),0)</f>
        <v>-4237</v>
      </c>
    </row>
    <row r="8" spans="1:7" ht="18" customHeight="1" x14ac:dyDescent="0.25">
      <c r="A8" s="18">
        <v>30066</v>
      </c>
      <c r="B8" s="19" t="s">
        <v>111</v>
      </c>
      <c r="C8" s="10">
        <f>IFERROR(INDEX('حسابهای دریافتنی'!H:H,MATCH(Table2[[#This Row],[كد تفصيلي]],'حسابهای دریافتنی'!A:A,0)),0)</f>
        <v>6484147500</v>
      </c>
      <c r="D8" s="11">
        <f>IFERROR(INDEX('درجریان وصول'!F:F,MATCH(Table2[[#This Row],[كد تفصيلي]],'درجریان وصول'!A:A,0)),0)</f>
        <v>0</v>
      </c>
      <c r="E8" s="11">
        <f>IFERROR(INDEX('چکهای دریافتنی'!F:F,MATCH(Table2[[#This Row],[كد تفصيلي]],'چکهای دریافتنی'!A:A,0)),0)</f>
        <v>0</v>
      </c>
      <c r="F8" s="11">
        <f>Table2[[#This Row],[حسابهای دریافتنی]]+Table2[[#This Row],[چکهای در جریان وصول]]+Table2[[#This Row],[چکهای نزد صندوق]]</f>
        <v>6484147500</v>
      </c>
      <c r="G8" s="12">
        <f>IFERROR(INDEX('مانده سوفاله'!F:F,MATCH(Table2[[#This Row],[كد تفصيلي]],'مانده سوفاله'!A:A,0)),0)</f>
        <v>-1320</v>
      </c>
    </row>
    <row r="9" spans="1:7" ht="18" customHeight="1" x14ac:dyDescent="0.25">
      <c r="A9" s="20">
        <v>50016</v>
      </c>
      <c r="B9" s="21" t="s">
        <v>160</v>
      </c>
      <c r="C9" s="10">
        <f>IFERROR(INDEX('حسابهای دریافتنی'!H:H,MATCH(Table2[[#This Row],[كد تفصيلي]],'حسابهای دریافتنی'!A:A,0)),0)</f>
        <v>6344545550</v>
      </c>
      <c r="D9" s="11">
        <f>IFERROR(INDEX('درجریان وصول'!F:F,MATCH(Table2[[#This Row],[كد تفصيلي]],'درجریان وصول'!A:A,0)),0)</f>
        <v>0</v>
      </c>
      <c r="E9" s="11">
        <f>IFERROR(INDEX('چکهای دریافتنی'!F:F,MATCH(Table2[[#This Row],[كد تفصيلي]],'چکهای دریافتنی'!A:A,0)),0)</f>
        <v>0</v>
      </c>
      <c r="F9" s="11">
        <f>Table2[[#This Row],[حسابهای دریافتنی]]+Table2[[#This Row],[چکهای در جریان وصول]]+Table2[[#This Row],[چکهای نزد صندوق]]</f>
        <v>6344545550</v>
      </c>
      <c r="G9" s="12">
        <f>IFERROR(INDEX('مانده سوفاله'!F:F,MATCH(Table2[[#This Row],[كد تفصيلي]],'مانده سوفاله'!A:A,0)),0)</f>
        <v>5508</v>
      </c>
    </row>
    <row r="10" spans="1:7" ht="18" customHeight="1" x14ac:dyDescent="0.25">
      <c r="A10" s="18">
        <v>10097</v>
      </c>
      <c r="B10" s="19" t="s">
        <v>270</v>
      </c>
      <c r="C10" s="10">
        <f>IFERROR(INDEX('حسابهای دریافتنی'!H:H,MATCH(Table2[[#This Row],[كد تفصيلي]],'حسابهای دریافتنی'!A:A,0)),0)</f>
        <v>270642500</v>
      </c>
      <c r="D10" s="11">
        <f>IFERROR(INDEX('درجریان وصول'!F:F,MATCH(Table2[[#This Row],[كد تفصيلي]],'درجریان وصول'!A:A,0)),0)</f>
        <v>0</v>
      </c>
      <c r="E10" s="11">
        <f>IFERROR(INDEX('چکهای دریافتنی'!F:F,MATCH(Table2[[#This Row],[كد تفصيلي]],'چکهای دریافتنی'!A:A,0)),0)</f>
        <v>287000000</v>
      </c>
      <c r="F10" s="11">
        <f>Table2[[#This Row],[حسابهای دریافتنی]]+Table2[[#This Row],[چکهای در جریان وصول]]+Table2[[#This Row],[چکهای نزد صندوق]]</f>
        <v>557642500</v>
      </c>
      <c r="G10" s="12">
        <f>IFERROR(INDEX('مانده سوفاله'!F:F,MATCH(Table2[[#This Row],[كد تفصيلي]],'مانده سوفاله'!A:A,0)),0)</f>
        <v>0</v>
      </c>
    </row>
    <row r="11" spans="1:7" ht="18" customHeight="1" x14ac:dyDescent="0.25">
      <c r="A11" s="20">
        <v>10026</v>
      </c>
      <c r="B11" s="21" t="s">
        <v>32</v>
      </c>
      <c r="C11" s="10">
        <f>IFERROR(INDEX('حسابهای دریافتنی'!H:H,MATCH(Table2[[#This Row],[كد تفصيلي]],'حسابهای دریافتنی'!A:A,0)),0)</f>
        <v>3795031844</v>
      </c>
      <c r="D11" s="11">
        <f>IFERROR(INDEX('درجریان وصول'!F:F,MATCH(Table2[[#This Row],[كد تفصيلي]],'درجریان وصول'!A:A,0)),0)</f>
        <v>0</v>
      </c>
      <c r="E11" s="11">
        <f>IFERROR(INDEX('چکهای دریافتنی'!F:F,MATCH(Table2[[#This Row],[كد تفصيلي]],'چکهای دریافتنی'!A:A,0)),0)</f>
        <v>2690000000</v>
      </c>
      <c r="F11" s="11">
        <f>Table2[[#This Row],[حسابهای دریافتنی]]+Table2[[#This Row],[چکهای در جریان وصول]]+Table2[[#This Row],[چکهای نزد صندوق]]</f>
        <v>6485031844</v>
      </c>
      <c r="G11" s="12">
        <f>IFERROR(INDEX('مانده سوفاله'!F:F,MATCH(Table2[[#This Row],[كد تفصيلي]],'مانده سوفاله'!A:A,0)),0)</f>
        <v>-12543</v>
      </c>
    </row>
    <row r="12" spans="1:7" ht="18" customHeight="1" x14ac:dyDescent="0.25">
      <c r="A12" s="79">
        <v>30186</v>
      </c>
      <c r="B12" s="40" t="s">
        <v>367</v>
      </c>
      <c r="C12" s="10">
        <f>IFERROR(INDEX('حسابهای دریافتنی'!H:H,MATCH(Table2[[#This Row],[كد تفصيلي]],'حسابهای دریافتنی'!A:A,0)),0)</f>
        <v>986425000</v>
      </c>
      <c r="D12" s="11">
        <f>IFERROR(INDEX('درجریان وصول'!F:F,MATCH(Table2[[#This Row],[كد تفصيلي]],'درجریان وصول'!A:A,0)),0)</f>
        <v>0</v>
      </c>
      <c r="E12" s="11">
        <f>IFERROR(INDEX('چکهای دریافتنی'!F:F,MATCH(Table2[[#This Row],[كد تفصيلي]],'چکهای دریافتنی'!A:A,0)),0)</f>
        <v>5982430000</v>
      </c>
      <c r="F12" s="11">
        <f>Table2[[#This Row],[حسابهای دریافتنی]]+Table2[[#This Row],[چکهای در جریان وصول]]+Table2[[#This Row],[چکهای نزد صندوق]]</f>
        <v>6968855000</v>
      </c>
      <c r="G12" s="12">
        <f>IFERROR(INDEX('مانده سوفاله'!F:F,MATCH(Table2[[#This Row],[كد تفصيلي]],'مانده سوفاله'!A:A,0)),0)</f>
        <v>-7388</v>
      </c>
    </row>
    <row r="13" spans="1:7" ht="18" customHeight="1" x14ac:dyDescent="0.25">
      <c r="A13" s="18">
        <v>30140</v>
      </c>
      <c r="B13" s="19" t="s">
        <v>259</v>
      </c>
      <c r="C13" s="10">
        <f>IFERROR(INDEX('حسابهای دریافتنی'!H:H,MATCH(Table2[[#This Row],[كد تفصيلي]],'حسابهای دریافتنی'!A:A,0)),0)</f>
        <v>553728200</v>
      </c>
      <c r="D13" s="11">
        <f>IFERROR(INDEX('درجریان وصول'!F:F,MATCH(Table2[[#This Row],[كد تفصيلي]],'درجریان وصول'!A:A,0)),0)</f>
        <v>0</v>
      </c>
      <c r="E13" s="11">
        <f>IFERROR(INDEX('چکهای دریافتنی'!F:F,MATCH(Table2[[#This Row],[كد تفصيلي]],'چکهای دریافتنی'!A:A,0)),0)</f>
        <v>1030000000</v>
      </c>
      <c r="F13" s="11">
        <f>Table2[[#This Row],[حسابهای دریافتنی]]+Table2[[#This Row],[چکهای در جریان وصول]]+Table2[[#This Row],[چکهای نزد صندوق]]</f>
        <v>1583728200</v>
      </c>
      <c r="G13" s="12">
        <f>IFERROR(INDEX('مانده سوفاله'!F:F,MATCH(Table2[[#This Row],[كد تفصيلي]],'مانده سوفاله'!A:A,0)),0)</f>
        <v>-12630</v>
      </c>
    </row>
    <row r="14" spans="1:7" ht="18" customHeight="1" x14ac:dyDescent="0.25">
      <c r="A14" s="20">
        <v>30131</v>
      </c>
      <c r="B14" s="21" t="s">
        <v>213</v>
      </c>
      <c r="C14" s="10">
        <f>IFERROR(INDEX('حسابهای دریافتنی'!H:H,MATCH(Table2[[#This Row],[كد تفصيلي]],'حسابهای دریافتنی'!A:A,0)),0)</f>
        <v>-6228486500</v>
      </c>
      <c r="D14" s="11">
        <f>IFERROR(INDEX('درجریان وصول'!F:F,MATCH(Table2[[#This Row],[كد تفصيلي]],'درجریان وصول'!A:A,0)),0)</f>
        <v>0</v>
      </c>
      <c r="E14" s="11">
        <f>IFERROR(INDEX('چکهای دریافتنی'!F:F,MATCH(Table2[[#This Row],[كد تفصيلي]],'چکهای دریافتنی'!A:A,0)),0)</f>
        <v>0</v>
      </c>
      <c r="F14" s="11">
        <f>Table2[[#This Row],[حسابهای دریافتنی]]+Table2[[#This Row],[چکهای در جریان وصول]]+Table2[[#This Row],[چکهای نزد صندوق]]</f>
        <v>-6228486500</v>
      </c>
      <c r="G14" s="12">
        <f>IFERROR(INDEX('مانده سوفاله'!F:F,MATCH(Table2[[#This Row],[كد تفصيلي]],'مانده سوفاله'!A:A,0)),0)</f>
        <v>222</v>
      </c>
    </row>
    <row r="15" spans="1:7" ht="18" customHeight="1" x14ac:dyDescent="0.25">
      <c r="A15" s="20">
        <v>30081</v>
      </c>
      <c r="B15" s="21" t="s">
        <v>126</v>
      </c>
      <c r="C15" s="10">
        <f>IFERROR(INDEX('حسابهای دریافتنی'!H:H,MATCH(Table2[[#This Row],[كد تفصيلي]],'حسابهای دریافتنی'!A:A,0)),0)</f>
        <v>1148992373</v>
      </c>
      <c r="D15" s="11">
        <f>IFERROR(INDEX('درجریان وصول'!F:F,MATCH(Table2[[#This Row],[كد تفصيلي]],'درجریان وصول'!A:A,0)),0)</f>
        <v>0</v>
      </c>
      <c r="E15" s="11">
        <f>IFERROR(INDEX('چکهای دریافتنی'!F:F,MATCH(Table2[[#This Row],[كد تفصيلي]],'چکهای دریافتنی'!A:A,0)),0)</f>
        <v>0</v>
      </c>
      <c r="F15" s="11">
        <f>Table2[[#This Row],[حسابهای دریافتنی]]+Table2[[#This Row],[چکهای در جریان وصول]]+Table2[[#This Row],[چکهای نزد صندوق]]</f>
        <v>1148992373</v>
      </c>
      <c r="G15" s="12">
        <f>IFERROR(INDEX('مانده سوفاله'!F:F,MATCH(Table2[[#This Row],[كد تفصيلي]],'مانده سوفاله'!A:A,0)),0)</f>
        <v>-6924</v>
      </c>
    </row>
    <row r="16" spans="1:7" ht="18" customHeight="1" x14ac:dyDescent="0.25">
      <c r="A16" s="20">
        <v>10056</v>
      </c>
      <c r="B16" s="21" t="s">
        <v>166</v>
      </c>
      <c r="C16" s="10">
        <f>IFERROR(INDEX('حسابهای دریافتنی'!H:H,MATCH(Table2[[#This Row],[كد تفصيلي]],'حسابهای دریافتنی'!A:A,0)),0)</f>
        <v>812653500</v>
      </c>
      <c r="D16" s="11">
        <f>IFERROR(INDEX('درجریان وصول'!F:F,MATCH(Table2[[#This Row],[كد تفصيلي]],'درجریان وصول'!A:A,0)),0)</f>
        <v>0</v>
      </c>
      <c r="E16" s="11">
        <f>IFERROR(INDEX('چکهای دریافتنی'!F:F,MATCH(Table2[[#This Row],[كد تفصيلي]],'چکهای دریافتنی'!A:A,0)),0)</f>
        <v>0</v>
      </c>
      <c r="F16" s="11">
        <f>Table2[[#This Row],[حسابهای دریافتنی]]+Table2[[#This Row],[چکهای در جریان وصول]]+Table2[[#This Row],[چکهای نزد صندوق]]</f>
        <v>812653500</v>
      </c>
      <c r="G16" s="12">
        <f>IFERROR(INDEX('مانده سوفاله'!F:F,MATCH(Table2[[#This Row],[كد تفصيلي]],'مانده سوفاله'!A:A,0)),0)</f>
        <v>0</v>
      </c>
    </row>
    <row r="17" spans="1:7" ht="18" customHeight="1" x14ac:dyDescent="0.25">
      <c r="A17" s="20">
        <v>30022</v>
      </c>
      <c r="B17" s="21" t="s">
        <v>70</v>
      </c>
      <c r="C17" s="10">
        <f>IFERROR(INDEX('حسابهای دریافتنی'!H:H,MATCH(Table2[[#This Row],[كد تفصيلي]],'حسابهای دریافتنی'!A:A,0)),0)</f>
        <v>2933770530</v>
      </c>
      <c r="D17" s="11">
        <f>IFERROR(INDEX('درجریان وصول'!F:F,MATCH(Table2[[#This Row],[كد تفصيلي]],'درجریان وصول'!A:A,0)),0)</f>
        <v>0</v>
      </c>
      <c r="E17" s="11">
        <f>IFERROR(INDEX('چکهای دریافتنی'!F:F,MATCH(Table2[[#This Row],[كد تفصيلي]],'چکهای دریافتنی'!A:A,0)),0)</f>
        <v>0</v>
      </c>
      <c r="F17" s="11">
        <f>Table2[[#This Row],[حسابهای دریافتنی]]+Table2[[#This Row],[چکهای در جریان وصول]]+Table2[[#This Row],[چکهای نزد صندوق]]</f>
        <v>2933770530</v>
      </c>
      <c r="G17" s="12">
        <f>IFERROR(INDEX('مانده سوفاله'!F:F,MATCH(Table2[[#This Row],[كد تفصيلي]],'مانده سوفاله'!A:A,0)),0)</f>
        <v>-14747</v>
      </c>
    </row>
    <row r="18" spans="1:7" ht="18" customHeight="1" x14ac:dyDescent="0.25">
      <c r="A18" s="18">
        <v>30058</v>
      </c>
      <c r="B18" s="19" t="s">
        <v>103</v>
      </c>
      <c r="C18" s="10">
        <f>IFERROR(INDEX('حسابهای دریافتنی'!H:H,MATCH(Table2[[#This Row],[كد تفصيلي]],'حسابهای دریافتنی'!A:A,0)),0)</f>
        <v>1700045560</v>
      </c>
      <c r="D18" s="11">
        <f>IFERROR(INDEX('درجریان وصول'!F:F,MATCH(Table2[[#This Row],[كد تفصيلي]],'درجریان وصول'!A:A,0)),0)</f>
        <v>0</v>
      </c>
      <c r="E18" s="11">
        <f>IFERROR(INDEX('چکهای دریافتنی'!F:F,MATCH(Table2[[#This Row],[كد تفصيلي]],'چکهای دریافتنی'!A:A,0)),0)</f>
        <v>0</v>
      </c>
      <c r="F18" s="11">
        <f>Table2[[#This Row],[حسابهای دریافتنی]]+Table2[[#This Row],[چکهای در جریان وصول]]+Table2[[#This Row],[چکهای نزد صندوق]]</f>
        <v>1700045560</v>
      </c>
      <c r="G18" s="12">
        <f>IFERROR(INDEX('مانده سوفاله'!F:F,MATCH(Table2[[#This Row],[كد تفصيلي]],'مانده سوفاله'!A:A,0)),0)</f>
        <v>-225</v>
      </c>
    </row>
    <row r="19" spans="1:7" ht="18" customHeight="1" x14ac:dyDescent="0.25">
      <c r="A19" s="18">
        <v>10027</v>
      </c>
      <c r="B19" s="19" t="s">
        <v>33</v>
      </c>
      <c r="C19" s="10">
        <f>IFERROR(INDEX('حسابهای دریافتنی'!H:H,MATCH(Table2[[#This Row],[كد تفصيلي]],'حسابهای دریافتنی'!A:A,0)),0)</f>
        <v>33078340</v>
      </c>
      <c r="D19" s="11">
        <f>IFERROR(INDEX('درجریان وصول'!F:F,MATCH(Table2[[#This Row],[كد تفصيلي]],'درجریان وصول'!A:A,0)),0)</f>
        <v>0</v>
      </c>
      <c r="E19" s="11">
        <f>IFERROR(INDEX('چکهای دریافتنی'!F:F,MATCH(Table2[[#This Row],[كد تفصيلي]],'چکهای دریافتنی'!A:A,0)),0)</f>
        <v>1588359160</v>
      </c>
      <c r="F19" s="11">
        <f>Table2[[#This Row],[حسابهای دریافتنی]]+Table2[[#This Row],[چکهای در جریان وصول]]+Table2[[#This Row],[چکهای نزد صندوق]]</f>
        <v>1621437500</v>
      </c>
      <c r="G19" s="12">
        <f>IFERROR(INDEX('مانده سوفاله'!F:F,MATCH(Table2[[#This Row],[كد تفصيلي]],'مانده سوفاله'!A:A,0)),0)</f>
        <v>-647</v>
      </c>
    </row>
    <row r="20" spans="1:7" ht="18" customHeight="1" x14ac:dyDescent="0.25">
      <c r="A20" s="20">
        <v>30014</v>
      </c>
      <c r="B20" s="21" t="s">
        <v>63</v>
      </c>
      <c r="C20" s="10">
        <f>IFERROR(INDEX('حسابهای دریافتنی'!H:H,MATCH(Table2[[#This Row],[كد تفصيلي]],'حسابهای دریافتنی'!A:A,0)),0)</f>
        <v>1762223932</v>
      </c>
      <c r="D20" s="11">
        <f>IFERROR(INDEX('درجریان وصول'!F:F,MATCH(Table2[[#This Row],[كد تفصيلي]],'درجریان وصول'!A:A,0)),0)</f>
        <v>0</v>
      </c>
      <c r="E20" s="11">
        <f>IFERROR(INDEX('چکهای دریافتنی'!F:F,MATCH(Table2[[#This Row],[كد تفصيلي]],'چکهای دریافتنی'!A:A,0)),0)</f>
        <v>0</v>
      </c>
      <c r="F20" s="11">
        <f>Table2[[#This Row],[حسابهای دریافتنی]]+Table2[[#This Row],[چکهای در جریان وصول]]+Table2[[#This Row],[چکهای نزد صندوق]]</f>
        <v>1762223932</v>
      </c>
      <c r="G20" s="12">
        <f>IFERROR(INDEX('مانده سوفاله'!F:F,MATCH(Table2[[#This Row],[كد تفصيلي]],'مانده سوفاله'!A:A,0)),0)</f>
        <v>-1368</v>
      </c>
    </row>
    <row r="21" spans="1:7" ht="18" customHeight="1" x14ac:dyDescent="0.25">
      <c r="A21" s="20">
        <v>30018</v>
      </c>
      <c r="B21" s="21" t="s">
        <v>66</v>
      </c>
      <c r="C21" s="10">
        <f>IFERROR(INDEX('حسابهای دریافتنی'!H:H,MATCH(Table2[[#This Row],[كد تفصيلي]],'حسابهای دریافتنی'!A:A,0)),0)</f>
        <v>1901077182</v>
      </c>
      <c r="D21" s="11">
        <f>IFERROR(INDEX('درجریان وصول'!F:F,MATCH(Table2[[#This Row],[كد تفصيلي]],'درجریان وصول'!A:A,0)),0)</f>
        <v>0</v>
      </c>
      <c r="E21" s="11">
        <f>IFERROR(INDEX('چکهای دریافتنی'!F:F,MATCH(Table2[[#This Row],[كد تفصيلي]],'چکهای دریافتنی'!A:A,0)),0)</f>
        <v>0</v>
      </c>
      <c r="F21" s="11">
        <f>Table2[[#This Row],[حسابهای دریافتنی]]+Table2[[#This Row],[چکهای در جریان وصول]]+Table2[[#This Row],[چکهای نزد صندوق]]</f>
        <v>1901077182</v>
      </c>
      <c r="G21" s="12">
        <f>IFERROR(INDEX('مانده سوفاله'!F:F,MATCH(Table2[[#This Row],[كد تفصيلي]],'مانده سوفاله'!A:A,0)),0)</f>
        <v>-3024</v>
      </c>
    </row>
    <row r="22" spans="1:7" ht="18" customHeight="1" x14ac:dyDescent="0.25">
      <c r="A22" s="20">
        <v>30099</v>
      </c>
      <c r="B22" s="21" t="s">
        <v>167</v>
      </c>
      <c r="C22" s="10">
        <f>IFERROR(INDEX('حسابهای دریافتنی'!H:H,MATCH(Table2[[#This Row],[كد تفصيلي]],'حسابهای دریافتنی'!A:A,0)),0)</f>
        <v>1398393484</v>
      </c>
      <c r="D22" s="11">
        <f>IFERROR(INDEX('درجریان وصول'!F:F,MATCH(Table2[[#This Row],[كد تفصيلي]],'درجریان وصول'!A:A,0)),0)</f>
        <v>0</v>
      </c>
      <c r="E22" s="11">
        <f>IFERROR(INDEX('چکهای دریافتنی'!F:F,MATCH(Table2[[#This Row],[كد تفصيلي]],'چکهای دریافتنی'!A:A,0)),0)</f>
        <v>583000000</v>
      </c>
      <c r="F22" s="11">
        <f>Table2[[#This Row],[حسابهای دریافتنی]]+Table2[[#This Row],[چکهای در جریان وصول]]+Table2[[#This Row],[چکهای نزد صندوق]]</f>
        <v>1981393484</v>
      </c>
      <c r="G22" s="12">
        <f>IFERROR(INDEX('مانده سوفاله'!F:F,MATCH(Table2[[#This Row],[كد تفصيلي]],'مانده سوفاله'!A:A,0)),0)</f>
        <v>-332</v>
      </c>
    </row>
    <row r="23" spans="1:7" ht="18" customHeight="1" x14ac:dyDescent="0.25">
      <c r="A23" s="18">
        <v>10057</v>
      </c>
      <c r="B23" s="19" t="s">
        <v>225</v>
      </c>
      <c r="C23" s="10">
        <f>IFERROR(INDEX('حسابهای دریافتنی'!H:H,MATCH(Table2[[#This Row],[كد تفصيلي]],'حسابهای دریافتنی'!A:A,0)),0)</f>
        <v>1390485500</v>
      </c>
      <c r="D23" s="11">
        <f>IFERROR(INDEX('درجریان وصول'!F:F,MATCH(Table2[[#This Row],[كد تفصيلي]],'درجریان وصول'!A:A,0)),0)</f>
        <v>0</v>
      </c>
      <c r="E23" s="11">
        <f>IFERROR(INDEX('چکهای دریافتنی'!F:F,MATCH(Table2[[#This Row],[كد تفصيلي]],'چکهای دریافتنی'!A:A,0)),0)</f>
        <v>0</v>
      </c>
      <c r="F23" s="11">
        <f>Table2[[#This Row],[حسابهای دریافتنی]]+Table2[[#This Row],[چکهای در جریان وصول]]+Table2[[#This Row],[چکهای نزد صندوق]]</f>
        <v>1390485500</v>
      </c>
      <c r="G23" s="12">
        <f>IFERROR(INDEX('مانده سوفاله'!F:F,MATCH(Table2[[#This Row],[كد تفصيلي]],'مانده سوفاله'!A:A,0)),0)</f>
        <v>-2044</v>
      </c>
    </row>
    <row r="24" spans="1:7" ht="18" customHeight="1" x14ac:dyDescent="0.25">
      <c r="A24" s="18">
        <v>30035</v>
      </c>
      <c r="B24" s="19" t="s">
        <v>82</v>
      </c>
      <c r="C24" s="10">
        <f>IFERROR(INDEX('حسابهای دریافتنی'!H:H,MATCH(Table2[[#This Row],[كد تفصيلي]],'حسابهای دریافتنی'!A:A,0)),0)</f>
        <v>1015976559</v>
      </c>
      <c r="D24" s="11">
        <f>IFERROR(INDEX('درجریان وصول'!F:F,MATCH(Table2[[#This Row],[كد تفصيلي]],'درجریان وصول'!A:A,0)),0)</f>
        <v>0</v>
      </c>
      <c r="E24" s="11">
        <f>IFERROR(INDEX('چکهای دریافتنی'!F:F,MATCH(Table2[[#This Row],[كد تفصيلي]],'چکهای دریافتنی'!A:A,0)),0)</f>
        <v>0</v>
      </c>
      <c r="F24" s="11">
        <f>Table2[[#This Row],[حسابهای دریافتنی]]+Table2[[#This Row],[چکهای در جریان وصول]]+Table2[[#This Row],[چکهای نزد صندوق]]</f>
        <v>1015976559</v>
      </c>
      <c r="G24" s="12">
        <f>IFERROR(INDEX('مانده سوفاله'!F:F,MATCH(Table2[[#This Row],[كد تفصيلي]],'مانده سوفاله'!A:A,0)),0)</f>
        <v>0</v>
      </c>
    </row>
    <row r="25" spans="1:7" ht="18" customHeight="1" x14ac:dyDescent="0.25">
      <c r="A25" s="18">
        <v>30003</v>
      </c>
      <c r="B25" s="19" t="s">
        <v>53</v>
      </c>
      <c r="C25" s="10">
        <f>IFERROR(INDEX('حسابهای دریافتنی'!H:H,MATCH(Table2[[#This Row],[كد تفصيلي]],'حسابهای دریافتنی'!A:A,0)),0)</f>
        <v>754765900</v>
      </c>
      <c r="D25" s="11">
        <f>IFERROR(INDEX('درجریان وصول'!F:F,MATCH(Table2[[#This Row],[كد تفصيلي]],'درجریان وصول'!A:A,0)),0)</f>
        <v>0</v>
      </c>
      <c r="E25" s="11">
        <f>IFERROR(INDEX('چکهای دریافتنی'!F:F,MATCH(Table2[[#This Row],[كد تفصيلي]],'چکهای دریافتنی'!A:A,0)),0)</f>
        <v>571000000</v>
      </c>
      <c r="F25" s="11">
        <f>Table2[[#This Row],[حسابهای دریافتنی]]+Table2[[#This Row],[چکهای در جریان وصول]]+Table2[[#This Row],[چکهای نزد صندوق]]</f>
        <v>1325765900</v>
      </c>
      <c r="G25" s="12">
        <f>IFERROR(INDEX('مانده سوفاله'!F:F,MATCH(Table2[[#This Row],[كد تفصيلي]],'مانده سوفاله'!A:A,0)),0)</f>
        <v>-3538</v>
      </c>
    </row>
    <row r="26" spans="1:7" ht="18" customHeight="1" x14ac:dyDescent="0.25">
      <c r="A26" s="18">
        <v>30017</v>
      </c>
      <c r="B26" s="19" t="s">
        <v>65</v>
      </c>
      <c r="C26" s="10">
        <f>IFERROR(INDEX('حسابهای دریافتنی'!H:H,MATCH(Table2[[#This Row],[كد تفصيلي]],'حسابهای دریافتنی'!A:A,0)),0)</f>
        <v>905000830</v>
      </c>
      <c r="D26" s="11">
        <f>IFERROR(INDEX('درجریان وصول'!F:F,MATCH(Table2[[#This Row],[كد تفصيلي]],'درجریان وصول'!A:A,0)),0)</f>
        <v>0</v>
      </c>
      <c r="E26" s="11">
        <f>IFERROR(INDEX('چکهای دریافتنی'!F:F,MATCH(Table2[[#This Row],[كد تفصيلي]],'چکهای دریافتنی'!A:A,0)),0)</f>
        <v>0</v>
      </c>
      <c r="F26" s="11">
        <f>Table2[[#This Row],[حسابهای دریافتنی]]+Table2[[#This Row],[چکهای در جریان وصول]]+Table2[[#This Row],[چکهای نزد صندوق]]</f>
        <v>905000830</v>
      </c>
      <c r="G26" s="12">
        <f>IFERROR(INDEX('مانده سوفاله'!F:F,MATCH(Table2[[#This Row],[كد تفصيلي]],'مانده سوفاله'!A:A,0)),0)</f>
        <v>-2186</v>
      </c>
    </row>
    <row r="27" spans="1:7" ht="18" customHeight="1" x14ac:dyDescent="0.25">
      <c r="A27" s="78">
        <v>30169</v>
      </c>
      <c r="B27" s="35" t="s">
        <v>318</v>
      </c>
      <c r="C27" s="10">
        <f>IFERROR(INDEX('حسابهای دریافتنی'!H:H,MATCH(Table2[[#This Row],[كد تفصيلي]],'حسابهای دریافتنی'!A:A,0)),0)</f>
        <v>-658993316</v>
      </c>
      <c r="D27" s="11">
        <f>IFERROR(INDEX('درجریان وصول'!F:F,MATCH(Table2[[#This Row],[كد تفصيلي]],'درجریان وصول'!A:A,0)),0)</f>
        <v>0</v>
      </c>
      <c r="E27" s="11">
        <f>IFERROR(INDEX('چکهای دریافتنی'!F:F,MATCH(Table2[[#This Row],[كد تفصيلي]],'چکهای دریافتنی'!A:A,0)),0)</f>
        <v>2085000000</v>
      </c>
      <c r="F27" s="11">
        <f>Table2[[#This Row],[حسابهای دریافتنی]]+Table2[[#This Row],[چکهای در جریان وصول]]+Table2[[#This Row],[چکهای نزد صندوق]]</f>
        <v>1426006684</v>
      </c>
      <c r="G27" s="12">
        <f>IFERROR(INDEX('مانده سوفاله'!F:F,MATCH(Table2[[#This Row],[كد تفصيلي]],'مانده سوفاله'!A:A,0)),0)</f>
        <v>0</v>
      </c>
    </row>
    <row r="28" spans="1:7" ht="18" customHeight="1" x14ac:dyDescent="0.25">
      <c r="A28" s="18">
        <v>50011</v>
      </c>
      <c r="B28" s="19" t="s">
        <v>147</v>
      </c>
      <c r="C28" s="10">
        <f>IFERROR(INDEX('حسابهای دریافتنی'!H:H,MATCH(Table2[[#This Row],[كد تفصيلي]],'حسابهای دریافتنی'!A:A,0)),0)</f>
        <v>832182413</v>
      </c>
      <c r="D28" s="11">
        <f>IFERROR(INDEX('درجریان وصول'!F:F,MATCH(Table2[[#This Row],[كد تفصيلي]],'درجریان وصول'!A:A,0)),0)</f>
        <v>0</v>
      </c>
      <c r="E28" s="11">
        <f>IFERROR(INDEX('چکهای دریافتنی'!F:F,MATCH(Table2[[#This Row],[كد تفصيلي]],'چکهای دریافتنی'!A:A,0)),0)</f>
        <v>0</v>
      </c>
      <c r="F28" s="11">
        <f>Table2[[#This Row],[حسابهای دریافتنی]]+Table2[[#This Row],[چکهای در جریان وصول]]+Table2[[#This Row],[چکهای نزد صندوق]]</f>
        <v>832182413</v>
      </c>
      <c r="G28" s="12">
        <f>IFERROR(INDEX('مانده سوفاله'!F:F,MATCH(Table2[[#This Row],[كد تفصيلي]],'مانده سوفاله'!A:A,0)),0)</f>
        <v>30</v>
      </c>
    </row>
    <row r="29" spans="1:7" ht="18" customHeight="1" x14ac:dyDescent="0.25">
      <c r="A29" s="18">
        <v>30019</v>
      </c>
      <c r="B29" s="19" t="s">
        <v>67</v>
      </c>
      <c r="C29" s="10">
        <f>IFERROR(INDEX('حسابهای دریافتنی'!H:H,MATCH(Table2[[#This Row],[كد تفصيلي]],'حسابهای دریافتنی'!A:A,0)),0)</f>
        <v>823484840</v>
      </c>
      <c r="D29" s="11">
        <f>IFERROR(INDEX('درجریان وصول'!F:F,MATCH(Table2[[#This Row],[كد تفصيلي]],'درجریان وصول'!A:A,0)),0)</f>
        <v>0</v>
      </c>
      <c r="E29" s="11">
        <f>IFERROR(INDEX('چکهای دریافتنی'!F:F,MATCH(Table2[[#This Row],[كد تفصيلي]],'چکهای دریافتنی'!A:A,0)),0)</f>
        <v>0</v>
      </c>
      <c r="F29" s="11">
        <f>Table2[[#This Row],[حسابهای دریافتنی]]+Table2[[#This Row],[چکهای در جریان وصول]]+Table2[[#This Row],[چکهای نزد صندوق]]</f>
        <v>823484840</v>
      </c>
      <c r="G29" s="12">
        <f>IFERROR(INDEX('مانده سوفاله'!F:F,MATCH(Table2[[#This Row],[كد تفصيلي]],'مانده سوفاله'!A:A,0)),0)</f>
        <v>612</v>
      </c>
    </row>
    <row r="30" spans="1:7" ht="18" customHeight="1" x14ac:dyDescent="0.25">
      <c r="A30" s="20">
        <v>10020</v>
      </c>
      <c r="B30" s="21" t="s">
        <v>27</v>
      </c>
      <c r="C30" s="10">
        <f>IFERROR(INDEX('حسابهای دریافتنی'!H:H,MATCH(Table2[[#This Row],[كد تفصيلي]],'حسابهای دریافتنی'!A:A,0)),0)</f>
        <v>57999963</v>
      </c>
      <c r="D30" s="11">
        <f>IFERROR(INDEX('درجریان وصول'!F:F,MATCH(Table2[[#This Row],[كد تفصيلي]],'درجریان وصول'!A:A,0)),0)</f>
        <v>0</v>
      </c>
      <c r="E30" s="11">
        <f>IFERROR(INDEX('چکهای دریافتنی'!F:F,MATCH(Table2[[#This Row],[كد تفصيلي]],'چکهای دریافتنی'!A:A,0)),0)</f>
        <v>728000000</v>
      </c>
      <c r="F30" s="11">
        <f>Table2[[#This Row],[حسابهای دریافتنی]]+Table2[[#This Row],[چکهای در جریان وصول]]+Table2[[#This Row],[چکهای نزد صندوق]]</f>
        <v>785999963</v>
      </c>
      <c r="G30" s="12">
        <f>IFERROR(INDEX('مانده سوفاله'!F:F,MATCH(Table2[[#This Row],[كد تفصيلي]],'مانده سوفاله'!A:A,0)),0)</f>
        <v>-1031</v>
      </c>
    </row>
    <row r="31" spans="1:7" ht="18" customHeight="1" x14ac:dyDescent="0.25">
      <c r="A31" s="20">
        <v>30012</v>
      </c>
      <c r="B31" s="21" t="s">
        <v>61</v>
      </c>
      <c r="C31" s="10">
        <f>IFERROR(INDEX('حسابهای دریافتنی'!H:H,MATCH(Table2[[#This Row],[كد تفصيلي]],'حسابهای دریافتنی'!A:A,0)),0)</f>
        <v>-46099000</v>
      </c>
      <c r="D31" s="11">
        <f>IFERROR(INDEX('درجریان وصول'!F:F,MATCH(Table2[[#This Row],[كد تفصيلي]],'درجریان وصول'!A:A,0)),0)</f>
        <v>0</v>
      </c>
      <c r="E31" s="11">
        <f>IFERROR(INDEX('چکهای دریافتنی'!F:F,MATCH(Table2[[#This Row],[كد تفصيلي]],'چکهای دریافتنی'!A:A,0)),0)</f>
        <v>348650000</v>
      </c>
      <c r="F31" s="11">
        <f>Table2[[#This Row],[حسابهای دریافتنی]]+Table2[[#This Row],[چکهای در جریان وصول]]+Table2[[#This Row],[چکهای نزد صندوق]]</f>
        <v>302551000</v>
      </c>
      <c r="G31" s="12">
        <f>IFERROR(INDEX('مانده سوفاله'!F:F,MATCH(Table2[[#This Row],[كد تفصيلي]],'مانده سوفاله'!A:A,0)),0)</f>
        <v>141</v>
      </c>
    </row>
    <row r="32" spans="1:7" ht="18" customHeight="1" x14ac:dyDescent="0.25">
      <c r="A32" s="20">
        <v>10008</v>
      </c>
      <c r="B32" s="21" t="s">
        <v>15</v>
      </c>
      <c r="C32" s="10">
        <f>IFERROR(INDEX('حسابهای دریافتنی'!H:H,MATCH(Table2[[#This Row],[كد تفصيلي]],'حسابهای دریافتنی'!A:A,0)),0)</f>
        <v>597342000</v>
      </c>
      <c r="D32" s="11">
        <f>IFERROR(INDEX('درجریان وصول'!F:F,MATCH(Table2[[#This Row],[كد تفصيلي]],'درجریان وصول'!A:A,0)),0)</f>
        <v>0</v>
      </c>
      <c r="E32" s="11">
        <f>IFERROR(INDEX('چکهای دریافتنی'!F:F,MATCH(Table2[[#This Row],[كد تفصيلي]],'چکهای دریافتنی'!A:A,0)),0)</f>
        <v>0</v>
      </c>
      <c r="F32" s="11">
        <f>Table2[[#This Row],[حسابهای دریافتنی]]+Table2[[#This Row],[چکهای در جریان وصول]]+Table2[[#This Row],[چکهای نزد صندوق]]</f>
        <v>597342000</v>
      </c>
      <c r="G32" s="12">
        <f>IFERROR(INDEX('مانده سوفاله'!F:F,MATCH(Table2[[#This Row],[كد تفصيلي]],'مانده سوفاله'!A:A,0)),0)</f>
        <v>-578</v>
      </c>
    </row>
    <row r="33" spans="1:7" ht="18" customHeight="1" x14ac:dyDescent="0.25">
      <c r="A33" s="20">
        <v>10072</v>
      </c>
      <c r="B33" s="21" t="s">
        <v>177</v>
      </c>
      <c r="C33" s="10">
        <f>IFERROR(INDEX('حسابهای دریافتنی'!H:H,MATCH(Table2[[#This Row],[كد تفصيلي]],'حسابهای دریافتنی'!A:A,0)),0)</f>
        <v>55880</v>
      </c>
      <c r="D33" s="11">
        <f>IFERROR(INDEX('درجریان وصول'!F:F,MATCH(Table2[[#This Row],[كد تفصيلي]],'درجریان وصول'!A:A,0)),0)</f>
        <v>0</v>
      </c>
      <c r="E33" s="11">
        <f>IFERROR(INDEX('چکهای دریافتنی'!F:F,MATCH(Table2[[#This Row],[كد تفصيلي]],'چکهای دریافتنی'!A:A,0)),0)</f>
        <v>427700000</v>
      </c>
      <c r="F33" s="11">
        <f>Table2[[#This Row],[حسابهای دریافتنی]]+Table2[[#This Row],[چکهای در جریان وصول]]+Table2[[#This Row],[چکهای نزد صندوق]]</f>
        <v>427755880</v>
      </c>
      <c r="G33" s="12">
        <f>IFERROR(INDEX('مانده سوفاله'!F:F,MATCH(Table2[[#This Row],[كد تفصيلي]],'مانده سوفاله'!A:A,0)),0)</f>
        <v>0</v>
      </c>
    </row>
    <row r="34" spans="1:7" ht="18" customHeight="1" x14ac:dyDescent="0.25">
      <c r="A34" s="20">
        <v>10084</v>
      </c>
      <c r="B34" s="21" t="s">
        <v>217</v>
      </c>
      <c r="C34" s="10">
        <f>IFERROR(INDEX('حسابهای دریافتنی'!H:H,MATCH(Table2[[#This Row],[كد تفصيلي]],'حسابهای دریافتنی'!A:A,0)),0)</f>
        <v>358092810</v>
      </c>
      <c r="D34" s="11">
        <f>IFERROR(INDEX('درجریان وصول'!F:F,MATCH(Table2[[#This Row],[كد تفصيلي]],'درجریان وصول'!A:A,0)),0)</f>
        <v>0</v>
      </c>
      <c r="E34" s="11">
        <f>IFERROR(INDEX('چکهای دریافتنی'!F:F,MATCH(Table2[[#This Row],[كد تفصيلي]],'چکهای دریافتنی'!A:A,0)),0)</f>
        <v>870000000</v>
      </c>
      <c r="F34" s="11">
        <f>Table2[[#This Row],[حسابهای دریافتنی]]+Table2[[#This Row],[چکهای در جریان وصول]]+Table2[[#This Row],[چکهای نزد صندوق]]</f>
        <v>1228092810</v>
      </c>
      <c r="G34" s="12">
        <f>IFERROR(INDEX('مانده سوفاله'!F:F,MATCH(Table2[[#This Row],[كد تفصيلي]],'مانده سوفاله'!A:A,0)),0)</f>
        <v>-1656</v>
      </c>
    </row>
    <row r="35" spans="1:7" ht="18" customHeight="1" x14ac:dyDescent="0.25">
      <c r="A35" s="20">
        <v>10048</v>
      </c>
      <c r="B35" s="21" t="s">
        <v>191</v>
      </c>
      <c r="C35" s="10">
        <f>IFERROR(INDEX('حسابهای دریافتنی'!H:H,MATCH(Table2[[#This Row],[كد تفصيلي]],'حسابهای دریافتنی'!A:A,0)),0)</f>
        <v>0</v>
      </c>
      <c r="D35" s="11">
        <f>IFERROR(INDEX('درجریان وصول'!F:F,MATCH(Table2[[#This Row],[كد تفصيلي]],'درجریان وصول'!A:A,0)),0)</f>
        <v>0</v>
      </c>
      <c r="E35" s="11">
        <f>IFERROR(INDEX('چکهای دریافتنی'!F:F,MATCH(Table2[[#This Row],[كد تفصيلي]],'چکهای دریافتنی'!A:A,0)),0)</f>
        <v>0</v>
      </c>
      <c r="F35" s="11">
        <f>Table2[[#This Row],[حسابهای دریافتنی]]+Table2[[#This Row],[چکهای در جریان وصول]]+Table2[[#This Row],[چکهای نزد صندوق]]</f>
        <v>0</v>
      </c>
      <c r="G35" s="12">
        <f>IFERROR(INDEX('مانده سوفاله'!F:F,MATCH(Table2[[#This Row],[كد تفصيلي]],'مانده سوفاله'!A:A,0)),0)</f>
        <v>-1097</v>
      </c>
    </row>
    <row r="36" spans="1:7" ht="18" customHeight="1" x14ac:dyDescent="0.25">
      <c r="A36" s="20">
        <v>30069</v>
      </c>
      <c r="B36" s="21" t="s">
        <v>114</v>
      </c>
      <c r="C36" s="10">
        <f>IFERROR(INDEX('حسابهای دریافتنی'!H:H,MATCH(Table2[[#This Row],[كد تفصيلي]],'حسابهای دریافتنی'!A:A,0)),0)</f>
        <v>377909400</v>
      </c>
      <c r="D36" s="11">
        <f>IFERROR(INDEX('درجریان وصول'!F:F,MATCH(Table2[[#This Row],[كد تفصيلي]],'درجریان وصول'!A:A,0)),0)</f>
        <v>0</v>
      </c>
      <c r="E36" s="11">
        <f>IFERROR(INDEX('چکهای دریافتنی'!F:F,MATCH(Table2[[#This Row],[كد تفصيلي]],'چکهای دریافتنی'!A:A,0)),0)</f>
        <v>0</v>
      </c>
      <c r="F36" s="11">
        <f>Table2[[#This Row],[حسابهای دریافتنی]]+Table2[[#This Row],[چکهای در جریان وصول]]+Table2[[#This Row],[چکهای نزد صندوق]]</f>
        <v>377909400</v>
      </c>
      <c r="G36" s="12">
        <f>IFERROR(INDEX('مانده سوفاله'!F:F,MATCH(Table2[[#This Row],[كد تفصيلي]],'مانده سوفاله'!A:A,0)),0)</f>
        <v>66</v>
      </c>
    </row>
    <row r="37" spans="1:7" ht="18" customHeight="1" x14ac:dyDescent="0.25">
      <c r="A37" s="78">
        <v>10127</v>
      </c>
      <c r="B37" s="35" t="s">
        <v>371</v>
      </c>
      <c r="C37" s="10">
        <f>IFERROR(INDEX('حسابهای دریافتنی'!H:H,MATCH(Table2[[#This Row],[كد تفصيلي]],'حسابهای دریافتنی'!A:A,0)),0)</f>
        <v>803728000</v>
      </c>
      <c r="D37" s="11">
        <f>IFERROR(INDEX('درجریان وصول'!F:F,MATCH(Table2[[#This Row],[كد تفصيلي]],'درجریان وصول'!A:A,0)),0)</f>
        <v>0</v>
      </c>
      <c r="E37" s="11">
        <f>IFERROR(INDEX('چکهای دریافتنی'!F:F,MATCH(Table2[[#This Row],[كد تفصيلي]],'چکهای دریافتنی'!A:A,0)),0)</f>
        <v>0</v>
      </c>
      <c r="F37" s="11">
        <f>Table2[[#This Row],[حسابهای دریافتنی]]+Table2[[#This Row],[چکهای در جریان وصول]]+Table2[[#This Row],[چکهای نزد صندوق]]</f>
        <v>803728000</v>
      </c>
      <c r="G37" s="12">
        <f>IFERROR(INDEX('مانده سوفاله'!F:F,MATCH(Table2[[#This Row],[كد تفصيلي]],'مانده سوفاله'!A:A,0)),0)</f>
        <v>-1469</v>
      </c>
    </row>
    <row r="38" spans="1:7" ht="18" customHeight="1" x14ac:dyDescent="0.25">
      <c r="A38" s="78">
        <v>30187</v>
      </c>
      <c r="B38" s="35" t="s">
        <v>369</v>
      </c>
      <c r="C38" s="10">
        <f>IFERROR(INDEX('حسابهای دریافتنی'!H:H,MATCH(Table2[[#This Row],[كد تفصيلي]],'حسابهای دریافتنی'!A:A,0)),0)</f>
        <v>337825500</v>
      </c>
      <c r="D38" s="11">
        <f>IFERROR(INDEX('درجریان وصول'!F:F,MATCH(Table2[[#This Row],[كد تفصيلي]],'درجریان وصول'!A:A,0)),0)</f>
        <v>0</v>
      </c>
      <c r="E38" s="11">
        <f>IFERROR(INDEX('چکهای دریافتنی'!F:F,MATCH(Table2[[#This Row],[كد تفصيلي]],'چکهای دریافتنی'!A:A,0)),0)</f>
        <v>0</v>
      </c>
      <c r="F38" s="11">
        <f>Table2[[#This Row],[حسابهای دریافتنی]]+Table2[[#This Row],[چکهای در جریان وصول]]+Table2[[#This Row],[چکهای نزد صندوق]]</f>
        <v>337825500</v>
      </c>
      <c r="G38" s="12">
        <f>IFERROR(INDEX('مانده سوفاله'!F:F,MATCH(Table2[[#This Row],[كد تفصيلي]],'مانده سوفاله'!A:A,0)),0)</f>
        <v>-108</v>
      </c>
    </row>
    <row r="39" spans="1:7" ht="18" customHeight="1" x14ac:dyDescent="0.25">
      <c r="A39" s="20">
        <v>10004</v>
      </c>
      <c r="B39" s="21" t="s">
        <v>11</v>
      </c>
      <c r="C39" s="10">
        <f>IFERROR(INDEX('حسابهای دریافتنی'!H:H,MATCH(Table2[[#This Row],[كد تفصيلي]],'حسابهای دریافتنی'!A:A,0)),0)</f>
        <v>853000</v>
      </c>
      <c r="D39" s="11">
        <f>IFERROR(INDEX('درجریان وصول'!F:F,MATCH(Table2[[#This Row],[كد تفصيلي]],'درجریان وصول'!A:A,0)),0)</f>
        <v>0</v>
      </c>
      <c r="E39" s="11">
        <f>IFERROR(INDEX('چکهای دریافتنی'!F:F,MATCH(Table2[[#This Row],[كد تفصيلي]],'چکهای دریافتنی'!A:A,0)),0)</f>
        <v>341000000</v>
      </c>
      <c r="F39" s="11">
        <f>Table2[[#This Row],[حسابهای دریافتنی]]+Table2[[#This Row],[چکهای در جریان وصول]]+Table2[[#This Row],[چکهای نزد صندوق]]</f>
        <v>341853000</v>
      </c>
      <c r="G39" s="12">
        <f>IFERROR(INDEX('مانده سوفاله'!F:F,MATCH(Table2[[#This Row],[كد تفصيلي]],'مانده سوفاله'!A:A,0)),0)</f>
        <v>-12</v>
      </c>
    </row>
    <row r="40" spans="1:7" ht="18" customHeight="1" x14ac:dyDescent="0.25">
      <c r="A40" s="20">
        <v>10070</v>
      </c>
      <c r="B40" s="21" t="s">
        <v>230</v>
      </c>
      <c r="C40" s="10">
        <f>IFERROR(INDEX('حسابهای دریافتنی'!H:H,MATCH(Table2[[#This Row],[كد تفصيلي]],'حسابهای دریافتنی'!A:A,0)),0)</f>
        <v>508152500</v>
      </c>
      <c r="D40" s="11">
        <f>IFERROR(INDEX('درجریان وصول'!F:F,MATCH(Table2[[#This Row],[كد تفصيلي]],'درجریان وصول'!A:A,0)),0)</f>
        <v>0</v>
      </c>
      <c r="E40" s="11">
        <f>IFERROR(INDEX('چکهای دریافتنی'!F:F,MATCH(Table2[[#This Row],[كد تفصيلي]],'چکهای دریافتنی'!A:A,0)),0)</f>
        <v>570000000</v>
      </c>
      <c r="F40" s="11">
        <f>Table2[[#This Row],[حسابهای دریافتنی]]+Table2[[#This Row],[چکهای در جریان وصول]]+Table2[[#This Row],[چکهای نزد صندوق]]</f>
        <v>1078152500</v>
      </c>
      <c r="G40" s="12">
        <f>IFERROR(INDEX('مانده سوفاله'!F:F,MATCH(Table2[[#This Row],[كد تفصيلي]],'مانده سوفاله'!A:A,0)),0)</f>
        <v>-3170</v>
      </c>
    </row>
    <row r="41" spans="1:7" ht="18" customHeight="1" x14ac:dyDescent="0.25">
      <c r="A41" s="18">
        <v>30070</v>
      </c>
      <c r="B41" s="19" t="s">
        <v>115</v>
      </c>
      <c r="C41" s="10">
        <f>IFERROR(INDEX('حسابهای دریافتنی'!H:H,MATCH(Table2[[#This Row],[كد تفصيلي]],'حسابهای دریافتنی'!A:A,0)),0)</f>
        <v>2651728820</v>
      </c>
      <c r="D41" s="11">
        <f>IFERROR(INDEX('درجریان وصول'!F:F,MATCH(Table2[[#This Row],[كد تفصيلي]],'درجریان وصول'!A:A,0)),0)</f>
        <v>0</v>
      </c>
      <c r="E41" s="11">
        <f>IFERROR(INDEX('چکهای دریافتنی'!F:F,MATCH(Table2[[#This Row],[كد تفصيلي]],'چکهای دریافتنی'!A:A,0)),0)</f>
        <v>3660000000</v>
      </c>
      <c r="F41" s="11">
        <f>Table2[[#This Row],[حسابهای دریافتنی]]+Table2[[#This Row],[چکهای در جریان وصول]]+Table2[[#This Row],[چکهای نزد صندوق]]</f>
        <v>6311728820</v>
      </c>
      <c r="G41" s="12">
        <f>IFERROR(INDEX('مانده سوفاله'!F:F,MATCH(Table2[[#This Row],[كد تفصيلي]],'مانده سوفاله'!A:A,0)),0)</f>
        <v>4378</v>
      </c>
    </row>
    <row r="42" spans="1:7" ht="18" customHeight="1" x14ac:dyDescent="0.25">
      <c r="A42" s="79">
        <v>30162</v>
      </c>
      <c r="B42" s="40" t="s">
        <v>301</v>
      </c>
      <c r="C42" s="10">
        <f>IFERROR(INDEX('حسابهای دریافتنی'!H:H,MATCH(Table2[[#This Row],[كد تفصيلي]],'حسابهای دریافتنی'!A:A,0)),0)</f>
        <v>204890235</v>
      </c>
      <c r="D42" s="11">
        <f>IFERROR(INDEX('درجریان وصول'!F:F,MATCH(Table2[[#This Row],[كد تفصيلي]],'درجریان وصول'!A:A,0)),0)</f>
        <v>0</v>
      </c>
      <c r="E42" s="11">
        <f>IFERROR(INDEX('چکهای دریافتنی'!F:F,MATCH(Table2[[#This Row],[كد تفصيلي]],'چکهای دریافتنی'!A:A,0)),0)</f>
        <v>0</v>
      </c>
      <c r="F42" s="11">
        <f>Table2[[#This Row],[حسابهای دریافتنی]]+Table2[[#This Row],[چکهای در جریان وصول]]+Table2[[#This Row],[چکهای نزد صندوق]]</f>
        <v>204890235</v>
      </c>
      <c r="G42" s="12">
        <f>IFERROR(INDEX('مانده سوفاله'!F:F,MATCH(Table2[[#This Row],[كد تفصيلي]],'مانده سوفاله'!A:A,0)),0)</f>
        <v>-251</v>
      </c>
    </row>
    <row r="43" spans="1:7" ht="18" customHeight="1" x14ac:dyDescent="0.25">
      <c r="A43" s="20">
        <v>30137</v>
      </c>
      <c r="B43" s="21" t="s">
        <v>218</v>
      </c>
      <c r="C43" s="10">
        <f>IFERROR(INDEX('حسابهای دریافتنی'!H:H,MATCH(Table2[[#This Row],[كد تفصيلي]],'حسابهای دریافتنی'!A:A,0)),0)</f>
        <v>0</v>
      </c>
      <c r="D43" s="11">
        <f>IFERROR(INDEX('درجریان وصول'!F:F,MATCH(Table2[[#This Row],[كد تفصيلي]],'درجریان وصول'!A:A,0)),0)</f>
        <v>0</v>
      </c>
      <c r="E43" s="11">
        <f>IFERROR(INDEX('چکهای دریافتنی'!F:F,MATCH(Table2[[#This Row],[كد تفصيلي]],'چکهای دریافتنی'!A:A,0)),0)</f>
        <v>213182200</v>
      </c>
      <c r="F43" s="11">
        <f>Table2[[#This Row],[حسابهای دریافتنی]]+Table2[[#This Row],[چکهای در جریان وصول]]+Table2[[#This Row],[چکهای نزد صندوق]]</f>
        <v>213182200</v>
      </c>
      <c r="G43" s="12">
        <f>IFERROR(INDEX('مانده سوفاله'!F:F,MATCH(Table2[[#This Row],[كد تفصيلي]],'مانده سوفاله'!A:A,0)),0)</f>
        <v>0</v>
      </c>
    </row>
    <row r="44" spans="1:7" ht="18" customHeight="1" x14ac:dyDescent="0.25">
      <c r="A44" s="18">
        <v>30086</v>
      </c>
      <c r="B44" s="19" t="s">
        <v>131</v>
      </c>
      <c r="C44" s="10">
        <f>IFERROR(INDEX('حسابهای دریافتنی'!H:H,MATCH(Table2[[#This Row],[كد تفصيلي]],'حسابهای دریافتنی'!A:A,0)),0)</f>
        <v>187376603</v>
      </c>
      <c r="D44" s="11">
        <f>IFERROR(INDEX('درجریان وصول'!F:F,MATCH(Table2[[#This Row],[كد تفصيلي]],'درجریان وصول'!A:A,0)),0)</f>
        <v>0</v>
      </c>
      <c r="E44" s="11">
        <f>IFERROR(INDEX('چکهای دریافتنی'!F:F,MATCH(Table2[[#This Row],[كد تفصيلي]],'چکهای دریافتنی'!A:A,0)),0)</f>
        <v>0</v>
      </c>
      <c r="F44" s="11">
        <f>Table2[[#This Row],[حسابهای دریافتنی]]+Table2[[#This Row],[چکهای در جریان وصول]]+Table2[[#This Row],[چکهای نزد صندوق]]</f>
        <v>187376603</v>
      </c>
      <c r="G44" s="12">
        <f>IFERROR(INDEX('مانده سوفاله'!F:F,MATCH(Table2[[#This Row],[كد تفصيلي]],'مانده سوفاله'!A:A,0)),0)</f>
        <v>1549</v>
      </c>
    </row>
    <row r="45" spans="1:7" ht="18" customHeight="1" x14ac:dyDescent="0.25">
      <c r="A45" s="18">
        <v>30001</v>
      </c>
      <c r="B45" s="19" t="s">
        <v>190</v>
      </c>
      <c r="C45" s="10">
        <f>IFERROR(INDEX('حسابهای دریافتنی'!H:H,MATCH(Table2[[#This Row],[كد تفصيلي]],'حسابهای دریافتنی'!A:A,0)),0)</f>
        <v>119647176</v>
      </c>
      <c r="D45" s="11">
        <f>IFERROR(INDEX('درجریان وصول'!F:F,MATCH(Table2[[#This Row],[كد تفصيلي]],'درجریان وصول'!A:A,0)),0)</f>
        <v>0</v>
      </c>
      <c r="E45" s="11">
        <f>IFERROR(INDEX('چکهای دریافتنی'!F:F,MATCH(Table2[[#This Row],[كد تفصيلي]],'چکهای دریافتنی'!A:A,0)),0)</f>
        <v>0</v>
      </c>
      <c r="F45" s="11">
        <f>Table2[[#This Row],[حسابهای دریافتنی]]+Table2[[#This Row],[چکهای در جریان وصول]]+Table2[[#This Row],[چکهای نزد صندوق]]</f>
        <v>119647176</v>
      </c>
      <c r="G45" s="12">
        <f>IFERROR(INDEX('مانده سوفاله'!F:F,MATCH(Table2[[#This Row],[كد تفصيلي]],'مانده سوفاله'!A:A,0)),0)</f>
        <v>123</v>
      </c>
    </row>
    <row r="46" spans="1:7" ht="18" customHeight="1" x14ac:dyDescent="0.25">
      <c r="A46" s="20">
        <v>30101</v>
      </c>
      <c r="B46" s="21" t="s">
        <v>196</v>
      </c>
      <c r="C46" s="10">
        <f>IFERROR(INDEX('حسابهای دریافتنی'!H:H,MATCH(Table2[[#This Row],[كد تفصيلي]],'حسابهای دریافتنی'!A:A,0)),0)</f>
        <v>203336095</v>
      </c>
      <c r="D46" s="11">
        <f>IFERROR(INDEX('درجریان وصول'!F:F,MATCH(Table2[[#This Row],[كد تفصيلي]],'درجریان وصول'!A:A,0)),0)</f>
        <v>0</v>
      </c>
      <c r="E46" s="11">
        <f>IFERROR(INDEX('چکهای دریافتنی'!F:F,MATCH(Table2[[#This Row],[كد تفصيلي]],'چکهای دریافتنی'!A:A,0)),0)</f>
        <v>0</v>
      </c>
      <c r="F46" s="11">
        <f>Table2[[#This Row],[حسابهای دریافتنی]]+Table2[[#This Row],[چکهای در جریان وصول]]+Table2[[#This Row],[چکهای نزد صندوق]]</f>
        <v>203336095</v>
      </c>
      <c r="G46" s="12">
        <f>IFERROR(INDEX('مانده سوفاله'!F:F,MATCH(Table2[[#This Row],[كد تفصيلي]],'مانده سوفاله'!A:A,0)),0)</f>
        <v>15</v>
      </c>
    </row>
    <row r="47" spans="1:7" ht="18" customHeight="1" x14ac:dyDescent="0.25">
      <c r="A47" s="18">
        <v>10091</v>
      </c>
      <c r="B47" s="19" t="s">
        <v>258</v>
      </c>
      <c r="C47" s="10">
        <f>IFERROR(INDEX('حسابهای دریافتنی'!H:H,MATCH(Table2[[#This Row],[كد تفصيلي]],'حسابهای دریافتنی'!A:A,0)),0)</f>
        <v>59321500</v>
      </c>
      <c r="D47" s="11">
        <f>IFERROR(INDEX('درجریان وصول'!F:F,MATCH(Table2[[#This Row],[كد تفصيلي]],'درجریان وصول'!A:A,0)),0)</f>
        <v>0</v>
      </c>
      <c r="E47" s="11">
        <f>IFERROR(INDEX('چکهای دریافتنی'!F:F,MATCH(Table2[[#This Row],[كد تفصيلي]],'چکهای دریافتنی'!A:A,0)),0)</f>
        <v>0</v>
      </c>
      <c r="F47" s="11">
        <f>Table2[[#This Row],[حسابهای دریافتنی]]+Table2[[#This Row],[چکهای در جریان وصول]]+Table2[[#This Row],[چکهای نزد صندوق]]</f>
        <v>59321500</v>
      </c>
      <c r="G47" s="12">
        <f>IFERROR(INDEX('مانده سوفاله'!F:F,MATCH(Table2[[#This Row],[كد تفصيلي]],'مانده سوفاله'!A:A,0)),0)</f>
        <v>0</v>
      </c>
    </row>
    <row r="48" spans="1:7" ht="18" customHeight="1" x14ac:dyDescent="0.25">
      <c r="A48" s="20">
        <v>10104</v>
      </c>
      <c r="B48" s="21" t="s">
        <v>293</v>
      </c>
      <c r="C48" s="10">
        <f>IFERROR(INDEX('حسابهای دریافتنی'!H:H,MATCH(Table2[[#This Row],[كد تفصيلي]],'حسابهای دریافتنی'!A:A,0)),0)</f>
        <v>0</v>
      </c>
      <c r="D48" s="11">
        <f>IFERROR(INDEX('درجریان وصول'!F:F,MATCH(Table2[[#This Row],[كد تفصيلي]],'درجریان وصول'!A:A,0)),0)</f>
        <v>0</v>
      </c>
      <c r="E48" s="11">
        <f>IFERROR(INDEX('چکهای دریافتنی'!F:F,MATCH(Table2[[#This Row],[كد تفصيلي]],'چکهای دریافتنی'!A:A,0)),0)</f>
        <v>0</v>
      </c>
      <c r="F48" s="11">
        <f>Table2[[#This Row],[حسابهای دریافتنی]]+Table2[[#This Row],[چکهای در جریان وصول]]+Table2[[#This Row],[چکهای نزد صندوق]]</f>
        <v>0</v>
      </c>
      <c r="G48" s="12">
        <f>IFERROR(INDEX('مانده سوفاله'!F:F,MATCH(Table2[[#This Row],[كد تفصيلي]],'مانده سوفاله'!A:A,0)),0)</f>
        <v>4065</v>
      </c>
    </row>
    <row r="49" spans="1:7" ht="18" customHeight="1" x14ac:dyDescent="0.25">
      <c r="A49" s="20">
        <v>10096</v>
      </c>
      <c r="B49" s="21" t="s">
        <v>271</v>
      </c>
      <c r="C49" s="10">
        <f>IFERROR(INDEX('حسابهای دریافتنی'!H:H,MATCH(Table2[[#This Row],[كد تفصيلي]],'حسابهای دریافتنی'!A:A,0)),0)</f>
        <v>36455500</v>
      </c>
      <c r="D49" s="11">
        <f>IFERROR(INDEX('درجریان وصول'!F:F,MATCH(Table2[[#This Row],[كد تفصيلي]],'درجریان وصول'!A:A,0)),0)</f>
        <v>0</v>
      </c>
      <c r="E49" s="11">
        <f>IFERROR(INDEX('چکهای دریافتنی'!F:F,MATCH(Table2[[#This Row],[كد تفصيلي]],'چکهای دریافتنی'!A:A,0)),0)</f>
        <v>0</v>
      </c>
      <c r="F49" s="11">
        <f>Table2[[#This Row],[حسابهای دریافتنی]]+Table2[[#This Row],[چکهای در جریان وصول]]+Table2[[#This Row],[چکهای نزد صندوق]]</f>
        <v>36455500</v>
      </c>
      <c r="G49" s="12">
        <f>IFERROR(INDEX('مانده سوفاله'!F:F,MATCH(Table2[[#This Row],[كد تفصيلي]],'مانده سوفاله'!A:A,0)),0)</f>
        <v>0</v>
      </c>
    </row>
    <row r="50" spans="1:7" ht="18" customHeight="1" x14ac:dyDescent="0.25">
      <c r="A50" s="18">
        <v>30025</v>
      </c>
      <c r="B50" s="19" t="s">
        <v>73</v>
      </c>
      <c r="C50" s="10">
        <f>IFERROR(INDEX('حسابهای دریافتنی'!H:H,MATCH(Table2[[#This Row],[كد تفصيلي]],'حسابهای دریافتنی'!A:A,0)),0)</f>
        <v>35598920</v>
      </c>
      <c r="D50" s="11">
        <f>IFERROR(INDEX('درجریان وصول'!F:F,MATCH(Table2[[#This Row],[كد تفصيلي]],'درجریان وصول'!A:A,0)),0)</f>
        <v>0</v>
      </c>
      <c r="E50" s="11">
        <f>IFERROR(INDEX('چکهای دریافتنی'!F:F,MATCH(Table2[[#This Row],[كد تفصيلي]],'چکهای دریافتنی'!A:A,0)),0)</f>
        <v>0</v>
      </c>
      <c r="F50" s="11">
        <f>Table2[[#This Row],[حسابهای دریافتنی]]+Table2[[#This Row],[چکهای در جریان وصول]]+Table2[[#This Row],[چکهای نزد صندوق]]</f>
        <v>35598920</v>
      </c>
      <c r="G50" s="12">
        <f>IFERROR(INDEX('مانده سوفاله'!F:F,MATCH(Table2[[#This Row],[كد تفصيلي]],'مانده سوفاله'!A:A,0)),0)</f>
        <v>-165</v>
      </c>
    </row>
    <row r="51" spans="1:7" ht="18" customHeight="1" x14ac:dyDescent="0.25">
      <c r="A51" s="18">
        <v>30005</v>
      </c>
      <c r="B51" s="19" t="s">
        <v>55</v>
      </c>
      <c r="C51" s="10">
        <f>IFERROR(INDEX('حسابهای دریافتنی'!H:H,MATCH(Table2[[#This Row],[كد تفصيلي]],'حسابهای دریافتنی'!A:A,0)),0)</f>
        <v>35368209</v>
      </c>
      <c r="D51" s="11">
        <f>IFERROR(INDEX('درجریان وصول'!F:F,MATCH(Table2[[#This Row],[كد تفصيلي]],'درجریان وصول'!A:A,0)),0)</f>
        <v>0</v>
      </c>
      <c r="E51" s="11">
        <f>IFERROR(INDEX('چکهای دریافتنی'!F:F,MATCH(Table2[[#This Row],[كد تفصيلي]],'چکهای دریافتنی'!A:A,0)),0)</f>
        <v>0</v>
      </c>
      <c r="F51" s="11">
        <f>Table2[[#This Row],[حسابهای دریافتنی]]+Table2[[#This Row],[چکهای در جریان وصول]]+Table2[[#This Row],[چکهای نزد صندوق]]</f>
        <v>35368209</v>
      </c>
      <c r="G51" s="12">
        <f>IFERROR(INDEX('مانده سوفاله'!F:F,MATCH(Table2[[#This Row],[كد تفصيلي]],'مانده سوفاله'!A:A,0)),0)</f>
        <v>61</v>
      </c>
    </row>
    <row r="52" spans="1:7" ht="18" customHeight="1" x14ac:dyDescent="0.25">
      <c r="A52" s="18">
        <v>30045</v>
      </c>
      <c r="B52" s="19" t="s">
        <v>92</v>
      </c>
      <c r="C52" s="10">
        <f>IFERROR(INDEX('حسابهای دریافتنی'!H:H,MATCH(Table2[[#This Row],[كد تفصيلي]],'حسابهای دریافتنی'!A:A,0)),0)</f>
        <v>24352000</v>
      </c>
      <c r="D52" s="11">
        <f>IFERROR(INDEX('درجریان وصول'!F:F,MATCH(Table2[[#This Row],[كد تفصيلي]],'درجریان وصول'!A:A,0)),0)</f>
        <v>0</v>
      </c>
      <c r="E52" s="11">
        <f>IFERROR(INDEX('چکهای دریافتنی'!F:F,MATCH(Table2[[#This Row],[كد تفصيلي]],'چکهای دریافتنی'!A:A,0)),0)</f>
        <v>0</v>
      </c>
      <c r="F52" s="11">
        <f>Table2[[#This Row],[حسابهای دریافتنی]]+Table2[[#This Row],[چکهای در جریان وصول]]+Table2[[#This Row],[چکهای نزد صندوق]]</f>
        <v>24352000</v>
      </c>
      <c r="G52" s="12">
        <f>IFERROR(INDEX('مانده سوفاله'!F:F,MATCH(Table2[[#This Row],[كد تفصيلي]],'مانده سوفاله'!A:A,0)),0)</f>
        <v>0</v>
      </c>
    </row>
    <row r="53" spans="1:7" ht="18" customHeight="1" x14ac:dyDescent="0.25">
      <c r="A53" s="20">
        <v>30024</v>
      </c>
      <c r="B53" s="21" t="s">
        <v>72</v>
      </c>
      <c r="C53" s="10">
        <f>IFERROR(INDEX('حسابهای دریافتنی'!H:H,MATCH(Table2[[#This Row],[كد تفصيلي]],'حسابهای دریافتنی'!A:A,0)),0)</f>
        <v>16135000</v>
      </c>
      <c r="D53" s="11">
        <f>IFERROR(INDEX('درجریان وصول'!F:F,MATCH(Table2[[#This Row],[كد تفصيلي]],'درجریان وصول'!A:A,0)),0)</f>
        <v>0</v>
      </c>
      <c r="E53" s="11">
        <f>IFERROR(INDEX('چکهای دریافتنی'!F:F,MATCH(Table2[[#This Row],[كد تفصيلي]],'چکهای دریافتنی'!A:A,0)),0)</f>
        <v>0</v>
      </c>
      <c r="F53" s="11">
        <f>Table2[[#This Row],[حسابهای دریافتنی]]+Table2[[#This Row],[چکهای در جریان وصول]]+Table2[[#This Row],[چکهای نزد صندوق]]</f>
        <v>16135000</v>
      </c>
      <c r="G53" s="12">
        <f>IFERROR(INDEX('مانده سوفاله'!F:F,MATCH(Table2[[#This Row],[كد تفصيلي]],'مانده سوفاله'!A:A,0)),0)</f>
        <v>0</v>
      </c>
    </row>
    <row r="54" spans="1:7" ht="18" customHeight="1" x14ac:dyDescent="0.25">
      <c r="A54" s="20">
        <v>30008</v>
      </c>
      <c r="B54" s="21" t="s">
        <v>58</v>
      </c>
      <c r="C54" s="10">
        <f>IFERROR(INDEX('حسابهای دریافتنی'!H:H,MATCH(Table2[[#This Row],[كد تفصيلي]],'حسابهای دریافتنی'!A:A,0)),0)</f>
        <v>15520000</v>
      </c>
      <c r="D54" s="11">
        <f>IFERROR(INDEX('درجریان وصول'!F:F,MATCH(Table2[[#This Row],[كد تفصيلي]],'درجریان وصول'!A:A,0)),0)</f>
        <v>0</v>
      </c>
      <c r="E54" s="11">
        <f>IFERROR(INDEX('چکهای دریافتنی'!F:F,MATCH(Table2[[#This Row],[كد تفصيلي]],'چکهای دریافتنی'!A:A,0)),0)</f>
        <v>0</v>
      </c>
      <c r="F54" s="11">
        <f>Table2[[#This Row],[حسابهای دریافتنی]]+Table2[[#This Row],[چکهای در جریان وصول]]+Table2[[#This Row],[چکهای نزد صندوق]]</f>
        <v>15520000</v>
      </c>
      <c r="G54" s="12">
        <f>IFERROR(INDEX('مانده سوفاله'!F:F,MATCH(Table2[[#This Row],[كد تفصيلي]],'مانده سوفاله'!A:A,0)),0)</f>
        <v>0</v>
      </c>
    </row>
    <row r="55" spans="1:7" ht="18" customHeight="1" x14ac:dyDescent="0.25">
      <c r="A55" s="18">
        <v>10007</v>
      </c>
      <c r="B55" s="19" t="s">
        <v>14</v>
      </c>
      <c r="C55" s="10">
        <f>IFERROR(INDEX('حسابهای دریافتنی'!H:H,MATCH(Table2[[#This Row],[كد تفصيلي]],'حسابهای دریافتنی'!A:A,0)),0)</f>
        <v>12770000</v>
      </c>
      <c r="D55" s="11">
        <f>IFERROR(INDEX('درجریان وصول'!F:F,MATCH(Table2[[#This Row],[كد تفصيلي]],'درجریان وصول'!A:A,0)),0)</f>
        <v>0</v>
      </c>
      <c r="E55" s="11">
        <f>IFERROR(INDEX('چکهای دریافتنی'!F:F,MATCH(Table2[[#This Row],[كد تفصيلي]],'چکهای دریافتنی'!A:A,0)),0)</f>
        <v>0</v>
      </c>
      <c r="F55" s="11">
        <f>Table2[[#This Row],[حسابهای دریافتنی]]+Table2[[#This Row],[چکهای در جریان وصول]]+Table2[[#This Row],[چکهای نزد صندوق]]</f>
        <v>12770000</v>
      </c>
      <c r="G55" s="12">
        <f>IFERROR(INDEX('مانده سوفاله'!F:F,MATCH(Table2[[#This Row],[كد تفصيلي]],'مانده سوفاله'!A:A,0)),0)</f>
        <v>-52.5</v>
      </c>
    </row>
    <row r="56" spans="1:7" ht="18" customHeight="1" x14ac:dyDescent="0.25">
      <c r="A56" s="20">
        <v>30145</v>
      </c>
      <c r="B56" s="21" t="s">
        <v>265</v>
      </c>
      <c r="C56" s="10">
        <f>IFERROR(INDEX('حسابهای دریافتنی'!H:H,MATCH(Table2[[#This Row],[كد تفصيلي]],'حسابهای دریافتنی'!A:A,0)),0)</f>
        <v>6442500</v>
      </c>
      <c r="D56" s="11">
        <f>IFERROR(INDEX('درجریان وصول'!F:F,MATCH(Table2[[#This Row],[كد تفصيلي]],'درجریان وصول'!A:A,0)),0)</f>
        <v>0</v>
      </c>
      <c r="E56" s="11">
        <f>IFERROR(INDEX('چکهای دریافتنی'!F:F,MATCH(Table2[[#This Row],[كد تفصيلي]],'چکهای دریافتنی'!A:A,0)),0)</f>
        <v>0</v>
      </c>
      <c r="F56" s="11">
        <f>Table2[[#This Row],[حسابهای دریافتنی]]+Table2[[#This Row],[چکهای در جریان وصول]]+Table2[[#This Row],[چکهای نزد صندوق]]</f>
        <v>6442500</v>
      </c>
      <c r="G56" s="12">
        <f>IFERROR(INDEX('مانده سوفاله'!F:F,MATCH(Table2[[#This Row],[كد تفصيلي]],'مانده سوفاله'!A:A,0)),0)</f>
        <v>0</v>
      </c>
    </row>
    <row r="57" spans="1:7" ht="18" customHeight="1" x14ac:dyDescent="0.25">
      <c r="A57" s="18">
        <v>30047</v>
      </c>
      <c r="B57" s="19" t="s">
        <v>94</v>
      </c>
      <c r="C57" s="10">
        <f>IFERROR(INDEX('حسابهای دریافتنی'!H:H,MATCH(Table2[[#This Row],[كد تفصيلي]],'حسابهای دریافتنی'!A:A,0)),0)</f>
        <v>5794900</v>
      </c>
      <c r="D57" s="11">
        <f>IFERROR(INDEX('درجریان وصول'!F:F,MATCH(Table2[[#This Row],[كد تفصيلي]],'درجریان وصول'!A:A,0)),0)</f>
        <v>0</v>
      </c>
      <c r="E57" s="11">
        <f>IFERROR(INDEX('چکهای دریافتنی'!F:F,MATCH(Table2[[#This Row],[كد تفصيلي]],'چکهای دریافتنی'!A:A,0)),0)</f>
        <v>0</v>
      </c>
      <c r="F57" s="11">
        <f>Table2[[#This Row],[حسابهای دریافتنی]]+Table2[[#This Row],[چکهای در جریان وصول]]+Table2[[#This Row],[چکهای نزد صندوق]]</f>
        <v>5794900</v>
      </c>
      <c r="G57" s="12">
        <f>IFERROR(INDEX('مانده سوفاله'!F:F,MATCH(Table2[[#This Row],[كد تفصيلي]],'مانده سوفاله'!A:A,0)),0)</f>
        <v>-630</v>
      </c>
    </row>
    <row r="58" spans="1:7" ht="18" customHeight="1" x14ac:dyDescent="0.25">
      <c r="A58" s="20">
        <v>30026</v>
      </c>
      <c r="B58" s="21" t="s">
        <v>74</v>
      </c>
      <c r="C58" s="10">
        <f>IFERROR(INDEX('حسابهای دریافتنی'!H:H,MATCH(Table2[[#This Row],[كد تفصيلي]],'حسابهای دریافتنی'!A:A,0)),0)</f>
        <v>5689439</v>
      </c>
      <c r="D58" s="11">
        <f>IFERROR(INDEX('درجریان وصول'!F:F,MATCH(Table2[[#This Row],[كد تفصيلي]],'درجریان وصول'!A:A,0)),0)</f>
        <v>0</v>
      </c>
      <c r="E58" s="11">
        <f>IFERROR(INDEX('چکهای دریافتنی'!F:F,MATCH(Table2[[#This Row],[كد تفصيلي]],'چکهای دریافتنی'!A:A,0)),0)</f>
        <v>0</v>
      </c>
      <c r="F58" s="11">
        <f>Table2[[#This Row],[حسابهای دریافتنی]]+Table2[[#This Row],[چکهای در جریان وصول]]+Table2[[#This Row],[چکهای نزد صندوق]]</f>
        <v>5689439</v>
      </c>
      <c r="G58" s="12">
        <f>IFERROR(INDEX('مانده سوفاله'!F:F,MATCH(Table2[[#This Row],[كد تفصيلي]],'مانده سوفاله'!A:A,0)),0)</f>
        <v>764</v>
      </c>
    </row>
    <row r="59" spans="1:7" ht="18" customHeight="1" x14ac:dyDescent="0.25">
      <c r="A59" s="18">
        <v>30011</v>
      </c>
      <c r="B59" s="19" t="s">
        <v>60</v>
      </c>
      <c r="C59" s="10">
        <f>IFERROR(INDEX('حسابهای دریافتنی'!H:H,MATCH(Table2[[#This Row],[كد تفصيلي]],'حسابهای دریافتنی'!A:A,0)),0)</f>
        <v>5595200</v>
      </c>
      <c r="D59" s="11">
        <f>IFERROR(INDEX('درجریان وصول'!F:F,MATCH(Table2[[#This Row],[كد تفصيلي]],'درجریان وصول'!A:A,0)),0)</f>
        <v>0</v>
      </c>
      <c r="E59" s="11">
        <f>IFERROR(INDEX('چکهای دریافتنی'!F:F,MATCH(Table2[[#This Row],[كد تفصيلي]],'چکهای دریافتنی'!A:A,0)),0)</f>
        <v>0</v>
      </c>
      <c r="F59" s="11">
        <f>Table2[[#This Row],[حسابهای دریافتنی]]+Table2[[#This Row],[چکهای در جریان وصول]]+Table2[[#This Row],[چکهای نزد صندوق]]</f>
        <v>5595200</v>
      </c>
      <c r="G59" s="12">
        <f>IFERROR(INDEX('مانده سوفاله'!F:F,MATCH(Table2[[#This Row],[كد تفصيلي]],'مانده سوفاله'!A:A,0)),0)</f>
        <v>-5</v>
      </c>
    </row>
    <row r="60" spans="1:7" ht="18" customHeight="1" x14ac:dyDescent="0.25">
      <c r="A60" s="20">
        <v>10080</v>
      </c>
      <c r="B60" s="21" t="s">
        <v>214</v>
      </c>
      <c r="C60" s="10">
        <f>IFERROR(INDEX('حسابهای دریافتنی'!H:H,MATCH(Table2[[#This Row],[كد تفصيلي]],'حسابهای دریافتنی'!A:A,0)),0)</f>
        <v>5395000</v>
      </c>
      <c r="D60" s="11">
        <f>IFERROR(INDEX('درجریان وصول'!F:F,MATCH(Table2[[#This Row],[كد تفصيلي]],'درجریان وصول'!A:A,0)),0)</f>
        <v>0</v>
      </c>
      <c r="E60" s="11">
        <f>IFERROR(INDEX('چکهای دریافتنی'!F:F,MATCH(Table2[[#This Row],[كد تفصيلي]],'چکهای دریافتنی'!A:A,0)),0)</f>
        <v>0</v>
      </c>
      <c r="F60" s="11">
        <f>Table2[[#This Row],[حسابهای دریافتنی]]+Table2[[#This Row],[چکهای در جریان وصول]]+Table2[[#This Row],[چکهای نزد صندوق]]</f>
        <v>5395000</v>
      </c>
      <c r="G60" s="12">
        <f>IFERROR(INDEX('مانده سوفاله'!F:F,MATCH(Table2[[#This Row],[كد تفصيلي]],'مانده سوفاله'!A:A,0)),0)</f>
        <v>0</v>
      </c>
    </row>
    <row r="61" spans="1:7" ht="18" customHeight="1" x14ac:dyDescent="0.25">
      <c r="A61" s="18">
        <v>30114</v>
      </c>
      <c r="B61" s="19" t="s">
        <v>175</v>
      </c>
      <c r="C61" s="10">
        <f>IFERROR(INDEX('حسابهای دریافتنی'!H:H,MATCH(Table2[[#This Row],[كد تفصيلي]],'حسابهای دریافتنی'!A:A,0)),0)</f>
        <v>5385600</v>
      </c>
      <c r="D61" s="11">
        <f>IFERROR(INDEX('درجریان وصول'!F:F,MATCH(Table2[[#This Row],[كد تفصيلي]],'درجریان وصول'!A:A,0)),0)</f>
        <v>0</v>
      </c>
      <c r="E61" s="11">
        <f>IFERROR(INDEX('چکهای دریافتنی'!F:F,MATCH(Table2[[#This Row],[كد تفصيلي]],'چکهای دریافتنی'!A:A,0)),0)</f>
        <v>0</v>
      </c>
      <c r="F61" s="11">
        <f>Table2[[#This Row],[حسابهای دریافتنی]]+Table2[[#This Row],[چکهای در جریان وصول]]+Table2[[#This Row],[چکهای نزد صندوق]]</f>
        <v>5385600</v>
      </c>
      <c r="G61" s="12">
        <f>IFERROR(INDEX('مانده سوفاله'!F:F,MATCH(Table2[[#This Row],[كد تفصيلي]],'مانده سوفاله'!A:A,0)),0)</f>
        <v>0</v>
      </c>
    </row>
    <row r="62" spans="1:7" ht="18" customHeight="1" x14ac:dyDescent="0.25">
      <c r="A62" s="20">
        <v>30123</v>
      </c>
      <c r="B62" s="21" t="s">
        <v>208</v>
      </c>
      <c r="C62" s="10">
        <f>IFERROR(INDEX('حسابهای دریافتنی'!H:H,MATCH(Table2[[#This Row],[كد تفصيلي]],'حسابهای دریافتنی'!A:A,0)),0)</f>
        <v>4138250</v>
      </c>
      <c r="D62" s="11">
        <f>IFERROR(INDEX('درجریان وصول'!F:F,MATCH(Table2[[#This Row],[كد تفصيلي]],'درجریان وصول'!A:A,0)),0)</f>
        <v>0</v>
      </c>
      <c r="E62" s="11">
        <f>IFERROR(INDEX('چکهای دریافتنی'!F:F,MATCH(Table2[[#This Row],[كد تفصيلي]],'چکهای دریافتنی'!A:A,0)),0)</f>
        <v>0</v>
      </c>
      <c r="F62" s="11">
        <f>Table2[[#This Row],[حسابهای دریافتنی]]+Table2[[#This Row],[چکهای در جریان وصول]]+Table2[[#This Row],[چکهای نزد صندوق]]</f>
        <v>4138250</v>
      </c>
      <c r="G62" s="12">
        <f>IFERROR(INDEX('مانده سوفاله'!F:F,MATCH(Table2[[#This Row],[كد تفصيلي]],'مانده سوفاله'!A:A,0)),0)</f>
        <v>-20</v>
      </c>
    </row>
    <row r="63" spans="1:7" ht="18" customHeight="1" x14ac:dyDescent="0.25">
      <c r="A63" s="79">
        <v>10116</v>
      </c>
      <c r="B63" s="40" t="s">
        <v>321</v>
      </c>
      <c r="C63" s="10">
        <f>IFERROR(INDEX('حسابهای دریافتنی'!H:H,MATCH(Table2[[#This Row],[كد تفصيلي]],'حسابهای دریافتنی'!A:A,0)),0)</f>
        <v>3892500</v>
      </c>
      <c r="D63" s="11">
        <f>IFERROR(INDEX('درجریان وصول'!F:F,MATCH(Table2[[#This Row],[كد تفصيلي]],'درجریان وصول'!A:A,0)),0)</f>
        <v>0</v>
      </c>
      <c r="E63" s="11">
        <f>IFERROR(INDEX('چکهای دریافتنی'!F:F,MATCH(Table2[[#This Row],[كد تفصيلي]],'چکهای دریافتنی'!A:A,0)),0)</f>
        <v>0</v>
      </c>
      <c r="F63" s="11">
        <f>Table2[[#This Row],[حسابهای دریافتنی]]+Table2[[#This Row],[چکهای در جریان وصول]]+Table2[[#This Row],[چکهای نزد صندوق]]</f>
        <v>3892500</v>
      </c>
      <c r="G63" s="12">
        <f>IFERROR(INDEX('مانده سوفاله'!F:F,MATCH(Table2[[#This Row],[كد تفصيلي]],'مانده سوفاله'!A:A,0)),0)</f>
        <v>0</v>
      </c>
    </row>
    <row r="64" spans="1:7" ht="18" customHeight="1" x14ac:dyDescent="0.25">
      <c r="A64" s="79">
        <v>10122</v>
      </c>
      <c r="B64" s="40" t="s">
        <v>339</v>
      </c>
      <c r="C64" s="10">
        <f>IFERROR(INDEX('حسابهای دریافتنی'!H:H,MATCH(Table2[[#This Row],[كد تفصيلي]],'حسابهای دریافتنی'!A:A,0)),0)</f>
        <v>3375000</v>
      </c>
      <c r="D64" s="11">
        <f>IFERROR(INDEX('درجریان وصول'!F:F,MATCH(Table2[[#This Row],[كد تفصيلي]],'درجریان وصول'!A:A,0)),0)</f>
        <v>0</v>
      </c>
      <c r="E64" s="11">
        <f>IFERROR(INDEX('چکهای دریافتنی'!F:F,MATCH(Table2[[#This Row],[كد تفصيلي]],'چکهای دریافتنی'!A:A,0)),0)</f>
        <v>0</v>
      </c>
      <c r="F64" s="11">
        <f>Table2[[#This Row],[حسابهای دریافتنی]]+Table2[[#This Row],[چکهای در جریان وصول]]+Table2[[#This Row],[چکهای نزد صندوق]]</f>
        <v>3375000</v>
      </c>
      <c r="G64" s="12">
        <f>IFERROR(INDEX('مانده سوفاله'!F:F,MATCH(Table2[[#This Row],[كد تفصيلي]],'مانده سوفاله'!A:A,0)),0)</f>
        <v>0</v>
      </c>
    </row>
    <row r="65" spans="1:7" ht="18" customHeight="1" x14ac:dyDescent="0.25">
      <c r="A65" s="20">
        <v>10030</v>
      </c>
      <c r="B65" s="21" t="s">
        <v>36</v>
      </c>
      <c r="C65" s="10">
        <f>IFERROR(INDEX('حسابهای دریافتنی'!H:H,MATCH(Table2[[#This Row],[كد تفصيلي]],'حسابهای دریافتنی'!A:A,0)),0)</f>
        <v>3272000</v>
      </c>
      <c r="D65" s="11">
        <f>IFERROR(INDEX('درجریان وصول'!F:F,MATCH(Table2[[#This Row],[كد تفصيلي]],'درجریان وصول'!A:A,0)),0)</f>
        <v>0</v>
      </c>
      <c r="E65" s="11">
        <f>IFERROR(INDEX('چکهای دریافتنی'!F:F,MATCH(Table2[[#This Row],[كد تفصيلي]],'چکهای دریافتنی'!A:A,0)),0)</f>
        <v>0</v>
      </c>
      <c r="F65" s="11">
        <f>Table2[[#This Row],[حسابهای دریافتنی]]+Table2[[#This Row],[چکهای در جریان وصول]]+Table2[[#This Row],[چکهای نزد صندوق]]</f>
        <v>3272000</v>
      </c>
      <c r="G65" s="12">
        <f>IFERROR(INDEX('مانده سوفاله'!F:F,MATCH(Table2[[#This Row],[كد تفصيلي]],'مانده سوفاله'!A:A,0)),0)</f>
        <v>-222</v>
      </c>
    </row>
    <row r="66" spans="1:7" ht="18" customHeight="1" x14ac:dyDescent="0.25">
      <c r="A66" s="79">
        <v>30178</v>
      </c>
      <c r="B66" s="40" t="s">
        <v>335</v>
      </c>
      <c r="C66" s="10">
        <f>IFERROR(INDEX('حسابهای دریافتنی'!H:H,MATCH(Table2[[#This Row],[كد تفصيلي]],'حسابهای دریافتنی'!A:A,0)),0)</f>
        <v>3040000</v>
      </c>
      <c r="D66" s="11">
        <f>IFERROR(INDEX('درجریان وصول'!F:F,MATCH(Table2[[#This Row],[كد تفصيلي]],'درجریان وصول'!A:A,0)),0)</f>
        <v>0</v>
      </c>
      <c r="E66" s="11">
        <f>IFERROR(INDEX('چکهای دریافتنی'!F:F,MATCH(Table2[[#This Row],[كد تفصيلي]],'چکهای دریافتنی'!A:A,0)),0)</f>
        <v>0</v>
      </c>
      <c r="F66" s="11">
        <f>Table2[[#This Row],[حسابهای دریافتنی]]+Table2[[#This Row],[چکهای در جریان وصول]]+Table2[[#This Row],[چکهای نزد صندوق]]</f>
        <v>3040000</v>
      </c>
      <c r="G66" s="12">
        <f>IFERROR(INDEX('مانده سوفاله'!F:F,MATCH(Table2[[#This Row],[كد تفصيلي]],'مانده سوفاله'!A:A,0)),0)</f>
        <v>0</v>
      </c>
    </row>
    <row r="67" spans="1:7" ht="18" customHeight="1" x14ac:dyDescent="0.25">
      <c r="A67" s="20">
        <v>30020</v>
      </c>
      <c r="B67" s="21" t="s">
        <v>68</v>
      </c>
      <c r="C67" s="10">
        <f>IFERROR(INDEX('حسابهای دریافتنی'!H:H,MATCH(Table2[[#This Row],[كد تفصيلي]],'حسابهای دریافتنی'!A:A,0)),0)</f>
        <v>2253500</v>
      </c>
      <c r="D67" s="11">
        <f>IFERROR(INDEX('درجریان وصول'!F:F,MATCH(Table2[[#This Row],[كد تفصيلي]],'درجریان وصول'!A:A,0)),0)</f>
        <v>0</v>
      </c>
      <c r="E67" s="11">
        <f>IFERROR(INDEX('چکهای دریافتنی'!F:F,MATCH(Table2[[#This Row],[كد تفصيلي]],'چکهای دریافتنی'!A:A,0)),0)</f>
        <v>0</v>
      </c>
      <c r="F67" s="11">
        <f>Table2[[#This Row],[حسابهای دریافتنی]]+Table2[[#This Row],[چکهای در جریان وصول]]+Table2[[#This Row],[چکهای نزد صندوق]]</f>
        <v>2253500</v>
      </c>
      <c r="G67" s="12">
        <f>IFERROR(INDEX('مانده سوفاله'!F:F,MATCH(Table2[[#This Row],[كد تفصيلي]],'مانده سوفاله'!A:A,0)),0)</f>
        <v>4</v>
      </c>
    </row>
    <row r="68" spans="1:7" ht="18" customHeight="1" x14ac:dyDescent="0.25">
      <c r="A68" s="18">
        <v>30084</v>
      </c>
      <c r="B68" s="19" t="s">
        <v>129</v>
      </c>
      <c r="C68" s="10">
        <f>IFERROR(INDEX('حسابهای دریافتنی'!H:H,MATCH(Table2[[#This Row],[كد تفصيلي]],'حسابهای دریافتنی'!A:A,0)),0)</f>
        <v>1220000</v>
      </c>
      <c r="D68" s="11">
        <f>IFERROR(INDEX('درجریان وصول'!F:F,MATCH(Table2[[#This Row],[كد تفصيلي]],'درجریان وصول'!A:A,0)),0)</f>
        <v>0</v>
      </c>
      <c r="E68" s="11">
        <f>IFERROR(INDEX('چکهای دریافتنی'!F:F,MATCH(Table2[[#This Row],[كد تفصيلي]],'چکهای دریافتنی'!A:A,0)),0)</f>
        <v>0</v>
      </c>
      <c r="F68" s="11">
        <f>Table2[[#This Row],[حسابهای دریافتنی]]+Table2[[#This Row],[چکهای در جریان وصول]]+Table2[[#This Row],[چکهای نزد صندوق]]</f>
        <v>1220000</v>
      </c>
      <c r="G68" s="12">
        <f>IFERROR(INDEX('مانده سوفاله'!F:F,MATCH(Table2[[#This Row],[كد تفصيلي]],'مانده سوفاله'!A:A,0)),0)</f>
        <v>0</v>
      </c>
    </row>
    <row r="69" spans="1:7" ht="18" customHeight="1" x14ac:dyDescent="0.25">
      <c r="A69" s="20">
        <v>79055</v>
      </c>
      <c r="B69" s="21" t="s">
        <v>297</v>
      </c>
      <c r="C69" s="10">
        <f>IFERROR(INDEX('حسابهای دریافتنی'!H:H,MATCH(Table2[[#This Row],[كد تفصيلي]],'حسابهای دریافتنی'!A:A,0)),0)</f>
        <v>896500</v>
      </c>
      <c r="D69" s="11">
        <f>IFERROR(INDEX('درجریان وصول'!F:F,MATCH(Table2[[#This Row],[كد تفصيلي]],'درجریان وصول'!A:A,0)),0)</f>
        <v>0</v>
      </c>
      <c r="E69" s="11">
        <f>IFERROR(INDEX('چکهای دریافتنی'!F:F,MATCH(Table2[[#This Row],[كد تفصيلي]],'چکهای دریافتنی'!A:A,0)),0)</f>
        <v>0</v>
      </c>
      <c r="F69" s="11">
        <f>Table2[[#This Row],[حسابهای دریافتنی]]+Table2[[#This Row],[چکهای در جریان وصول]]+Table2[[#This Row],[چکهای نزد صندوق]]</f>
        <v>896500</v>
      </c>
      <c r="G69" s="12">
        <f>IFERROR(INDEX('مانده سوفاله'!F:F,MATCH(Table2[[#This Row],[كد تفصيلي]],'مانده سوفاله'!A:A,0)),0)</f>
        <v>0</v>
      </c>
    </row>
    <row r="70" spans="1:7" ht="18" customHeight="1" x14ac:dyDescent="0.25">
      <c r="A70" s="20">
        <v>30030</v>
      </c>
      <c r="B70" s="21" t="s">
        <v>77</v>
      </c>
      <c r="C70" s="10">
        <f>IFERROR(INDEX('حسابهای دریافتنی'!H:H,MATCH(Table2[[#This Row],[كد تفصيلي]],'حسابهای دریافتنی'!A:A,0)),0)</f>
        <v>850500</v>
      </c>
      <c r="D70" s="11">
        <f>IFERROR(INDEX('درجریان وصول'!F:F,MATCH(Table2[[#This Row],[كد تفصيلي]],'درجریان وصول'!A:A,0)),0)</f>
        <v>0</v>
      </c>
      <c r="E70" s="11">
        <f>IFERROR(INDEX('چکهای دریافتنی'!F:F,MATCH(Table2[[#This Row],[كد تفصيلي]],'چکهای دریافتنی'!A:A,0)),0)</f>
        <v>0</v>
      </c>
      <c r="F70" s="11">
        <f>Table2[[#This Row],[حسابهای دریافتنی]]+Table2[[#This Row],[چکهای در جریان وصول]]+Table2[[#This Row],[چکهای نزد صندوق]]</f>
        <v>850500</v>
      </c>
      <c r="G70" s="12">
        <f>IFERROR(INDEX('مانده سوفاله'!F:F,MATCH(Table2[[#This Row],[كد تفصيلي]],'مانده سوفاله'!A:A,0)),0)</f>
        <v>-49</v>
      </c>
    </row>
    <row r="71" spans="1:7" ht="18" customHeight="1" x14ac:dyDescent="0.25">
      <c r="A71" s="20">
        <v>30129</v>
      </c>
      <c r="B71" s="21" t="s">
        <v>178</v>
      </c>
      <c r="C71" s="10">
        <f>IFERROR(INDEX('حسابهای دریافتنی'!H:H,MATCH(Table2[[#This Row],[كد تفصيلي]],'حسابهای دریافتنی'!A:A,0)),0)</f>
        <v>783000</v>
      </c>
      <c r="D71" s="11">
        <f>IFERROR(INDEX('درجریان وصول'!F:F,MATCH(Table2[[#This Row],[كد تفصيلي]],'درجریان وصول'!A:A,0)),0)</f>
        <v>0</v>
      </c>
      <c r="E71" s="11">
        <f>IFERROR(INDEX('چکهای دریافتنی'!F:F,MATCH(Table2[[#This Row],[كد تفصيلي]],'چکهای دریافتنی'!A:A,0)),0)</f>
        <v>0</v>
      </c>
      <c r="F71" s="11">
        <f>Table2[[#This Row],[حسابهای دریافتنی]]+Table2[[#This Row],[چکهای در جریان وصول]]+Table2[[#This Row],[چکهای نزد صندوق]]</f>
        <v>783000</v>
      </c>
      <c r="G71" s="12">
        <f>IFERROR(INDEX('مانده سوفاله'!F:F,MATCH(Table2[[#This Row],[كد تفصيلي]],'مانده سوفاله'!A:A,0)),0)</f>
        <v>0</v>
      </c>
    </row>
    <row r="72" spans="1:7" ht="18" customHeight="1" x14ac:dyDescent="0.25">
      <c r="A72" s="18">
        <v>30090</v>
      </c>
      <c r="B72" s="19" t="s">
        <v>144</v>
      </c>
      <c r="C72" s="10">
        <f>IFERROR(INDEX('حسابهای دریافتنی'!H:H,MATCH(Table2[[#This Row],[كد تفصيلي]],'حسابهای دریافتنی'!A:A,0)),0)</f>
        <v>640100</v>
      </c>
      <c r="D72" s="11">
        <f>IFERROR(INDEX('درجریان وصول'!F:F,MATCH(Table2[[#This Row],[كد تفصيلي]],'درجریان وصول'!A:A,0)),0)</f>
        <v>0</v>
      </c>
      <c r="E72" s="11">
        <f>IFERROR(INDEX('چکهای دریافتنی'!F:F,MATCH(Table2[[#This Row],[كد تفصيلي]],'چکهای دریافتنی'!A:A,0)),0)</f>
        <v>0</v>
      </c>
      <c r="F72" s="11">
        <f>Table2[[#This Row],[حسابهای دریافتنی]]+Table2[[#This Row],[چکهای در جریان وصول]]+Table2[[#This Row],[چکهای نزد صندوق]]</f>
        <v>640100</v>
      </c>
      <c r="G72" s="12">
        <f>IFERROR(INDEX('مانده سوفاله'!F:F,MATCH(Table2[[#This Row],[كد تفصيلي]],'مانده سوفاله'!A:A,0)),0)</f>
        <v>0</v>
      </c>
    </row>
    <row r="73" spans="1:7" ht="18" customHeight="1" x14ac:dyDescent="0.25">
      <c r="A73" s="20">
        <v>30109</v>
      </c>
      <c r="B73" s="21" t="s">
        <v>165</v>
      </c>
      <c r="C73" s="10">
        <f>IFERROR(INDEX('حسابهای دریافتنی'!H:H,MATCH(Table2[[#This Row],[كد تفصيلي]],'حسابهای دریافتنی'!A:A,0)),0)</f>
        <v>607300</v>
      </c>
      <c r="D73" s="11">
        <f>IFERROR(INDEX('درجریان وصول'!F:F,MATCH(Table2[[#This Row],[كد تفصيلي]],'درجریان وصول'!A:A,0)),0)</f>
        <v>0</v>
      </c>
      <c r="E73" s="11">
        <f>IFERROR(INDEX('چکهای دریافتنی'!F:F,MATCH(Table2[[#This Row],[كد تفصيلي]],'چکهای دریافتنی'!A:A,0)),0)</f>
        <v>0</v>
      </c>
      <c r="F73" s="11">
        <f>Table2[[#This Row],[حسابهای دریافتنی]]+Table2[[#This Row],[چکهای در جریان وصول]]+Table2[[#This Row],[چکهای نزد صندوق]]</f>
        <v>607300</v>
      </c>
      <c r="G73" s="12">
        <f>IFERROR(INDEX('مانده سوفاله'!F:F,MATCH(Table2[[#This Row],[كد تفصيلي]],'مانده سوفاله'!A:A,0)),0)</f>
        <v>0</v>
      </c>
    </row>
    <row r="74" spans="1:7" ht="18" customHeight="1" x14ac:dyDescent="0.25">
      <c r="A74" s="20">
        <v>30010</v>
      </c>
      <c r="B74" s="21" t="s">
        <v>59</v>
      </c>
      <c r="C74" s="10">
        <f>IFERROR(INDEX('حسابهای دریافتنی'!H:H,MATCH(Table2[[#This Row],[كد تفصيلي]],'حسابهای دریافتنی'!A:A,0)),0)</f>
        <v>366215</v>
      </c>
      <c r="D74" s="11">
        <f>IFERROR(INDEX('درجریان وصول'!F:F,MATCH(Table2[[#This Row],[كد تفصيلي]],'درجریان وصول'!A:A,0)),0)</f>
        <v>0</v>
      </c>
      <c r="E74" s="11">
        <f>IFERROR(INDEX('چکهای دریافتنی'!F:F,MATCH(Table2[[#This Row],[كد تفصيلي]],'چکهای دریافتنی'!A:A,0)),0)</f>
        <v>0</v>
      </c>
      <c r="F74" s="11">
        <f>Table2[[#This Row],[حسابهای دریافتنی]]+Table2[[#This Row],[چکهای در جریان وصول]]+Table2[[#This Row],[چکهای نزد صندوق]]</f>
        <v>366215</v>
      </c>
      <c r="G74" s="12">
        <f>IFERROR(INDEX('مانده سوفاله'!F:F,MATCH(Table2[[#This Row],[كد تفصيلي]],'مانده سوفاله'!A:A,0)),0)</f>
        <v>8</v>
      </c>
    </row>
    <row r="75" spans="1:7" ht="18" customHeight="1" x14ac:dyDescent="0.25">
      <c r="A75" s="20">
        <v>30077</v>
      </c>
      <c r="B75" s="21" t="s">
        <v>122</v>
      </c>
      <c r="C75" s="10">
        <f>IFERROR(INDEX('حسابهای دریافتنی'!H:H,MATCH(Table2[[#This Row],[كد تفصيلي]],'حسابهای دریافتنی'!A:A,0)),0)</f>
        <v>360000</v>
      </c>
      <c r="D75" s="11">
        <f>IFERROR(INDEX('درجریان وصول'!F:F,MATCH(Table2[[#This Row],[كد تفصيلي]],'درجریان وصول'!A:A,0)),0)</f>
        <v>0</v>
      </c>
      <c r="E75" s="11">
        <f>IFERROR(INDEX('چکهای دریافتنی'!F:F,MATCH(Table2[[#This Row],[كد تفصيلي]],'چکهای دریافتنی'!A:A,0)),0)</f>
        <v>0</v>
      </c>
      <c r="F75" s="11">
        <f>Table2[[#This Row],[حسابهای دریافتنی]]+Table2[[#This Row],[چکهای در جریان وصول]]+Table2[[#This Row],[چکهای نزد صندوق]]</f>
        <v>360000</v>
      </c>
      <c r="G75" s="12">
        <f>IFERROR(INDEX('مانده سوفاله'!F:F,MATCH(Table2[[#This Row],[كد تفصيلي]],'مانده سوفاله'!A:A,0)),0)</f>
        <v>-32</v>
      </c>
    </row>
    <row r="76" spans="1:7" ht="18" customHeight="1" x14ac:dyDescent="0.25">
      <c r="A76" s="18">
        <v>30027</v>
      </c>
      <c r="B76" s="19" t="s">
        <v>75</v>
      </c>
      <c r="C76" s="10">
        <f>IFERROR(INDEX('حسابهای دریافتنی'!H:H,MATCH(Table2[[#This Row],[كد تفصيلي]],'حسابهای دریافتنی'!A:A,0)),0)</f>
        <v>326950</v>
      </c>
      <c r="D76" s="11">
        <f>IFERROR(INDEX('درجریان وصول'!F:F,MATCH(Table2[[#This Row],[كد تفصيلي]],'درجریان وصول'!A:A,0)),0)</f>
        <v>0</v>
      </c>
      <c r="E76" s="11">
        <f>IFERROR(INDEX('چکهای دریافتنی'!F:F,MATCH(Table2[[#This Row],[كد تفصيلي]],'چکهای دریافتنی'!A:A,0)),0)</f>
        <v>0</v>
      </c>
      <c r="F76" s="11">
        <f>Table2[[#This Row],[حسابهای دریافتنی]]+Table2[[#This Row],[چکهای در جریان وصول]]+Table2[[#This Row],[چکهای نزد صندوق]]</f>
        <v>326950</v>
      </c>
      <c r="G76" s="12">
        <f>IFERROR(INDEX('مانده سوفاله'!F:F,MATCH(Table2[[#This Row],[كد تفصيلي]],'مانده سوفاله'!A:A,0)),0)</f>
        <v>0</v>
      </c>
    </row>
    <row r="77" spans="1:7" ht="18" customHeight="1" x14ac:dyDescent="0.25">
      <c r="A77" s="20">
        <v>30135</v>
      </c>
      <c r="B77" s="21" t="s">
        <v>179</v>
      </c>
      <c r="C77" s="10">
        <f>IFERROR(INDEX('حسابهای دریافتنی'!H:H,MATCH(Table2[[#This Row],[كد تفصيلي]],'حسابهای دریافتنی'!A:A,0)),0)</f>
        <v>195000</v>
      </c>
      <c r="D77" s="11">
        <f>IFERROR(INDEX('درجریان وصول'!F:F,MATCH(Table2[[#This Row],[كد تفصيلي]],'درجریان وصول'!A:A,0)),0)</f>
        <v>0</v>
      </c>
      <c r="E77" s="11">
        <f>IFERROR(INDEX('چکهای دریافتنی'!F:F,MATCH(Table2[[#This Row],[كد تفصيلي]],'چکهای دریافتنی'!A:A,0)),0)</f>
        <v>0</v>
      </c>
      <c r="F77" s="11">
        <f>Table2[[#This Row],[حسابهای دریافتنی]]+Table2[[#This Row],[چکهای در جریان وصول]]+Table2[[#This Row],[چکهای نزد صندوق]]</f>
        <v>195000</v>
      </c>
      <c r="G77" s="12">
        <f>IFERROR(INDEX('مانده سوفاله'!F:F,MATCH(Table2[[#This Row],[كد تفصيلي]],'مانده سوفاله'!A:A,0)),0)</f>
        <v>-5</v>
      </c>
    </row>
    <row r="78" spans="1:7" ht="18" customHeight="1" x14ac:dyDescent="0.25">
      <c r="A78" s="20">
        <v>10088</v>
      </c>
      <c r="B78" s="21" t="s">
        <v>254</v>
      </c>
      <c r="C78" s="10">
        <f>IFERROR(INDEX('حسابهای دریافتنی'!H:H,MATCH(Table2[[#This Row],[كد تفصيلي]],'حسابهای دریافتنی'!A:A,0)),0)</f>
        <v>113500</v>
      </c>
      <c r="D78" s="11">
        <f>IFERROR(INDEX('درجریان وصول'!F:F,MATCH(Table2[[#This Row],[كد تفصيلي]],'درجریان وصول'!A:A,0)),0)</f>
        <v>0</v>
      </c>
      <c r="E78" s="11">
        <f>IFERROR(INDEX('چکهای دریافتنی'!F:F,MATCH(Table2[[#This Row],[كد تفصيلي]],'چکهای دریافتنی'!A:A,0)),0)</f>
        <v>0</v>
      </c>
      <c r="F78" s="11">
        <f>Table2[[#This Row],[حسابهای دریافتنی]]+Table2[[#This Row],[چکهای در جریان وصول]]+Table2[[#This Row],[چکهای نزد صندوق]]</f>
        <v>113500</v>
      </c>
      <c r="G78" s="12">
        <f>IFERROR(INDEX('مانده سوفاله'!F:F,MATCH(Table2[[#This Row],[كد تفصيلي]],'مانده سوفاله'!A:A,0)),0)</f>
        <v>0</v>
      </c>
    </row>
    <row r="79" spans="1:7" ht="18" customHeight="1" x14ac:dyDescent="0.25">
      <c r="A79" s="20">
        <v>10092</v>
      </c>
      <c r="B79" s="21" t="s">
        <v>260</v>
      </c>
      <c r="C79" s="10">
        <f>IFERROR(INDEX('حسابهای دریافتنی'!H:H,MATCH(Table2[[#This Row],[كد تفصيلي]],'حسابهای دریافتنی'!A:A,0)),0)</f>
        <v>-1749946500</v>
      </c>
      <c r="D79" s="11">
        <f>IFERROR(INDEX('درجریان وصول'!F:F,MATCH(Table2[[#This Row],[كد تفصيلي]],'درجریان وصول'!A:A,0)),0)</f>
        <v>0</v>
      </c>
      <c r="E79" s="11">
        <f>IFERROR(INDEX('چکهای دریافتنی'!F:F,MATCH(Table2[[#This Row],[كد تفصيلي]],'چکهای دریافتنی'!A:A,0)),0)</f>
        <v>300000000</v>
      </c>
      <c r="F79" s="11">
        <f>Table2[[#This Row],[حسابهای دریافتنی]]+Table2[[#This Row],[چکهای در جریان وصول]]+Table2[[#This Row],[چکهای نزد صندوق]]</f>
        <v>-1449946500</v>
      </c>
      <c r="G79" s="12">
        <f>IFERROR(INDEX('مانده سوفاله'!F:F,MATCH(Table2[[#This Row],[كد تفصيلي]],'مانده سوفاله'!A:A,0)),0)</f>
        <v>0</v>
      </c>
    </row>
    <row r="80" spans="1:7" ht="18" customHeight="1" x14ac:dyDescent="0.25">
      <c r="A80" s="18">
        <v>10001</v>
      </c>
      <c r="B80" s="19" t="s">
        <v>8</v>
      </c>
      <c r="C80" s="10">
        <f>IFERROR(INDEX('حسابهای دریافتنی'!H:H,MATCH(Table2[[#This Row],[كد تفصيلي]],'حسابهای دریافتنی'!A:A,0)),0)</f>
        <v>0</v>
      </c>
      <c r="D80" s="11">
        <f>IFERROR(INDEX('درجریان وصول'!F:F,MATCH(Table2[[#This Row],[كد تفصيلي]],'درجریان وصول'!A:A,0)),0)</f>
        <v>0</v>
      </c>
      <c r="E80" s="11">
        <f>IFERROR(INDEX('چکهای دریافتنی'!F:F,MATCH(Table2[[#This Row],[كد تفصيلي]],'چکهای دریافتنی'!A:A,0)),0)</f>
        <v>0</v>
      </c>
      <c r="F80" s="11">
        <f>Table2[[#This Row],[حسابهای دریافتنی]]+Table2[[#This Row],[چکهای در جریان وصول]]+Table2[[#This Row],[چکهای نزد صندوق]]</f>
        <v>0</v>
      </c>
      <c r="G80" s="12">
        <f>IFERROR(INDEX('مانده سوفاله'!F:F,MATCH(Table2[[#This Row],[كد تفصيلي]],'مانده سوفاله'!A:A,0)),0)</f>
        <v>0</v>
      </c>
    </row>
    <row r="81" spans="1:7" ht="18" customHeight="1" x14ac:dyDescent="0.25">
      <c r="A81" s="20">
        <v>10002</v>
      </c>
      <c r="B81" s="21" t="s">
        <v>9</v>
      </c>
      <c r="C81" s="10">
        <f>IFERROR(INDEX('حسابهای دریافتنی'!H:H,MATCH(Table2[[#This Row],[كد تفصيلي]],'حسابهای دریافتنی'!A:A,0)),0)</f>
        <v>-3600000000</v>
      </c>
      <c r="D81" s="11">
        <f>IFERROR(INDEX('درجریان وصول'!F:F,MATCH(Table2[[#This Row],[كد تفصيلي]],'درجریان وصول'!A:A,0)),0)</f>
        <v>0</v>
      </c>
      <c r="E81" s="11">
        <f>IFERROR(INDEX('چکهای دریافتنی'!F:F,MATCH(Table2[[#This Row],[كد تفصيلي]],'چکهای دریافتنی'!A:A,0)),0)</f>
        <v>0</v>
      </c>
      <c r="F81" s="11">
        <f>Table2[[#This Row],[حسابهای دریافتنی]]+Table2[[#This Row],[چکهای در جریان وصول]]+Table2[[#This Row],[چکهای نزد صندوق]]</f>
        <v>-3600000000</v>
      </c>
      <c r="G81" s="12">
        <f>IFERROR(INDEX('مانده سوفاله'!F:F,MATCH(Table2[[#This Row],[كد تفصيلي]],'مانده سوفاله'!A:A,0)),0)</f>
        <v>0</v>
      </c>
    </row>
    <row r="82" spans="1:7" ht="18" customHeight="1" x14ac:dyDescent="0.25">
      <c r="A82" s="18">
        <v>10005</v>
      </c>
      <c r="B82" s="19" t="s">
        <v>12</v>
      </c>
      <c r="C82" s="10">
        <f>IFERROR(INDEX('حسابهای دریافتنی'!H:H,MATCH(Table2[[#This Row],[كد تفصيلي]],'حسابهای دریافتنی'!A:A,0)),0)</f>
        <v>0</v>
      </c>
      <c r="D82" s="11">
        <f>IFERROR(INDEX('درجریان وصول'!F:F,MATCH(Table2[[#This Row],[كد تفصيلي]],'درجریان وصول'!A:A,0)),0)</f>
        <v>0</v>
      </c>
      <c r="E82" s="11">
        <f>IFERROR(INDEX('چکهای دریافتنی'!F:F,MATCH(Table2[[#This Row],[كد تفصيلي]],'چکهای دریافتنی'!A:A,0)),0)</f>
        <v>0</v>
      </c>
      <c r="F82" s="11">
        <f>Table2[[#This Row],[حسابهای دریافتنی]]+Table2[[#This Row],[چکهای در جریان وصول]]+Table2[[#This Row],[چکهای نزد صندوق]]</f>
        <v>0</v>
      </c>
      <c r="G82" s="12">
        <f>IFERROR(INDEX('مانده سوفاله'!F:F,MATCH(Table2[[#This Row],[كد تفصيلي]],'مانده سوفاله'!A:A,0)),0)</f>
        <v>0</v>
      </c>
    </row>
    <row r="83" spans="1:7" ht="18" customHeight="1" x14ac:dyDescent="0.25">
      <c r="A83" s="20">
        <v>10006</v>
      </c>
      <c r="B83" s="21" t="s">
        <v>13</v>
      </c>
      <c r="C83" s="10">
        <f>IFERROR(INDEX('حسابهای دریافتنی'!H:H,MATCH(Table2[[#This Row],[كد تفصيلي]],'حسابهای دریافتنی'!A:A,0)),0)</f>
        <v>0</v>
      </c>
      <c r="D83" s="11">
        <f>IFERROR(INDEX('درجریان وصول'!F:F,MATCH(Table2[[#This Row],[كد تفصيلي]],'درجریان وصول'!A:A,0)),0)</f>
        <v>0</v>
      </c>
      <c r="E83" s="11">
        <f>IFERROR(INDEX('چکهای دریافتنی'!F:F,MATCH(Table2[[#This Row],[كد تفصيلي]],'چکهای دریافتنی'!A:A,0)),0)</f>
        <v>0</v>
      </c>
      <c r="F83" s="11">
        <f>Table2[[#This Row],[حسابهای دریافتنی]]+Table2[[#This Row],[چکهای در جریان وصول]]+Table2[[#This Row],[چکهای نزد صندوق]]</f>
        <v>0</v>
      </c>
      <c r="G83" s="12">
        <f>IFERROR(INDEX('مانده سوفاله'!F:F,MATCH(Table2[[#This Row],[كد تفصيلي]],'مانده سوفاله'!A:A,0)),0)</f>
        <v>0</v>
      </c>
    </row>
    <row r="84" spans="1:7" ht="18" customHeight="1" x14ac:dyDescent="0.25">
      <c r="A84" s="20">
        <v>10010</v>
      </c>
      <c r="B84" s="21" t="s">
        <v>17</v>
      </c>
      <c r="C84" s="10">
        <f>IFERROR(INDEX('حسابهای دریافتنی'!H:H,MATCH(Table2[[#This Row],[كد تفصيلي]],'حسابهای دریافتنی'!A:A,0)),0)</f>
        <v>0</v>
      </c>
      <c r="D84" s="11">
        <f>IFERROR(INDEX('درجریان وصول'!F:F,MATCH(Table2[[#This Row],[كد تفصيلي]],'درجریان وصول'!A:A,0)),0)</f>
        <v>0</v>
      </c>
      <c r="E84" s="11">
        <f>IFERROR(INDEX('چکهای دریافتنی'!F:F,MATCH(Table2[[#This Row],[كد تفصيلي]],'چکهای دریافتنی'!A:A,0)),0)</f>
        <v>0</v>
      </c>
      <c r="F84" s="11">
        <f>Table2[[#This Row],[حسابهای دریافتنی]]+Table2[[#This Row],[چکهای در جریان وصول]]+Table2[[#This Row],[چکهای نزد صندوق]]</f>
        <v>0</v>
      </c>
      <c r="G84" s="12">
        <f>IFERROR(INDEX('مانده سوفاله'!F:F,MATCH(Table2[[#This Row],[كد تفصيلي]],'مانده سوفاله'!A:A,0)),0)</f>
        <v>8</v>
      </c>
    </row>
    <row r="85" spans="1:7" ht="18" customHeight="1" x14ac:dyDescent="0.25">
      <c r="A85" s="18">
        <v>10011</v>
      </c>
      <c r="B85" s="19" t="s">
        <v>18</v>
      </c>
      <c r="C85" s="10">
        <f>IFERROR(INDEX('حسابهای دریافتنی'!H:H,MATCH(Table2[[#This Row],[كد تفصيلي]],'حسابهای دریافتنی'!A:A,0)),0)</f>
        <v>0</v>
      </c>
      <c r="D85" s="11">
        <f>IFERROR(INDEX('درجریان وصول'!F:F,MATCH(Table2[[#This Row],[كد تفصيلي]],'درجریان وصول'!A:A,0)),0)</f>
        <v>0</v>
      </c>
      <c r="E85" s="11">
        <f>IFERROR(INDEX('چکهای دریافتنی'!F:F,MATCH(Table2[[#This Row],[كد تفصيلي]],'چکهای دریافتنی'!A:A,0)),0)</f>
        <v>0</v>
      </c>
      <c r="F85" s="11">
        <f>Table2[[#This Row],[حسابهای دریافتنی]]+Table2[[#This Row],[چکهای در جریان وصول]]+Table2[[#This Row],[چکهای نزد صندوق]]</f>
        <v>0</v>
      </c>
      <c r="G85" s="12">
        <f>IFERROR(INDEX('مانده سوفاله'!F:F,MATCH(Table2[[#This Row],[كد تفصيلي]],'مانده سوفاله'!A:A,0)),0)</f>
        <v>0</v>
      </c>
    </row>
    <row r="86" spans="1:7" ht="18" customHeight="1" x14ac:dyDescent="0.25">
      <c r="A86" s="20">
        <v>10014</v>
      </c>
      <c r="B86" s="21" t="s">
        <v>21</v>
      </c>
      <c r="C86" s="10">
        <f>IFERROR(INDEX('حسابهای دریافتنی'!H:H,MATCH(Table2[[#This Row],[كد تفصيلي]],'حسابهای دریافتنی'!A:A,0)),0)</f>
        <v>0</v>
      </c>
      <c r="D86" s="11">
        <f>IFERROR(INDEX('درجریان وصول'!F:F,MATCH(Table2[[#This Row],[كد تفصيلي]],'درجریان وصول'!A:A,0)),0)</f>
        <v>0</v>
      </c>
      <c r="E86" s="11">
        <f>IFERROR(INDEX('چکهای دریافتنی'!F:F,MATCH(Table2[[#This Row],[كد تفصيلي]],'چکهای دریافتنی'!A:A,0)),0)</f>
        <v>0</v>
      </c>
      <c r="F86" s="11">
        <f>Table2[[#This Row],[حسابهای دریافتنی]]+Table2[[#This Row],[چکهای در جریان وصول]]+Table2[[#This Row],[چکهای نزد صندوق]]</f>
        <v>0</v>
      </c>
      <c r="G86" s="12">
        <f>IFERROR(INDEX('مانده سوفاله'!F:F,MATCH(Table2[[#This Row],[كد تفصيلي]],'مانده سوفاله'!A:A,0)),0)</f>
        <v>21</v>
      </c>
    </row>
    <row r="87" spans="1:7" ht="18" customHeight="1" x14ac:dyDescent="0.25">
      <c r="A87" s="20">
        <v>10016</v>
      </c>
      <c r="B87" s="21" t="s">
        <v>23</v>
      </c>
      <c r="C87" s="10">
        <f>IFERROR(INDEX('حسابهای دریافتنی'!H:H,MATCH(Table2[[#This Row],[كد تفصيلي]],'حسابهای دریافتنی'!A:A,0)),0)</f>
        <v>0</v>
      </c>
      <c r="D87" s="11">
        <f>IFERROR(INDEX('درجریان وصول'!F:F,MATCH(Table2[[#This Row],[كد تفصيلي]],'درجریان وصول'!A:A,0)),0)</f>
        <v>0</v>
      </c>
      <c r="E87" s="11">
        <f>IFERROR(INDEX('چکهای دریافتنی'!F:F,MATCH(Table2[[#This Row],[كد تفصيلي]],'چکهای دریافتنی'!A:A,0)),0)</f>
        <v>0</v>
      </c>
      <c r="F87" s="11">
        <f>Table2[[#This Row],[حسابهای دریافتنی]]+Table2[[#This Row],[چکهای در جریان وصول]]+Table2[[#This Row],[چکهای نزد صندوق]]</f>
        <v>0</v>
      </c>
      <c r="G87" s="12">
        <f>IFERROR(INDEX('مانده سوفاله'!F:F,MATCH(Table2[[#This Row],[كد تفصيلي]],'مانده سوفاله'!A:A,0)),0)</f>
        <v>0</v>
      </c>
    </row>
    <row r="88" spans="1:7" ht="18" customHeight="1" x14ac:dyDescent="0.25">
      <c r="A88" s="18">
        <v>10017</v>
      </c>
      <c r="B88" s="19" t="s">
        <v>24</v>
      </c>
      <c r="C88" s="10">
        <f>IFERROR(INDEX('حسابهای دریافتنی'!H:H,MATCH(Table2[[#This Row],[كد تفصيلي]],'حسابهای دریافتنی'!A:A,0)),0)</f>
        <v>0</v>
      </c>
      <c r="D88" s="11">
        <f>IFERROR(INDEX('درجریان وصول'!F:F,MATCH(Table2[[#This Row],[كد تفصيلي]],'درجریان وصول'!A:A,0)),0)</f>
        <v>0</v>
      </c>
      <c r="E88" s="11">
        <f>IFERROR(INDEX('چکهای دریافتنی'!F:F,MATCH(Table2[[#This Row],[كد تفصيلي]],'چکهای دریافتنی'!A:A,0)),0)</f>
        <v>0</v>
      </c>
      <c r="F88" s="11">
        <f>Table2[[#This Row],[حسابهای دریافتنی]]+Table2[[#This Row],[چکهای در جریان وصول]]+Table2[[#This Row],[چکهای نزد صندوق]]</f>
        <v>0</v>
      </c>
      <c r="G88" s="12">
        <f>IFERROR(INDEX('مانده سوفاله'!F:F,MATCH(Table2[[#This Row],[كد تفصيلي]],'مانده سوفاله'!A:A,0)),0)</f>
        <v>0</v>
      </c>
    </row>
    <row r="89" spans="1:7" ht="18" customHeight="1" x14ac:dyDescent="0.25">
      <c r="A89" s="18">
        <v>10019</v>
      </c>
      <c r="B89" s="19" t="s">
        <v>26</v>
      </c>
      <c r="C89" s="10">
        <f>IFERROR(INDEX('حسابهای دریافتنی'!H:H,MATCH(Table2[[#This Row],[كد تفصيلي]],'حسابهای دریافتنی'!A:A,0)),0)</f>
        <v>0</v>
      </c>
      <c r="D89" s="11">
        <f>IFERROR(INDEX('درجریان وصول'!F:F,MATCH(Table2[[#This Row],[كد تفصيلي]],'درجریان وصول'!A:A,0)),0)</f>
        <v>0</v>
      </c>
      <c r="E89" s="11">
        <f>IFERROR(INDEX('چکهای دریافتنی'!F:F,MATCH(Table2[[#This Row],[كد تفصيلي]],'چکهای دریافتنی'!A:A,0)),0)</f>
        <v>0</v>
      </c>
      <c r="F89" s="11">
        <f>Table2[[#This Row],[حسابهای دریافتنی]]+Table2[[#This Row],[چکهای در جریان وصول]]+Table2[[#This Row],[چکهای نزد صندوق]]</f>
        <v>0</v>
      </c>
      <c r="G89" s="12">
        <f>IFERROR(INDEX('مانده سوفاله'!F:F,MATCH(Table2[[#This Row],[كد تفصيلي]],'مانده سوفاله'!A:A,0)),0)</f>
        <v>285</v>
      </c>
    </row>
    <row r="90" spans="1:7" ht="18" customHeight="1" x14ac:dyDescent="0.25">
      <c r="A90" s="18">
        <v>10021</v>
      </c>
      <c r="B90" s="19" t="s">
        <v>28</v>
      </c>
      <c r="C90" s="10">
        <f>IFERROR(INDEX('حسابهای دریافتنی'!H:H,MATCH(Table2[[#This Row],[كد تفصيلي]],'حسابهای دریافتنی'!A:A,0)),0)</f>
        <v>0</v>
      </c>
      <c r="D90" s="11">
        <f>IFERROR(INDEX('درجریان وصول'!F:F,MATCH(Table2[[#This Row],[كد تفصيلي]],'درجریان وصول'!A:A,0)),0)</f>
        <v>0</v>
      </c>
      <c r="E90" s="11">
        <f>IFERROR(INDEX('چکهای دریافتنی'!F:F,MATCH(Table2[[#This Row],[كد تفصيلي]],'چکهای دریافتنی'!A:A,0)),0)</f>
        <v>0</v>
      </c>
      <c r="F90" s="11">
        <f>Table2[[#This Row],[حسابهای دریافتنی]]+Table2[[#This Row],[چکهای در جریان وصول]]+Table2[[#This Row],[چکهای نزد صندوق]]</f>
        <v>0</v>
      </c>
      <c r="G90" s="12">
        <f>IFERROR(INDEX('مانده سوفاله'!F:F,MATCH(Table2[[#This Row],[كد تفصيلي]],'مانده سوفاله'!A:A,0)),0)</f>
        <v>0</v>
      </c>
    </row>
    <row r="91" spans="1:7" ht="18" customHeight="1" x14ac:dyDescent="0.25">
      <c r="A91" s="20">
        <v>10022</v>
      </c>
      <c r="B91" s="21" t="s">
        <v>29</v>
      </c>
      <c r="C91" s="10">
        <f>IFERROR(INDEX('حسابهای دریافتنی'!H:H,MATCH(Table2[[#This Row],[كد تفصيلي]],'حسابهای دریافتنی'!A:A,0)),0)</f>
        <v>0</v>
      </c>
      <c r="D91" s="11">
        <f>IFERROR(INDEX('درجریان وصول'!F:F,MATCH(Table2[[#This Row],[كد تفصيلي]],'درجریان وصول'!A:A,0)),0)</f>
        <v>0</v>
      </c>
      <c r="E91" s="11">
        <f>IFERROR(INDEX('چکهای دریافتنی'!F:F,MATCH(Table2[[#This Row],[كد تفصيلي]],'چکهای دریافتنی'!A:A,0)),0)</f>
        <v>0</v>
      </c>
      <c r="F91" s="11">
        <f>Table2[[#This Row],[حسابهای دریافتنی]]+Table2[[#This Row],[چکهای در جریان وصول]]+Table2[[#This Row],[چکهای نزد صندوق]]</f>
        <v>0</v>
      </c>
      <c r="G91" s="12">
        <f>IFERROR(INDEX('مانده سوفاله'!F:F,MATCH(Table2[[#This Row],[كد تفصيلي]],'مانده سوفاله'!A:A,0)),0)</f>
        <v>0</v>
      </c>
    </row>
    <row r="92" spans="1:7" ht="18" customHeight="1" x14ac:dyDescent="0.25">
      <c r="A92" s="18">
        <v>10023</v>
      </c>
      <c r="B92" s="19" t="s">
        <v>155</v>
      </c>
      <c r="C92" s="10">
        <f>IFERROR(INDEX('حسابهای دریافتنی'!H:H,MATCH(Table2[[#This Row],[كد تفصيلي]],'حسابهای دریافتنی'!A:A,0)),0)</f>
        <v>0</v>
      </c>
      <c r="D92" s="11">
        <f>IFERROR(INDEX('درجریان وصول'!F:F,MATCH(Table2[[#This Row],[كد تفصيلي]],'درجریان وصول'!A:A,0)),0)</f>
        <v>0</v>
      </c>
      <c r="E92" s="11">
        <f>IFERROR(INDEX('چکهای دریافتنی'!F:F,MATCH(Table2[[#This Row],[كد تفصيلي]],'چکهای دریافتنی'!A:A,0)),0)</f>
        <v>0</v>
      </c>
      <c r="F92" s="11">
        <f>Table2[[#This Row],[حسابهای دریافتنی]]+Table2[[#This Row],[چکهای در جریان وصول]]+Table2[[#This Row],[چکهای نزد صندوق]]</f>
        <v>0</v>
      </c>
      <c r="G92" s="12">
        <f>IFERROR(INDEX('مانده سوفاله'!F:F,MATCH(Table2[[#This Row],[كد تفصيلي]],'مانده سوفاله'!A:A,0)),0)</f>
        <v>6</v>
      </c>
    </row>
    <row r="93" spans="1:7" ht="18" customHeight="1" x14ac:dyDescent="0.25">
      <c r="A93" s="20">
        <v>10024</v>
      </c>
      <c r="B93" s="21" t="s">
        <v>30</v>
      </c>
      <c r="C93" s="10">
        <f>IFERROR(INDEX('حسابهای دریافتنی'!H:H,MATCH(Table2[[#This Row],[كد تفصيلي]],'حسابهای دریافتنی'!A:A,0)),0)</f>
        <v>0</v>
      </c>
      <c r="D93" s="11">
        <f>IFERROR(INDEX('درجریان وصول'!F:F,MATCH(Table2[[#This Row],[كد تفصيلي]],'درجریان وصول'!A:A,0)),0)</f>
        <v>0</v>
      </c>
      <c r="E93" s="11">
        <f>IFERROR(INDEX('چکهای دریافتنی'!F:F,MATCH(Table2[[#This Row],[كد تفصيلي]],'چکهای دریافتنی'!A:A,0)),0)</f>
        <v>0</v>
      </c>
      <c r="F93" s="11">
        <f>Table2[[#This Row],[حسابهای دریافتنی]]+Table2[[#This Row],[چکهای در جریان وصول]]+Table2[[#This Row],[چکهای نزد صندوق]]</f>
        <v>0</v>
      </c>
      <c r="G93" s="12">
        <f>IFERROR(INDEX('مانده سوفاله'!F:F,MATCH(Table2[[#This Row],[كد تفصيلي]],'مانده سوفاله'!A:A,0)),0)</f>
        <v>0</v>
      </c>
    </row>
    <row r="94" spans="1:7" ht="18" customHeight="1" x14ac:dyDescent="0.25">
      <c r="A94" s="18">
        <v>10025</v>
      </c>
      <c r="B94" s="19" t="s">
        <v>31</v>
      </c>
      <c r="C94" s="10">
        <f>IFERROR(INDEX('حسابهای دریافتنی'!H:H,MATCH(Table2[[#This Row],[كد تفصيلي]],'حسابهای دریافتنی'!A:A,0)),0)</f>
        <v>0</v>
      </c>
      <c r="D94" s="11">
        <f>IFERROR(INDEX('درجریان وصول'!F:F,MATCH(Table2[[#This Row],[كد تفصيلي]],'درجریان وصول'!A:A,0)),0)</f>
        <v>0</v>
      </c>
      <c r="E94" s="11">
        <f>IFERROR(INDEX('چکهای دریافتنی'!F:F,MATCH(Table2[[#This Row],[كد تفصيلي]],'چکهای دریافتنی'!A:A,0)),0)</f>
        <v>0</v>
      </c>
      <c r="F94" s="11">
        <f>Table2[[#This Row],[حسابهای دریافتنی]]+Table2[[#This Row],[چکهای در جریان وصول]]+Table2[[#This Row],[چکهای نزد صندوق]]</f>
        <v>0</v>
      </c>
      <c r="G94" s="12">
        <f>IFERROR(INDEX('مانده سوفاله'!F:F,MATCH(Table2[[#This Row],[كد تفصيلي]],'مانده سوفاله'!A:A,0)),0)</f>
        <v>0</v>
      </c>
    </row>
    <row r="95" spans="1:7" ht="18" customHeight="1" x14ac:dyDescent="0.25">
      <c r="A95" s="20">
        <v>10028</v>
      </c>
      <c r="B95" s="21" t="s">
        <v>34</v>
      </c>
      <c r="C95" s="10">
        <f>IFERROR(INDEX('حسابهای دریافتنی'!H:H,MATCH(Table2[[#This Row],[كد تفصيلي]],'حسابهای دریافتنی'!A:A,0)),0)</f>
        <v>0</v>
      </c>
      <c r="D95" s="11">
        <f>IFERROR(INDEX('درجریان وصول'!F:F,MATCH(Table2[[#This Row],[كد تفصيلي]],'درجریان وصول'!A:A,0)),0)</f>
        <v>0</v>
      </c>
      <c r="E95" s="11">
        <f>IFERROR(INDEX('چکهای دریافتنی'!F:F,MATCH(Table2[[#This Row],[كد تفصيلي]],'چکهای دریافتنی'!A:A,0)),0)</f>
        <v>0</v>
      </c>
      <c r="F95" s="11">
        <f>Table2[[#This Row],[حسابهای دریافتنی]]+Table2[[#This Row],[چکهای در جریان وصول]]+Table2[[#This Row],[چکهای نزد صندوق]]</f>
        <v>0</v>
      </c>
      <c r="G95" s="12">
        <f>IFERROR(INDEX('مانده سوفاله'!F:F,MATCH(Table2[[#This Row],[كد تفصيلي]],'مانده سوفاله'!A:A,0)),0)</f>
        <v>-398</v>
      </c>
    </row>
    <row r="96" spans="1:7" ht="18" customHeight="1" x14ac:dyDescent="0.25">
      <c r="A96" s="18">
        <v>10031</v>
      </c>
      <c r="B96" s="19" t="s">
        <v>37</v>
      </c>
      <c r="C96" s="10">
        <f>IFERROR(INDEX('حسابهای دریافتنی'!H:H,MATCH(Table2[[#This Row],[كد تفصيلي]],'حسابهای دریافتنی'!A:A,0)),0)</f>
        <v>0</v>
      </c>
      <c r="D96" s="11">
        <f>IFERROR(INDEX('درجریان وصول'!F:F,MATCH(Table2[[#This Row],[كد تفصيلي]],'درجریان وصول'!A:A,0)),0)</f>
        <v>0</v>
      </c>
      <c r="E96" s="11">
        <f>IFERROR(INDEX('چکهای دریافتنی'!F:F,MATCH(Table2[[#This Row],[كد تفصيلي]],'چکهای دریافتنی'!A:A,0)),0)</f>
        <v>0</v>
      </c>
      <c r="F96" s="11">
        <f>Table2[[#This Row],[حسابهای دریافتنی]]+Table2[[#This Row],[چکهای در جریان وصول]]+Table2[[#This Row],[چکهای نزد صندوق]]</f>
        <v>0</v>
      </c>
      <c r="G96" s="12">
        <f>IFERROR(INDEX('مانده سوفاله'!F:F,MATCH(Table2[[#This Row],[كد تفصيلي]],'مانده سوفاله'!A:A,0)),0)</f>
        <v>0</v>
      </c>
    </row>
    <row r="97" spans="1:7" ht="18" customHeight="1" x14ac:dyDescent="0.25">
      <c r="A97" s="20">
        <v>10032</v>
      </c>
      <c r="B97" s="21" t="s">
        <v>38</v>
      </c>
      <c r="C97" s="10">
        <f>IFERROR(INDEX('حسابهای دریافتنی'!H:H,MATCH(Table2[[#This Row],[كد تفصيلي]],'حسابهای دریافتنی'!A:A,0)),0)</f>
        <v>0</v>
      </c>
      <c r="D97" s="11">
        <f>IFERROR(INDEX('درجریان وصول'!F:F,MATCH(Table2[[#This Row],[كد تفصيلي]],'درجریان وصول'!A:A,0)),0)</f>
        <v>0</v>
      </c>
      <c r="E97" s="11">
        <f>IFERROR(INDEX('چکهای دریافتنی'!F:F,MATCH(Table2[[#This Row],[كد تفصيلي]],'چکهای دریافتنی'!A:A,0)),0)</f>
        <v>0</v>
      </c>
      <c r="F97" s="11">
        <f>Table2[[#This Row],[حسابهای دریافتنی]]+Table2[[#This Row],[چکهای در جریان وصول]]+Table2[[#This Row],[چکهای نزد صندوق]]</f>
        <v>0</v>
      </c>
      <c r="G97" s="12">
        <f>IFERROR(INDEX('مانده سوفاله'!F:F,MATCH(Table2[[#This Row],[كد تفصيلي]],'مانده سوفاله'!A:A,0)),0)</f>
        <v>0</v>
      </c>
    </row>
    <row r="98" spans="1:7" ht="18" customHeight="1" x14ac:dyDescent="0.25">
      <c r="A98" s="18">
        <v>10033</v>
      </c>
      <c r="B98" s="19" t="s">
        <v>39</v>
      </c>
      <c r="C98" s="10">
        <f>IFERROR(INDEX('حسابهای دریافتنی'!H:H,MATCH(Table2[[#This Row],[كد تفصيلي]],'حسابهای دریافتنی'!A:A,0)),0)</f>
        <v>0</v>
      </c>
      <c r="D98" s="11">
        <f>IFERROR(INDEX('درجریان وصول'!F:F,MATCH(Table2[[#This Row],[كد تفصيلي]],'درجریان وصول'!A:A,0)),0)</f>
        <v>0</v>
      </c>
      <c r="E98" s="11">
        <f>IFERROR(INDEX('چکهای دریافتنی'!F:F,MATCH(Table2[[#This Row],[كد تفصيلي]],'چکهای دریافتنی'!A:A,0)),0)</f>
        <v>0</v>
      </c>
      <c r="F98" s="11">
        <f>Table2[[#This Row],[حسابهای دریافتنی]]+Table2[[#This Row],[چکهای در جریان وصول]]+Table2[[#This Row],[چکهای نزد صندوق]]</f>
        <v>0</v>
      </c>
      <c r="G98" s="12">
        <f>IFERROR(INDEX('مانده سوفاله'!F:F,MATCH(Table2[[#This Row],[كد تفصيلي]],'مانده سوفاله'!A:A,0)),0)</f>
        <v>0</v>
      </c>
    </row>
    <row r="99" spans="1:7" ht="18" customHeight="1" x14ac:dyDescent="0.25">
      <c r="A99" s="20">
        <v>10034</v>
      </c>
      <c r="B99" s="21" t="s">
        <v>40</v>
      </c>
      <c r="C99" s="10">
        <f>IFERROR(INDEX('حسابهای دریافتنی'!H:H,MATCH(Table2[[#This Row],[كد تفصيلي]],'حسابهای دریافتنی'!A:A,0)),0)</f>
        <v>0</v>
      </c>
      <c r="D99" s="11">
        <f>IFERROR(INDEX('درجریان وصول'!F:F,MATCH(Table2[[#This Row],[كد تفصيلي]],'درجریان وصول'!A:A,0)),0)</f>
        <v>0</v>
      </c>
      <c r="E99" s="11">
        <f>IFERROR(INDEX('چکهای دریافتنی'!F:F,MATCH(Table2[[#This Row],[كد تفصيلي]],'چکهای دریافتنی'!A:A,0)),0)</f>
        <v>0</v>
      </c>
      <c r="F99" s="11">
        <f>Table2[[#This Row],[حسابهای دریافتنی]]+Table2[[#This Row],[چکهای در جریان وصول]]+Table2[[#This Row],[چکهای نزد صندوق]]</f>
        <v>0</v>
      </c>
      <c r="G99" s="12">
        <f>IFERROR(INDEX('مانده سوفاله'!F:F,MATCH(Table2[[#This Row],[كد تفصيلي]],'مانده سوفاله'!A:A,0)),0)</f>
        <v>0</v>
      </c>
    </row>
    <row r="100" spans="1:7" ht="18" customHeight="1" x14ac:dyDescent="0.25">
      <c r="A100" s="18">
        <v>10035</v>
      </c>
      <c r="B100" s="19" t="s">
        <v>41</v>
      </c>
      <c r="C100" s="10">
        <f>IFERROR(INDEX('حسابهای دریافتنی'!H:H,MATCH(Table2[[#This Row],[كد تفصيلي]],'حسابهای دریافتنی'!A:A,0)),0)</f>
        <v>0</v>
      </c>
      <c r="D100" s="11">
        <f>IFERROR(INDEX('درجریان وصول'!F:F,MATCH(Table2[[#This Row],[كد تفصيلي]],'درجریان وصول'!A:A,0)),0)</f>
        <v>0</v>
      </c>
      <c r="E100" s="11">
        <f>IFERROR(INDEX('چکهای دریافتنی'!F:F,MATCH(Table2[[#This Row],[كد تفصيلي]],'چکهای دریافتنی'!A:A,0)),0)</f>
        <v>0</v>
      </c>
      <c r="F100" s="11">
        <f>Table2[[#This Row],[حسابهای دریافتنی]]+Table2[[#This Row],[چکهای در جریان وصول]]+Table2[[#This Row],[چکهای نزد صندوق]]</f>
        <v>0</v>
      </c>
      <c r="G100" s="12">
        <f>IFERROR(INDEX('مانده سوفاله'!F:F,MATCH(Table2[[#This Row],[كد تفصيلي]],'مانده سوفاله'!A:A,0)),0)</f>
        <v>0</v>
      </c>
    </row>
    <row r="101" spans="1:7" ht="18" customHeight="1" x14ac:dyDescent="0.25">
      <c r="A101" s="20">
        <v>10036</v>
      </c>
      <c r="B101" s="21" t="s">
        <v>42</v>
      </c>
      <c r="C101" s="10">
        <f>IFERROR(INDEX('حسابهای دریافتنی'!H:H,MATCH(Table2[[#This Row],[كد تفصيلي]],'حسابهای دریافتنی'!A:A,0)),0)</f>
        <v>0</v>
      </c>
      <c r="D101" s="11">
        <f>IFERROR(INDEX('درجریان وصول'!F:F,MATCH(Table2[[#This Row],[كد تفصيلي]],'درجریان وصول'!A:A,0)),0)</f>
        <v>0</v>
      </c>
      <c r="E101" s="11">
        <f>IFERROR(INDEX('چکهای دریافتنی'!F:F,MATCH(Table2[[#This Row],[كد تفصيلي]],'چکهای دریافتنی'!A:A,0)),0)</f>
        <v>0</v>
      </c>
      <c r="F101" s="11">
        <f>Table2[[#This Row],[حسابهای دریافتنی]]+Table2[[#This Row],[چکهای در جریان وصول]]+Table2[[#This Row],[چکهای نزد صندوق]]</f>
        <v>0</v>
      </c>
      <c r="G101" s="12">
        <f>IFERROR(INDEX('مانده سوفاله'!F:F,MATCH(Table2[[#This Row],[كد تفصيلي]],'مانده سوفاله'!A:A,0)),0)</f>
        <v>0</v>
      </c>
    </row>
    <row r="102" spans="1:7" ht="18" customHeight="1" x14ac:dyDescent="0.25">
      <c r="A102" s="18">
        <v>10037</v>
      </c>
      <c r="B102" s="19" t="s">
        <v>43</v>
      </c>
      <c r="C102" s="10">
        <f>IFERROR(INDEX('حسابهای دریافتنی'!H:H,MATCH(Table2[[#This Row],[كد تفصيلي]],'حسابهای دریافتنی'!A:A,0)),0)</f>
        <v>0</v>
      </c>
      <c r="D102" s="11">
        <f>IFERROR(INDEX('درجریان وصول'!F:F,MATCH(Table2[[#This Row],[كد تفصيلي]],'درجریان وصول'!A:A,0)),0)</f>
        <v>0</v>
      </c>
      <c r="E102" s="11">
        <f>IFERROR(INDEX('چکهای دریافتنی'!F:F,MATCH(Table2[[#This Row],[كد تفصيلي]],'چکهای دریافتنی'!A:A,0)),0)</f>
        <v>0</v>
      </c>
      <c r="F102" s="11">
        <f>Table2[[#This Row],[حسابهای دریافتنی]]+Table2[[#This Row],[چکهای در جریان وصول]]+Table2[[#This Row],[چکهای نزد صندوق]]</f>
        <v>0</v>
      </c>
      <c r="G102" s="12">
        <f>IFERROR(INDEX('مانده سوفاله'!F:F,MATCH(Table2[[#This Row],[كد تفصيلي]],'مانده سوفاله'!A:A,0)),0)</f>
        <v>0</v>
      </c>
    </row>
    <row r="103" spans="1:7" ht="18" customHeight="1" x14ac:dyDescent="0.25">
      <c r="A103" s="20">
        <v>10038</v>
      </c>
      <c r="B103" s="21" t="s">
        <v>44</v>
      </c>
      <c r="C103" s="10">
        <f>IFERROR(INDEX('حسابهای دریافتنی'!H:H,MATCH(Table2[[#This Row],[كد تفصيلي]],'حسابهای دریافتنی'!A:A,0)),0)</f>
        <v>0</v>
      </c>
      <c r="D103" s="11">
        <f>IFERROR(INDEX('درجریان وصول'!F:F,MATCH(Table2[[#This Row],[كد تفصيلي]],'درجریان وصول'!A:A,0)),0)</f>
        <v>0</v>
      </c>
      <c r="E103" s="11">
        <f>IFERROR(INDEX('چکهای دریافتنی'!F:F,MATCH(Table2[[#This Row],[كد تفصيلي]],'چکهای دریافتنی'!A:A,0)),0)</f>
        <v>0</v>
      </c>
      <c r="F103" s="11">
        <f>Table2[[#This Row],[حسابهای دریافتنی]]+Table2[[#This Row],[چکهای در جریان وصول]]+Table2[[#This Row],[چکهای نزد صندوق]]</f>
        <v>0</v>
      </c>
      <c r="G103" s="12">
        <f>IFERROR(INDEX('مانده سوفاله'!F:F,MATCH(Table2[[#This Row],[كد تفصيلي]],'مانده سوفاله'!A:A,0)),0)</f>
        <v>0</v>
      </c>
    </row>
    <row r="104" spans="1:7" ht="18" customHeight="1" x14ac:dyDescent="0.25">
      <c r="A104" s="18">
        <v>10039</v>
      </c>
      <c r="B104" s="19" t="s">
        <v>45</v>
      </c>
      <c r="C104" s="10">
        <f>IFERROR(INDEX('حسابهای دریافتنی'!H:H,MATCH(Table2[[#This Row],[كد تفصيلي]],'حسابهای دریافتنی'!A:A,0)),0)</f>
        <v>0</v>
      </c>
      <c r="D104" s="11">
        <f>IFERROR(INDEX('درجریان وصول'!F:F,MATCH(Table2[[#This Row],[كد تفصيلي]],'درجریان وصول'!A:A,0)),0)</f>
        <v>0</v>
      </c>
      <c r="E104" s="11">
        <f>IFERROR(INDEX('چکهای دریافتنی'!F:F,MATCH(Table2[[#This Row],[كد تفصيلي]],'چکهای دریافتنی'!A:A,0)),0)</f>
        <v>0</v>
      </c>
      <c r="F104" s="11">
        <f>Table2[[#This Row],[حسابهای دریافتنی]]+Table2[[#This Row],[چکهای در جریان وصول]]+Table2[[#This Row],[چکهای نزد صندوق]]</f>
        <v>0</v>
      </c>
      <c r="G104" s="12">
        <f>IFERROR(INDEX('مانده سوفاله'!F:F,MATCH(Table2[[#This Row],[كد تفصيلي]],'مانده سوفاله'!A:A,0)),0)</f>
        <v>4</v>
      </c>
    </row>
    <row r="105" spans="1:7" ht="18" customHeight="1" x14ac:dyDescent="0.25">
      <c r="A105" s="20">
        <v>10040</v>
      </c>
      <c r="B105" s="21" t="s">
        <v>221</v>
      </c>
      <c r="C105" s="10">
        <f>IFERROR(INDEX('حسابهای دریافتنی'!H:H,MATCH(Table2[[#This Row],[كد تفصيلي]],'حسابهای دریافتنی'!A:A,0)),0)</f>
        <v>0</v>
      </c>
      <c r="D105" s="11">
        <f>IFERROR(INDEX('درجریان وصول'!F:F,MATCH(Table2[[#This Row],[كد تفصيلي]],'درجریان وصول'!A:A,0)),0)</f>
        <v>0</v>
      </c>
      <c r="E105" s="11">
        <f>IFERROR(INDEX('چکهای دریافتنی'!F:F,MATCH(Table2[[#This Row],[كد تفصيلي]],'چکهای دریافتنی'!A:A,0)),0)</f>
        <v>0</v>
      </c>
      <c r="F105" s="11">
        <f>Table2[[#This Row],[حسابهای دریافتنی]]+Table2[[#This Row],[چکهای در جریان وصول]]+Table2[[#This Row],[چکهای نزد صندوق]]</f>
        <v>0</v>
      </c>
      <c r="G105" s="12">
        <f>IFERROR(INDEX('مانده سوفاله'!F:F,MATCH(Table2[[#This Row],[كد تفصيلي]],'مانده سوفاله'!A:A,0)),0)</f>
        <v>0</v>
      </c>
    </row>
    <row r="106" spans="1:7" ht="18" customHeight="1" x14ac:dyDescent="0.25">
      <c r="A106" s="18">
        <v>10041</v>
      </c>
      <c r="B106" s="19" t="s">
        <v>46</v>
      </c>
      <c r="C106" s="10">
        <f>IFERROR(INDEX('حسابهای دریافتنی'!H:H,MATCH(Table2[[#This Row],[كد تفصيلي]],'حسابهای دریافتنی'!A:A,0)),0)</f>
        <v>0</v>
      </c>
      <c r="D106" s="11">
        <f>IFERROR(INDEX('درجریان وصول'!F:F,MATCH(Table2[[#This Row],[كد تفصيلي]],'درجریان وصول'!A:A,0)),0)</f>
        <v>0</v>
      </c>
      <c r="E106" s="11">
        <f>IFERROR(INDEX('چکهای دریافتنی'!F:F,MATCH(Table2[[#This Row],[كد تفصيلي]],'چکهای دریافتنی'!A:A,0)),0)</f>
        <v>0</v>
      </c>
      <c r="F106" s="11">
        <f>Table2[[#This Row],[حسابهای دریافتنی]]+Table2[[#This Row],[چکهای در جریان وصول]]+Table2[[#This Row],[چکهای نزد صندوق]]</f>
        <v>0</v>
      </c>
      <c r="G106" s="12">
        <f>IFERROR(INDEX('مانده سوفاله'!F:F,MATCH(Table2[[#This Row],[كد تفصيلي]],'مانده سوفاله'!A:A,0)),0)</f>
        <v>0</v>
      </c>
    </row>
    <row r="107" spans="1:7" ht="18" customHeight="1" x14ac:dyDescent="0.25">
      <c r="A107" s="19">
        <v>10043</v>
      </c>
      <c r="B107" s="19" t="s">
        <v>48</v>
      </c>
      <c r="C107" s="10">
        <f>IFERROR(INDEX('حسابهای دریافتنی'!H:H,MATCH(Table2[[#This Row],[كد تفصيلي]],'حسابهای دریافتنی'!A:A,0)),0)</f>
        <v>0</v>
      </c>
      <c r="D107" s="11">
        <f>IFERROR(INDEX('درجریان وصول'!F:F,MATCH(Table2[[#This Row],[كد تفصيلي]],'درجریان وصول'!A:A,0)),0)</f>
        <v>0</v>
      </c>
      <c r="E107" s="11">
        <f>IFERROR(INDEX('چکهای دریافتنی'!F:F,MATCH(Table2[[#This Row],[كد تفصيلي]],'چکهای دریافتنی'!A:A,0)),0)</f>
        <v>0</v>
      </c>
      <c r="F107" s="11">
        <f>Table2[[#This Row],[حسابهای دریافتنی]]+Table2[[#This Row],[چکهای در جریان وصول]]+Table2[[#This Row],[چکهای نزد صندوق]]</f>
        <v>0</v>
      </c>
      <c r="G107" s="12">
        <f>IFERROR(INDEX('مانده سوفاله'!F:F,MATCH(Table2[[#This Row],[كد تفصيلي]],'مانده سوفاله'!A:A,0)),0)</f>
        <v>0</v>
      </c>
    </row>
    <row r="108" spans="1:7" customFormat="1" ht="14.25" customHeight="1" x14ac:dyDescent="0.35">
      <c r="A108" s="21">
        <v>10046</v>
      </c>
      <c r="B108" s="21" t="s">
        <v>51</v>
      </c>
      <c r="C108" s="10">
        <f>IFERROR(INDEX('حسابهای دریافتنی'!H:H,MATCH(Table2[[#This Row],[كد تفصيلي]],'حسابهای دریافتنی'!A:A,0)),0)</f>
        <v>0</v>
      </c>
      <c r="D108" s="11">
        <f>IFERROR(INDEX('درجریان وصول'!F:F,MATCH(Table2[[#This Row],[كد تفصيلي]],'درجریان وصول'!A:A,0)),0)</f>
        <v>0</v>
      </c>
      <c r="E108" s="11">
        <f>IFERROR(INDEX('چکهای دریافتنی'!F:F,MATCH(Table2[[#This Row],[كد تفصيلي]],'چکهای دریافتنی'!A:A,0)),0)</f>
        <v>0</v>
      </c>
      <c r="F108" s="11">
        <f>Table2[[#This Row],[حسابهای دریافتنی]]+Table2[[#This Row],[چکهای در جریان وصول]]+Table2[[#This Row],[چکهای نزد صندوق]]</f>
        <v>0</v>
      </c>
      <c r="G108" s="12">
        <f>IFERROR(INDEX('مانده سوفاله'!F:F,MATCH(Table2[[#This Row],[كد تفصيلي]],'مانده سوفاله'!A:A,0)),0)</f>
        <v>118</v>
      </c>
    </row>
    <row r="109" spans="1:7" customFormat="1" ht="14.25" customHeight="1" x14ac:dyDescent="0.35">
      <c r="A109" s="19">
        <v>10047</v>
      </c>
      <c r="B109" s="19" t="s">
        <v>222</v>
      </c>
      <c r="C109" s="10">
        <f>IFERROR(INDEX('حسابهای دریافتنی'!H:H,MATCH(Table2[[#This Row],[كد تفصيلي]],'حسابهای دریافتنی'!A:A,0)),0)</f>
        <v>0</v>
      </c>
      <c r="D109" s="11">
        <f>IFERROR(INDEX('درجریان وصول'!F:F,MATCH(Table2[[#This Row],[كد تفصيلي]],'درجریان وصول'!A:A,0)),0)</f>
        <v>0</v>
      </c>
      <c r="E109" s="11">
        <f>IFERROR(INDEX('چکهای دریافتنی'!F:F,MATCH(Table2[[#This Row],[كد تفصيلي]],'چکهای دریافتنی'!A:A,0)),0)</f>
        <v>0</v>
      </c>
      <c r="F109" s="11">
        <f>Table2[[#This Row],[حسابهای دریافتنی]]+Table2[[#This Row],[چکهای در جریان وصول]]+Table2[[#This Row],[چکهای نزد صندوق]]</f>
        <v>0</v>
      </c>
      <c r="G109" s="12">
        <f>IFERROR(INDEX('مانده سوفاله'!F:F,MATCH(Table2[[#This Row],[كد تفصيلي]],'مانده سوفاله'!A:A,0)),0)</f>
        <v>0</v>
      </c>
    </row>
    <row r="110" spans="1:7" customFormat="1" ht="14.25" customHeight="1" x14ac:dyDescent="0.35">
      <c r="A110" s="21">
        <v>10050</v>
      </c>
      <c r="B110" s="21" t="s">
        <v>154</v>
      </c>
      <c r="C110" s="10">
        <f>IFERROR(INDEX('حسابهای دریافتنی'!H:H,MATCH(Table2[[#This Row],[كد تفصيلي]],'حسابهای دریافتنی'!A:A,0)),0)</f>
        <v>0</v>
      </c>
      <c r="D110" s="11">
        <f>IFERROR(INDEX('درجریان وصول'!F:F,MATCH(Table2[[#This Row],[كد تفصيلي]],'درجریان وصول'!A:A,0)),0)</f>
        <v>0</v>
      </c>
      <c r="E110" s="11">
        <f>IFERROR(INDEX('چکهای دریافتنی'!F:F,MATCH(Table2[[#This Row],[كد تفصيلي]],'چکهای دریافتنی'!A:A,0)),0)</f>
        <v>0</v>
      </c>
      <c r="F110" s="11">
        <f>Table2[[#This Row],[حسابهای دریافتنی]]+Table2[[#This Row],[چکهای در جریان وصول]]+Table2[[#This Row],[چکهای نزد صندوق]]</f>
        <v>0</v>
      </c>
      <c r="G110" s="12">
        <f>IFERROR(INDEX('مانده سوفاله'!F:F,MATCH(Table2[[#This Row],[كد تفصيلي]],'مانده سوفاله'!A:A,0)),0)</f>
        <v>0</v>
      </c>
    </row>
    <row r="111" spans="1:7" customFormat="1" ht="14.25" customHeight="1" x14ac:dyDescent="0.35">
      <c r="A111" s="19">
        <v>10051</v>
      </c>
      <c r="B111" s="19" t="s">
        <v>223</v>
      </c>
      <c r="C111" s="10">
        <f>IFERROR(INDEX('حسابهای دریافتنی'!H:H,MATCH(Table2[[#This Row],[كد تفصيلي]],'حسابهای دریافتنی'!A:A,0)),0)</f>
        <v>0</v>
      </c>
      <c r="D111" s="11">
        <f>IFERROR(INDEX('درجریان وصول'!F:F,MATCH(Table2[[#This Row],[كد تفصيلي]],'درجریان وصول'!A:A,0)),0)</f>
        <v>0</v>
      </c>
      <c r="E111" s="11">
        <f>IFERROR(INDEX('چکهای دریافتنی'!F:F,MATCH(Table2[[#This Row],[كد تفصيلي]],'چکهای دریافتنی'!A:A,0)),0)</f>
        <v>0</v>
      </c>
      <c r="F111" s="11">
        <f>Table2[[#This Row],[حسابهای دریافتنی]]+Table2[[#This Row],[چکهای در جریان وصول]]+Table2[[#This Row],[چکهای نزد صندوق]]</f>
        <v>0</v>
      </c>
      <c r="G111" s="12">
        <f>IFERROR(INDEX('مانده سوفاله'!F:F,MATCH(Table2[[#This Row],[كد تفصيلي]],'مانده سوفاله'!A:A,0)),0)</f>
        <v>0</v>
      </c>
    </row>
    <row r="112" spans="1:7" customFormat="1" ht="14.25" customHeight="1" x14ac:dyDescent="0.35">
      <c r="A112" s="21">
        <v>10052</v>
      </c>
      <c r="B112" s="21" t="s">
        <v>192</v>
      </c>
      <c r="C112" s="10">
        <f>IFERROR(INDEX('حسابهای دریافتنی'!H:H,MATCH(Table2[[#This Row],[كد تفصيلي]],'حسابهای دریافتنی'!A:A,0)),0)</f>
        <v>0</v>
      </c>
      <c r="D112" s="11">
        <f>IFERROR(INDEX('درجریان وصول'!F:F,MATCH(Table2[[#This Row],[كد تفصيلي]],'درجریان وصول'!A:A,0)),0)</f>
        <v>0</v>
      </c>
      <c r="E112" s="11">
        <f>IFERROR(INDEX('چکهای دریافتنی'!F:F,MATCH(Table2[[#This Row],[كد تفصيلي]],'چکهای دریافتنی'!A:A,0)),0)</f>
        <v>0</v>
      </c>
      <c r="F112" s="11">
        <f>Table2[[#This Row],[حسابهای دریافتنی]]+Table2[[#This Row],[چکهای در جریان وصول]]+Table2[[#This Row],[چکهای نزد صندوق]]</f>
        <v>0</v>
      </c>
      <c r="G112" s="12">
        <f>IFERROR(INDEX('مانده سوفاله'!F:F,MATCH(Table2[[#This Row],[كد تفصيلي]],'مانده سوفاله'!A:A,0)),0)</f>
        <v>0</v>
      </c>
    </row>
    <row r="113" spans="1:7" customFormat="1" ht="14.25" customHeight="1" x14ac:dyDescent="0.35">
      <c r="A113" s="19">
        <v>10053</v>
      </c>
      <c r="B113" s="19" t="s">
        <v>193</v>
      </c>
      <c r="C113" s="10">
        <f>IFERROR(INDEX('حسابهای دریافتنی'!H:H,MATCH(Table2[[#This Row],[كد تفصيلي]],'حسابهای دریافتنی'!A:A,0)),0)</f>
        <v>0</v>
      </c>
      <c r="D113" s="11">
        <f>IFERROR(INDEX('درجریان وصول'!F:F,MATCH(Table2[[#This Row],[كد تفصيلي]],'درجریان وصول'!A:A,0)),0)</f>
        <v>0</v>
      </c>
      <c r="E113" s="11">
        <f>IFERROR(INDEX('چکهای دریافتنی'!F:F,MATCH(Table2[[#This Row],[كد تفصيلي]],'چکهای دریافتنی'!A:A,0)),0)</f>
        <v>0</v>
      </c>
      <c r="F113" s="11">
        <f>Table2[[#This Row],[حسابهای دریافتنی]]+Table2[[#This Row],[چکهای در جریان وصول]]+Table2[[#This Row],[چکهای نزد صندوق]]</f>
        <v>0</v>
      </c>
      <c r="G113" s="12">
        <f>IFERROR(INDEX('مانده سوفاله'!F:F,MATCH(Table2[[#This Row],[كد تفصيلي]],'مانده سوفاله'!A:A,0)),0)</f>
        <v>0</v>
      </c>
    </row>
    <row r="114" spans="1:7" customFormat="1" ht="14.25" customHeight="1" x14ac:dyDescent="0.35">
      <c r="A114" s="21">
        <v>10054</v>
      </c>
      <c r="B114" s="21" t="s">
        <v>224</v>
      </c>
      <c r="C114" s="10">
        <f>IFERROR(INDEX('حسابهای دریافتنی'!H:H,MATCH(Table2[[#This Row],[كد تفصيلي]],'حسابهای دریافتنی'!A:A,0)),0)</f>
        <v>0</v>
      </c>
      <c r="D114" s="11">
        <f>IFERROR(INDEX('درجریان وصول'!F:F,MATCH(Table2[[#This Row],[كد تفصيلي]],'درجریان وصول'!A:A,0)),0)</f>
        <v>0</v>
      </c>
      <c r="E114" s="11">
        <f>IFERROR(INDEX('چکهای دریافتنی'!F:F,MATCH(Table2[[#This Row],[كد تفصيلي]],'چکهای دریافتنی'!A:A,0)),0)</f>
        <v>0</v>
      </c>
      <c r="F114" s="11">
        <f>Table2[[#This Row],[حسابهای دریافتنی]]+Table2[[#This Row],[چکهای در جریان وصول]]+Table2[[#This Row],[چکهای نزد صندوق]]</f>
        <v>0</v>
      </c>
      <c r="G114" s="12">
        <f>IFERROR(INDEX('مانده سوفاله'!F:F,MATCH(Table2[[#This Row],[كد تفصيلي]],'مانده سوفاله'!A:A,0)),0)</f>
        <v>0</v>
      </c>
    </row>
    <row r="115" spans="1:7" customFormat="1" ht="14.25" customHeight="1" x14ac:dyDescent="0.35">
      <c r="A115" s="19">
        <v>10059</v>
      </c>
      <c r="B115" s="19" t="s">
        <v>226</v>
      </c>
      <c r="C115" s="10">
        <f>IFERROR(INDEX('حسابهای دریافتنی'!H:H,MATCH(Table2[[#This Row],[كد تفصيلي]],'حسابهای دریافتنی'!A:A,0)),0)</f>
        <v>0</v>
      </c>
      <c r="D115" s="11">
        <f>IFERROR(INDEX('درجریان وصول'!F:F,MATCH(Table2[[#This Row],[كد تفصيلي]],'درجریان وصول'!A:A,0)),0)</f>
        <v>0</v>
      </c>
      <c r="E115" s="11">
        <f>IFERROR(INDEX('چکهای دریافتنی'!F:F,MATCH(Table2[[#This Row],[كد تفصيلي]],'چکهای دریافتنی'!A:A,0)),0)</f>
        <v>0</v>
      </c>
      <c r="F115" s="11">
        <f>Table2[[#This Row],[حسابهای دریافتنی]]+Table2[[#This Row],[چکهای در جریان وصول]]+Table2[[#This Row],[چکهای نزد صندوق]]</f>
        <v>0</v>
      </c>
      <c r="G115" s="12">
        <f>IFERROR(INDEX('مانده سوفاله'!F:F,MATCH(Table2[[#This Row],[كد تفصيلي]],'مانده سوفاله'!A:A,0)),0)</f>
        <v>0</v>
      </c>
    </row>
    <row r="116" spans="1:7" customFormat="1" ht="14.25" customHeight="1" x14ac:dyDescent="0.35">
      <c r="A116" s="21">
        <v>10060</v>
      </c>
      <c r="B116" s="21" t="s">
        <v>185</v>
      </c>
      <c r="C116" s="10">
        <f>IFERROR(INDEX('حسابهای دریافتنی'!H:H,MATCH(Table2[[#This Row],[كد تفصيلي]],'حسابهای دریافتنی'!A:A,0)),0)</f>
        <v>0</v>
      </c>
      <c r="D116" s="11">
        <f>IFERROR(INDEX('درجریان وصول'!F:F,MATCH(Table2[[#This Row],[كد تفصيلي]],'درجریان وصول'!A:A,0)),0)</f>
        <v>0</v>
      </c>
      <c r="E116" s="11">
        <f>IFERROR(INDEX('چکهای دریافتنی'!F:F,MATCH(Table2[[#This Row],[كد تفصيلي]],'چکهای دریافتنی'!A:A,0)),0)</f>
        <v>0</v>
      </c>
      <c r="F116" s="11">
        <f>Table2[[#This Row],[حسابهای دریافتنی]]+Table2[[#This Row],[چکهای در جریان وصول]]+Table2[[#This Row],[چکهای نزد صندوق]]</f>
        <v>0</v>
      </c>
      <c r="G116" s="12">
        <f>IFERROR(INDEX('مانده سوفاله'!F:F,MATCH(Table2[[#This Row],[كد تفصيلي]],'مانده سوفاله'!A:A,0)),0)</f>
        <v>0</v>
      </c>
    </row>
    <row r="117" spans="1:7" customFormat="1" ht="14.25" customHeight="1" x14ac:dyDescent="0.35">
      <c r="A117" s="21">
        <v>10062</v>
      </c>
      <c r="B117" s="21" t="s">
        <v>227</v>
      </c>
      <c r="C117" s="10">
        <f>IFERROR(INDEX('حسابهای دریافتنی'!H:H,MATCH(Table2[[#This Row],[كد تفصيلي]],'حسابهای دریافتنی'!A:A,0)),0)</f>
        <v>0</v>
      </c>
      <c r="D117" s="11">
        <f>IFERROR(INDEX('درجریان وصول'!F:F,MATCH(Table2[[#This Row],[كد تفصيلي]],'درجریان وصول'!A:A,0)),0)</f>
        <v>0</v>
      </c>
      <c r="E117" s="11">
        <f>IFERROR(INDEX('چکهای دریافتنی'!F:F,MATCH(Table2[[#This Row],[كد تفصيلي]],'چکهای دریافتنی'!A:A,0)),0)</f>
        <v>0</v>
      </c>
      <c r="F117" s="11">
        <f>Table2[[#This Row],[حسابهای دریافتنی]]+Table2[[#This Row],[چکهای در جریان وصول]]+Table2[[#This Row],[چکهای نزد صندوق]]</f>
        <v>0</v>
      </c>
      <c r="G117" s="12">
        <f>IFERROR(INDEX('مانده سوفاله'!F:F,MATCH(Table2[[#This Row],[كد تفصيلي]],'مانده سوفاله'!A:A,0)),0)</f>
        <v>0</v>
      </c>
    </row>
    <row r="118" spans="1:7" customFormat="1" ht="14.25" customHeight="1" x14ac:dyDescent="0.35">
      <c r="A118" s="19">
        <v>10063</v>
      </c>
      <c r="B118" s="19" t="s">
        <v>180</v>
      </c>
      <c r="C118" s="10">
        <f>IFERROR(INDEX('حسابهای دریافتنی'!H:H,MATCH(Table2[[#This Row],[كد تفصيلي]],'حسابهای دریافتنی'!A:A,0)),0)</f>
        <v>0</v>
      </c>
      <c r="D118" s="11">
        <f>IFERROR(INDEX('درجریان وصول'!F:F,MATCH(Table2[[#This Row],[كد تفصيلي]],'درجریان وصول'!A:A,0)),0)</f>
        <v>0</v>
      </c>
      <c r="E118" s="11">
        <f>IFERROR(INDEX('چکهای دریافتنی'!F:F,MATCH(Table2[[#This Row],[كد تفصيلي]],'چکهای دریافتنی'!A:A,0)),0)</f>
        <v>0</v>
      </c>
      <c r="F118" s="11">
        <f>Table2[[#This Row],[حسابهای دریافتنی]]+Table2[[#This Row],[چکهای در جریان وصول]]+Table2[[#This Row],[چکهای نزد صندوق]]</f>
        <v>0</v>
      </c>
      <c r="G118" s="12">
        <f>IFERROR(INDEX('مانده سوفاله'!F:F,MATCH(Table2[[#This Row],[كد تفصيلي]],'مانده سوفاله'!A:A,0)),0)</f>
        <v>0</v>
      </c>
    </row>
    <row r="119" spans="1:7" customFormat="1" ht="14.25" customHeight="1" x14ac:dyDescent="0.35">
      <c r="A119" s="21">
        <v>10064</v>
      </c>
      <c r="B119" s="21" t="s">
        <v>181</v>
      </c>
      <c r="C119" s="10">
        <f>IFERROR(INDEX('حسابهای دریافتنی'!H:H,MATCH(Table2[[#This Row],[كد تفصيلي]],'حسابهای دریافتنی'!A:A,0)),0)</f>
        <v>0</v>
      </c>
      <c r="D119" s="11">
        <f>IFERROR(INDEX('درجریان وصول'!F:F,MATCH(Table2[[#This Row],[كد تفصيلي]],'درجریان وصول'!A:A,0)),0)</f>
        <v>0</v>
      </c>
      <c r="E119" s="11">
        <f>IFERROR(INDEX('چکهای دریافتنی'!F:F,MATCH(Table2[[#This Row],[كد تفصيلي]],'چکهای دریافتنی'!A:A,0)),0)</f>
        <v>0</v>
      </c>
      <c r="F119" s="11">
        <f>Table2[[#This Row],[حسابهای دریافتنی]]+Table2[[#This Row],[چکهای در جریان وصول]]+Table2[[#This Row],[چکهای نزد صندوق]]</f>
        <v>0</v>
      </c>
      <c r="G119" s="12">
        <f>IFERROR(INDEX('مانده سوفاله'!F:F,MATCH(Table2[[#This Row],[كد تفصيلي]],'مانده سوفاله'!A:A,0)),0)</f>
        <v>0</v>
      </c>
    </row>
    <row r="120" spans="1:7" customFormat="1" ht="14.25" customHeight="1" x14ac:dyDescent="0.35">
      <c r="A120" s="19">
        <v>10065</v>
      </c>
      <c r="B120" s="19" t="s">
        <v>228</v>
      </c>
      <c r="C120" s="10">
        <f>IFERROR(INDEX('حسابهای دریافتنی'!H:H,MATCH(Table2[[#This Row],[كد تفصيلي]],'حسابهای دریافتنی'!A:A,0)),0)</f>
        <v>0</v>
      </c>
      <c r="D120" s="11">
        <f>IFERROR(INDEX('درجریان وصول'!F:F,MATCH(Table2[[#This Row],[كد تفصيلي]],'درجریان وصول'!A:A,0)),0)</f>
        <v>0</v>
      </c>
      <c r="E120" s="11">
        <f>IFERROR(INDEX('چکهای دریافتنی'!F:F,MATCH(Table2[[#This Row],[كد تفصيلي]],'چکهای دریافتنی'!A:A,0)),0)</f>
        <v>0</v>
      </c>
      <c r="F120" s="11">
        <f>Table2[[#This Row],[حسابهای دریافتنی]]+Table2[[#This Row],[چکهای در جریان وصول]]+Table2[[#This Row],[چکهای نزد صندوق]]</f>
        <v>0</v>
      </c>
      <c r="G120" s="12">
        <f>IFERROR(INDEX('مانده سوفاله'!F:F,MATCH(Table2[[#This Row],[كد تفصيلي]],'مانده سوفاله'!A:A,0)),0)</f>
        <v>127</v>
      </c>
    </row>
    <row r="121" spans="1:7" customFormat="1" ht="14.25" customHeight="1" x14ac:dyDescent="0.35">
      <c r="A121" s="19">
        <v>10067</v>
      </c>
      <c r="B121" s="19" t="s">
        <v>229</v>
      </c>
      <c r="C121" s="10">
        <f>IFERROR(INDEX('حسابهای دریافتنی'!H:H,MATCH(Table2[[#This Row],[كد تفصيلي]],'حسابهای دریافتنی'!A:A,0)),0)</f>
        <v>0</v>
      </c>
      <c r="D121" s="11">
        <f>IFERROR(INDEX('درجریان وصول'!F:F,MATCH(Table2[[#This Row],[كد تفصيلي]],'درجریان وصول'!A:A,0)),0)</f>
        <v>0</v>
      </c>
      <c r="E121" s="11">
        <f>IFERROR(INDEX('چکهای دریافتنی'!F:F,MATCH(Table2[[#This Row],[كد تفصيلي]],'چکهای دریافتنی'!A:A,0)),0)</f>
        <v>0</v>
      </c>
      <c r="F121" s="11">
        <f>Table2[[#This Row],[حسابهای دریافتنی]]+Table2[[#This Row],[چکهای در جریان وصول]]+Table2[[#This Row],[چکهای نزد صندوق]]</f>
        <v>0</v>
      </c>
      <c r="G121" s="12">
        <f>IFERROR(INDEX('مانده سوفاله'!F:F,MATCH(Table2[[#This Row],[كد تفصيلي]],'مانده سوفاله'!A:A,0)),0)</f>
        <v>0</v>
      </c>
    </row>
    <row r="122" spans="1:7" customFormat="1" ht="14.25" customHeight="1" x14ac:dyDescent="0.35">
      <c r="A122" s="21">
        <v>10068</v>
      </c>
      <c r="B122" s="21" t="s">
        <v>184</v>
      </c>
      <c r="C122" s="10">
        <f>IFERROR(INDEX('حسابهای دریافتنی'!H:H,MATCH(Table2[[#This Row],[كد تفصيلي]],'حسابهای دریافتنی'!A:A,0)),0)</f>
        <v>0</v>
      </c>
      <c r="D122" s="11">
        <f>IFERROR(INDEX('درجریان وصول'!F:F,MATCH(Table2[[#This Row],[كد تفصيلي]],'درجریان وصول'!A:A,0)),0)</f>
        <v>0</v>
      </c>
      <c r="E122" s="11">
        <f>IFERROR(INDEX('چکهای دریافتنی'!F:F,MATCH(Table2[[#This Row],[كد تفصيلي]],'چکهای دریافتنی'!A:A,0)),0)</f>
        <v>0</v>
      </c>
      <c r="F122" s="11">
        <f>Table2[[#This Row],[حسابهای دریافتنی]]+Table2[[#This Row],[چکهای در جریان وصول]]+Table2[[#This Row],[چکهای نزد صندوق]]</f>
        <v>0</v>
      </c>
      <c r="G122" s="12">
        <f>IFERROR(INDEX('مانده سوفاله'!F:F,MATCH(Table2[[#This Row],[كد تفصيلي]],'مانده سوفاله'!A:A,0)),0)</f>
        <v>0</v>
      </c>
    </row>
    <row r="123" spans="1:7" customFormat="1" ht="14.25" customHeight="1" x14ac:dyDescent="0.35">
      <c r="A123" s="19">
        <v>10071</v>
      </c>
      <c r="B123" s="19" t="s">
        <v>186</v>
      </c>
      <c r="C123" s="10">
        <f>IFERROR(INDEX('حسابهای دریافتنی'!H:H,MATCH(Table2[[#This Row],[كد تفصيلي]],'حسابهای دریافتنی'!A:A,0)),0)</f>
        <v>0</v>
      </c>
      <c r="D123" s="11">
        <f>IFERROR(INDEX('درجریان وصول'!F:F,MATCH(Table2[[#This Row],[كد تفصيلي]],'درجریان وصول'!A:A,0)),0)</f>
        <v>0</v>
      </c>
      <c r="E123" s="11">
        <f>IFERROR(INDEX('چکهای دریافتنی'!F:F,MATCH(Table2[[#This Row],[كد تفصيلي]],'چکهای دریافتنی'!A:A,0)),0)</f>
        <v>0</v>
      </c>
      <c r="F123" s="11">
        <f>Table2[[#This Row],[حسابهای دریافتنی]]+Table2[[#This Row],[چکهای در جریان وصول]]+Table2[[#This Row],[چکهای نزد صندوق]]</f>
        <v>0</v>
      </c>
      <c r="G123" s="12">
        <f>IFERROR(INDEX('مانده سوفاله'!F:F,MATCH(Table2[[#This Row],[كد تفصيلي]],'مانده سوفاله'!A:A,0)),0)</f>
        <v>0</v>
      </c>
    </row>
    <row r="124" spans="1:7" customFormat="1" ht="14.25" customHeight="1" x14ac:dyDescent="0.35">
      <c r="A124" s="19">
        <v>10073</v>
      </c>
      <c r="B124" s="19" t="s">
        <v>171</v>
      </c>
      <c r="C124" s="10">
        <f>IFERROR(INDEX('حسابهای دریافتنی'!H:H,MATCH(Table2[[#This Row],[كد تفصيلي]],'حسابهای دریافتنی'!A:A,0)),0)</f>
        <v>0</v>
      </c>
      <c r="D124" s="11">
        <f>IFERROR(INDEX('درجریان وصول'!F:F,MATCH(Table2[[#This Row],[كد تفصيلي]],'درجریان وصول'!A:A,0)),0)</f>
        <v>0</v>
      </c>
      <c r="E124" s="11">
        <f>IFERROR(INDEX('چکهای دریافتنی'!F:F,MATCH(Table2[[#This Row],[كد تفصيلي]],'چکهای دریافتنی'!A:A,0)),0)</f>
        <v>0</v>
      </c>
      <c r="F124" s="11">
        <f>Table2[[#This Row],[حسابهای دریافتنی]]+Table2[[#This Row],[چکهای در جریان وصول]]+Table2[[#This Row],[چکهای نزد صندوق]]</f>
        <v>0</v>
      </c>
      <c r="G124" s="12">
        <f>IFERROR(INDEX('مانده سوفاله'!F:F,MATCH(Table2[[#This Row],[كد تفصيلي]],'مانده سوفاله'!A:A,0)),0)</f>
        <v>0</v>
      </c>
    </row>
    <row r="125" spans="1:7" customFormat="1" ht="14.25" customHeight="1" x14ac:dyDescent="0.35">
      <c r="A125" s="21">
        <v>10074</v>
      </c>
      <c r="B125" s="21" t="s">
        <v>231</v>
      </c>
      <c r="C125" s="10">
        <f>IFERROR(INDEX('حسابهای دریافتنی'!H:H,MATCH(Table2[[#This Row],[كد تفصيلي]],'حسابهای دریافتنی'!A:A,0)),0)</f>
        <v>0</v>
      </c>
      <c r="D125" s="11">
        <f>IFERROR(INDEX('درجریان وصول'!F:F,MATCH(Table2[[#This Row],[كد تفصيلي]],'درجریان وصول'!A:A,0)),0)</f>
        <v>0</v>
      </c>
      <c r="E125" s="11">
        <f>IFERROR(INDEX('چکهای دریافتنی'!F:F,MATCH(Table2[[#This Row],[كد تفصيلي]],'چکهای دریافتنی'!A:A,0)),0)</f>
        <v>0</v>
      </c>
      <c r="F125" s="11">
        <f>Table2[[#This Row],[حسابهای دریافتنی]]+Table2[[#This Row],[چکهای در جریان وصول]]+Table2[[#This Row],[چکهای نزد صندوق]]</f>
        <v>0</v>
      </c>
      <c r="G125" s="12">
        <f>IFERROR(INDEX('مانده سوفاله'!F:F,MATCH(Table2[[#This Row],[كد تفصيلي]],'مانده سوفاله'!A:A,0)),0)</f>
        <v>0</v>
      </c>
    </row>
    <row r="126" spans="1:7" customFormat="1" ht="14.25" customHeight="1" x14ac:dyDescent="0.35">
      <c r="A126" s="19">
        <v>10075</v>
      </c>
      <c r="B126" s="19" t="s">
        <v>169</v>
      </c>
      <c r="C126" s="10">
        <f>IFERROR(INDEX('حسابهای دریافتنی'!H:H,MATCH(Table2[[#This Row],[كد تفصيلي]],'حسابهای دریافتنی'!A:A,0)),0)</f>
        <v>0</v>
      </c>
      <c r="D126" s="11">
        <f>IFERROR(INDEX('درجریان وصول'!F:F,MATCH(Table2[[#This Row],[كد تفصيلي]],'درجریان وصول'!A:A,0)),0)</f>
        <v>0</v>
      </c>
      <c r="E126" s="11">
        <f>IFERROR(INDEX('چکهای دریافتنی'!F:F,MATCH(Table2[[#This Row],[كد تفصيلي]],'چکهای دریافتنی'!A:A,0)),0)</f>
        <v>0</v>
      </c>
      <c r="F126" s="11">
        <f>Table2[[#This Row],[حسابهای دریافتنی]]+Table2[[#This Row],[چکهای در جریان وصول]]+Table2[[#This Row],[چکهای نزد صندوق]]</f>
        <v>0</v>
      </c>
      <c r="G126" s="12">
        <f>IFERROR(INDEX('مانده سوفاله'!F:F,MATCH(Table2[[#This Row],[كد تفصيلي]],'مانده سوفاله'!A:A,0)),0)</f>
        <v>0</v>
      </c>
    </row>
    <row r="127" spans="1:7" customFormat="1" ht="14.25" customHeight="1" x14ac:dyDescent="0.35">
      <c r="A127" s="21">
        <v>10076</v>
      </c>
      <c r="B127" s="21" t="s">
        <v>182</v>
      </c>
      <c r="C127" s="10">
        <f>IFERROR(INDEX('حسابهای دریافتنی'!H:H,MATCH(Table2[[#This Row],[كد تفصيلي]],'حسابهای دریافتنی'!A:A,0)),0)</f>
        <v>0</v>
      </c>
      <c r="D127" s="11">
        <f>IFERROR(INDEX('درجریان وصول'!F:F,MATCH(Table2[[#This Row],[كد تفصيلي]],'درجریان وصول'!A:A,0)),0)</f>
        <v>0</v>
      </c>
      <c r="E127" s="11">
        <f>IFERROR(INDEX('چکهای دریافتنی'!F:F,MATCH(Table2[[#This Row],[كد تفصيلي]],'چکهای دریافتنی'!A:A,0)),0)</f>
        <v>0</v>
      </c>
      <c r="F127" s="11">
        <f>Table2[[#This Row],[حسابهای دریافتنی]]+Table2[[#This Row],[چکهای در جریان وصول]]+Table2[[#This Row],[چکهای نزد صندوق]]</f>
        <v>0</v>
      </c>
      <c r="G127" s="12">
        <f>IFERROR(INDEX('مانده سوفاله'!F:F,MATCH(Table2[[#This Row],[كد تفصيلي]],'مانده سوفاله'!A:A,0)),0)</f>
        <v>-13</v>
      </c>
    </row>
    <row r="128" spans="1:7" customFormat="1" ht="14.25" customHeight="1" x14ac:dyDescent="0.35">
      <c r="A128" s="21">
        <v>10078</v>
      </c>
      <c r="B128" s="21" t="s">
        <v>232</v>
      </c>
      <c r="C128" s="10">
        <f>IFERROR(INDEX('حسابهای دریافتنی'!H:H,MATCH(Table2[[#This Row],[كد تفصيلي]],'حسابهای دریافتنی'!A:A,0)),0)</f>
        <v>0</v>
      </c>
      <c r="D128" s="11">
        <f>IFERROR(INDEX('درجریان وصول'!F:F,MATCH(Table2[[#This Row],[كد تفصيلي]],'درجریان وصول'!A:A,0)),0)</f>
        <v>0</v>
      </c>
      <c r="E128" s="11">
        <f>IFERROR(INDEX('چکهای دریافتنی'!F:F,MATCH(Table2[[#This Row],[كد تفصيلي]],'چکهای دریافتنی'!A:A,0)),0)</f>
        <v>0</v>
      </c>
      <c r="F128" s="11">
        <f>Table2[[#This Row],[حسابهای دریافتنی]]+Table2[[#This Row],[چکهای در جریان وصول]]+Table2[[#This Row],[چکهای نزد صندوق]]</f>
        <v>0</v>
      </c>
      <c r="G128" s="12">
        <f>IFERROR(INDEX('مانده سوفاله'!F:F,MATCH(Table2[[#This Row],[كد تفصيلي]],'مانده سوفاله'!A:A,0)),0)</f>
        <v>0</v>
      </c>
    </row>
    <row r="129" spans="1:7" customFormat="1" ht="14.25" customHeight="1" x14ac:dyDescent="0.35">
      <c r="A129" s="19">
        <v>10081</v>
      </c>
      <c r="B129" s="19" t="s">
        <v>233</v>
      </c>
      <c r="C129" s="10">
        <f>IFERROR(INDEX('حسابهای دریافتنی'!H:H,MATCH(Table2[[#This Row],[كد تفصيلي]],'حسابهای دریافتنی'!A:A,0)),0)</f>
        <v>0</v>
      </c>
      <c r="D129" s="11">
        <f>IFERROR(INDEX('درجریان وصول'!F:F,MATCH(Table2[[#This Row],[كد تفصيلي]],'درجریان وصول'!A:A,0)),0)</f>
        <v>0</v>
      </c>
      <c r="E129" s="11">
        <f>IFERROR(INDEX('چکهای دریافتنی'!F:F,MATCH(Table2[[#This Row],[كد تفصيلي]],'چکهای دریافتنی'!A:A,0)),0)</f>
        <v>0</v>
      </c>
      <c r="F129" s="11">
        <f>Table2[[#This Row],[حسابهای دریافتنی]]+Table2[[#This Row],[چکهای در جریان وصول]]+Table2[[#This Row],[چکهای نزد صندوق]]</f>
        <v>0</v>
      </c>
      <c r="G129" s="12">
        <f>IFERROR(INDEX('مانده سوفاله'!F:F,MATCH(Table2[[#This Row],[كد تفصيلي]],'مانده سوفاله'!A:A,0)),0)</f>
        <v>0</v>
      </c>
    </row>
    <row r="130" spans="1:7" customFormat="1" ht="14.25" customHeight="1" x14ac:dyDescent="0.35">
      <c r="A130" s="21">
        <v>10082</v>
      </c>
      <c r="B130" s="21" t="s">
        <v>215</v>
      </c>
      <c r="C130" s="10">
        <f>IFERROR(INDEX('حسابهای دریافتنی'!H:H,MATCH(Table2[[#This Row],[كد تفصيلي]],'حسابهای دریافتنی'!A:A,0)),0)</f>
        <v>0</v>
      </c>
      <c r="D130" s="11">
        <f>IFERROR(INDEX('درجریان وصول'!F:F,MATCH(Table2[[#This Row],[كد تفصيلي]],'درجریان وصول'!A:A,0)),0)</f>
        <v>0</v>
      </c>
      <c r="E130" s="11">
        <f>IFERROR(INDEX('چکهای دریافتنی'!F:F,MATCH(Table2[[#This Row],[كد تفصيلي]],'چکهای دریافتنی'!A:A,0)),0)</f>
        <v>0</v>
      </c>
      <c r="F130" s="11">
        <f>Table2[[#This Row],[حسابهای دریافتنی]]+Table2[[#This Row],[چکهای در جریان وصول]]+Table2[[#This Row],[چکهای نزد صندوق]]</f>
        <v>0</v>
      </c>
      <c r="G130" s="12">
        <f>IFERROR(INDEX('مانده سوفاله'!F:F,MATCH(Table2[[#This Row],[كد تفصيلي]],'مانده سوفاله'!A:A,0)),0)</f>
        <v>0</v>
      </c>
    </row>
    <row r="131" spans="1:7" ht="18" customHeight="1" x14ac:dyDescent="0.25">
      <c r="A131" s="19">
        <v>10083</v>
      </c>
      <c r="B131" s="19" t="s">
        <v>234</v>
      </c>
      <c r="C131" s="10">
        <f>IFERROR(INDEX('حسابهای دریافتنی'!H:H,MATCH(Table2[[#This Row],[كد تفصيلي]],'حسابهای دریافتنی'!A:A,0)),0)</f>
        <v>0</v>
      </c>
      <c r="D131" s="11">
        <f>IFERROR(INDEX('درجریان وصول'!F:F,MATCH(Table2[[#This Row],[كد تفصيلي]],'درجریان وصول'!A:A,0)),0)</f>
        <v>0</v>
      </c>
      <c r="E131" s="11">
        <f>IFERROR(INDEX('چکهای دریافتنی'!F:F,MATCH(Table2[[#This Row],[كد تفصيلي]],'چکهای دریافتنی'!A:A,0)),0)</f>
        <v>0</v>
      </c>
      <c r="F131" s="11">
        <f>Table2[[#This Row],[حسابهای دریافتنی]]+Table2[[#This Row],[چکهای در جریان وصول]]+Table2[[#This Row],[چکهای نزد صندوق]]</f>
        <v>0</v>
      </c>
      <c r="G131" s="12">
        <f>IFERROR(INDEX('مانده سوفاله'!F:F,MATCH(Table2[[#This Row],[كد تفصيلي]],'مانده سوفاله'!A:A,0)),0)</f>
        <v>0</v>
      </c>
    </row>
    <row r="132" spans="1:7" ht="18" customHeight="1" x14ac:dyDescent="0.25">
      <c r="A132" s="19">
        <v>10085</v>
      </c>
      <c r="B132" s="19" t="s">
        <v>235</v>
      </c>
      <c r="C132" s="10">
        <f>IFERROR(INDEX('حسابهای دریافتنی'!H:H,MATCH(Table2[[#This Row],[كد تفصيلي]],'حسابهای دریافتنی'!A:A,0)),0)</f>
        <v>0</v>
      </c>
      <c r="D132" s="11">
        <f>IFERROR(INDEX('درجریان وصول'!F:F,MATCH(Table2[[#This Row],[كد تفصيلي]],'درجریان وصول'!A:A,0)),0)</f>
        <v>0</v>
      </c>
      <c r="E132" s="11">
        <f>IFERROR(INDEX('چکهای دریافتنی'!F:F,MATCH(Table2[[#This Row],[كد تفصيلي]],'چکهای دریافتنی'!A:A,0)),0)</f>
        <v>0</v>
      </c>
      <c r="F132" s="11">
        <f>Table2[[#This Row],[حسابهای دریافتنی]]+Table2[[#This Row],[چکهای در جریان وصول]]+Table2[[#This Row],[چکهای نزد صندوق]]</f>
        <v>0</v>
      </c>
      <c r="G132" s="12">
        <f>IFERROR(INDEX('مانده سوفاله'!F:F,MATCH(Table2[[#This Row],[كد تفصيلي]],'مانده سوفاله'!A:A,0)),0)</f>
        <v>0</v>
      </c>
    </row>
    <row r="133" spans="1:7" ht="18" customHeight="1" x14ac:dyDescent="0.25">
      <c r="A133" s="21">
        <v>10086</v>
      </c>
      <c r="B133" s="21" t="s">
        <v>219</v>
      </c>
      <c r="C133" s="10">
        <f>IFERROR(INDEX('حسابهای دریافتنی'!H:H,MATCH(Table2[[#This Row],[كد تفصيلي]],'حسابهای دریافتنی'!A:A,0)),0)</f>
        <v>0</v>
      </c>
      <c r="D133" s="11">
        <f>IFERROR(INDEX('درجریان وصول'!F:F,MATCH(Table2[[#This Row],[كد تفصيلي]],'درجریان وصول'!A:A,0)),0)</f>
        <v>0</v>
      </c>
      <c r="E133" s="11">
        <f>IFERROR(INDEX('چکهای دریافتنی'!F:F,MATCH(Table2[[#This Row],[كد تفصيلي]],'چکهای دریافتنی'!A:A,0)),0)</f>
        <v>0</v>
      </c>
      <c r="F133" s="11">
        <f>Table2[[#This Row],[حسابهای دریافتنی]]+Table2[[#This Row],[چکهای در جریان وصول]]+Table2[[#This Row],[چکهای نزد صندوق]]</f>
        <v>0</v>
      </c>
      <c r="G133" s="12">
        <f>IFERROR(INDEX('مانده سوفاله'!F:F,MATCH(Table2[[#This Row],[كد تفصيلي]],'مانده سوفاله'!A:A,0)),0)</f>
        <v>0</v>
      </c>
    </row>
    <row r="134" spans="1:7" ht="18" customHeight="1" x14ac:dyDescent="0.25">
      <c r="A134" s="19">
        <v>10087</v>
      </c>
      <c r="B134" s="19" t="s">
        <v>220</v>
      </c>
      <c r="C134" s="10">
        <f>IFERROR(INDEX('حسابهای دریافتنی'!H:H,MATCH(Table2[[#This Row],[كد تفصيلي]],'حسابهای دریافتنی'!A:A,0)),0)</f>
        <v>0</v>
      </c>
      <c r="D134" s="11">
        <f>IFERROR(INDEX('درجریان وصول'!F:F,MATCH(Table2[[#This Row],[كد تفصيلي]],'درجریان وصول'!A:A,0)),0)</f>
        <v>0</v>
      </c>
      <c r="E134" s="11">
        <f>IFERROR(INDEX('چکهای دریافتنی'!F:F,MATCH(Table2[[#This Row],[كد تفصيلي]],'چکهای دریافتنی'!A:A,0)),0)</f>
        <v>0</v>
      </c>
      <c r="F134" s="11">
        <f>Table2[[#This Row],[حسابهای دریافتنی]]+Table2[[#This Row],[چکهای در جریان وصول]]+Table2[[#This Row],[چکهای نزد صندوق]]</f>
        <v>0</v>
      </c>
      <c r="G134" s="12">
        <f>IFERROR(INDEX('مانده سوفاله'!F:F,MATCH(Table2[[#This Row],[كد تفصيلي]],'مانده سوفاله'!A:A,0)),0)</f>
        <v>0</v>
      </c>
    </row>
    <row r="135" spans="1:7" ht="18" customHeight="1" x14ac:dyDescent="0.25">
      <c r="A135" s="21">
        <v>10090</v>
      </c>
      <c r="B135" s="21" t="s">
        <v>256</v>
      </c>
      <c r="C135" s="10">
        <f>IFERROR(INDEX('حسابهای دریافتنی'!H:H,MATCH(Table2[[#This Row],[كد تفصيلي]],'حسابهای دریافتنی'!A:A,0)),0)</f>
        <v>0</v>
      </c>
      <c r="D135" s="11">
        <f>IFERROR(INDEX('درجریان وصول'!F:F,MATCH(Table2[[#This Row],[كد تفصيلي]],'درجریان وصول'!A:A,0)),0)</f>
        <v>0</v>
      </c>
      <c r="E135" s="11">
        <f>IFERROR(INDEX('چکهای دریافتنی'!F:F,MATCH(Table2[[#This Row],[كد تفصيلي]],'چکهای دریافتنی'!A:A,0)),0)</f>
        <v>0</v>
      </c>
      <c r="F135" s="11">
        <f>Table2[[#This Row],[حسابهای دریافتنی]]+Table2[[#This Row],[چکهای در جریان وصول]]+Table2[[#This Row],[چکهای نزد صندوق]]</f>
        <v>0</v>
      </c>
      <c r="G135" s="12">
        <f>IFERROR(INDEX('مانده سوفاله'!F:F,MATCH(Table2[[#This Row],[كد تفصيلي]],'مانده سوفاله'!A:A,0)),0)</f>
        <v>0</v>
      </c>
    </row>
    <row r="136" spans="1:7" ht="18" customHeight="1" x14ac:dyDescent="0.25">
      <c r="A136" s="20">
        <v>10094</v>
      </c>
      <c r="B136" s="21" t="s">
        <v>267</v>
      </c>
      <c r="C136" s="10">
        <f>IFERROR(INDEX('حسابهای دریافتنی'!H:H,MATCH(Table2[[#This Row],[كد تفصيلي]],'حسابهای دریافتنی'!A:A,0)),0)</f>
        <v>0</v>
      </c>
      <c r="D136" s="11">
        <f>IFERROR(INDEX('درجریان وصول'!F:F,MATCH(Table2[[#This Row],[كد تفصيلي]],'درجریان وصول'!A:A,0)),0)</f>
        <v>0</v>
      </c>
      <c r="E136" s="11">
        <f>IFERROR(INDEX('چکهای دریافتنی'!F:F,MATCH(Table2[[#This Row],[كد تفصيلي]],'چکهای دریافتنی'!A:A,0)),0)</f>
        <v>0</v>
      </c>
      <c r="F136" s="11">
        <f>Table2[[#This Row],[حسابهای دریافتنی]]+Table2[[#This Row],[چکهای در جریان وصول]]+Table2[[#This Row],[چکهای نزد صندوق]]</f>
        <v>0</v>
      </c>
      <c r="G136" s="12">
        <f>IFERROR(INDEX('مانده سوفاله'!F:F,MATCH(Table2[[#This Row],[كد تفصيلي]],'مانده سوفاله'!A:A,0)),0)</f>
        <v>0</v>
      </c>
    </row>
    <row r="137" spans="1:7" ht="18" customHeight="1" x14ac:dyDescent="0.25">
      <c r="A137" s="20">
        <v>10098</v>
      </c>
      <c r="B137" s="21" t="s">
        <v>275</v>
      </c>
      <c r="C137" s="10">
        <f>IFERROR(INDEX('حسابهای دریافتنی'!H:H,MATCH(Table2[[#This Row],[كد تفصيلي]],'حسابهای دریافتنی'!A:A,0)),0)</f>
        <v>0</v>
      </c>
      <c r="D137" s="11">
        <f>IFERROR(INDEX('درجریان وصول'!F:F,MATCH(Table2[[#This Row],[كد تفصيلي]],'درجریان وصول'!A:A,0)),0)</f>
        <v>0</v>
      </c>
      <c r="E137" s="11">
        <f>IFERROR(INDEX('چکهای دریافتنی'!F:F,MATCH(Table2[[#This Row],[كد تفصيلي]],'چکهای دریافتنی'!A:A,0)),0)</f>
        <v>0</v>
      </c>
      <c r="F137" s="11">
        <f>Table2[[#This Row],[حسابهای دریافتنی]]+Table2[[#This Row],[چکهای در جریان وصول]]+Table2[[#This Row],[چکهای نزد صندوق]]</f>
        <v>0</v>
      </c>
      <c r="G137" s="12">
        <f>IFERROR(INDEX('مانده سوفاله'!F:F,MATCH(Table2[[#This Row],[كد تفصيلي]],'مانده سوفاله'!A:A,0)),0)</f>
        <v>0</v>
      </c>
    </row>
    <row r="138" spans="1:7" ht="18" customHeight="1" x14ac:dyDescent="0.25">
      <c r="A138" s="18">
        <v>10099</v>
      </c>
      <c r="B138" s="19" t="s">
        <v>274</v>
      </c>
      <c r="C138" s="10">
        <f>IFERROR(INDEX('حسابهای دریافتنی'!H:H,MATCH(Table2[[#This Row],[كد تفصيلي]],'حسابهای دریافتنی'!A:A,0)),0)</f>
        <v>0</v>
      </c>
      <c r="D138" s="11">
        <f>IFERROR(INDEX('درجریان وصول'!F:F,MATCH(Table2[[#This Row],[كد تفصيلي]],'درجریان وصول'!A:A,0)),0)</f>
        <v>0</v>
      </c>
      <c r="E138" s="11">
        <f>IFERROR(INDEX('چکهای دریافتنی'!F:F,MATCH(Table2[[#This Row],[كد تفصيلي]],'چکهای دریافتنی'!A:A,0)),0)</f>
        <v>0</v>
      </c>
      <c r="F138" s="11">
        <f>Table2[[#This Row],[حسابهای دریافتنی]]+Table2[[#This Row],[چکهای در جریان وصول]]+Table2[[#This Row],[چکهای نزد صندوق]]</f>
        <v>0</v>
      </c>
      <c r="G138" s="12">
        <f>IFERROR(INDEX('مانده سوفاله'!F:F,MATCH(Table2[[#This Row],[كد تفصيلي]],'مانده سوفاله'!A:A,0)),0)</f>
        <v>0</v>
      </c>
    </row>
    <row r="139" spans="1:7" ht="18" customHeight="1" x14ac:dyDescent="0.25">
      <c r="A139" s="20">
        <v>10100</v>
      </c>
      <c r="B139" s="21" t="s">
        <v>277</v>
      </c>
      <c r="C139" s="10">
        <f>IFERROR(INDEX('حسابهای دریافتنی'!H:H,MATCH(Table2[[#This Row],[كد تفصيلي]],'حسابهای دریافتنی'!A:A,0)),0)</f>
        <v>0</v>
      </c>
      <c r="D139" s="11">
        <f>IFERROR(INDEX('درجریان وصول'!F:F,MATCH(Table2[[#This Row],[كد تفصيلي]],'درجریان وصول'!A:A,0)),0)</f>
        <v>0</v>
      </c>
      <c r="E139" s="11">
        <f>IFERROR(INDEX('چکهای دریافتنی'!F:F,MATCH(Table2[[#This Row],[كد تفصيلي]],'چکهای دریافتنی'!A:A,0)),0)</f>
        <v>0</v>
      </c>
      <c r="F139" s="11">
        <f>Table2[[#This Row],[حسابهای دریافتنی]]+Table2[[#This Row],[چکهای در جریان وصول]]+Table2[[#This Row],[چکهای نزد صندوق]]</f>
        <v>0</v>
      </c>
      <c r="G139" s="12">
        <f>IFERROR(INDEX('مانده سوفاله'!F:F,MATCH(Table2[[#This Row],[كد تفصيلي]],'مانده سوفاله'!A:A,0)),0)</f>
        <v>0</v>
      </c>
    </row>
    <row r="140" spans="1:7" ht="18" customHeight="1" x14ac:dyDescent="0.25">
      <c r="A140" s="78">
        <v>10107</v>
      </c>
      <c r="B140" s="35" t="s">
        <v>402</v>
      </c>
      <c r="C140" s="10">
        <f>IFERROR(INDEX('حسابهای دریافتنی'!H:H,MATCH(Table2[[#This Row],[كد تفصيلي]],'حسابهای دریافتنی'!A:A,0)),0)</f>
        <v>0</v>
      </c>
      <c r="D140" s="11">
        <f>IFERROR(INDEX('درجریان وصول'!F:F,MATCH(Table2[[#This Row],[كد تفصيلي]],'درجریان وصول'!A:A,0)),0)</f>
        <v>0</v>
      </c>
      <c r="E140" s="11">
        <f>IFERROR(INDEX('چکهای دریافتنی'!F:F,MATCH(Table2[[#This Row],[كد تفصيلي]],'چکهای دریافتنی'!A:A,0)),0)</f>
        <v>0</v>
      </c>
      <c r="F140" s="11">
        <f>Table2[[#This Row],[حسابهای دریافتنی]]+Table2[[#This Row],[چکهای در جریان وصول]]+Table2[[#This Row],[چکهای نزد صندوق]]</f>
        <v>0</v>
      </c>
      <c r="G140" s="12">
        <f>IFERROR(INDEX('مانده سوفاله'!F:F,MATCH(Table2[[#This Row],[كد تفصيلي]],'مانده سوفاله'!A:A,0)),0)</f>
        <v>0</v>
      </c>
    </row>
    <row r="141" spans="1:7" ht="18" customHeight="1" x14ac:dyDescent="0.25">
      <c r="A141" s="79">
        <v>10108</v>
      </c>
      <c r="B141" s="40" t="s">
        <v>300</v>
      </c>
      <c r="C141" s="10">
        <f>IFERROR(INDEX('حسابهای دریافتنی'!H:H,MATCH(Table2[[#This Row],[كد تفصيلي]],'حسابهای دریافتنی'!A:A,0)),0)</f>
        <v>0</v>
      </c>
      <c r="D141" s="11">
        <f>IFERROR(INDEX('درجریان وصول'!F:F,MATCH(Table2[[#This Row],[كد تفصيلي]],'درجریان وصول'!A:A,0)),0)</f>
        <v>0</v>
      </c>
      <c r="E141" s="11">
        <f>IFERROR(INDEX('چکهای دریافتنی'!F:F,MATCH(Table2[[#This Row],[كد تفصيلي]],'چکهای دریافتنی'!A:A,0)),0)</f>
        <v>0</v>
      </c>
      <c r="F141" s="11">
        <f>Table2[[#This Row],[حسابهای دریافتنی]]+Table2[[#This Row],[چکهای در جریان وصول]]+Table2[[#This Row],[چکهای نزد صندوق]]</f>
        <v>0</v>
      </c>
      <c r="G141" s="12">
        <f>IFERROR(INDEX('مانده سوفاله'!F:F,MATCH(Table2[[#This Row],[كد تفصيلي]],'مانده سوفاله'!A:A,0)),0)</f>
        <v>0</v>
      </c>
    </row>
    <row r="142" spans="1:7" ht="18" customHeight="1" x14ac:dyDescent="0.25">
      <c r="A142" s="78">
        <v>10111</v>
      </c>
      <c r="B142" s="35" t="s">
        <v>307</v>
      </c>
      <c r="C142" s="10">
        <f>IFERROR(INDEX('حسابهای دریافتنی'!H:H,MATCH(Table2[[#This Row],[كد تفصيلي]],'حسابهای دریافتنی'!A:A,0)),0)</f>
        <v>0</v>
      </c>
      <c r="D142" s="11">
        <f>IFERROR(INDEX('درجریان وصول'!F:F,MATCH(Table2[[#This Row],[كد تفصيلي]],'درجریان وصول'!A:A,0)),0)</f>
        <v>0</v>
      </c>
      <c r="E142" s="11">
        <f>IFERROR(INDEX('چکهای دریافتنی'!F:F,MATCH(Table2[[#This Row],[كد تفصيلي]],'چکهای دریافتنی'!A:A,0)),0)</f>
        <v>0</v>
      </c>
      <c r="F142" s="11">
        <f>Table2[[#This Row],[حسابهای دریافتنی]]+Table2[[#This Row],[چکهای در جریان وصول]]+Table2[[#This Row],[چکهای نزد صندوق]]</f>
        <v>0</v>
      </c>
      <c r="G142" s="12">
        <f>IFERROR(INDEX('مانده سوفاله'!F:F,MATCH(Table2[[#This Row],[كد تفصيلي]],'مانده سوفاله'!A:A,0)),0)</f>
        <v>0</v>
      </c>
    </row>
    <row r="143" spans="1:7" ht="18" customHeight="1" x14ac:dyDescent="0.25">
      <c r="A143" s="79">
        <v>10112</v>
      </c>
      <c r="B143" s="40" t="s">
        <v>314</v>
      </c>
      <c r="C143" s="10">
        <f>IFERROR(INDEX('حسابهای دریافتنی'!H:H,MATCH(Table2[[#This Row],[كد تفصيلي]],'حسابهای دریافتنی'!A:A,0)),0)</f>
        <v>0</v>
      </c>
      <c r="D143" s="11">
        <f>IFERROR(INDEX('درجریان وصول'!F:F,MATCH(Table2[[#This Row],[كد تفصيلي]],'درجریان وصول'!A:A,0)),0)</f>
        <v>0</v>
      </c>
      <c r="E143" s="11">
        <f>IFERROR(INDEX('چکهای دریافتنی'!F:F,MATCH(Table2[[#This Row],[كد تفصيلي]],'چکهای دریافتنی'!A:A,0)),0)</f>
        <v>0</v>
      </c>
      <c r="F143" s="11">
        <f>Table2[[#This Row],[حسابهای دریافتنی]]+Table2[[#This Row],[چکهای در جریان وصول]]+Table2[[#This Row],[چکهای نزد صندوق]]</f>
        <v>0</v>
      </c>
      <c r="G143" s="12">
        <f>IFERROR(INDEX('مانده سوفاله'!F:F,MATCH(Table2[[#This Row],[كد تفصيلي]],'مانده سوفاله'!A:A,0)),0)</f>
        <v>0</v>
      </c>
    </row>
    <row r="144" spans="1:7" ht="18" customHeight="1" x14ac:dyDescent="0.25">
      <c r="A144" s="78">
        <v>10113</v>
      </c>
      <c r="B144" s="35" t="s">
        <v>315</v>
      </c>
      <c r="C144" s="10">
        <f>IFERROR(INDEX('حسابهای دریافتنی'!H:H,MATCH(Table2[[#This Row],[كد تفصيلي]],'حسابهای دریافتنی'!A:A,0)),0)</f>
        <v>0</v>
      </c>
      <c r="D144" s="11">
        <f>IFERROR(INDEX('درجریان وصول'!F:F,MATCH(Table2[[#This Row],[كد تفصيلي]],'درجریان وصول'!A:A,0)),0)</f>
        <v>0</v>
      </c>
      <c r="E144" s="11">
        <f>IFERROR(INDEX('چکهای دریافتنی'!F:F,MATCH(Table2[[#This Row],[كد تفصيلي]],'چکهای دریافتنی'!A:A,0)),0)</f>
        <v>0</v>
      </c>
      <c r="F144" s="11">
        <f>Table2[[#This Row],[حسابهای دریافتنی]]+Table2[[#This Row],[چکهای در جریان وصول]]+Table2[[#This Row],[چکهای نزد صندوق]]</f>
        <v>0</v>
      </c>
      <c r="G144" s="12">
        <f>IFERROR(INDEX('مانده سوفاله'!F:F,MATCH(Table2[[#This Row],[كد تفصيلي]],'مانده سوفاله'!A:A,0)),0)</f>
        <v>0</v>
      </c>
    </row>
    <row r="145" spans="1:7" ht="18" customHeight="1" x14ac:dyDescent="0.25">
      <c r="A145" s="79">
        <v>10114</v>
      </c>
      <c r="B145" s="40" t="s">
        <v>316</v>
      </c>
      <c r="C145" s="10">
        <f>IFERROR(INDEX('حسابهای دریافتنی'!H:H,MATCH(Table2[[#This Row],[كد تفصيلي]],'حسابهای دریافتنی'!A:A,0)),0)</f>
        <v>0</v>
      </c>
      <c r="D145" s="11">
        <f>IFERROR(INDEX('درجریان وصول'!F:F,MATCH(Table2[[#This Row],[كد تفصيلي]],'درجریان وصول'!A:A,0)),0)</f>
        <v>0</v>
      </c>
      <c r="E145" s="11">
        <f>IFERROR(INDEX('چکهای دریافتنی'!F:F,MATCH(Table2[[#This Row],[كد تفصيلي]],'چکهای دریافتنی'!A:A,0)),0)</f>
        <v>0</v>
      </c>
      <c r="F145" s="11">
        <f>Table2[[#This Row],[حسابهای دریافتنی]]+Table2[[#This Row],[چکهای در جریان وصول]]+Table2[[#This Row],[چکهای نزد صندوق]]</f>
        <v>0</v>
      </c>
      <c r="G145" s="12">
        <f>IFERROR(INDEX('مانده سوفاله'!F:F,MATCH(Table2[[#This Row],[كد تفصيلي]],'مانده سوفاله'!A:A,0)),0)</f>
        <v>0</v>
      </c>
    </row>
    <row r="146" spans="1:7" ht="18" customHeight="1" x14ac:dyDescent="0.25">
      <c r="A146" s="78">
        <v>10115</v>
      </c>
      <c r="B146" s="35" t="s">
        <v>317</v>
      </c>
      <c r="C146" s="10">
        <f>IFERROR(INDEX('حسابهای دریافتنی'!H:H,MATCH(Table2[[#This Row],[كد تفصيلي]],'حسابهای دریافتنی'!A:A,0)),0)</f>
        <v>0</v>
      </c>
      <c r="D146" s="11">
        <f>IFERROR(INDEX('درجریان وصول'!F:F,MATCH(Table2[[#This Row],[كد تفصيلي]],'درجریان وصول'!A:A,0)),0)</f>
        <v>0</v>
      </c>
      <c r="E146" s="11">
        <f>IFERROR(INDEX('چکهای دریافتنی'!F:F,MATCH(Table2[[#This Row],[كد تفصيلي]],'چکهای دریافتنی'!A:A,0)),0)</f>
        <v>0</v>
      </c>
      <c r="F146" s="11">
        <f>Table2[[#This Row],[حسابهای دریافتنی]]+Table2[[#This Row],[چکهای در جریان وصول]]+Table2[[#This Row],[چکهای نزد صندوق]]</f>
        <v>0</v>
      </c>
      <c r="G146" s="12">
        <f>IFERROR(INDEX('مانده سوفاله'!F:F,MATCH(Table2[[#This Row],[كد تفصيلي]],'مانده سوفاله'!A:A,0)),0)</f>
        <v>0</v>
      </c>
    </row>
    <row r="147" spans="1:7" ht="18" customHeight="1" x14ac:dyDescent="0.25">
      <c r="A147" s="78">
        <v>10117</v>
      </c>
      <c r="B147" s="35" t="s">
        <v>324</v>
      </c>
      <c r="C147" s="10">
        <f>IFERROR(INDEX('حسابهای دریافتنی'!H:H,MATCH(Table2[[#This Row],[كد تفصيلي]],'حسابهای دریافتنی'!A:A,0)),0)</f>
        <v>0</v>
      </c>
      <c r="D147" s="11">
        <f>IFERROR(INDEX('درجریان وصول'!F:F,MATCH(Table2[[#This Row],[كد تفصيلي]],'درجریان وصول'!A:A,0)),0)</f>
        <v>0</v>
      </c>
      <c r="E147" s="11">
        <f>IFERROR(INDEX('چکهای دریافتنی'!F:F,MATCH(Table2[[#This Row],[كد تفصيلي]],'چکهای دریافتنی'!A:A,0)),0)</f>
        <v>0</v>
      </c>
      <c r="F147" s="11">
        <f>Table2[[#This Row],[حسابهای دریافتنی]]+Table2[[#This Row],[چکهای در جریان وصول]]+Table2[[#This Row],[چکهای نزد صندوق]]</f>
        <v>0</v>
      </c>
      <c r="G147" s="12">
        <f>IFERROR(INDEX('مانده سوفاله'!F:F,MATCH(Table2[[#This Row],[كد تفصيلي]],'مانده سوفاله'!A:A,0)),0)</f>
        <v>0</v>
      </c>
    </row>
    <row r="148" spans="1:7" ht="18" customHeight="1" x14ac:dyDescent="0.25">
      <c r="A148" s="79">
        <v>10120</v>
      </c>
      <c r="B148" s="40" t="s">
        <v>337</v>
      </c>
      <c r="C148" s="10">
        <f>IFERROR(INDEX('حسابهای دریافتنی'!H:H,MATCH(Table2[[#This Row],[كد تفصيلي]],'حسابهای دریافتنی'!A:A,0)),0)</f>
        <v>0</v>
      </c>
      <c r="D148" s="11">
        <f>IFERROR(INDEX('درجریان وصول'!F:F,MATCH(Table2[[#This Row],[كد تفصيلي]],'درجریان وصول'!A:A,0)),0)</f>
        <v>0</v>
      </c>
      <c r="E148" s="11">
        <f>IFERROR(INDEX('چکهای دریافتنی'!F:F,MATCH(Table2[[#This Row],[كد تفصيلي]],'چکهای دریافتنی'!A:A,0)),0)</f>
        <v>0</v>
      </c>
      <c r="F148" s="11">
        <f>Table2[[#This Row],[حسابهای دریافتنی]]+Table2[[#This Row],[چکهای در جریان وصول]]+Table2[[#This Row],[چکهای نزد صندوق]]</f>
        <v>0</v>
      </c>
      <c r="G148" s="12">
        <f>IFERROR(INDEX('مانده سوفاله'!F:F,MATCH(Table2[[#This Row],[كد تفصيلي]],'مانده سوفاله'!A:A,0)),0)</f>
        <v>0</v>
      </c>
    </row>
    <row r="149" spans="1:7" ht="18" customHeight="1" x14ac:dyDescent="0.25">
      <c r="A149" s="78">
        <v>10121</v>
      </c>
      <c r="B149" s="35" t="s">
        <v>338</v>
      </c>
      <c r="C149" s="10">
        <f>IFERROR(INDEX('حسابهای دریافتنی'!H:H,MATCH(Table2[[#This Row],[كد تفصيلي]],'حسابهای دریافتنی'!A:A,0)),0)</f>
        <v>0</v>
      </c>
      <c r="D149" s="11">
        <f>IFERROR(INDEX('درجریان وصول'!F:F,MATCH(Table2[[#This Row],[كد تفصيلي]],'درجریان وصول'!A:A,0)),0)</f>
        <v>0</v>
      </c>
      <c r="E149" s="11">
        <f>IFERROR(INDEX('چکهای دریافتنی'!F:F,MATCH(Table2[[#This Row],[كد تفصيلي]],'چکهای دریافتنی'!A:A,0)),0)</f>
        <v>0</v>
      </c>
      <c r="F149" s="11">
        <f>Table2[[#This Row],[حسابهای دریافتنی]]+Table2[[#This Row],[چکهای در جریان وصول]]+Table2[[#This Row],[چکهای نزد صندوق]]</f>
        <v>0</v>
      </c>
      <c r="G149" s="12">
        <f>IFERROR(INDEX('مانده سوفاله'!F:F,MATCH(Table2[[#This Row],[كد تفصيلي]],'مانده سوفاله'!A:A,0)),0)</f>
        <v>0</v>
      </c>
    </row>
    <row r="150" spans="1:7" ht="18" customHeight="1" x14ac:dyDescent="0.25">
      <c r="A150" s="79">
        <v>10124</v>
      </c>
      <c r="B150" s="40" t="s">
        <v>344</v>
      </c>
      <c r="C150" s="10">
        <f>IFERROR(INDEX('حسابهای دریافتنی'!H:H,MATCH(Table2[[#This Row],[كد تفصيلي]],'حسابهای دریافتنی'!A:A,0)),0)</f>
        <v>0</v>
      </c>
      <c r="D150" s="11">
        <f>IFERROR(INDEX('درجریان وصول'!F:F,MATCH(Table2[[#This Row],[كد تفصيلي]],'درجریان وصول'!A:A,0)),0)</f>
        <v>0</v>
      </c>
      <c r="E150" s="11">
        <f>IFERROR(INDEX('چکهای دریافتنی'!F:F,MATCH(Table2[[#This Row],[كد تفصيلي]],'چکهای دریافتنی'!A:A,0)),0)</f>
        <v>0</v>
      </c>
      <c r="F150" s="11">
        <f>Table2[[#This Row],[حسابهای دریافتنی]]+Table2[[#This Row],[چکهای در جریان وصول]]+Table2[[#This Row],[چکهای نزد صندوق]]</f>
        <v>0</v>
      </c>
      <c r="G150" s="12">
        <f>IFERROR(INDEX('مانده سوفاله'!F:F,MATCH(Table2[[#This Row],[كد تفصيلي]],'مانده سوفاله'!A:A,0)),0)</f>
        <v>0</v>
      </c>
    </row>
    <row r="151" spans="1:7" ht="18" customHeight="1" x14ac:dyDescent="0.25">
      <c r="A151" s="20">
        <v>30002</v>
      </c>
      <c r="B151" s="21" t="s">
        <v>52</v>
      </c>
      <c r="C151" s="10">
        <f>IFERROR(INDEX('حسابهای دریافتنی'!H:H,MATCH(Table2[[#This Row],[كد تفصيلي]],'حسابهای دریافتنی'!A:A,0)),0)</f>
        <v>0</v>
      </c>
      <c r="D151" s="11">
        <f>IFERROR(INDEX('درجریان وصول'!F:F,MATCH(Table2[[#This Row],[كد تفصيلي]],'درجریان وصول'!A:A,0)),0)</f>
        <v>0</v>
      </c>
      <c r="E151" s="11">
        <f>IFERROR(INDEX('چکهای دریافتنی'!F:F,MATCH(Table2[[#This Row],[كد تفصيلي]],'چکهای دریافتنی'!A:A,0)),0)</f>
        <v>0</v>
      </c>
      <c r="F151" s="11">
        <f>Table2[[#This Row],[حسابهای دریافتنی]]+Table2[[#This Row],[چکهای در جریان وصول]]+Table2[[#This Row],[چکهای نزد صندوق]]</f>
        <v>0</v>
      </c>
      <c r="G151" s="12">
        <f>IFERROR(INDEX('مانده سوفاله'!F:F,MATCH(Table2[[#This Row],[كد تفصيلي]],'مانده سوفاله'!A:A,0)),0)</f>
        <v>0</v>
      </c>
    </row>
    <row r="152" spans="1:7" ht="18" customHeight="1" x14ac:dyDescent="0.25">
      <c r="A152" s="18">
        <v>30007</v>
      </c>
      <c r="B152" s="19" t="s">
        <v>57</v>
      </c>
      <c r="C152" s="10">
        <f>IFERROR(INDEX('حسابهای دریافتنی'!H:H,MATCH(Table2[[#This Row],[كد تفصيلي]],'حسابهای دریافتنی'!A:A,0)),0)</f>
        <v>0</v>
      </c>
      <c r="D152" s="11">
        <f>IFERROR(INDEX('درجریان وصول'!F:F,MATCH(Table2[[#This Row],[كد تفصيلي]],'درجریان وصول'!A:A,0)),0)</f>
        <v>0</v>
      </c>
      <c r="E152" s="11">
        <f>IFERROR(INDEX('چکهای دریافتنی'!F:F,MATCH(Table2[[#This Row],[كد تفصيلي]],'چکهای دریافتنی'!A:A,0)),0)</f>
        <v>0</v>
      </c>
      <c r="F152" s="11">
        <f>Table2[[#This Row],[حسابهای دریافتنی]]+Table2[[#This Row],[چکهای در جریان وصول]]+Table2[[#This Row],[چکهای نزد صندوق]]</f>
        <v>0</v>
      </c>
      <c r="G152" s="12">
        <f>IFERROR(INDEX('مانده سوفاله'!F:F,MATCH(Table2[[#This Row],[كد تفصيلي]],'مانده سوفاله'!A:A,0)),0)</f>
        <v>0</v>
      </c>
    </row>
    <row r="153" spans="1:7" ht="18" customHeight="1" x14ac:dyDescent="0.25">
      <c r="A153" s="20">
        <v>30016</v>
      </c>
      <c r="B153" s="21" t="s">
        <v>253</v>
      </c>
      <c r="C153" s="10">
        <f>IFERROR(INDEX('حسابهای دریافتنی'!H:H,MATCH(Table2[[#This Row],[كد تفصيلي]],'حسابهای دریافتنی'!A:A,0)),0)</f>
        <v>0</v>
      </c>
      <c r="D153" s="11">
        <f>IFERROR(INDEX('درجریان وصول'!F:F,MATCH(Table2[[#This Row],[كد تفصيلي]],'درجریان وصول'!A:A,0)),0)</f>
        <v>0</v>
      </c>
      <c r="E153" s="11">
        <f>IFERROR(INDEX('چکهای دریافتنی'!F:F,MATCH(Table2[[#This Row],[كد تفصيلي]],'چکهای دریافتنی'!A:A,0)),0)</f>
        <v>0</v>
      </c>
      <c r="F153" s="11">
        <f>Table2[[#This Row],[حسابهای دریافتنی]]+Table2[[#This Row],[چکهای در جریان وصول]]+Table2[[#This Row],[چکهای نزد صندوق]]</f>
        <v>0</v>
      </c>
      <c r="G153" s="12">
        <f>IFERROR(INDEX('مانده سوفاله'!F:F,MATCH(Table2[[#This Row],[كد تفصيلي]],'مانده سوفاله'!A:A,0)),0)</f>
        <v>0</v>
      </c>
    </row>
    <row r="154" spans="1:7" ht="18" customHeight="1" x14ac:dyDescent="0.25">
      <c r="A154" s="18">
        <v>30029</v>
      </c>
      <c r="B154" s="19" t="s">
        <v>284</v>
      </c>
      <c r="C154" s="10">
        <f>IFERROR(INDEX('حسابهای دریافتنی'!H:H,MATCH(Table2[[#This Row],[كد تفصيلي]],'حسابهای دریافتنی'!A:A,0)),0)</f>
        <v>0</v>
      </c>
      <c r="D154" s="11">
        <f>IFERROR(INDEX('درجریان وصول'!F:F,MATCH(Table2[[#This Row],[كد تفصيلي]],'درجریان وصول'!A:A,0)),0)</f>
        <v>0</v>
      </c>
      <c r="E154" s="11">
        <f>IFERROR(INDEX('چکهای دریافتنی'!F:F,MATCH(Table2[[#This Row],[كد تفصيلي]],'چکهای دریافتنی'!A:A,0)),0)</f>
        <v>0</v>
      </c>
      <c r="F154" s="11">
        <f>Table2[[#This Row],[حسابهای دریافتنی]]+Table2[[#This Row],[چکهای در جریان وصول]]+Table2[[#This Row],[چکهای نزد صندوق]]</f>
        <v>0</v>
      </c>
      <c r="G154" s="12">
        <f>IFERROR(INDEX('مانده سوفاله'!F:F,MATCH(Table2[[#This Row],[كد تفصيلي]],'مانده سوفاله'!A:A,0)),0)</f>
        <v>0</v>
      </c>
    </row>
    <row r="155" spans="1:7" ht="18" customHeight="1" x14ac:dyDescent="0.25">
      <c r="A155" s="18">
        <v>30031</v>
      </c>
      <c r="B155" s="19" t="s">
        <v>78</v>
      </c>
      <c r="C155" s="10">
        <f>IFERROR(INDEX('حسابهای دریافتنی'!H:H,MATCH(Table2[[#This Row],[كد تفصيلي]],'حسابهای دریافتنی'!A:A,0)),0)</f>
        <v>0</v>
      </c>
      <c r="D155" s="11">
        <f>IFERROR(INDEX('درجریان وصول'!F:F,MATCH(Table2[[#This Row],[كد تفصيلي]],'درجریان وصول'!A:A,0)),0)</f>
        <v>0</v>
      </c>
      <c r="E155" s="11">
        <f>IFERROR(INDEX('چکهای دریافتنی'!F:F,MATCH(Table2[[#This Row],[كد تفصيلي]],'چکهای دریافتنی'!A:A,0)),0)</f>
        <v>0</v>
      </c>
      <c r="F155" s="11">
        <f>Table2[[#This Row],[حسابهای دریافتنی]]+Table2[[#This Row],[چکهای در جریان وصول]]+Table2[[#This Row],[چکهای نزد صندوق]]</f>
        <v>0</v>
      </c>
      <c r="G155" s="12">
        <f>IFERROR(INDEX('مانده سوفاله'!F:F,MATCH(Table2[[#This Row],[كد تفصيلي]],'مانده سوفاله'!A:A,0)),0)</f>
        <v>-1</v>
      </c>
    </row>
    <row r="156" spans="1:7" ht="18" customHeight="1" x14ac:dyDescent="0.25">
      <c r="A156" s="18">
        <v>30033</v>
      </c>
      <c r="B156" s="19" t="s">
        <v>80</v>
      </c>
      <c r="C156" s="10">
        <f>IFERROR(INDEX('حسابهای دریافتنی'!H:H,MATCH(Table2[[#This Row],[كد تفصيلي]],'حسابهای دریافتنی'!A:A,0)),0)</f>
        <v>0</v>
      </c>
      <c r="D156" s="11">
        <f>IFERROR(INDEX('درجریان وصول'!F:F,MATCH(Table2[[#This Row],[كد تفصيلي]],'درجریان وصول'!A:A,0)),0)</f>
        <v>0</v>
      </c>
      <c r="E156" s="11">
        <f>IFERROR(INDEX('چکهای دریافتنی'!F:F,MATCH(Table2[[#This Row],[كد تفصيلي]],'چکهای دریافتنی'!A:A,0)),0)</f>
        <v>0</v>
      </c>
      <c r="F156" s="11">
        <f>Table2[[#This Row],[حسابهای دریافتنی]]+Table2[[#This Row],[چکهای در جریان وصول]]+Table2[[#This Row],[چکهای نزد صندوق]]</f>
        <v>0</v>
      </c>
      <c r="G156" s="12">
        <f>IFERROR(INDEX('مانده سوفاله'!F:F,MATCH(Table2[[#This Row],[كد تفصيلي]],'مانده سوفاله'!A:A,0)),0)</f>
        <v>0</v>
      </c>
    </row>
    <row r="157" spans="1:7" ht="18" customHeight="1" x14ac:dyDescent="0.25">
      <c r="A157" s="20">
        <v>30036</v>
      </c>
      <c r="B157" s="21" t="s">
        <v>83</v>
      </c>
      <c r="C157" s="10">
        <f>IFERROR(INDEX('حسابهای دریافتنی'!H:H,MATCH(Table2[[#This Row],[كد تفصيلي]],'حسابهای دریافتنی'!A:A,0)),0)</f>
        <v>0</v>
      </c>
      <c r="D157" s="11">
        <f>IFERROR(INDEX('درجریان وصول'!F:F,MATCH(Table2[[#This Row],[كد تفصيلي]],'درجریان وصول'!A:A,0)),0)</f>
        <v>0</v>
      </c>
      <c r="E157" s="11">
        <f>IFERROR(INDEX('چکهای دریافتنی'!F:F,MATCH(Table2[[#This Row],[كد تفصيلي]],'چکهای دریافتنی'!A:A,0)),0)</f>
        <v>0</v>
      </c>
      <c r="F157" s="11">
        <f>Table2[[#This Row],[حسابهای دریافتنی]]+Table2[[#This Row],[چکهای در جریان وصول]]+Table2[[#This Row],[چکهای نزد صندوق]]</f>
        <v>0</v>
      </c>
      <c r="G157" s="12">
        <f>IFERROR(INDEX('مانده سوفاله'!F:F,MATCH(Table2[[#This Row],[كد تفصيلي]],'مانده سوفاله'!A:A,0)),0)</f>
        <v>0</v>
      </c>
    </row>
    <row r="158" spans="1:7" ht="18" customHeight="1" x14ac:dyDescent="0.25">
      <c r="A158" s="18">
        <v>30037</v>
      </c>
      <c r="B158" s="19" t="s">
        <v>84</v>
      </c>
      <c r="C158" s="10">
        <f>IFERROR(INDEX('حسابهای دریافتنی'!H:H,MATCH(Table2[[#This Row],[كد تفصيلي]],'حسابهای دریافتنی'!A:A,0)),0)</f>
        <v>0</v>
      </c>
      <c r="D158" s="11">
        <f>IFERROR(INDEX('درجریان وصول'!F:F,MATCH(Table2[[#This Row],[كد تفصيلي]],'درجریان وصول'!A:A,0)),0)</f>
        <v>0</v>
      </c>
      <c r="E158" s="11">
        <f>IFERROR(INDEX('چکهای دریافتنی'!F:F,MATCH(Table2[[#This Row],[كد تفصيلي]],'چکهای دریافتنی'!A:A,0)),0)</f>
        <v>0</v>
      </c>
      <c r="F158" s="11">
        <f>Table2[[#This Row],[حسابهای دریافتنی]]+Table2[[#This Row],[چکهای در جریان وصول]]+Table2[[#This Row],[چکهای نزد صندوق]]</f>
        <v>0</v>
      </c>
      <c r="G158" s="12">
        <f>IFERROR(INDEX('مانده سوفاله'!F:F,MATCH(Table2[[#This Row],[كد تفصيلي]],'مانده سوفاله'!A:A,0)),0)</f>
        <v>0</v>
      </c>
    </row>
    <row r="159" spans="1:7" ht="18" customHeight="1" x14ac:dyDescent="0.25">
      <c r="A159" s="20">
        <v>30038</v>
      </c>
      <c r="B159" s="21" t="s">
        <v>85</v>
      </c>
      <c r="C159" s="10">
        <f>IFERROR(INDEX('حسابهای دریافتنی'!H:H,MATCH(Table2[[#This Row],[كد تفصيلي]],'حسابهای دریافتنی'!A:A,0)),0)</f>
        <v>0</v>
      </c>
      <c r="D159" s="11">
        <f>IFERROR(INDEX('درجریان وصول'!F:F,MATCH(Table2[[#This Row],[كد تفصيلي]],'درجریان وصول'!A:A,0)),0)</f>
        <v>0</v>
      </c>
      <c r="E159" s="11">
        <f>IFERROR(INDEX('چکهای دریافتنی'!F:F,MATCH(Table2[[#This Row],[كد تفصيلي]],'چکهای دریافتنی'!A:A,0)),0)</f>
        <v>0</v>
      </c>
      <c r="F159" s="11">
        <f>Table2[[#This Row],[حسابهای دریافتنی]]+Table2[[#This Row],[چکهای در جریان وصول]]+Table2[[#This Row],[چکهای نزد صندوق]]</f>
        <v>0</v>
      </c>
      <c r="G159" s="12">
        <f>IFERROR(INDEX('مانده سوفاله'!F:F,MATCH(Table2[[#This Row],[كد تفصيلي]],'مانده سوفاله'!A:A,0)),0)</f>
        <v>0</v>
      </c>
    </row>
    <row r="160" spans="1:7" ht="18" customHeight="1" x14ac:dyDescent="0.25">
      <c r="A160" s="18">
        <v>30039</v>
      </c>
      <c r="B160" s="19" t="s">
        <v>86</v>
      </c>
      <c r="C160" s="10">
        <f>IFERROR(INDEX('حسابهای دریافتنی'!H:H,MATCH(Table2[[#This Row],[كد تفصيلي]],'حسابهای دریافتنی'!A:A,0)),0)</f>
        <v>0</v>
      </c>
      <c r="D160" s="11">
        <f>IFERROR(INDEX('درجریان وصول'!F:F,MATCH(Table2[[#This Row],[كد تفصيلي]],'درجریان وصول'!A:A,0)),0)</f>
        <v>0</v>
      </c>
      <c r="E160" s="11">
        <f>IFERROR(INDEX('چکهای دریافتنی'!F:F,MATCH(Table2[[#This Row],[كد تفصيلي]],'چکهای دریافتنی'!A:A,0)),0)</f>
        <v>0</v>
      </c>
      <c r="F160" s="11">
        <f>Table2[[#This Row],[حسابهای دریافتنی]]+Table2[[#This Row],[چکهای در جریان وصول]]+Table2[[#This Row],[چکهای نزد صندوق]]</f>
        <v>0</v>
      </c>
      <c r="G160" s="12">
        <f>IFERROR(INDEX('مانده سوفاله'!F:F,MATCH(Table2[[#This Row],[كد تفصيلي]],'مانده سوفاله'!A:A,0)),0)</f>
        <v>0</v>
      </c>
    </row>
    <row r="161" spans="1:7" ht="18" customHeight="1" x14ac:dyDescent="0.25">
      <c r="A161" s="18">
        <v>30041</v>
      </c>
      <c r="B161" s="19" t="s">
        <v>88</v>
      </c>
      <c r="C161" s="10">
        <f>IFERROR(INDEX('حسابهای دریافتنی'!H:H,MATCH(Table2[[#This Row],[كد تفصيلي]],'حسابهای دریافتنی'!A:A,0)),0)</f>
        <v>0</v>
      </c>
      <c r="D161" s="11">
        <f>IFERROR(INDEX('درجریان وصول'!F:F,MATCH(Table2[[#This Row],[كد تفصيلي]],'درجریان وصول'!A:A,0)),0)</f>
        <v>0</v>
      </c>
      <c r="E161" s="11">
        <f>IFERROR(INDEX('چکهای دریافتنی'!F:F,MATCH(Table2[[#This Row],[كد تفصيلي]],'چکهای دریافتنی'!A:A,0)),0)</f>
        <v>0</v>
      </c>
      <c r="F161" s="11">
        <f>Table2[[#This Row],[حسابهای دریافتنی]]+Table2[[#This Row],[چکهای در جریان وصول]]+Table2[[#This Row],[چکهای نزد صندوق]]</f>
        <v>0</v>
      </c>
      <c r="G161" s="12">
        <f>IFERROR(INDEX('مانده سوفاله'!F:F,MATCH(Table2[[#This Row],[كد تفصيلي]],'مانده سوفاله'!A:A,0)),0)</f>
        <v>0</v>
      </c>
    </row>
    <row r="162" spans="1:7" ht="18" customHeight="1" x14ac:dyDescent="0.25">
      <c r="A162" s="18">
        <v>30043</v>
      </c>
      <c r="B162" s="19" t="s">
        <v>90</v>
      </c>
      <c r="C162" s="10">
        <f>IFERROR(INDEX('حسابهای دریافتنی'!H:H,MATCH(Table2[[#This Row],[كد تفصيلي]],'حسابهای دریافتنی'!A:A,0)),0)</f>
        <v>0</v>
      </c>
      <c r="D162" s="11">
        <f>IFERROR(INDEX('درجریان وصول'!F:F,MATCH(Table2[[#This Row],[كد تفصيلي]],'درجریان وصول'!A:A,0)),0)</f>
        <v>0</v>
      </c>
      <c r="E162" s="11">
        <f>IFERROR(INDEX('چکهای دریافتنی'!F:F,MATCH(Table2[[#This Row],[كد تفصيلي]],'چکهای دریافتنی'!A:A,0)),0)</f>
        <v>0</v>
      </c>
      <c r="F162" s="11">
        <f>Table2[[#This Row],[حسابهای دریافتنی]]+Table2[[#This Row],[چکهای در جریان وصول]]+Table2[[#This Row],[چکهای نزد صندوق]]</f>
        <v>0</v>
      </c>
      <c r="G162" s="12">
        <f>IFERROR(INDEX('مانده سوفاله'!F:F,MATCH(Table2[[#This Row],[كد تفصيلي]],'مانده سوفاله'!A:A,0)),0)</f>
        <v>0</v>
      </c>
    </row>
    <row r="163" spans="1:7" ht="18" customHeight="1" x14ac:dyDescent="0.25">
      <c r="A163" s="20">
        <v>30046</v>
      </c>
      <c r="B163" s="21" t="s">
        <v>93</v>
      </c>
      <c r="C163" s="10">
        <f>IFERROR(INDEX('حسابهای دریافتنی'!H:H,MATCH(Table2[[#This Row],[كد تفصيلي]],'حسابهای دریافتنی'!A:A,0)),0)</f>
        <v>0</v>
      </c>
      <c r="D163" s="11">
        <f>IFERROR(INDEX('درجریان وصول'!F:F,MATCH(Table2[[#This Row],[كد تفصيلي]],'درجریان وصول'!A:A,0)),0)</f>
        <v>0</v>
      </c>
      <c r="E163" s="11">
        <f>IFERROR(INDEX('چکهای دریافتنی'!F:F,MATCH(Table2[[#This Row],[كد تفصيلي]],'چکهای دریافتنی'!A:A,0)),0)</f>
        <v>0</v>
      </c>
      <c r="F163" s="11">
        <f>Table2[[#This Row],[حسابهای دریافتنی]]+Table2[[#This Row],[چکهای در جریان وصول]]+Table2[[#This Row],[چکهای نزد صندوق]]</f>
        <v>0</v>
      </c>
      <c r="G163" s="12">
        <f>IFERROR(INDEX('مانده سوفاله'!F:F,MATCH(Table2[[#This Row],[كد تفصيلي]],'مانده سوفاله'!A:A,0)),0)</f>
        <v>0</v>
      </c>
    </row>
    <row r="164" spans="1:7" ht="18" customHeight="1" x14ac:dyDescent="0.25">
      <c r="A164" s="20">
        <v>30048</v>
      </c>
      <c r="B164" s="21" t="s">
        <v>95</v>
      </c>
      <c r="C164" s="10">
        <f>IFERROR(INDEX('حسابهای دریافتنی'!H:H,MATCH(Table2[[#This Row],[كد تفصيلي]],'حسابهای دریافتنی'!A:A,0)),0)</f>
        <v>0</v>
      </c>
      <c r="D164" s="11">
        <f>IFERROR(INDEX('درجریان وصول'!F:F,MATCH(Table2[[#This Row],[كد تفصيلي]],'درجریان وصول'!A:A,0)),0)</f>
        <v>0</v>
      </c>
      <c r="E164" s="11">
        <f>IFERROR(INDEX('چکهای دریافتنی'!F:F,MATCH(Table2[[#This Row],[كد تفصيلي]],'چکهای دریافتنی'!A:A,0)),0)</f>
        <v>0</v>
      </c>
      <c r="F164" s="11">
        <f>Table2[[#This Row],[حسابهای دریافتنی]]+Table2[[#This Row],[چکهای در جریان وصول]]+Table2[[#This Row],[چکهای نزد صندوق]]</f>
        <v>0</v>
      </c>
      <c r="G164" s="12">
        <f>IFERROR(INDEX('مانده سوفاله'!F:F,MATCH(Table2[[#This Row],[كد تفصيلي]],'مانده سوفاله'!A:A,0)),0)</f>
        <v>0</v>
      </c>
    </row>
    <row r="165" spans="1:7" ht="18" customHeight="1" x14ac:dyDescent="0.25">
      <c r="A165" s="18">
        <v>30049</v>
      </c>
      <c r="B165" s="19" t="s">
        <v>96</v>
      </c>
      <c r="C165" s="10">
        <f>IFERROR(INDEX('حسابهای دریافتنی'!H:H,MATCH(Table2[[#This Row],[كد تفصيلي]],'حسابهای دریافتنی'!A:A,0)),0)</f>
        <v>0</v>
      </c>
      <c r="D165" s="11">
        <f>IFERROR(INDEX('درجریان وصول'!F:F,MATCH(Table2[[#This Row],[كد تفصيلي]],'درجریان وصول'!A:A,0)),0)</f>
        <v>0</v>
      </c>
      <c r="E165" s="11">
        <f>IFERROR(INDEX('چکهای دریافتنی'!F:F,MATCH(Table2[[#This Row],[كد تفصيلي]],'چکهای دریافتنی'!A:A,0)),0)</f>
        <v>0</v>
      </c>
      <c r="F165" s="11">
        <f>Table2[[#This Row],[حسابهای دریافتنی]]+Table2[[#This Row],[چکهای در جریان وصول]]+Table2[[#This Row],[چکهای نزد صندوق]]</f>
        <v>0</v>
      </c>
      <c r="G165" s="12">
        <f>IFERROR(INDEX('مانده سوفاله'!F:F,MATCH(Table2[[#This Row],[كد تفصيلي]],'مانده سوفاله'!A:A,0)),0)</f>
        <v>0</v>
      </c>
    </row>
    <row r="166" spans="1:7" ht="18" customHeight="1" x14ac:dyDescent="0.25">
      <c r="A166" s="20">
        <v>30050</v>
      </c>
      <c r="B166" s="21" t="s">
        <v>97</v>
      </c>
      <c r="C166" s="10">
        <f>IFERROR(INDEX('حسابهای دریافتنی'!H:H,MATCH(Table2[[#This Row],[كد تفصيلي]],'حسابهای دریافتنی'!A:A,0)),0)</f>
        <v>0</v>
      </c>
      <c r="D166" s="11">
        <f>IFERROR(INDEX('درجریان وصول'!F:F,MATCH(Table2[[#This Row],[كد تفصيلي]],'درجریان وصول'!A:A,0)),0)</f>
        <v>0</v>
      </c>
      <c r="E166" s="11">
        <f>IFERROR(INDEX('چکهای دریافتنی'!F:F,MATCH(Table2[[#This Row],[كد تفصيلي]],'چکهای دریافتنی'!A:A,0)),0)</f>
        <v>0</v>
      </c>
      <c r="F166" s="11">
        <f>Table2[[#This Row],[حسابهای دریافتنی]]+Table2[[#This Row],[چکهای در جریان وصول]]+Table2[[#This Row],[چکهای نزد صندوق]]</f>
        <v>0</v>
      </c>
      <c r="G166" s="12">
        <f>IFERROR(INDEX('مانده سوفاله'!F:F,MATCH(Table2[[#This Row],[كد تفصيلي]],'مانده سوفاله'!A:A,0)),0)</f>
        <v>0</v>
      </c>
    </row>
    <row r="167" spans="1:7" ht="18" customHeight="1" x14ac:dyDescent="0.25">
      <c r="A167" s="18">
        <v>30054</v>
      </c>
      <c r="B167" s="19" t="s">
        <v>99</v>
      </c>
      <c r="C167" s="10">
        <f>IFERROR(INDEX('حسابهای دریافتنی'!H:H,MATCH(Table2[[#This Row],[كد تفصيلي]],'حسابهای دریافتنی'!A:A,0)),0)</f>
        <v>0</v>
      </c>
      <c r="D167" s="11">
        <f>IFERROR(INDEX('درجریان وصول'!F:F,MATCH(Table2[[#This Row],[كد تفصيلي]],'درجریان وصول'!A:A,0)),0)</f>
        <v>0</v>
      </c>
      <c r="E167" s="11">
        <f>IFERROR(INDEX('چکهای دریافتنی'!F:F,MATCH(Table2[[#This Row],[كد تفصيلي]],'چکهای دریافتنی'!A:A,0)),0)</f>
        <v>0</v>
      </c>
      <c r="F167" s="11">
        <f>Table2[[#This Row],[حسابهای دریافتنی]]+Table2[[#This Row],[چکهای در جریان وصول]]+Table2[[#This Row],[چکهای نزد صندوق]]</f>
        <v>0</v>
      </c>
      <c r="G167" s="12">
        <f>IFERROR(INDEX('مانده سوفاله'!F:F,MATCH(Table2[[#This Row],[كد تفصيلي]],'مانده سوفاله'!A:A,0)),0)</f>
        <v>0</v>
      </c>
    </row>
    <row r="168" spans="1:7" ht="18" customHeight="1" x14ac:dyDescent="0.25">
      <c r="A168" s="20">
        <v>30055</v>
      </c>
      <c r="B168" s="21" t="s">
        <v>100</v>
      </c>
      <c r="C168" s="10">
        <f>IFERROR(INDEX('حسابهای دریافتنی'!H:H,MATCH(Table2[[#This Row],[كد تفصيلي]],'حسابهای دریافتنی'!A:A,0)),0)</f>
        <v>0</v>
      </c>
      <c r="D168" s="11">
        <f>IFERROR(INDEX('درجریان وصول'!F:F,MATCH(Table2[[#This Row],[كد تفصيلي]],'درجریان وصول'!A:A,0)),0)</f>
        <v>0</v>
      </c>
      <c r="E168" s="11">
        <f>IFERROR(INDEX('چکهای دریافتنی'!F:F,MATCH(Table2[[#This Row],[كد تفصيلي]],'چکهای دریافتنی'!A:A,0)),0)</f>
        <v>0</v>
      </c>
      <c r="F168" s="11">
        <f>Table2[[#This Row],[حسابهای دریافتنی]]+Table2[[#This Row],[چکهای در جریان وصول]]+Table2[[#This Row],[چکهای نزد صندوق]]</f>
        <v>0</v>
      </c>
      <c r="G168" s="12">
        <f>IFERROR(INDEX('مانده سوفاله'!F:F,MATCH(Table2[[#This Row],[كد تفصيلي]],'مانده سوفاله'!A:A,0)),0)</f>
        <v>48</v>
      </c>
    </row>
    <row r="169" spans="1:7" ht="18" customHeight="1" x14ac:dyDescent="0.25">
      <c r="A169" s="18">
        <v>30056</v>
      </c>
      <c r="B169" s="19" t="s">
        <v>101</v>
      </c>
      <c r="C169" s="10">
        <f>IFERROR(INDEX('حسابهای دریافتنی'!H:H,MATCH(Table2[[#This Row],[كد تفصيلي]],'حسابهای دریافتنی'!A:A,0)),0)</f>
        <v>0</v>
      </c>
      <c r="D169" s="11">
        <f>IFERROR(INDEX('درجریان وصول'!F:F,MATCH(Table2[[#This Row],[كد تفصيلي]],'درجریان وصول'!A:A,0)),0)</f>
        <v>0</v>
      </c>
      <c r="E169" s="11">
        <f>IFERROR(INDEX('چکهای دریافتنی'!F:F,MATCH(Table2[[#This Row],[كد تفصيلي]],'چکهای دریافتنی'!A:A,0)),0)</f>
        <v>0</v>
      </c>
      <c r="F169" s="11">
        <f>Table2[[#This Row],[حسابهای دریافتنی]]+Table2[[#This Row],[چکهای در جریان وصول]]+Table2[[#This Row],[چکهای نزد صندوق]]</f>
        <v>0</v>
      </c>
      <c r="G169" s="12">
        <f>IFERROR(INDEX('مانده سوفاله'!F:F,MATCH(Table2[[#This Row],[كد تفصيلي]],'مانده سوفاله'!A:A,0)),0)</f>
        <v>-187</v>
      </c>
    </row>
    <row r="170" spans="1:7" ht="18" customHeight="1" x14ac:dyDescent="0.25">
      <c r="A170" s="20">
        <v>30057</v>
      </c>
      <c r="B170" s="21" t="s">
        <v>102</v>
      </c>
      <c r="C170" s="10">
        <f>IFERROR(INDEX('حسابهای دریافتنی'!H:H,MATCH(Table2[[#This Row],[كد تفصيلي]],'حسابهای دریافتنی'!A:A,0)),0)</f>
        <v>0</v>
      </c>
      <c r="D170" s="11">
        <f>IFERROR(INDEX('درجریان وصول'!F:F,MATCH(Table2[[#This Row],[كد تفصيلي]],'درجریان وصول'!A:A,0)),0)</f>
        <v>0</v>
      </c>
      <c r="E170" s="11">
        <f>IFERROR(INDEX('چکهای دریافتنی'!F:F,MATCH(Table2[[#This Row],[كد تفصيلي]],'چکهای دریافتنی'!A:A,0)),0)</f>
        <v>0</v>
      </c>
      <c r="F170" s="11">
        <f>Table2[[#This Row],[حسابهای دریافتنی]]+Table2[[#This Row],[چکهای در جریان وصول]]+Table2[[#This Row],[چکهای نزد صندوق]]</f>
        <v>0</v>
      </c>
      <c r="G170" s="12">
        <f>IFERROR(INDEX('مانده سوفاله'!F:F,MATCH(Table2[[#This Row],[كد تفصيلي]],'مانده سوفاله'!A:A,0)),0)</f>
        <v>0</v>
      </c>
    </row>
    <row r="171" spans="1:7" ht="18" customHeight="1" x14ac:dyDescent="0.25">
      <c r="A171" s="20">
        <v>30059</v>
      </c>
      <c r="B171" s="21" t="s">
        <v>104</v>
      </c>
      <c r="C171" s="10">
        <f>IFERROR(INDEX('حسابهای دریافتنی'!H:H,MATCH(Table2[[#This Row],[كد تفصيلي]],'حسابهای دریافتنی'!A:A,0)),0)</f>
        <v>0</v>
      </c>
      <c r="D171" s="11">
        <f>IFERROR(INDEX('درجریان وصول'!F:F,MATCH(Table2[[#This Row],[كد تفصيلي]],'درجریان وصول'!A:A,0)),0)</f>
        <v>0</v>
      </c>
      <c r="E171" s="11">
        <f>IFERROR(INDEX('چکهای دریافتنی'!F:F,MATCH(Table2[[#This Row],[كد تفصيلي]],'چکهای دریافتنی'!A:A,0)),0)</f>
        <v>0</v>
      </c>
      <c r="F171" s="11">
        <f>Table2[[#This Row],[حسابهای دریافتنی]]+Table2[[#This Row],[چکهای در جریان وصول]]+Table2[[#This Row],[چکهای نزد صندوق]]</f>
        <v>0</v>
      </c>
      <c r="G171" s="12">
        <f>IFERROR(INDEX('مانده سوفاله'!F:F,MATCH(Table2[[#This Row],[كد تفصيلي]],'مانده سوفاله'!A:A,0)),0)</f>
        <v>0</v>
      </c>
    </row>
    <row r="172" spans="1:7" ht="18" customHeight="1" x14ac:dyDescent="0.25">
      <c r="A172" s="18">
        <v>30060</v>
      </c>
      <c r="B172" s="19" t="s">
        <v>105</v>
      </c>
      <c r="C172" s="10">
        <f>IFERROR(INDEX('حسابهای دریافتنی'!H:H,MATCH(Table2[[#This Row],[كد تفصيلي]],'حسابهای دریافتنی'!A:A,0)),0)</f>
        <v>0</v>
      </c>
      <c r="D172" s="11">
        <f>IFERROR(INDEX('درجریان وصول'!F:F,MATCH(Table2[[#This Row],[كد تفصيلي]],'درجریان وصول'!A:A,0)),0)</f>
        <v>0</v>
      </c>
      <c r="E172" s="11">
        <f>IFERROR(INDEX('چکهای دریافتنی'!F:F,MATCH(Table2[[#This Row],[كد تفصيلي]],'چکهای دریافتنی'!A:A,0)),0)</f>
        <v>0</v>
      </c>
      <c r="F172" s="11">
        <f>Table2[[#This Row],[حسابهای دریافتنی]]+Table2[[#This Row],[چکهای در جریان وصول]]+Table2[[#This Row],[چکهای نزد صندوق]]</f>
        <v>0</v>
      </c>
      <c r="G172" s="12">
        <f>IFERROR(INDEX('مانده سوفاله'!F:F,MATCH(Table2[[#This Row],[كد تفصيلي]],'مانده سوفاله'!A:A,0)),0)</f>
        <v>0</v>
      </c>
    </row>
    <row r="173" spans="1:7" ht="18" customHeight="1" x14ac:dyDescent="0.25">
      <c r="A173" s="20">
        <v>30061</v>
      </c>
      <c r="B173" s="21" t="s">
        <v>106</v>
      </c>
      <c r="C173" s="10">
        <f>IFERROR(INDEX('حسابهای دریافتنی'!H:H,MATCH(Table2[[#This Row],[كد تفصيلي]],'حسابهای دریافتنی'!A:A,0)),0)</f>
        <v>0</v>
      </c>
      <c r="D173" s="11">
        <f>IFERROR(INDEX('درجریان وصول'!F:F,MATCH(Table2[[#This Row],[كد تفصيلي]],'درجریان وصول'!A:A,0)),0)</f>
        <v>0</v>
      </c>
      <c r="E173" s="11">
        <f>IFERROR(INDEX('چکهای دریافتنی'!F:F,MATCH(Table2[[#This Row],[كد تفصيلي]],'چکهای دریافتنی'!A:A,0)),0)</f>
        <v>0</v>
      </c>
      <c r="F173" s="11">
        <f>Table2[[#This Row],[حسابهای دریافتنی]]+Table2[[#This Row],[چکهای در جریان وصول]]+Table2[[#This Row],[چکهای نزد صندوق]]</f>
        <v>0</v>
      </c>
      <c r="G173" s="12">
        <f>IFERROR(INDEX('مانده سوفاله'!F:F,MATCH(Table2[[#This Row],[كد تفصيلي]],'مانده سوفاله'!A:A,0)),0)</f>
        <v>0</v>
      </c>
    </row>
    <row r="174" spans="1:7" ht="18" customHeight="1" x14ac:dyDescent="0.25">
      <c r="A174" s="18">
        <v>30062</v>
      </c>
      <c r="B174" s="19" t="s">
        <v>107</v>
      </c>
      <c r="C174" s="10">
        <f>IFERROR(INDEX('حسابهای دریافتنی'!H:H,MATCH(Table2[[#This Row],[كد تفصيلي]],'حسابهای دریافتنی'!A:A,0)),0)</f>
        <v>0</v>
      </c>
      <c r="D174" s="11">
        <f>IFERROR(INDEX('درجریان وصول'!F:F,MATCH(Table2[[#This Row],[كد تفصيلي]],'درجریان وصول'!A:A,0)),0)</f>
        <v>0</v>
      </c>
      <c r="E174" s="11">
        <f>IFERROR(INDEX('چکهای دریافتنی'!F:F,MATCH(Table2[[#This Row],[كد تفصيلي]],'چکهای دریافتنی'!A:A,0)),0)</f>
        <v>0</v>
      </c>
      <c r="F174" s="11">
        <f>Table2[[#This Row],[حسابهای دریافتنی]]+Table2[[#This Row],[چکهای در جریان وصول]]+Table2[[#This Row],[چکهای نزد صندوق]]</f>
        <v>0</v>
      </c>
      <c r="G174" s="12">
        <f>IFERROR(INDEX('مانده سوفاله'!F:F,MATCH(Table2[[#This Row],[كد تفصيلي]],'مانده سوفاله'!A:A,0)),0)</f>
        <v>1</v>
      </c>
    </row>
    <row r="175" spans="1:7" ht="18" customHeight="1" x14ac:dyDescent="0.25">
      <c r="A175" s="20">
        <v>30063</v>
      </c>
      <c r="B175" s="21" t="s">
        <v>108</v>
      </c>
      <c r="C175" s="10">
        <f>IFERROR(INDEX('حسابهای دریافتنی'!H:H,MATCH(Table2[[#This Row],[كد تفصيلي]],'حسابهای دریافتنی'!A:A,0)),0)</f>
        <v>0</v>
      </c>
      <c r="D175" s="11">
        <f>IFERROR(INDEX('درجریان وصول'!F:F,MATCH(Table2[[#This Row],[كد تفصيلي]],'درجریان وصول'!A:A,0)),0)</f>
        <v>0</v>
      </c>
      <c r="E175" s="11">
        <f>IFERROR(INDEX('چکهای دریافتنی'!F:F,MATCH(Table2[[#This Row],[كد تفصيلي]],'چکهای دریافتنی'!A:A,0)),0)</f>
        <v>0</v>
      </c>
      <c r="F175" s="11">
        <f>Table2[[#This Row],[حسابهای دریافتنی]]+Table2[[#This Row],[چکهای در جریان وصول]]+Table2[[#This Row],[چکهای نزد صندوق]]</f>
        <v>0</v>
      </c>
      <c r="G175" s="12">
        <f>IFERROR(INDEX('مانده سوفاله'!F:F,MATCH(Table2[[#This Row],[كد تفصيلي]],'مانده سوفاله'!A:A,0)),0)</f>
        <v>0</v>
      </c>
    </row>
    <row r="176" spans="1:7" ht="18" customHeight="1" x14ac:dyDescent="0.25">
      <c r="A176" s="20">
        <v>30065</v>
      </c>
      <c r="B176" s="21" t="s">
        <v>110</v>
      </c>
      <c r="C176" s="10">
        <f>IFERROR(INDEX('حسابهای دریافتنی'!H:H,MATCH(Table2[[#This Row],[كد تفصيلي]],'حسابهای دریافتنی'!A:A,0)),0)</f>
        <v>0</v>
      </c>
      <c r="D176" s="11">
        <f>IFERROR(INDEX('درجریان وصول'!F:F,MATCH(Table2[[#This Row],[كد تفصيلي]],'درجریان وصول'!A:A,0)),0)</f>
        <v>0</v>
      </c>
      <c r="E176" s="11">
        <f>IFERROR(INDEX('چکهای دریافتنی'!F:F,MATCH(Table2[[#This Row],[كد تفصيلي]],'چکهای دریافتنی'!A:A,0)),0)</f>
        <v>0</v>
      </c>
      <c r="F176" s="11">
        <f>Table2[[#This Row],[حسابهای دریافتنی]]+Table2[[#This Row],[چکهای در جریان وصول]]+Table2[[#This Row],[چکهای نزد صندوق]]</f>
        <v>0</v>
      </c>
      <c r="G176" s="12">
        <f>IFERROR(INDEX('مانده سوفاله'!F:F,MATCH(Table2[[#This Row],[كد تفصيلي]],'مانده سوفاله'!A:A,0)),0)</f>
        <v>33</v>
      </c>
    </row>
    <row r="177" spans="1:7" ht="18" customHeight="1" x14ac:dyDescent="0.25">
      <c r="A177" s="18">
        <v>30068</v>
      </c>
      <c r="B177" s="19" t="s">
        <v>113</v>
      </c>
      <c r="C177" s="10">
        <f>IFERROR(INDEX('حسابهای دریافتنی'!H:H,MATCH(Table2[[#This Row],[كد تفصيلي]],'حسابهای دریافتنی'!A:A,0)),0)</f>
        <v>21396756135</v>
      </c>
      <c r="D177" s="11">
        <f>IFERROR(INDEX('درجریان وصول'!F:F,MATCH(Table2[[#This Row],[كد تفصيلي]],'درجریان وصول'!A:A,0)),0)</f>
        <v>0</v>
      </c>
      <c r="E177" s="11">
        <f>IFERROR(INDEX('چکهای دریافتنی'!F:F,MATCH(Table2[[#This Row],[كد تفصيلي]],'چکهای دریافتنی'!A:A,0)),0)</f>
        <v>0</v>
      </c>
      <c r="F177" s="11">
        <f>Table2[[#This Row],[حسابهای دریافتنی]]+Table2[[#This Row],[چکهای در جریان وصول]]+Table2[[#This Row],[چکهای نزد صندوق]]</f>
        <v>21396756135</v>
      </c>
      <c r="G177" s="12">
        <f>IFERROR(INDEX('مانده سوفاله'!F:F,MATCH(Table2[[#This Row],[كد تفصيلي]],'مانده سوفاله'!A:A,0)),0)</f>
        <v>0</v>
      </c>
    </row>
    <row r="178" spans="1:7" ht="18" customHeight="1" x14ac:dyDescent="0.25">
      <c r="A178" s="20">
        <v>30071</v>
      </c>
      <c r="B178" s="21" t="s">
        <v>116</v>
      </c>
      <c r="C178" s="10">
        <f>IFERROR(INDEX('حسابهای دریافتنی'!H:H,MATCH(Table2[[#This Row],[كد تفصيلي]],'حسابهای دریافتنی'!A:A,0)),0)</f>
        <v>0</v>
      </c>
      <c r="D178" s="11">
        <f>IFERROR(INDEX('درجریان وصول'!F:F,MATCH(Table2[[#This Row],[كد تفصيلي]],'درجریان وصول'!A:A,0)),0)</f>
        <v>0</v>
      </c>
      <c r="E178" s="11">
        <f>IFERROR(INDEX('چکهای دریافتنی'!F:F,MATCH(Table2[[#This Row],[كد تفصيلي]],'چکهای دریافتنی'!A:A,0)),0)</f>
        <v>0</v>
      </c>
      <c r="F178" s="11">
        <f>Table2[[#This Row],[حسابهای دریافتنی]]+Table2[[#This Row],[چکهای در جریان وصول]]+Table2[[#This Row],[چکهای نزد صندوق]]</f>
        <v>0</v>
      </c>
      <c r="G178" s="12">
        <f>IFERROR(INDEX('مانده سوفاله'!F:F,MATCH(Table2[[#This Row],[كد تفصيلي]],'مانده سوفاله'!A:A,0)),0)</f>
        <v>3</v>
      </c>
    </row>
    <row r="179" spans="1:7" ht="18" customHeight="1" x14ac:dyDescent="0.25">
      <c r="A179" s="20">
        <v>30073</v>
      </c>
      <c r="B179" s="21" t="s">
        <v>118</v>
      </c>
      <c r="C179" s="10">
        <f>IFERROR(INDEX('حسابهای دریافتنی'!H:H,MATCH(Table2[[#This Row],[كد تفصيلي]],'حسابهای دریافتنی'!A:A,0)),0)</f>
        <v>0</v>
      </c>
      <c r="D179" s="11">
        <f>IFERROR(INDEX('درجریان وصول'!F:F,MATCH(Table2[[#This Row],[كد تفصيلي]],'درجریان وصول'!A:A,0)),0)</f>
        <v>0</v>
      </c>
      <c r="E179" s="11">
        <f>IFERROR(INDEX('چکهای دریافتنی'!F:F,MATCH(Table2[[#This Row],[كد تفصيلي]],'چکهای دریافتنی'!A:A,0)),0)</f>
        <v>0</v>
      </c>
      <c r="F179" s="11">
        <f>Table2[[#This Row],[حسابهای دریافتنی]]+Table2[[#This Row],[چکهای در جریان وصول]]+Table2[[#This Row],[چکهای نزد صندوق]]</f>
        <v>0</v>
      </c>
      <c r="G179" s="12">
        <f>IFERROR(INDEX('مانده سوفاله'!F:F,MATCH(Table2[[#This Row],[كد تفصيلي]],'مانده سوفاله'!A:A,0)),0)</f>
        <v>0</v>
      </c>
    </row>
    <row r="180" spans="1:7" ht="18" customHeight="1" x14ac:dyDescent="0.25">
      <c r="A180" s="20">
        <v>30075</v>
      </c>
      <c r="B180" s="21" t="s">
        <v>120</v>
      </c>
      <c r="C180" s="10">
        <f>IFERROR(INDEX('حسابهای دریافتنی'!H:H,MATCH(Table2[[#This Row],[كد تفصيلي]],'حسابهای دریافتنی'!A:A,0)),0)</f>
        <v>0</v>
      </c>
      <c r="D180" s="11">
        <f>IFERROR(INDEX('درجریان وصول'!F:F,MATCH(Table2[[#This Row],[كد تفصيلي]],'درجریان وصول'!A:A,0)),0)</f>
        <v>0</v>
      </c>
      <c r="E180" s="11">
        <f>IFERROR(INDEX('چکهای دریافتنی'!F:F,MATCH(Table2[[#This Row],[كد تفصيلي]],'چکهای دریافتنی'!A:A,0)),0)</f>
        <v>0</v>
      </c>
      <c r="F180" s="11">
        <f>Table2[[#This Row],[حسابهای دریافتنی]]+Table2[[#This Row],[چکهای در جریان وصول]]+Table2[[#This Row],[چکهای نزد صندوق]]</f>
        <v>0</v>
      </c>
      <c r="G180" s="12">
        <f>IFERROR(INDEX('مانده سوفاله'!F:F,MATCH(Table2[[#This Row],[كد تفصيلي]],'مانده سوفاله'!A:A,0)),0)</f>
        <v>0</v>
      </c>
    </row>
    <row r="181" spans="1:7" ht="18" customHeight="1" x14ac:dyDescent="0.25">
      <c r="A181" s="18">
        <v>30076</v>
      </c>
      <c r="B181" s="19" t="s">
        <v>121</v>
      </c>
      <c r="C181" s="10">
        <f>IFERROR(INDEX('حسابهای دریافتنی'!H:H,MATCH(Table2[[#This Row],[كد تفصيلي]],'حسابهای دریافتنی'!A:A,0)),0)</f>
        <v>0</v>
      </c>
      <c r="D181" s="11">
        <f>IFERROR(INDEX('درجریان وصول'!F:F,MATCH(Table2[[#This Row],[كد تفصيلي]],'درجریان وصول'!A:A,0)),0)</f>
        <v>0</v>
      </c>
      <c r="E181" s="11">
        <f>IFERROR(INDEX('چکهای دریافتنی'!F:F,MATCH(Table2[[#This Row],[كد تفصيلي]],'چکهای دریافتنی'!A:A,0)),0)</f>
        <v>0</v>
      </c>
      <c r="F181" s="11">
        <f>Table2[[#This Row],[حسابهای دریافتنی]]+Table2[[#This Row],[چکهای در جریان وصول]]+Table2[[#This Row],[چکهای نزد صندوق]]</f>
        <v>0</v>
      </c>
      <c r="G181" s="12">
        <f>IFERROR(INDEX('مانده سوفاله'!F:F,MATCH(Table2[[#This Row],[كد تفصيلي]],'مانده سوفاله'!A:A,0)),0)</f>
        <v>0</v>
      </c>
    </row>
    <row r="182" spans="1:7" ht="18" customHeight="1" x14ac:dyDescent="0.25">
      <c r="A182" s="18">
        <v>30078</v>
      </c>
      <c r="B182" s="19" t="s">
        <v>123</v>
      </c>
      <c r="C182" s="10">
        <f>IFERROR(INDEX('حسابهای دریافتنی'!H:H,MATCH(Table2[[#This Row],[كد تفصيلي]],'حسابهای دریافتنی'!A:A,0)),0)</f>
        <v>0</v>
      </c>
      <c r="D182" s="11">
        <f>IFERROR(INDEX('درجریان وصول'!F:F,MATCH(Table2[[#This Row],[كد تفصيلي]],'درجریان وصول'!A:A,0)),0)</f>
        <v>0</v>
      </c>
      <c r="E182" s="11">
        <f>IFERROR(INDEX('چکهای دریافتنی'!F:F,MATCH(Table2[[#This Row],[كد تفصيلي]],'چکهای دریافتنی'!A:A,0)),0)</f>
        <v>0</v>
      </c>
      <c r="F182" s="11">
        <f>Table2[[#This Row],[حسابهای دریافتنی]]+Table2[[#This Row],[چکهای در جریان وصول]]+Table2[[#This Row],[چکهای نزد صندوق]]</f>
        <v>0</v>
      </c>
      <c r="G182" s="12">
        <f>IFERROR(INDEX('مانده سوفاله'!F:F,MATCH(Table2[[#This Row],[كد تفصيلي]],'مانده سوفاله'!A:A,0)),0)</f>
        <v>0</v>
      </c>
    </row>
    <row r="183" spans="1:7" ht="18" customHeight="1" x14ac:dyDescent="0.25">
      <c r="A183" s="20">
        <v>30079</v>
      </c>
      <c r="B183" s="21" t="s">
        <v>124</v>
      </c>
      <c r="C183" s="10">
        <f>IFERROR(INDEX('حسابهای دریافتنی'!H:H,MATCH(Table2[[#This Row],[كد تفصيلي]],'حسابهای دریافتنی'!A:A,0)),0)</f>
        <v>0</v>
      </c>
      <c r="D183" s="11">
        <f>IFERROR(INDEX('درجریان وصول'!F:F,MATCH(Table2[[#This Row],[كد تفصيلي]],'درجریان وصول'!A:A,0)),0)</f>
        <v>0</v>
      </c>
      <c r="E183" s="11">
        <f>IFERROR(INDEX('چکهای دریافتنی'!F:F,MATCH(Table2[[#This Row],[كد تفصيلي]],'چکهای دریافتنی'!A:A,0)),0)</f>
        <v>0</v>
      </c>
      <c r="F183" s="11">
        <f>Table2[[#This Row],[حسابهای دریافتنی]]+Table2[[#This Row],[چکهای در جریان وصول]]+Table2[[#This Row],[چکهای نزد صندوق]]</f>
        <v>0</v>
      </c>
      <c r="G183" s="12">
        <f>IFERROR(INDEX('مانده سوفاله'!F:F,MATCH(Table2[[#This Row],[كد تفصيلي]],'مانده سوفاله'!A:A,0)),0)</f>
        <v>-85</v>
      </c>
    </row>
    <row r="184" spans="1:7" ht="18" customHeight="1" x14ac:dyDescent="0.25">
      <c r="A184" s="18">
        <v>30080</v>
      </c>
      <c r="B184" s="19" t="s">
        <v>125</v>
      </c>
      <c r="C184" s="10">
        <f>IFERROR(INDEX('حسابهای دریافتنی'!H:H,MATCH(Table2[[#This Row],[كد تفصيلي]],'حسابهای دریافتنی'!A:A,0)),0)</f>
        <v>0</v>
      </c>
      <c r="D184" s="11">
        <f>IFERROR(INDEX('درجریان وصول'!F:F,MATCH(Table2[[#This Row],[كد تفصيلي]],'درجریان وصول'!A:A,0)),0)</f>
        <v>0</v>
      </c>
      <c r="E184" s="11">
        <f>IFERROR(INDEX('چکهای دریافتنی'!F:F,MATCH(Table2[[#This Row],[كد تفصيلي]],'چکهای دریافتنی'!A:A,0)),0)</f>
        <v>0</v>
      </c>
      <c r="F184" s="11">
        <f>Table2[[#This Row],[حسابهای دریافتنی]]+Table2[[#This Row],[چکهای در جریان وصول]]+Table2[[#This Row],[چکهای نزد صندوق]]</f>
        <v>0</v>
      </c>
      <c r="G184" s="12">
        <f>IFERROR(INDEX('مانده سوفاله'!F:F,MATCH(Table2[[#This Row],[كد تفصيلي]],'مانده سوفاله'!A:A,0)),0)</f>
        <v>0</v>
      </c>
    </row>
    <row r="185" spans="1:7" ht="18" customHeight="1" x14ac:dyDescent="0.25">
      <c r="A185" s="20">
        <v>30083</v>
      </c>
      <c r="B185" s="21" t="s">
        <v>128</v>
      </c>
      <c r="C185" s="10">
        <f>IFERROR(INDEX('حسابهای دریافتنی'!H:H,MATCH(Table2[[#This Row],[كد تفصيلي]],'حسابهای دریافتنی'!A:A,0)),0)</f>
        <v>0</v>
      </c>
      <c r="D185" s="11">
        <f>IFERROR(INDEX('درجریان وصول'!F:F,MATCH(Table2[[#This Row],[كد تفصيلي]],'درجریان وصول'!A:A,0)),0)</f>
        <v>0</v>
      </c>
      <c r="E185" s="11">
        <f>IFERROR(INDEX('چکهای دریافتنی'!F:F,MATCH(Table2[[#This Row],[كد تفصيلي]],'چکهای دریافتنی'!A:A,0)),0)</f>
        <v>0</v>
      </c>
      <c r="F185" s="11">
        <f>Table2[[#This Row],[حسابهای دریافتنی]]+Table2[[#This Row],[چکهای در جریان وصول]]+Table2[[#This Row],[چکهای نزد صندوق]]</f>
        <v>0</v>
      </c>
      <c r="G185" s="12">
        <f>IFERROR(INDEX('مانده سوفاله'!F:F,MATCH(Table2[[#This Row],[كد تفصيلي]],'مانده سوفاله'!A:A,0)),0)</f>
        <v>0</v>
      </c>
    </row>
    <row r="186" spans="1:7" ht="18" customHeight="1" x14ac:dyDescent="0.25">
      <c r="A186" s="20">
        <v>30085</v>
      </c>
      <c r="B186" s="21" t="s">
        <v>130</v>
      </c>
      <c r="C186" s="10">
        <f>IFERROR(INDEX('حسابهای دریافتنی'!H:H,MATCH(Table2[[#This Row],[كد تفصيلي]],'حسابهای دریافتنی'!A:A,0)),0)</f>
        <v>0</v>
      </c>
      <c r="D186" s="11">
        <f>IFERROR(INDEX('درجریان وصول'!F:F,MATCH(Table2[[#This Row],[كد تفصيلي]],'درجریان وصول'!A:A,0)),0)</f>
        <v>0</v>
      </c>
      <c r="E186" s="11">
        <f>IFERROR(INDEX('چکهای دریافتنی'!F:F,MATCH(Table2[[#This Row],[كد تفصيلي]],'چکهای دریافتنی'!A:A,0)),0)</f>
        <v>0</v>
      </c>
      <c r="F186" s="11">
        <f>Table2[[#This Row],[حسابهای دریافتنی]]+Table2[[#This Row],[چکهای در جریان وصول]]+Table2[[#This Row],[چکهای نزد صندوق]]</f>
        <v>0</v>
      </c>
      <c r="G186" s="12">
        <f>IFERROR(INDEX('مانده سوفاله'!F:F,MATCH(Table2[[#This Row],[كد تفصيلي]],'مانده سوفاله'!A:A,0)),0)</f>
        <v>0</v>
      </c>
    </row>
    <row r="187" spans="1:7" ht="18" customHeight="1" x14ac:dyDescent="0.25">
      <c r="A187" s="20">
        <v>30087</v>
      </c>
      <c r="B187" s="21" t="s">
        <v>132</v>
      </c>
      <c r="C187" s="10">
        <f>IFERROR(INDEX('حسابهای دریافتنی'!H:H,MATCH(Table2[[#This Row],[كد تفصيلي]],'حسابهای دریافتنی'!A:A,0)),0)</f>
        <v>0</v>
      </c>
      <c r="D187" s="11">
        <f>IFERROR(INDEX('درجریان وصول'!F:F,MATCH(Table2[[#This Row],[كد تفصيلي]],'درجریان وصول'!A:A,0)),0)</f>
        <v>0</v>
      </c>
      <c r="E187" s="11">
        <f>IFERROR(INDEX('چکهای دریافتنی'!F:F,MATCH(Table2[[#This Row],[كد تفصيلي]],'چکهای دریافتنی'!A:A,0)),0)</f>
        <v>0</v>
      </c>
      <c r="F187" s="11">
        <f>Table2[[#This Row],[حسابهای دریافتنی]]+Table2[[#This Row],[چکهای در جریان وصول]]+Table2[[#This Row],[چکهای نزد صندوق]]</f>
        <v>0</v>
      </c>
      <c r="G187" s="12">
        <f>IFERROR(INDEX('مانده سوفاله'!F:F,MATCH(Table2[[#This Row],[كد تفصيلي]],'مانده سوفاله'!A:A,0)),0)</f>
        <v>0</v>
      </c>
    </row>
    <row r="188" spans="1:7" ht="18" customHeight="1" x14ac:dyDescent="0.25">
      <c r="A188" s="20">
        <v>30089</v>
      </c>
      <c r="B188" s="21" t="s">
        <v>143</v>
      </c>
      <c r="C188" s="10">
        <f>IFERROR(INDEX('حسابهای دریافتنی'!H:H,MATCH(Table2[[#This Row],[كد تفصيلي]],'حسابهای دریافتنی'!A:A,0)),0)</f>
        <v>0</v>
      </c>
      <c r="D188" s="11">
        <f>IFERROR(INDEX('درجریان وصول'!F:F,MATCH(Table2[[#This Row],[كد تفصيلي]],'درجریان وصول'!A:A,0)),0)</f>
        <v>0</v>
      </c>
      <c r="E188" s="11">
        <f>IFERROR(INDEX('چکهای دریافتنی'!F:F,MATCH(Table2[[#This Row],[كد تفصيلي]],'چکهای دریافتنی'!A:A,0)),0)</f>
        <v>0</v>
      </c>
      <c r="F188" s="11">
        <f>Table2[[#This Row],[حسابهای دریافتنی]]+Table2[[#This Row],[چکهای در جریان وصول]]+Table2[[#This Row],[چکهای نزد صندوق]]</f>
        <v>0</v>
      </c>
      <c r="G188" s="12">
        <f>IFERROR(INDEX('مانده سوفاله'!F:F,MATCH(Table2[[#This Row],[كد تفصيلي]],'مانده سوفاله'!A:A,0)),0)</f>
        <v>0</v>
      </c>
    </row>
    <row r="189" spans="1:7" ht="18" customHeight="1" x14ac:dyDescent="0.25">
      <c r="A189" s="20">
        <v>30091</v>
      </c>
      <c r="B189" s="21" t="s">
        <v>236</v>
      </c>
      <c r="C189" s="10">
        <f>IFERROR(INDEX('حسابهای دریافتنی'!H:H,MATCH(Table2[[#This Row],[كد تفصيلي]],'حسابهای دریافتنی'!A:A,0)),0)</f>
        <v>0</v>
      </c>
      <c r="D189" s="11">
        <f>IFERROR(INDEX('درجریان وصول'!F:F,MATCH(Table2[[#This Row],[كد تفصيلي]],'درجریان وصول'!A:A,0)),0)</f>
        <v>0</v>
      </c>
      <c r="E189" s="11">
        <f>IFERROR(INDEX('چکهای دریافتنی'!F:F,MATCH(Table2[[#This Row],[كد تفصيلي]],'چکهای دریافتنی'!A:A,0)),0)</f>
        <v>0</v>
      </c>
      <c r="F189" s="11">
        <f>Table2[[#This Row],[حسابهای دریافتنی]]+Table2[[#This Row],[چکهای در جریان وصول]]+Table2[[#This Row],[چکهای نزد صندوق]]</f>
        <v>0</v>
      </c>
      <c r="G189" s="12">
        <f>IFERROR(INDEX('مانده سوفاله'!F:F,MATCH(Table2[[#This Row],[كد تفصيلي]],'مانده سوفاله'!A:A,0)),0)</f>
        <v>0</v>
      </c>
    </row>
    <row r="190" spans="1:7" ht="18" customHeight="1" x14ac:dyDescent="0.25">
      <c r="A190" s="18">
        <v>30092</v>
      </c>
      <c r="B190" s="19" t="s">
        <v>150</v>
      </c>
      <c r="C190" s="10">
        <f>IFERROR(INDEX('حسابهای دریافتنی'!H:H,MATCH(Table2[[#This Row],[كد تفصيلي]],'حسابهای دریافتنی'!A:A,0)),0)</f>
        <v>0</v>
      </c>
      <c r="D190" s="11">
        <f>IFERROR(INDEX('درجریان وصول'!F:F,MATCH(Table2[[#This Row],[كد تفصيلي]],'درجریان وصول'!A:A,0)),0)</f>
        <v>0</v>
      </c>
      <c r="E190" s="11">
        <f>IFERROR(INDEX('چکهای دریافتنی'!F:F,MATCH(Table2[[#This Row],[كد تفصيلي]],'چکهای دریافتنی'!A:A,0)),0)</f>
        <v>0</v>
      </c>
      <c r="F190" s="11">
        <f>Table2[[#This Row],[حسابهای دریافتنی]]+Table2[[#This Row],[چکهای در جریان وصول]]+Table2[[#This Row],[چکهای نزد صندوق]]</f>
        <v>0</v>
      </c>
      <c r="G190" s="12">
        <f>IFERROR(INDEX('مانده سوفاله'!F:F,MATCH(Table2[[#This Row],[كد تفصيلي]],'مانده سوفاله'!A:A,0)),0)</f>
        <v>0</v>
      </c>
    </row>
    <row r="191" spans="1:7" ht="18" customHeight="1" x14ac:dyDescent="0.25">
      <c r="A191" s="20">
        <v>30093</v>
      </c>
      <c r="B191" s="21" t="s">
        <v>151</v>
      </c>
      <c r="C191" s="10">
        <f>IFERROR(INDEX('حسابهای دریافتنی'!H:H,MATCH(Table2[[#This Row],[كد تفصيلي]],'حسابهای دریافتنی'!A:A,0)),0)</f>
        <v>0</v>
      </c>
      <c r="D191" s="11">
        <f>IFERROR(INDEX('درجریان وصول'!F:F,MATCH(Table2[[#This Row],[كد تفصيلي]],'درجریان وصول'!A:A,0)),0)</f>
        <v>0</v>
      </c>
      <c r="E191" s="11">
        <f>IFERROR(INDEX('چکهای دریافتنی'!F:F,MATCH(Table2[[#This Row],[كد تفصيلي]],'چکهای دریافتنی'!A:A,0)),0)</f>
        <v>0</v>
      </c>
      <c r="F191" s="11">
        <f>Table2[[#This Row],[حسابهای دریافتنی]]+Table2[[#This Row],[چکهای در جریان وصول]]+Table2[[#This Row],[چکهای نزد صندوق]]</f>
        <v>0</v>
      </c>
      <c r="G191" s="12">
        <f>IFERROR(INDEX('مانده سوفاله'!F:F,MATCH(Table2[[#This Row],[كد تفصيلي]],'مانده سوفاله'!A:A,0)),0)</f>
        <v>0</v>
      </c>
    </row>
    <row r="192" spans="1:7" ht="18" customHeight="1" x14ac:dyDescent="0.25">
      <c r="A192" s="20">
        <v>30095</v>
      </c>
      <c r="B192" s="21" t="s">
        <v>153</v>
      </c>
      <c r="C192" s="10">
        <f>IFERROR(INDEX('حسابهای دریافتنی'!H:H,MATCH(Table2[[#This Row],[كد تفصيلي]],'حسابهای دریافتنی'!A:A,0)),0)</f>
        <v>0</v>
      </c>
      <c r="D192" s="11">
        <f>IFERROR(INDEX('درجریان وصول'!F:F,MATCH(Table2[[#This Row],[كد تفصيلي]],'درجریان وصول'!A:A,0)),0)</f>
        <v>0</v>
      </c>
      <c r="E192" s="11">
        <f>IFERROR(INDEX('چکهای دریافتنی'!F:F,MATCH(Table2[[#This Row],[كد تفصيلي]],'چکهای دریافتنی'!A:A,0)),0)</f>
        <v>0</v>
      </c>
      <c r="F192" s="11">
        <f>Table2[[#This Row],[حسابهای دریافتنی]]+Table2[[#This Row],[چکهای در جریان وصول]]+Table2[[#This Row],[چکهای نزد صندوق]]</f>
        <v>0</v>
      </c>
      <c r="G192" s="12">
        <f>IFERROR(INDEX('مانده سوفاله'!F:F,MATCH(Table2[[#This Row],[كد تفصيلي]],'مانده سوفاله'!A:A,0)),0)</f>
        <v>0</v>
      </c>
    </row>
    <row r="193" spans="1:7" ht="18" customHeight="1" x14ac:dyDescent="0.25">
      <c r="A193" s="18">
        <v>30096</v>
      </c>
      <c r="B193" s="19" t="s">
        <v>237</v>
      </c>
      <c r="C193" s="10">
        <f>IFERROR(INDEX('حسابهای دریافتنی'!H:H,MATCH(Table2[[#This Row],[كد تفصيلي]],'حسابهای دریافتنی'!A:A,0)),0)</f>
        <v>0</v>
      </c>
      <c r="D193" s="11">
        <f>IFERROR(INDEX('درجریان وصول'!F:F,MATCH(Table2[[#This Row],[كد تفصيلي]],'درجریان وصول'!A:A,0)),0)</f>
        <v>0</v>
      </c>
      <c r="E193" s="11">
        <f>IFERROR(INDEX('چکهای دریافتنی'!F:F,MATCH(Table2[[#This Row],[كد تفصيلي]],'چکهای دریافتنی'!A:A,0)),0)</f>
        <v>0</v>
      </c>
      <c r="F193" s="11">
        <f>Table2[[#This Row],[حسابهای دریافتنی]]+Table2[[#This Row],[چکهای در جریان وصول]]+Table2[[#This Row],[چکهای نزد صندوق]]</f>
        <v>0</v>
      </c>
      <c r="G193" s="12">
        <f>IFERROR(INDEX('مانده سوفاله'!F:F,MATCH(Table2[[#This Row],[كد تفصيلي]],'مانده سوفاله'!A:A,0)),0)</f>
        <v>0</v>
      </c>
    </row>
    <row r="194" spans="1:7" ht="18" customHeight="1" x14ac:dyDescent="0.25">
      <c r="A194" s="20">
        <v>30097</v>
      </c>
      <c r="B194" s="21" t="s">
        <v>188</v>
      </c>
      <c r="C194" s="10">
        <f>IFERROR(INDEX('حسابهای دریافتنی'!H:H,MATCH(Table2[[#This Row],[كد تفصيلي]],'حسابهای دریافتنی'!A:A,0)),0)</f>
        <v>0</v>
      </c>
      <c r="D194" s="11">
        <f>IFERROR(INDEX('درجریان وصول'!F:F,MATCH(Table2[[#This Row],[كد تفصيلي]],'درجریان وصول'!A:A,0)),0)</f>
        <v>0</v>
      </c>
      <c r="E194" s="11">
        <f>IFERROR(INDEX('چکهای دریافتنی'!F:F,MATCH(Table2[[#This Row],[كد تفصيلي]],'چکهای دریافتنی'!A:A,0)),0)</f>
        <v>0</v>
      </c>
      <c r="F194" s="11">
        <f>Table2[[#This Row],[حسابهای دریافتنی]]+Table2[[#This Row],[چکهای در جریان وصول]]+Table2[[#This Row],[چکهای نزد صندوق]]</f>
        <v>0</v>
      </c>
      <c r="G194" s="12">
        <f>IFERROR(INDEX('مانده سوفاله'!F:F,MATCH(Table2[[#This Row],[كد تفصيلي]],'مانده سوفاله'!A:A,0)),0)</f>
        <v>-82</v>
      </c>
    </row>
    <row r="195" spans="1:7" ht="18" customHeight="1" x14ac:dyDescent="0.25">
      <c r="A195" s="18">
        <v>30100</v>
      </c>
      <c r="B195" s="19" t="s">
        <v>239</v>
      </c>
      <c r="C195" s="10">
        <f>IFERROR(INDEX('حسابهای دریافتنی'!H:H,MATCH(Table2[[#This Row],[كد تفصيلي]],'حسابهای دریافتنی'!A:A,0)),0)</f>
        <v>0</v>
      </c>
      <c r="D195" s="11">
        <f>IFERROR(INDEX('درجریان وصول'!F:F,MATCH(Table2[[#This Row],[كد تفصيلي]],'درجریان وصول'!A:A,0)),0)</f>
        <v>0</v>
      </c>
      <c r="E195" s="11">
        <f>IFERROR(INDEX('چکهای دریافتنی'!F:F,MATCH(Table2[[#This Row],[كد تفصيلي]],'چکهای دریافتنی'!A:A,0)),0)</f>
        <v>0</v>
      </c>
      <c r="F195" s="11">
        <f>Table2[[#This Row],[حسابهای دریافتنی]]+Table2[[#This Row],[چکهای در جریان وصول]]+Table2[[#This Row],[چکهای نزد صندوق]]</f>
        <v>0</v>
      </c>
      <c r="G195" s="12">
        <f>IFERROR(INDEX('مانده سوفاله'!F:F,MATCH(Table2[[#This Row],[كد تفصيلي]],'مانده سوفاله'!A:A,0)),0)</f>
        <v>0</v>
      </c>
    </row>
    <row r="196" spans="1:7" ht="18" customHeight="1" x14ac:dyDescent="0.25">
      <c r="A196" s="18">
        <v>30102</v>
      </c>
      <c r="B196" s="19" t="s">
        <v>197</v>
      </c>
      <c r="C196" s="10">
        <f>IFERROR(INDEX('حسابهای دریافتنی'!H:H,MATCH(Table2[[#This Row],[كد تفصيلي]],'حسابهای دریافتنی'!A:A,0)),0)</f>
        <v>0</v>
      </c>
      <c r="D196" s="11">
        <f>IFERROR(INDEX('درجریان وصول'!F:F,MATCH(Table2[[#This Row],[كد تفصيلي]],'درجریان وصول'!A:A,0)),0)</f>
        <v>0</v>
      </c>
      <c r="E196" s="11">
        <f>IFERROR(INDEX('چکهای دریافتنی'!F:F,MATCH(Table2[[#This Row],[كد تفصيلي]],'چکهای دریافتنی'!A:A,0)),0)</f>
        <v>0</v>
      </c>
      <c r="F196" s="11">
        <f>Table2[[#This Row],[حسابهای دریافتنی]]+Table2[[#This Row],[چکهای در جریان وصول]]+Table2[[#This Row],[چکهای نزد صندوق]]</f>
        <v>0</v>
      </c>
      <c r="G196" s="12">
        <f>IFERROR(INDEX('مانده سوفاله'!F:F,MATCH(Table2[[#This Row],[كد تفصيلي]],'مانده سوفاله'!A:A,0)),0)</f>
        <v>0</v>
      </c>
    </row>
    <row r="197" spans="1:7" ht="18" customHeight="1" x14ac:dyDescent="0.25">
      <c r="A197" s="18">
        <v>30104</v>
      </c>
      <c r="B197" s="19" t="s">
        <v>198</v>
      </c>
      <c r="C197" s="10">
        <f>IFERROR(INDEX('حسابهای دریافتنی'!H:H,MATCH(Table2[[#This Row],[كد تفصيلي]],'حسابهای دریافتنی'!A:A,0)),0)</f>
        <v>0</v>
      </c>
      <c r="D197" s="11">
        <f>IFERROR(INDEX('درجریان وصول'!F:F,MATCH(Table2[[#This Row],[كد تفصيلي]],'درجریان وصول'!A:A,0)),0)</f>
        <v>0</v>
      </c>
      <c r="E197" s="11">
        <f>IFERROR(INDEX('چکهای دریافتنی'!F:F,MATCH(Table2[[#This Row],[كد تفصيلي]],'چکهای دریافتنی'!A:A,0)),0)</f>
        <v>0</v>
      </c>
      <c r="F197" s="11">
        <f>Table2[[#This Row],[حسابهای دریافتنی]]+Table2[[#This Row],[چکهای در جریان وصول]]+Table2[[#This Row],[چکهای نزد صندوق]]</f>
        <v>0</v>
      </c>
      <c r="G197" s="12">
        <f>IFERROR(INDEX('مانده سوفاله'!F:F,MATCH(Table2[[#This Row],[كد تفصيلي]],'مانده سوفاله'!A:A,0)),0)</f>
        <v>0</v>
      </c>
    </row>
    <row r="198" spans="1:7" ht="18" customHeight="1" x14ac:dyDescent="0.25">
      <c r="A198" s="20">
        <v>30105</v>
      </c>
      <c r="B198" s="21" t="s">
        <v>241</v>
      </c>
      <c r="C198" s="10">
        <f>IFERROR(INDEX('حسابهای دریافتنی'!H:H,MATCH(Table2[[#This Row],[كد تفصيلي]],'حسابهای دریافتنی'!A:A,0)),0)</f>
        <v>0</v>
      </c>
      <c r="D198" s="11">
        <f>IFERROR(INDEX('درجریان وصول'!F:F,MATCH(Table2[[#This Row],[كد تفصيلي]],'درجریان وصول'!A:A,0)),0)</f>
        <v>0</v>
      </c>
      <c r="E198" s="11">
        <f>IFERROR(INDEX('چکهای دریافتنی'!F:F,MATCH(Table2[[#This Row],[كد تفصيلي]],'چکهای دریافتنی'!A:A,0)),0)</f>
        <v>0</v>
      </c>
      <c r="F198" s="11">
        <f>Table2[[#This Row],[حسابهای دریافتنی]]+Table2[[#This Row],[چکهای در جریان وصول]]+Table2[[#This Row],[چکهای نزد صندوق]]</f>
        <v>0</v>
      </c>
      <c r="G198" s="12">
        <f>IFERROR(INDEX('مانده سوفاله'!F:F,MATCH(Table2[[#This Row],[كد تفصيلي]],'مانده سوفاله'!A:A,0)),0)</f>
        <v>0</v>
      </c>
    </row>
    <row r="199" spans="1:7" ht="18" customHeight="1" x14ac:dyDescent="0.25">
      <c r="A199" s="18">
        <v>30106</v>
      </c>
      <c r="B199" s="19" t="s">
        <v>199</v>
      </c>
      <c r="C199" s="10">
        <f>IFERROR(INDEX('حسابهای دریافتنی'!H:H,MATCH(Table2[[#This Row],[كد تفصيلي]],'حسابهای دریافتنی'!A:A,0)),0)</f>
        <v>0</v>
      </c>
      <c r="D199" s="11">
        <f>IFERROR(INDEX('درجریان وصول'!F:F,MATCH(Table2[[#This Row],[كد تفصيلي]],'درجریان وصول'!A:A,0)),0)</f>
        <v>0</v>
      </c>
      <c r="E199" s="11">
        <f>IFERROR(INDEX('چکهای دریافتنی'!F:F,MATCH(Table2[[#This Row],[كد تفصيلي]],'چکهای دریافتنی'!A:A,0)),0)</f>
        <v>0</v>
      </c>
      <c r="F199" s="11">
        <f>Table2[[#This Row],[حسابهای دریافتنی]]+Table2[[#This Row],[چکهای در جریان وصول]]+Table2[[#This Row],[چکهای نزد صندوق]]</f>
        <v>0</v>
      </c>
      <c r="G199" s="12">
        <f>IFERROR(INDEX('مانده سوفاله'!F:F,MATCH(Table2[[#This Row],[كد تفصيلي]],'مانده سوفاله'!A:A,0)),0)</f>
        <v>0</v>
      </c>
    </row>
    <row r="200" spans="1:7" ht="18" customHeight="1" x14ac:dyDescent="0.25">
      <c r="A200" s="20">
        <v>30107</v>
      </c>
      <c r="B200" s="21" t="s">
        <v>187</v>
      </c>
      <c r="C200" s="10">
        <f>IFERROR(INDEX('حسابهای دریافتنی'!H:H,MATCH(Table2[[#This Row],[كد تفصيلي]],'حسابهای دریافتنی'!A:A,0)),0)</f>
        <v>0</v>
      </c>
      <c r="D200" s="11">
        <f>IFERROR(INDEX('درجریان وصول'!F:F,MATCH(Table2[[#This Row],[كد تفصيلي]],'درجریان وصول'!A:A,0)),0)</f>
        <v>0</v>
      </c>
      <c r="E200" s="11">
        <f>IFERROR(INDEX('چکهای دریافتنی'!F:F,MATCH(Table2[[#This Row],[كد تفصيلي]],'چکهای دریافتنی'!A:A,0)),0)</f>
        <v>0</v>
      </c>
      <c r="F200" s="11">
        <f>Table2[[#This Row],[حسابهای دریافتنی]]+Table2[[#This Row],[چکهای در جریان وصول]]+Table2[[#This Row],[چکهای نزد صندوق]]</f>
        <v>0</v>
      </c>
      <c r="G200" s="12">
        <f>IFERROR(INDEX('مانده سوفاله'!F:F,MATCH(Table2[[#This Row],[كد تفصيلي]],'مانده سوفاله'!A:A,0)),0)</f>
        <v>0</v>
      </c>
    </row>
    <row r="201" spans="1:7" ht="18" customHeight="1" x14ac:dyDescent="0.25">
      <c r="A201" s="18">
        <v>30108</v>
      </c>
      <c r="B201" s="19" t="s">
        <v>161</v>
      </c>
      <c r="C201" s="10">
        <f>IFERROR(INDEX('حسابهای دریافتنی'!H:H,MATCH(Table2[[#This Row],[كد تفصيلي]],'حسابهای دریافتنی'!A:A,0)),0)</f>
        <v>0</v>
      </c>
      <c r="D201" s="11">
        <f>IFERROR(INDEX('درجریان وصول'!F:F,MATCH(Table2[[#This Row],[كد تفصيلي]],'درجریان وصول'!A:A,0)),0)</f>
        <v>0</v>
      </c>
      <c r="E201" s="11">
        <f>IFERROR(INDEX('چکهای دریافتنی'!F:F,MATCH(Table2[[#This Row],[كد تفصيلي]],'چکهای دریافتنی'!A:A,0)),0)</f>
        <v>0</v>
      </c>
      <c r="F201" s="11">
        <f>Table2[[#This Row],[حسابهای دریافتنی]]+Table2[[#This Row],[چکهای در جریان وصول]]+Table2[[#This Row],[چکهای نزد صندوق]]</f>
        <v>0</v>
      </c>
      <c r="G201" s="12">
        <f>IFERROR(INDEX('مانده سوفاله'!F:F,MATCH(Table2[[#This Row],[كد تفصيلي]],'مانده سوفاله'!A:A,0)),0)</f>
        <v>0</v>
      </c>
    </row>
    <row r="202" spans="1:7" ht="18" customHeight="1" x14ac:dyDescent="0.25">
      <c r="A202" s="20">
        <v>30111</v>
      </c>
      <c r="B202" s="21" t="s">
        <v>242</v>
      </c>
      <c r="C202" s="10">
        <f>IFERROR(INDEX('حسابهای دریافتنی'!H:H,MATCH(Table2[[#This Row],[كد تفصيلي]],'حسابهای دریافتنی'!A:A,0)),0)</f>
        <v>0</v>
      </c>
      <c r="D202" s="11">
        <f>IFERROR(INDEX('درجریان وصول'!F:F,MATCH(Table2[[#This Row],[كد تفصيلي]],'درجریان وصول'!A:A,0)),0)</f>
        <v>0</v>
      </c>
      <c r="E202" s="11">
        <f>IFERROR(INDEX('چکهای دریافتنی'!F:F,MATCH(Table2[[#This Row],[كد تفصيلي]],'چکهای دریافتنی'!A:A,0)),0)</f>
        <v>0</v>
      </c>
      <c r="F202" s="11">
        <f>Table2[[#This Row],[حسابهای دریافتنی]]+Table2[[#This Row],[چکهای در جریان وصول]]+Table2[[#This Row],[چکهای نزد صندوق]]</f>
        <v>0</v>
      </c>
      <c r="G202" s="12">
        <f>IFERROR(INDEX('مانده سوفاله'!F:F,MATCH(Table2[[#This Row],[كد تفصيلي]],'مانده سوفاله'!A:A,0)),0)</f>
        <v>0</v>
      </c>
    </row>
    <row r="203" spans="1:7" ht="18" customHeight="1" x14ac:dyDescent="0.25">
      <c r="A203" s="20">
        <v>30113</v>
      </c>
      <c r="B203" s="21" t="s">
        <v>202</v>
      </c>
      <c r="C203" s="10">
        <f>IFERROR(INDEX('حسابهای دریافتنی'!H:H,MATCH(Table2[[#This Row],[كد تفصيلي]],'حسابهای دریافتنی'!A:A,0)),0)</f>
        <v>0</v>
      </c>
      <c r="D203" s="11">
        <f>IFERROR(INDEX('درجریان وصول'!F:F,MATCH(Table2[[#This Row],[كد تفصيلي]],'درجریان وصول'!A:A,0)),0)</f>
        <v>0</v>
      </c>
      <c r="E203" s="11">
        <f>IFERROR(INDEX('چکهای دریافتنی'!F:F,MATCH(Table2[[#This Row],[كد تفصيلي]],'چکهای دریافتنی'!A:A,0)),0)</f>
        <v>0</v>
      </c>
      <c r="F203" s="11">
        <f>Table2[[#This Row],[حسابهای دریافتنی]]+Table2[[#This Row],[چکهای در جریان وصول]]+Table2[[#This Row],[چکهای نزد صندوق]]</f>
        <v>0</v>
      </c>
      <c r="G203" s="12">
        <f>IFERROR(INDEX('مانده سوفاله'!F:F,MATCH(Table2[[#This Row],[كد تفصيلي]],'مانده سوفاله'!A:A,0)),0)</f>
        <v>0</v>
      </c>
    </row>
    <row r="204" spans="1:7" ht="18" customHeight="1" x14ac:dyDescent="0.25">
      <c r="A204" s="20">
        <v>30115</v>
      </c>
      <c r="B204" s="21" t="s">
        <v>172</v>
      </c>
      <c r="C204" s="10">
        <f>IFERROR(INDEX('حسابهای دریافتنی'!H:H,MATCH(Table2[[#This Row],[كد تفصيلي]],'حسابهای دریافتنی'!A:A,0)),0)</f>
        <v>0</v>
      </c>
      <c r="D204" s="11">
        <f>IFERROR(INDEX('درجریان وصول'!F:F,MATCH(Table2[[#This Row],[كد تفصيلي]],'درجریان وصول'!A:A,0)),0)</f>
        <v>0</v>
      </c>
      <c r="E204" s="11">
        <f>IFERROR(INDEX('چکهای دریافتنی'!F:F,MATCH(Table2[[#This Row],[كد تفصيلي]],'چکهای دریافتنی'!A:A,0)),0)</f>
        <v>0</v>
      </c>
      <c r="F204" s="11">
        <f>Table2[[#This Row],[حسابهای دریافتنی]]+Table2[[#This Row],[چکهای در جریان وصول]]+Table2[[#This Row],[چکهای نزد صندوق]]</f>
        <v>0</v>
      </c>
      <c r="G204" s="12">
        <f>IFERROR(INDEX('مانده سوفاله'!F:F,MATCH(Table2[[#This Row],[كد تفصيلي]],'مانده سوفاله'!A:A,0)),0)</f>
        <v>0</v>
      </c>
    </row>
    <row r="205" spans="1:7" ht="18" customHeight="1" x14ac:dyDescent="0.25">
      <c r="A205" s="20">
        <v>30117</v>
      </c>
      <c r="B205" s="21" t="s">
        <v>243</v>
      </c>
      <c r="C205" s="10">
        <f>IFERROR(INDEX('حسابهای دریافتنی'!H:H,MATCH(Table2[[#This Row],[كد تفصيلي]],'حسابهای دریافتنی'!A:A,0)),0)</f>
        <v>0</v>
      </c>
      <c r="D205" s="11">
        <f>IFERROR(INDEX('درجریان وصول'!F:F,MATCH(Table2[[#This Row],[كد تفصيلي]],'درجریان وصول'!A:A,0)),0)</f>
        <v>0</v>
      </c>
      <c r="E205" s="11">
        <f>IFERROR(INDEX('چکهای دریافتنی'!F:F,MATCH(Table2[[#This Row],[كد تفصيلي]],'چکهای دریافتنی'!A:A,0)),0)</f>
        <v>0</v>
      </c>
      <c r="F205" s="11">
        <f>Table2[[#This Row],[حسابهای دریافتنی]]+Table2[[#This Row],[چکهای در جریان وصول]]+Table2[[#This Row],[چکهای نزد صندوق]]</f>
        <v>0</v>
      </c>
      <c r="G205" s="12">
        <f>IFERROR(INDEX('مانده سوفاله'!F:F,MATCH(Table2[[#This Row],[كد تفصيلي]],'مانده سوفاله'!A:A,0)),0)</f>
        <v>0</v>
      </c>
    </row>
    <row r="206" spans="1:7" ht="18" customHeight="1" x14ac:dyDescent="0.25">
      <c r="A206" s="18">
        <v>30118</v>
      </c>
      <c r="B206" s="19" t="s">
        <v>205</v>
      </c>
      <c r="C206" s="10">
        <f>IFERROR(INDEX('حسابهای دریافتنی'!H:H,MATCH(Table2[[#This Row],[كد تفصيلي]],'حسابهای دریافتنی'!A:A,0)),0)</f>
        <v>0</v>
      </c>
      <c r="D206" s="11">
        <f>IFERROR(INDEX('درجریان وصول'!F:F,MATCH(Table2[[#This Row],[كد تفصيلي]],'درجریان وصول'!A:A,0)),0)</f>
        <v>0</v>
      </c>
      <c r="E206" s="11">
        <f>IFERROR(INDEX('چکهای دریافتنی'!F:F,MATCH(Table2[[#This Row],[كد تفصيلي]],'چکهای دریافتنی'!A:A,0)),0)</f>
        <v>0</v>
      </c>
      <c r="F206" s="11">
        <f>Table2[[#This Row],[حسابهای دریافتنی]]+Table2[[#This Row],[چکهای در جریان وصول]]+Table2[[#This Row],[چکهای نزد صندوق]]</f>
        <v>0</v>
      </c>
      <c r="G206" s="12">
        <f>IFERROR(INDEX('مانده سوفاله'!F:F,MATCH(Table2[[#This Row],[كد تفصيلي]],'مانده سوفاله'!A:A,0)),0)</f>
        <v>-20</v>
      </c>
    </row>
    <row r="207" spans="1:7" ht="18" customHeight="1" x14ac:dyDescent="0.25">
      <c r="A207" s="20">
        <v>30119</v>
      </c>
      <c r="B207" s="21" t="s">
        <v>206</v>
      </c>
      <c r="C207" s="10">
        <f>IFERROR(INDEX('حسابهای دریافتنی'!H:H,MATCH(Table2[[#This Row],[كد تفصيلي]],'حسابهای دریافتنی'!A:A,0)),0)</f>
        <v>0</v>
      </c>
      <c r="D207" s="11">
        <f>IFERROR(INDEX('درجریان وصول'!F:F,MATCH(Table2[[#This Row],[كد تفصيلي]],'درجریان وصول'!A:A,0)),0)</f>
        <v>0</v>
      </c>
      <c r="E207" s="11">
        <f>IFERROR(INDEX('چکهای دریافتنی'!F:F,MATCH(Table2[[#This Row],[كد تفصيلي]],'چکهای دریافتنی'!A:A,0)),0)</f>
        <v>0</v>
      </c>
      <c r="F207" s="11">
        <f>Table2[[#This Row],[حسابهای دریافتنی]]+Table2[[#This Row],[چکهای در جریان وصول]]+Table2[[#This Row],[چکهای نزد صندوق]]</f>
        <v>0</v>
      </c>
      <c r="G207" s="12">
        <f>IFERROR(INDEX('مانده سوفاله'!F:F,MATCH(Table2[[#This Row],[كد تفصيلي]],'مانده سوفاله'!A:A,0)),0)</f>
        <v>0</v>
      </c>
    </row>
    <row r="208" spans="1:7" ht="18" customHeight="1" x14ac:dyDescent="0.25">
      <c r="A208" s="18">
        <v>30120</v>
      </c>
      <c r="B208" s="19" t="s">
        <v>207</v>
      </c>
      <c r="C208" s="10">
        <f>IFERROR(INDEX('حسابهای دریافتنی'!H:H,MATCH(Table2[[#This Row],[كد تفصيلي]],'حسابهای دریافتنی'!A:A,0)),0)</f>
        <v>0</v>
      </c>
      <c r="D208" s="11">
        <f>IFERROR(INDEX('درجریان وصول'!F:F,MATCH(Table2[[#This Row],[كد تفصيلي]],'درجریان وصول'!A:A,0)),0)</f>
        <v>0</v>
      </c>
      <c r="E208" s="11">
        <f>IFERROR(INDEX('چکهای دریافتنی'!F:F,MATCH(Table2[[#This Row],[كد تفصيلي]],'چکهای دریافتنی'!A:A,0)),0)</f>
        <v>0</v>
      </c>
      <c r="F208" s="11">
        <f>Table2[[#This Row],[حسابهای دریافتنی]]+Table2[[#This Row],[چکهای در جریان وصول]]+Table2[[#This Row],[چکهای نزد صندوق]]</f>
        <v>0</v>
      </c>
      <c r="G208" s="12">
        <f>IFERROR(INDEX('مانده سوفاله'!F:F,MATCH(Table2[[#This Row],[كد تفصيلي]],'مانده سوفاله'!A:A,0)),0)</f>
        <v>0</v>
      </c>
    </row>
    <row r="209" spans="1:7" ht="18" customHeight="1" x14ac:dyDescent="0.25">
      <c r="A209" s="20">
        <v>30121</v>
      </c>
      <c r="B209" s="21" t="s">
        <v>244</v>
      </c>
      <c r="C209" s="10">
        <f>IFERROR(INDEX('حسابهای دریافتنی'!H:H,MATCH(Table2[[#This Row],[كد تفصيلي]],'حسابهای دریافتنی'!A:A,0)),0)</f>
        <v>0</v>
      </c>
      <c r="D209" s="11">
        <f>IFERROR(INDEX('درجریان وصول'!F:F,MATCH(Table2[[#This Row],[كد تفصيلي]],'درجریان وصول'!A:A,0)),0)</f>
        <v>0</v>
      </c>
      <c r="E209" s="11">
        <f>IFERROR(INDEX('چکهای دریافتنی'!F:F,MATCH(Table2[[#This Row],[كد تفصيلي]],'چکهای دریافتنی'!A:A,0)),0)</f>
        <v>0</v>
      </c>
      <c r="F209" s="11">
        <f>Table2[[#This Row],[حسابهای دریافتنی]]+Table2[[#This Row],[چکهای در جریان وصول]]+Table2[[#This Row],[چکهای نزد صندوق]]</f>
        <v>0</v>
      </c>
      <c r="G209" s="12">
        <f>IFERROR(INDEX('مانده سوفاله'!F:F,MATCH(Table2[[#This Row],[كد تفصيلي]],'مانده سوفاله'!A:A,0)),0)</f>
        <v>0</v>
      </c>
    </row>
    <row r="210" spans="1:7" ht="18" customHeight="1" x14ac:dyDescent="0.25">
      <c r="A210" s="18">
        <v>30122</v>
      </c>
      <c r="B210" s="19" t="s">
        <v>245</v>
      </c>
      <c r="C210" s="10">
        <f>IFERROR(INDEX('حسابهای دریافتنی'!H:H,MATCH(Table2[[#This Row],[كد تفصيلي]],'حسابهای دریافتنی'!A:A,0)),0)</f>
        <v>0</v>
      </c>
      <c r="D210" s="11">
        <f>IFERROR(INDEX('درجریان وصول'!F:F,MATCH(Table2[[#This Row],[كد تفصيلي]],'درجریان وصول'!A:A,0)),0)</f>
        <v>0</v>
      </c>
      <c r="E210" s="11">
        <f>IFERROR(INDEX('چکهای دریافتنی'!F:F,MATCH(Table2[[#This Row],[كد تفصيلي]],'چکهای دریافتنی'!A:A,0)),0)</f>
        <v>0</v>
      </c>
      <c r="F210" s="11">
        <f>Table2[[#This Row],[حسابهای دریافتنی]]+Table2[[#This Row],[چکهای در جریان وصول]]+Table2[[#This Row],[چکهای نزد صندوق]]</f>
        <v>0</v>
      </c>
      <c r="G210" s="12">
        <f>IFERROR(INDEX('مانده سوفاله'!F:F,MATCH(Table2[[#This Row],[كد تفصيلي]],'مانده سوفاله'!A:A,0)),0)</f>
        <v>0</v>
      </c>
    </row>
    <row r="211" spans="1:7" ht="18" customHeight="1" x14ac:dyDescent="0.25">
      <c r="A211" s="18">
        <v>30124</v>
      </c>
      <c r="B211" s="19" t="s">
        <v>246</v>
      </c>
      <c r="C211" s="10">
        <f>IFERROR(INDEX('حسابهای دریافتنی'!H:H,MATCH(Table2[[#This Row],[كد تفصيلي]],'حسابهای دریافتنی'!A:A,0)),0)</f>
        <v>0</v>
      </c>
      <c r="D211" s="11">
        <f>IFERROR(INDEX('درجریان وصول'!F:F,MATCH(Table2[[#This Row],[كد تفصيلي]],'درجریان وصول'!A:A,0)),0)</f>
        <v>0</v>
      </c>
      <c r="E211" s="11">
        <f>IFERROR(INDEX('چکهای دریافتنی'!F:F,MATCH(Table2[[#This Row],[كد تفصيلي]],'چکهای دریافتنی'!A:A,0)),0)</f>
        <v>505676000</v>
      </c>
      <c r="F211" s="11">
        <f>Table2[[#This Row],[حسابهای دریافتنی]]+Table2[[#This Row],[چکهای در جریان وصول]]+Table2[[#This Row],[چکهای نزد صندوق]]</f>
        <v>505676000</v>
      </c>
      <c r="G211" s="12">
        <f>IFERROR(INDEX('مانده سوفاله'!F:F,MATCH(Table2[[#This Row],[كد تفصيلي]],'مانده سوفاله'!A:A,0)),0)</f>
        <v>1498</v>
      </c>
    </row>
    <row r="212" spans="1:7" ht="18" customHeight="1" x14ac:dyDescent="0.25">
      <c r="A212" s="20">
        <v>30125</v>
      </c>
      <c r="B212" s="21" t="s">
        <v>209</v>
      </c>
      <c r="C212" s="10">
        <f>IFERROR(INDEX('حسابهای دریافتنی'!H:H,MATCH(Table2[[#This Row],[كد تفصيلي]],'حسابهای دریافتنی'!A:A,0)),0)</f>
        <v>0</v>
      </c>
      <c r="D212" s="11">
        <f>IFERROR(INDEX('درجریان وصول'!F:F,MATCH(Table2[[#This Row],[كد تفصيلي]],'درجریان وصول'!A:A,0)),0)</f>
        <v>0</v>
      </c>
      <c r="E212" s="11">
        <f>IFERROR(INDEX('چکهای دریافتنی'!F:F,MATCH(Table2[[#This Row],[كد تفصيلي]],'چکهای دریافتنی'!A:A,0)),0)</f>
        <v>0</v>
      </c>
      <c r="F212" s="11">
        <f>Table2[[#This Row],[حسابهای دریافتنی]]+Table2[[#This Row],[چکهای در جریان وصول]]+Table2[[#This Row],[چکهای نزد صندوق]]</f>
        <v>0</v>
      </c>
      <c r="G212" s="12">
        <f>IFERROR(INDEX('مانده سوفاله'!F:F,MATCH(Table2[[#This Row],[كد تفصيلي]],'مانده سوفاله'!A:A,0)),0)</f>
        <v>0</v>
      </c>
    </row>
    <row r="213" spans="1:7" ht="18" customHeight="1" x14ac:dyDescent="0.25">
      <c r="A213" s="18">
        <v>30126</v>
      </c>
      <c r="B213" s="19" t="s">
        <v>211</v>
      </c>
      <c r="C213" s="10">
        <f>IFERROR(INDEX('حسابهای دریافتنی'!H:H,MATCH(Table2[[#This Row],[كد تفصيلي]],'حسابهای دریافتنی'!A:A,0)),0)</f>
        <v>0</v>
      </c>
      <c r="D213" s="11">
        <f>IFERROR(INDEX('درجریان وصول'!F:F,MATCH(Table2[[#This Row],[كد تفصيلي]],'درجریان وصول'!A:A,0)),0)</f>
        <v>0</v>
      </c>
      <c r="E213" s="11">
        <f>IFERROR(INDEX('چکهای دریافتنی'!F:F,MATCH(Table2[[#This Row],[كد تفصيلي]],'چکهای دریافتنی'!A:A,0)),0)</f>
        <v>0</v>
      </c>
      <c r="F213" s="11">
        <f>Table2[[#This Row],[حسابهای دریافتنی]]+Table2[[#This Row],[چکهای در جریان وصول]]+Table2[[#This Row],[چکهای نزد صندوق]]</f>
        <v>0</v>
      </c>
      <c r="G213" s="12">
        <f>IFERROR(INDEX('مانده سوفاله'!F:F,MATCH(Table2[[#This Row],[كد تفصيلي]],'مانده سوفاله'!A:A,0)),0)</f>
        <v>0</v>
      </c>
    </row>
    <row r="214" spans="1:7" ht="18" customHeight="1" x14ac:dyDescent="0.25">
      <c r="A214" s="18">
        <v>30130</v>
      </c>
      <c r="B214" s="19" t="s">
        <v>183</v>
      </c>
      <c r="C214" s="10">
        <f>IFERROR(INDEX('حسابهای دریافتنی'!H:H,MATCH(Table2[[#This Row],[كد تفصيلي]],'حسابهای دریافتنی'!A:A,0)),0)</f>
        <v>0</v>
      </c>
      <c r="D214" s="11">
        <f>IFERROR(INDEX('درجریان وصول'!F:F,MATCH(Table2[[#This Row],[كد تفصيلي]],'درجریان وصول'!A:A,0)),0)</f>
        <v>0</v>
      </c>
      <c r="E214" s="11">
        <f>IFERROR(INDEX('چکهای دریافتنی'!F:F,MATCH(Table2[[#This Row],[كد تفصيلي]],'چکهای دریافتنی'!A:A,0)),0)</f>
        <v>0</v>
      </c>
      <c r="F214" s="11">
        <f>Table2[[#This Row],[حسابهای دریافتنی]]+Table2[[#This Row],[چکهای در جریان وصول]]+Table2[[#This Row],[چکهای نزد صندوق]]</f>
        <v>0</v>
      </c>
      <c r="G214" s="12">
        <f>IFERROR(INDEX('مانده سوفاله'!F:F,MATCH(Table2[[#This Row],[كد تفصيلي]],'مانده سوفاله'!A:A,0)),0)</f>
        <v>0</v>
      </c>
    </row>
    <row r="215" spans="1:7" ht="18" customHeight="1" x14ac:dyDescent="0.25">
      <c r="A215" s="18">
        <v>30132</v>
      </c>
      <c r="B215" s="19" t="s">
        <v>247</v>
      </c>
      <c r="C215" s="10">
        <f>IFERROR(INDEX('حسابهای دریافتنی'!H:H,MATCH(Table2[[#This Row],[كد تفصيلي]],'حسابهای دریافتنی'!A:A,0)),0)</f>
        <v>0</v>
      </c>
      <c r="D215" s="11">
        <f>IFERROR(INDEX('درجریان وصول'!F:F,MATCH(Table2[[#This Row],[كد تفصيلي]],'درجریان وصول'!A:A,0)),0)</f>
        <v>0</v>
      </c>
      <c r="E215" s="11">
        <f>IFERROR(INDEX('چکهای دریافتنی'!F:F,MATCH(Table2[[#This Row],[كد تفصيلي]],'چکهای دریافتنی'!A:A,0)),0)</f>
        <v>0</v>
      </c>
      <c r="F215" s="11">
        <f>Table2[[#This Row],[حسابهای دریافتنی]]+Table2[[#This Row],[چکهای در جریان وصول]]+Table2[[#This Row],[چکهای نزد صندوق]]</f>
        <v>0</v>
      </c>
      <c r="G215" s="12">
        <f>IFERROR(INDEX('مانده سوفاله'!F:F,MATCH(Table2[[#This Row],[كد تفصيلي]],'مانده سوفاله'!A:A,0)),0)</f>
        <v>0</v>
      </c>
    </row>
    <row r="216" spans="1:7" ht="18" customHeight="1" x14ac:dyDescent="0.25">
      <c r="A216" s="18">
        <v>30134</v>
      </c>
      <c r="B216" s="19" t="s">
        <v>216</v>
      </c>
      <c r="C216" s="10">
        <f>IFERROR(INDEX('حسابهای دریافتنی'!H:H,MATCH(Table2[[#This Row],[كد تفصيلي]],'حسابهای دریافتنی'!A:A,0)),0)</f>
        <v>0</v>
      </c>
      <c r="D216" s="11">
        <f>IFERROR(INDEX('درجریان وصول'!F:F,MATCH(Table2[[#This Row],[كد تفصيلي]],'درجریان وصول'!A:A,0)),0)</f>
        <v>0</v>
      </c>
      <c r="E216" s="11">
        <f>IFERROR(INDEX('چکهای دریافتنی'!F:F,MATCH(Table2[[#This Row],[كد تفصيلي]],'چکهای دریافتنی'!A:A,0)),0)</f>
        <v>0</v>
      </c>
      <c r="F216" s="11">
        <f>Table2[[#This Row],[حسابهای دریافتنی]]+Table2[[#This Row],[چکهای در جریان وصول]]+Table2[[#This Row],[چکهای نزد صندوق]]</f>
        <v>0</v>
      </c>
      <c r="G216" s="12">
        <f>IFERROR(INDEX('مانده سوفاله'!F:F,MATCH(Table2[[#This Row],[كد تفصيلي]],'مانده سوفاله'!A:A,0)),0)</f>
        <v>0</v>
      </c>
    </row>
    <row r="217" spans="1:7" ht="18" customHeight="1" x14ac:dyDescent="0.25">
      <c r="A217" s="18">
        <v>30136</v>
      </c>
      <c r="B217" s="19" t="s">
        <v>248</v>
      </c>
      <c r="C217" s="10">
        <f>IFERROR(INDEX('حسابهای دریافتنی'!H:H,MATCH(Table2[[#This Row],[كد تفصيلي]],'حسابهای دریافتنی'!A:A,0)),0)</f>
        <v>0</v>
      </c>
      <c r="D217" s="11">
        <f>IFERROR(INDEX('درجریان وصول'!F:F,MATCH(Table2[[#This Row],[كد تفصيلي]],'درجریان وصول'!A:A,0)),0)</f>
        <v>0</v>
      </c>
      <c r="E217" s="11">
        <f>IFERROR(INDEX('چکهای دریافتنی'!F:F,MATCH(Table2[[#This Row],[كد تفصيلي]],'چکهای دریافتنی'!A:A,0)),0)</f>
        <v>0</v>
      </c>
      <c r="F217" s="11">
        <f>Table2[[#This Row],[حسابهای دریافتنی]]+Table2[[#This Row],[چکهای در جریان وصول]]+Table2[[#This Row],[چکهای نزد صندوق]]</f>
        <v>0</v>
      </c>
      <c r="G217" s="12">
        <f>IFERROR(INDEX('مانده سوفاله'!F:F,MATCH(Table2[[#This Row],[كد تفصيلي]],'مانده سوفاله'!A:A,0)),0)</f>
        <v>0</v>
      </c>
    </row>
    <row r="218" spans="1:7" ht="18" customHeight="1" x14ac:dyDescent="0.25">
      <c r="A218" s="18">
        <v>30138</v>
      </c>
      <c r="B218" s="19" t="s">
        <v>252</v>
      </c>
      <c r="C218" s="10">
        <f>IFERROR(INDEX('حسابهای دریافتنی'!H:H,MATCH(Table2[[#This Row],[كد تفصيلي]],'حسابهای دریافتنی'!A:A,0)),0)</f>
        <v>0</v>
      </c>
      <c r="D218" s="11">
        <f>IFERROR(INDEX('درجریان وصول'!F:F,MATCH(Table2[[#This Row],[كد تفصيلي]],'درجریان وصول'!A:A,0)),0)</f>
        <v>0</v>
      </c>
      <c r="E218" s="11">
        <f>IFERROR(INDEX('چکهای دریافتنی'!F:F,MATCH(Table2[[#This Row],[كد تفصيلي]],'چکهای دریافتنی'!A:A,0)),0)</f>
        <v>0</v>
      </c>
      <c r="F218" s="11">
        <f>Table2[[#This Row],[حسابهای دریافتنی]]+Table2[[#This Row],[چکهای در جریان وصول]]+Table2[[#This Row],[چکهای نزد صندوق]]</f>
        <v>0</v>
      </c>
      <c r="G218" s="12">
        <f>IFERROR(INDEX('مانده سوفاله'!F:F,MATCH(Table2[[#This Row],[كد تفصيلي]],'مانده سوفاله'!A:A,0)),0)</f>
        <v>0</v>
      </c>
    </row>
    <row r="219" spans="1:7" ht="18" customHeight="1" x14ac:dyDescent="0.25">
      <c r="A219" s="20">
        <v>30139</v>
      </c>
      <c r="B219" s="21" t="s">
        <v>257</v>
      </c>
      <c r="C219" s="10">
        <f>IFERROR(INDEX('حسابهای دریافتنی'!H:H,MATCH(Table2[[#This Row],[كد تفصيلي]],'حسابهای دریافتنی'!A:A,0)),0)</f>
        <v>0</v>
      </c>
      <c r="D219" s="11">
        <f>IFERROR(INDEX('درجریان وصول'!F:F,MATCH(Table2[[#This Row],[كد تفصيلي]],'درجریان وصول'!A:A,0)),0)</f>
        <v>0</v>
      </c>
      <c r="E219" s="11">
        <f>IFERROR(INDEX('چکهای دریافتنی'!F:F,MATCH(Table2[[#This Row],[كد تفصيلي]],'چکهای دریافتنی'!A:A,0)),0)</f>
        <v>0</v>
      </c>
      <c r="F219" s="11">
        <f>Table2[[#This Row],[حسابهای دریافتنی]]+Table2[[#This Row],[چکهای در جریان وصول]]+Table2[[#This Row],[چکهای نزد صندوق]]</f>
        <v>0</v>
      </c>
      <c r="G219" s="12">
        <f>IFERROR(INDEX('مانده سوفاله'!F:F,MATCH(Table2[[#This Row],[كد تفصيلي]],'مانده سوفاله'!A:A,0)),0)</f>
        <v>0</v>
      </c>
    </row>
    <row r="220" spans="1:7" ht="18" customHeight="1" x14ac:dyDescent="0.25">
      <c r="A220" s="20">
        <v>30141</v>
      </c>
      <c r="B220" s="21" t="s">
        <v>261</v>
      </c>
      <c r="C220" s="10">
        <f>IFERROR(INDEX('حسابهای دریافتنی'!H:H,MATCH(Table2[[#This Row],[كد تفصيلي]],'حسابهای دریافتنی'!A:A,0)),0)</f>
        <v>0</v>
      </c>
      <c r="D220" s="11">
        <f>IFERROR(INDEX('درجریان وصول'!F:F,MATCH(Table2[[#This Row],[كد تفصيلي]],'درجریان وصول'!A:A,0)),0)</f>
        <v>0</v>
      </c>
      <c r="E220" s="11">
        <f>IFERROR(INDEX('چکهای دریافتنی'!F:F,MATCH(Table2[[#This Row],[كد تفصيلي]],'چکهای دریافتنی'!A:A,0)),0)</f>
        <v>0</v>
      </c>
      <c r="F220" s="11">
        <f>Table2[[#This Row],[حسابهای دریافتنی]]+Table2[[#This Row],[چکهای در جریان وصول]]+Table2[[#This Row],[چکهای نزد صندوق]]</f>
        <v>0</v>
      </c>
      <c r="G220" s="12">
        <f>IFERROR(INDEX('مانده سوفاله'!F:F,MATCH(Table2[[#This Row],[كد تفصيلي]],'مانده سوفاله'!A:A,0)),0)</f>
        <v>-42</v>
      </c>
    </row>
    <row r="221" spans="1:7" ht="18" customHeight="1" x14ac:dyDescent="0.25">
      <c r="A221" s="18">
        <v>30142</v>
      </c>
      <c r="B221" s="19" t="s">
        <v>263</v>
      </c>
      <c r="C221" s="10">
        <f>IFERROR(INDEX('حسابهای دریافتنی'!H:H,MATCH(Table2[[#This Row],[كد تفصيلي]],'حسابهای دریافتنی'!A:A,0)),0)</f>
        <v>0</v>
      </c>
      <c r="D221" s="11">
        <f>IFERROR(INDEX('درجریان وصول'!F:F,MATCH(Table2[[#This Row],[كد تفصيلي]],'درجریان وصول'!A:A,0)),0)</f>
        <v>0</v>
      </c>
      <c r="E221" s="11">
        <f>IFERROR(INDEX('چکهای دریافتنی'!F:F,MATCH(Table2[[#This Row],[كد تفصيلي]],'چکهای دریافتنی'!A:A,0)),0)</f>
        <v>0</v>
      </c>
      <c r="F221" s="11">
        <f>Table2[[#This Row],[حسابهای دریافتنی]]+Table2[[#This Row],[چکهای در جریان وصول]]+Table2[[#This Row],[چکهای نزد صندوق]]</f>
        <v>0</v>
      </c>
      <c r="G221" s="12">
        <f>IFERROR(INDEX('مانده سوفاله'!F:F,MATCH(Table2[[#This Row],[كد تفصيلي]],'مانده سوفاله'!A:A,0)),0)</f>
        <v>13</v>
      </c>
    </row>
    <row r="222" spans="1:7" ht="18" customHeight="1" x14ac:dyDescent="0.25">
      <c r="A222" s="20">
        <v>30143</v>
      </c>
      <c r="B222" s="21" t="s">
        <v>278</v>
      </c>
      <c r="C222" s="10">
        <f>IFERROR(INDEX('حسابهای دریافتنی'!H:H,MATCH(Table2[[#This Row],[كد تفصيلي]],'حسابهای دریافتنی'!A:A,0)),0)</f>
        <v>0</v>
      </c>
      <c r="D222" s="11">
        <f>IFERROR(INDEX('درجریان وصول'!F:F,MATCH(Table2[[#This Row],[كد تفصيلي]],'درجریان وصول'!A:A,0)),0)</f>
        <v>0</v>
      </c>
      <c r="E222" s="11">
        <f>IFERROR(INDEX('چکهای دریافتنی'!F:F,MATCH(Table2[[#This Row],[كد تفصيلي]],'چکهای دریافتنی'!A:A,0)),0)</f>
        <v>0</v>
      </c>
      <c r="F222" s="11">
        <f>Table2[[#This Row],[حسابهای دریافتنی]]+Table2[[#This Row],[چکهای در جریان وصول]]+Table2[[#This Row],[چکهای نزد صندوق]]</f>
        <v>0</v>
      </c>
      <c r="G222" s="12">
        <f>IFERROR(INDEX('مانده سوفاله'!F:F,MATCH(Table2[[#This Row],[كد تفصيلي]],'مانده سوفاله'!A:A,0)),0)</f>
        <v>0</v>
      </c>
    </row>
    <row r="223" spans="1:7" ht="18" customHeight="1" x14ac:dyDescent="0.25">
      <c r="A223" s="18">
        <v>30144</v>
      </c>
      <c r="B223" s="19" t="s">
        <v>285</v>
      </c>
      <c r="C223" s="10">
        <f>IFERROR(INDEX('حسابهای دریافتنی'!H:H,MATCH(Table2[[#This Row],[كد تفصيلي]],'حسابهای دریافتنی'!A:A,0)),0)</f>
        <v>0</v>
      </c>
      <c r="D223" s="11">
        <f>IFERROR(INDEX('درجریان وصول'!F:F,MATCH(Table2[[#This Row],[كد تفصيلي]],'درجریان وصول'!A:A,0)),0)</f>
        <v>0</v>
      </c>
      <c r="E223" s="11">
        <f>IFERROR(INDEX('چکهای دریافتنی'!F:F,MATCH(Table2[[#This Row],[كد تفصيلي]],'چکهای دریافتنی'!A:A,0)),0)</f>
        <v>0</v>
      </c>
      <c r="F223" s="11">
        <f>Table2[[#This Row],[حسابهای دریافتنی]]+Table2[[#This Row],[چکهای در جریان وصول]]+Table2[[#This Row],[چکهای نزد صندوق]]</f>
        <v>0</v>
      </c>
      <c r="G223" s="12">
        <f>IFERROR(INDEX('مانده سوفاله'!F:F,MATCH(Table2[[#This Row],[كد تفصيلي]],'مانده سوفاله'!A:A,0)),0)</f>
        <v>0</v>
      </c>
    </row>
    <row r="224" spans="1:7" ht="18" customHeight="1" x14ac:dyDescent="0.25">
      <c r="A224" s="20">
        <v>30147</v>
      </c>
      <c r="B224" s="21" t="s">
        <v>269</v>
      </c>
      <c r="C224" s="10">
        <f>IFERROR(INDEX('حسابهای دریافتنی'!H:H,MATCH(Table2[[#This Row],[كد تفصيلي]],'حسابهای دریافتنی'!A:A,0)),0)</f>
        <v>0</v>
      </c>
      <c r="D224" s="11">
        <f>IFERROR(INDEX('درجریان وصول'!F:F,MATCH(Table2[[#This Row],[كد تفصيلي]],'درجریان وصول'!A:A,0)),0)</f>
        <v>0</v>
      </c>
      <c r="E224" s="11">
        <f>IFERROR(INDEX('چکهای دریافتنی'!F:F,MATCH(Table2[[#This Row],[كد تفصيلي]],'چکهای دریافتنی'!A:A,0)),0)</f>
        <v>0</v>
      </c>
      <c r="F224" s="11">
        <f>Table2[[#This Row],[حسابهای دریافتنی]]+Table2[[#This Row],[چکهای در جریان وصول]]+Table2[[#This Row],[چکهای نزد صندوق]]</f>
        <v>0</v>
      </c>
      <c r="G224" s="12">
        <f>IFERROR(INDEX('مانده سوفاله'!F:F,MATCH(Table2[[#This Row],[كد تفصيلي]],'مانده سوفاله'!A:A,0)),0)</f>
        <v>0</v>
      </c>
    </row>
    <row r="225" spans="1:7" ht="18" customHeight="1" x14ac:dyDescent="0.25">
      <c r="A225" s="18">
        <v>30148</v>
      </c>
      <c r="B225" s="19" t="s">
        <v>273</v>
      </c>
      <c r="C225" s="10">
        <f>IFERROR(INDEX('حسابهای دریافتنی'!H:H,MATCH(Table2[[#This Row],[كد تفصيلي]],'حسابهای دریافتنی'!A:A,0)),0)</f>
        <v>0</v>
      </c>
      <c r="D225" s="11">
        <f>IFERROR(INDEX('درجریان وصول'!F:F,MATCH(Table2[[#This Row],[كد تفصيلي]],'درجریان وصول'!A:A,0)),0)</f>
        <v>0</v>
      </c>
      <c r="E225" s="11">
        <f>IFERROR(INDEX('چکهای دریافتنی'!F:F,MATCH(Table2[[#This Row],[كد تفصيلي]],'چکهای دریافتنی'!A:A,0)),0)</f>
        <v>0</v>
      </c>
      <c r="F225" s="11">
        <f>Table2[[#This Row],[حسابهای دریافتنی]]+Table2[[#This Row],[چکهای در جریان وصول]]+Table2[[#This Row],[چکهای نزد صندوق]]</f>
        <v>0</v>
      </c>
      <c r="G225" s="12">
        <f>IFERROR(INDEX('مانده سوفاله'!F:F,MATCH(Table2[[#This Row],[كد تفصيلي]],'مانده سوفاله'!A:A,0)),0)</f>
        <v>0</v>
      </c>
    </row>
    <row r="226" spans="1:7" ht="18" customHeight="1" x14ac:dyDescent="0.25">
      <c r="A226" s="20">
        <v>30149</v>
      </c>
      <c r="B226" s="21" t="s">
        <v>276</v>
      </c>
      <c r="C226" s="10">
        <f>IFERROR(INDEX('حسابهای دریافتنی'!H:H,MATCH(Table2[[#This Row],[كد تفصيلي]],'حسابهای دریافتنی'!A:A,0)),0)</f>
        <v>0</v>
      </c>
      <c r="D226" s="11">
        <f>IFERROR(INDEX('درجریان وصول'!F:F,MATCH(Table2[[#This Row],[كد تفصيلي]],'درجریان وصول'!A:A,0)),0)</f>
        <v>0</v>
      </c>
      <c r="E226" s="11">
        <f>IFERROR(INDEX('چکهای دریافتنی'!F:F,MATCH(Table2[[#This Row],[كد تفصيلي]],'چکهای دریافتنی'!A:A,0)),0)</f>
        <v>0</v>
      </c>
      <c r="F226" s="11">
        <f>Table2[[#This Row],[حسابهای دریافتنی]]+Table2[[#This Row],[چکهای در جریان وصول]]+Table2[[#This Row],[چکهای نزد صندوق]]</f>
        <v>0</v>
      </c>
      <c r="G226" s="12">
        <f>IFERROR(INDEX('مانده سوفاله'!F:F,MATCH(Table2[[#This Row],[كد تفصيلي]],'مانده سوفاله'!A:A,0)),0)</f>
        <v>0</v>
      </c>
    </row>
    <row r="227" spans="1:7" ht="18" customHeight="1" x14ac:dyDescent="0.25">
      <c r="A227" s="18">
        <v>30150</v>
      </c>
      <c r="B227" s="19" t="s">
        <v>286</v>
      </c>
      <c r="C227" s="10">
        <f>IFERROR(INDEX('حسابهای دریافتنی'!H:H,MATCH(Table2[[#This Row],[كد تفصيلي]],'حسابهای دریافتنی'!A:A,0)),0)</f>
        <v>0</v>
      </c>
      <c r="D227" s="11">
        <f>IFERROR(INDEX('درجریان وصول'!F:F,MATCH(Table2[[#This Row],[كد تفصيلي]],'درجریان وصول'!A:A,0)),0)</f>
        <v>0</v>
      </c>
      <c r="E227" s="11">
        <f>IFERROR(INDEX('چکهای دریافتنی'!F:F,MATCH(Table2[[#This Row],[كد تفصيلي]],'چکهای دریافتنی'!A:A,0)),0)</f>
        <v>0</v>
      </c>
      <c r="F227" s="11">
        <f>Table2[[#This Row],[حسابهای دریافتنی]]+Table2[[#This Row],[چکهای در جریان وصول]]+Table2[[#This Row],[چکهای نزد صندوق]]</f>
        <v>0</v>
      </c>
      <c r="G227" s="12">
        <f>IFERROR(INDEX('مانده سوفاله'!F:F,MATCH(Table2[[#This Row],[كد تفصيلي]],'مانده سوفاله'!A:A,0)),0)</f>
        <v>0</v>
      </c>
    </row>
    <row r="228" spans="1:7" ht="18" customHeight="1" x14ac:dyDescent="0.25">
      <c r="A228" s="20">
        <v>30151</v>
      </c>
      <c r="B228" s="21" t="s">
        <v>287</v>
      </c>
      <c r="C228" s="10">
        <f>IFERROR(INDEX('حسابهای دریافتنی'!H:H,MATCH(Table2[[#This Row],[كد تفصيلي]],'حسابهای دریافتنی'!A:A,0)),0)</f>
        <v>0</v>
      </c>
      <c r="D228" s="11">
        <f>IFERROR(INDEX('درجریان وصول'!F:F,MATCH(Table2[[#This Row],[كد تفصيلي]],'درجریان وصول'!A:A,0)),0)</f>
        <v>0</v>
      </c>
      <c r="E228" s="11">
        <f>IFERROR(INDEX('چکهای دریافتنی'!F:F,MATCH(Table2[[#This Row],[كد تفصيلي]],'چکهای دریافتنی'!A:A,0)),0)</f>
        <v>0</v>
      </c>
      <c r="F228" s="11">
        <f>Table2[[#This Row],[حسابهای دریافتنی]]+Table2[[#This Row],[چکهای در جریان وصول]]+Table2[[#This Row],[چکهای نزد صندوق]]</f>
        <v>0</v>
      </c>
      <c r="G228" s="12">
        <f>IFERROR(INDEX('مانده سوفاله'!F:F,MATCH(Table2[[#This Row],[كد تفصيلي]],'مانده سوفاله'!A:A,0)),0)</f>
        <v>0</v>
      </c>
    </row>
    <row r="229" spans="1:7" ht="18" customHeight="1" x14ac:dyDescent="0.25">
      <c r="A229" s="18">
        <v>30152</v>
      </c>
      <c r="B229" s="19" t="s">
        <v>288</v>
      </c>
      <c r="C229" s="10">
        <f>IFERROR(INDEX('حسابهای دریافتنی'!H:H,MATCH(Table2[[#This Row],[كد تفصيلي]],'حسابهای دریافتنی'!A:A,0)),0)</f>
        <v>0</v>
      </c>
      <c r="D229" s="11">
        <f>IFERROR(INDEX('درجریان وصول'!F:F,MATCH(Table2[[#This Row],[كد تفصيلي]],'درجریان وصول'!A:A,0)),0)</f>
        <v>0</v>
      </c>
      <c r="E229" s="11">
        <f>IFERROR(INDEX('چکهای دریافتنی'!F:F,MATCH(Table2[[#This Row],[كد تفصيلي]],'چکهای دریافتنی'!A:A,0)),0)</f>
        <v>0</v>
      </c>
      <c r="F229" s="11">
        <f>Table2[[#This Row],[حسابهای دریافتنی]]+Table2[[#This Row],[چکهای در جریان وصول]]+Table2[[#This Row],[چکهای نزد صندوق]]</f>
        <v>0</v>
      </c>
      <c r="G229" s="12">
        <f>IFERROR(INDEX('مانده سوفاله'!F:F,MATCH(Table2[[#This Row],[كد تفصيلي]],'مانده سوفاله'!A:A,0)),0)</f>
        <v>0</v>
      </c>
    </row>
    <row r="230" spans="1:7" ht="18" customHeight="1" x14ac:dyDescent="0.25">
      <c r="A230" s="18">
        <v>30154</v>
      </c>
      <c r="B230" s="19" t="s">
        <v>280</v>
      </c>
      <c r="C230" s="10">
        <f>IFERROR(INDEX('حسابهای دریافتنی'!H:H,MATCH(Table2[[#This Row],[كد تفصيلي]],'حسابهای دریافتنی'!A:A,0)),0)</f>
        <v>0</v>
      </c>
      <c r="D230" s="11">
        <f>IFERROR(INDEX('درجریان وصول'!F:F,MATCH(Table2[[#This Row],[كد تفصيلي]],'درجریان وصول'!A:A,0)),0)</f>
        <v>0</v>
      </c>
      <c r="E230" s="11">
        <f>IFERROR(INDEX('چکهای دریافتنی'!F:F,MATCH(Table2[[#This Row],[كد تفصيلي]],'چکهای دریافتنی'!A:A,0)),0)</f>
        <v>0</v>
      </c>
      <c r="F230" s="11">
        <f>Table2[[#This Row],[حسابهای دریافتنی]]+Table2[[#This Row],[چکهای در جریان وصول]]+Table2[[#This Row],[چکهای نزد صندوق]]</f>
        <v>0</v>
      </c>
      <c r="G230" s="12">
        <f>IFERROR(INDEX('مانده سوفاله'!F:F,MATCH(Table2[[#This Row],[كد تفصيلي]],'مانده سوفاله'!A:A,0)),0)</f>
        <v>0</v>
      </c>
    </row>
    <row r="231" spans="1:7" ht="18" customHeight="1" x14ac:dyDescent="0.25">
      <c r="A231" s="20">
        <v>30157</v>
      </c>
      <c r="B231" s="21" t="s">
        <v>291</v>
      </c>
      <c r="C231" s="10">
        <f>IFERROR(INDEX('حسابهای دریافتنی'!H:H,MATCH(Table2[[#This Row],[كد تفصيلي]],'حسابهای دریافتنی'!A:A,0)),0)</f>
        <v>0</v>
      </c>
      <c r="D231" s="11">
        <f>IFERROR(INDEX('درجریان وصول'!F:F,MATCH(Table2[[#This Row],[كد تفصيلي]],'درجریان وصول'!A:A,0)),0)</f>
        <v>0</v>
      </c>
      <c r="E231" s="11">
        <f>IFERROR(INDEX('چکهای دریافتنی'!F:F,MATCH(Table2[[#This Row],[كد تفصيلي]],'چکهای دریافتنی'!A:A,0)),0)</f>
        <v>0</v>
      </c>
      <c r="F231" s="11">
        <f>Table2[[#This Row],[حسابهای دریافتنی]]+Table2[[#This Row],[چکهای در جریان وصول]]+Table2[[#This Row],[چکهای نزد صندوق]]</f>
        <v>0</v>
      </c>
      <c r="G231" s="12">
        <f>IFERROR(INDEX('مانده سوفاله'!F:F,MATCH(Table2[[#This Row],[كد تفصيلي]],'مانده سوفاله'!A:A,0)),0)</f>
        <v>0</v>
      </c>
    </row>
    <row r="232" spans="1:7" ht="18" customHeight="1" x14ac:dyDescent="0.25">
      <c r="A232" s="18">
        <v>30158</v>
      </c>
      <c r="B232" s="19" t="s">
        <v>292</v>
      </c>
      <c r="C232" s="10">
        <f>IFERROR(INDEX('حسابهای دریافتنی'!H:H,MATCH(Table2[[#This Row],[كد تفصيلي]],'حسابهای دریافتنی'!A:A,0)),0)</f>
        <v>0</v>
      </c>
      <c r="D232" s="11">
        <f>IFERROR(INDEX('درجریان وصول'!F:F,MATCH(Table2[[#This Row],[كد تفصيلي]],'درجریان وصول'!A:A,0)),0)</f>
        <v>0</v>
      </c>
      <c r="E232" s="11">
        <f>IFERROR(INDEX('چکهای دریافتنی'!F:F,MATCH(Table2[[#This Row],[كد تفصيلي]],'چکهای دریافتنی'!A:A,0)),0)</f>
        <v>0</v>
      </c>
      <c r="F232" s="11">
        <f>Table2[[#This Row],[حسابهای دریافتنی]]+Table2[[#This Row],[چکهای در جریان وصول]]+Table2[[#This Row],[چکهای نزد صندوق]]</f>
        <v>0</v>
      </c>
      <c r="G232" s="12">
        <f>IFERROR(INDEX('مانده سوفاله'!F:F,MATCH(Table2[[#This Row],[كد تفصيلي]],'مانده سوفاله'!A:A,0)),0)</f>
        <v>0</v>
      </c>
    </row>
    <row r="233" spans="1:7" ht="18" customHeight="1" x14ac:dyDescent="0.25">
      <c r="A233" s="20">
        <v>30159</v>
      </c>
      <c r="B233" s="21" t="s">
        <v>295</v>
      </c>
      <c r="C233" s="10">
        <f>IFERROR(INDEX('حسابهای دریافتنی'!H:H,MATCH(Table2[[#This Row],[كد تفصيلي]],'حسابهای دریافتنی'!A:A,0)),0)</f>
        <v>0</v>
      </c>
      <c r="D233" s="11">
        <f>IFERROR(INDEX('درجریان وصول'!F:F,MATCH(Table2[[#This Row],[كد تفصيلي]],'درجریان وصول'!A:A,0)),0)</f>
        <v>0</v>
      </c>
      <c r="E233" s="11">
        <f>IFERROR(INDEX('چکهای دریافتنی'!F:F,MATCH(Table2[[#This Row],[كد تفصيلي]],'چکهای دریافتنی'!A:A,0)),0)</f>
        <v>0</v>
      </c>
      <c r="F233" s="11">
        <f>Table2[[#This Row],[حسابهای دریافتنی]]+Table2[[#This Row],[چکهای در جریان وصول]]+Table2[[#This Row],[چکهای نزد صندوق]]</f>
        <v>0</v>
      </c>
      <c r="G233" s="12">
        <f>IFERROR(INDEX('مانده سوفاله'!F:F,MATCH(Table2[[#This Row],[كد تفصيلي]],'مانده سوفاله'!A:A,0)),0)</f>
        <v>0</v>
      </c>
    </row>
    <row r="234" spans="1:7" ht="18" customHeight="1" x14ac:dyDescent="0.25">
      <c r="A234" s="18">
        <v>30160</v>
      </c>
      <c r="B234" s="19" t="s">
        <v>296</v>
      </c>
      <c r="C234" s="10">
        <f>IFERROR(INDEX('حسابهای دریافتنی'!H:H,MATCH(Table2[[#This Row],[كد تفصيلي]],'حسابهای دریافتنی'!A:A,0)),0)</f>
        <v>0</v>
      </c>
      <c r="D234" s="11">
        <f>IFERROR(INDEX('درجریان وصول'!F:F,MATCH(Table2[[#This Row],[كد تفصيلي]],'درجریان وصول'!A:A,0)),0)</f>
        <v>0</v>
      </c>
      <c r="E234" s="11">
        <f>IFERROR(INDEX('چکهای دریافتنی'!F:F,MATCH(Table2[[#This Row],[كد تفصيلي]],'چکهای دریافتنی'!A:A,0)),0)</f>
        <v>0</v>
      </c>
      <c r="F234" s="11">
        <f>Table2[[#This Row],[حسابهای دریافتنی]]+Table2[[#This Row],[چکهای در جریان وصول]]+Table2[[#This Row],[چکهای نزد صندوق]]</f>
        <v>0</v>
      </c>
      <c r="G234" s="12">
        <f>IFERROR(INDEX('مانده سوفاله'!F:F,MATCH(Table2[[#This Row],[كد تفصيلي]],'مانده سوفاله'!A:A,0)),0)</f>
        <v>-425</v>
      </c>
    </row>
    <row r="235" spans="1:7" ht="18" customHeight="1" x14ac:dyDescent="0.25">
      <c r="A235" s="78">
        <v>30161</v>
      </c>
      <c r="B235" s="35" t="s">
        <v>299</v>
      </c>
      <c r="C235" s="10">
        <f>IFERROR(INDEX('حسابهای دریافتنی'!H:H,MATCH(Table2[[#This Row],[كد تفصيلي]],'حسابهای دریافتنی'!A:A,0)),0)</f>
        <v>0</v>
      </c>
      <c r="D235" s="11">
        <f>IFERROR(INDEX('درجریان وصول'!F:F,MATCH(Table2[[#This Row],[كد تفصيلي]],'درجریان وصول'!A:A,0)),0)</f>
        <v>0</v>
      </c>
      <c r="E235" s="11">
        <f>IFERROR(INDEX('چکهای دریافتنی'!F:F,MATCH(Table2[[#This Row],[كد تفصيلي]],'چکهای دریافتنی'!A:A,0)),0)</f>
        <v>0</v>
      </c>
      <c r="F235" s="11">
        <f>Table2[[#This Row],[حسابهای دریافتنی]]+Table2[[#This Row],[چکهای در جریان وصول]]+Table2[[#This Row],[چکهای نزد صندوق]]</f>
        <v>0</v>
      </c>
      <c r="G235" s="12">
        <f>IFERROR(INDEX('مانده سوفاله'!F:F,MATCH(Table2[[#This Row],[كد تفصيلي]],'مانده سوفاله'!A:A,0)),0)</f>
        <v>0</v>
      </c>
    </row>
    <row r="236" spans="1:7" ht="18" customHeight="1" x14ac:dyDescent="0.25">
      <c r="A236" s="78">
        <v>30163</v>
      </c>
      <c r="B236" s="35" t="s">
        <v>302</v>
      </c>
      <c r="C236" s="10">
        <f>IFERROR(INDEX('حسابهای دریافتنی'!H:H,MATCH(Table2[[#This Row],[كد تفصيلي]],'حسابهای دریافتنی'!A:A,0)),0)</f>
        <v>0</v>
      </c>
      <c r="D236" s="11">
        <f>IFERROR(INDEX('درجریان وصول'!F:F,MATCH(Table2[[#This Row],[كد تفصيلي]],'درجریان وصول'!A:A,0)),0)</f>
        <v>0</v>
      </c>
      <c r="E236" s="11">
        <f>IFERROR(INDEX('چکهای دریافتنی'!F:F,MATCH(Table2[[#This Row],[كد تفصيلي]],'چکهای دریافتنی'!A:A,0)),0)</f>
        <v>0</v>
      </c>
      <c r="F236" s="11">
        <f>Table2[[#This Row],[حسابهای دریافتنی]]+Table2[[#This Row],[چکهای در جریان وصول]]+Table2[[#This Row],[چکهای نزد صندوق]]</f>
        <v>0</v>
      </c>
      <c r="G236" s="12">
        <f>IFERROR(INDEX('مانده سوفاله'!F:F,MATCH(Table2[[#This Row],[كد تفصيلي]],'مانده سوفاله'!A:A,0)),0)</f>
        <v>0</v>
      </c>
    </row>
    <row r="237" spans="1:7" ht="18" customHeight="1" x14ac:dyDescent="0.25">
      <c r="A237" s="79">
        <v>30166</v>
      </c>
      <c r="B237" s="40" t="s">
        <v>405</v>
      </c>
      <c r="C237" s="10">
        <f>IFERROR(INDEX('حسابهای دریافتنی'!H:H,MATCH(Table2[[#This Row],[كد تفصيلي]],'حسابهای دریافتنی'!A:A,0)),0)</f>
        <v>0</v>
      </c>
      <c r="D237" s="11">
        <f>IFERROR(INDEX('درجریان وصول'!F:F,MATCH(Table2[[#This Row],[كد تفصيلي]],'درجریان وصول'!A:A,0)),0)</f>
        <v>0</v>
      </c>
      <c r="E237" s="11">
        <f>IFERROR(INDEX('چکهای دریافتنی'!F:F,MATCH(Table2[[#This Row],[كد تفصيلي]],'چکهای دریافتنی'!A:A,0)),0)</f>
        <v>0</v>
      </c>
      <c r="F237" s="11">
        <f>Table2[[#This Row],[حسابهای دریافتنی]]+Table2[[#This Row],[چکهای در جریان وصول]]+Table2[[#This Row],[چکهای نزد صندوق]]</f>
        <v>0</v>
      </c>
      <c r="G237" s="12">
        <f>IFERROR(INDEX('مانده سوفاله'!F:F,MATCH(Table2[[#This Row],[كد تفصيلي]],'مانده سوفاله'!A:A,0)),0)</f>
        <v>0</v>
      </c>
    </row>
    <row r="238" spans="1:7" ht="18" customHeight="1" x14ac:dyDescent="0.25">
      <c r="A238" s="79">
        <v>30170</v>
      </c>
      <c r="B238" s="40" t="s">
        <v>319</v>
      </c>
      <c r="C238" s="10">
        <f>IFERROR(INDEX('حسابهای دریافتنی'!H:H,MATCH(Table2[[#This Row],[كد تفصيلي]],'حسابهای دریافتنی'!A:A,0)),0)</f>
        <v>0</v>
      </c>
      <c r="D238" s="11">
        <f>IFERROR(INDEX('درجریان وصول'!F:F,MATCH(Table2[[#This Row],[كد تفصيلي]],'درجریان وصول'!A:A,0)),0)</f>
        <v>0</v>
      </c>
      <c r="E238" s="11">
        <f>IFERROR(INDEX('چکهای دریافتنی'!F:F,MATCH(Table2[[#This Row],[كد تفصيلي]],'چکهای دریافتنی'!A:A,0)),0)</f>
        <v>0</v>
      </c>
      <c r="F238" s="11">
        <f>Table2[[#This Row],[حسابهای دریافتنی]]+Table2[[#This Row],[چکهای در جریان وصول]]+Table2[[#This Row],[چکهای نزد صندوق]]</f>
        <v>0</v>
      </c>
      <c r="G238" s="12">
        <f>IFERROR(INDEX('مانده سوفاله'!F:F,MATCH(Table2[[#This Row],[كد تفصيلي]],'مانده سوفاله'!A:A,0)),0)</f>
        <v>0</v>
      </c>
    </row>
    <row r="239" spans="1:7" ht="18" customHeight="1" x14ac:dyDescent="0.25">
      <c r="A239" s="79">
        <v>30172</v>
      </c>
      <c r="B239" s="40" t="s">
        <v>323</v>
      </c>
      <c r="C239" s="10">
        <f>IFERROR(INDEX('حسابهای دریافتنی'!H:H,MATCH(Table2[[#This Row],[كد تفصيلي]],'حسابهای دریافتنی'!A:A,0)),0)</f>
        <v>0</v>
      </c>
      <c r="D239" s="11">
        <f>IFERROR(INDEX('درجریان وصول'!F:F,MATCH(Table2[[#This Row],[كد تفصيلي]],'درجریان وصول'!A:A,0)),0)</f>
        <v>0</v>
      </c>
      <c r="E239" s="11">
        <f>IFERROR(INDEX('چکهای دریافتنی'!F:F,MATCH(Table2[[#This Row],[كد تفصيلي]],'چکهای دریافتنی'!A:A,0)),0)</f>
        <v>0</v>
      </c>
      <c r="F239" s="11">
        <f>Table2[[#This Row],[حسابهای دریافتنی]]+Table2[[#This Row],[چکهای در جریان وصول]]+Table2[[#This Row],[چکهای نزد صندوق]]</f>
        <v>0</v>
      </c>
      <c r="G239" s="12">
        <f>IFERROR(INDEX('مانده سوفاله'!F:F,MATCH(Table2[[#This Row],[كد تفصيلي]],'مانده سوفاله'!A:A,0)),0)</f>
        <v>0</v>
      </c>
    </row>
    <row r="240" spans="1:7" ht="18" customHeight="1" x14ac:dyDescent="0.25">
      <c r="A240" s="78">
        <v>30173</v>
      </c>
      <c r="B240" s="35" t="s">
        <v>325</v>
      </c>
      <c r="C240" s="10">
        <f>IFERROR(INDEX('حسابهای دریافتنی'!H:H,MATCH(Table2[[#This Row],[كد تفصيلي]],'حسابهای دریافتنی'!A:A,0)),0)</f>
        <v>0</v>
      </c>
      <c r="D240" s="11">
        <f>IFERROR(INDEX('درجریان وصول'!F:F,MATCH(Table2[[#This Row],[كد تفصيلي]],'درجریان وصول'!A:A,0)),0)</f>
        <v>0</v>
      </c>
      <c r="E240" s="11">
        <f>IFERROR(INDEX('چکهای دریافتنی'!F:F,MATCH(Table2[[#This Row],[كد تفصيلي]],'چکهای دریافتنی'!A:A,0)),0)</f>
        <v>0</v>
      </c>
      <c r="F240" s="11">
        <f>Table2[[#This Row],[حسابهای دریافتنی]]+Table2[[#This Row],[چکهای در جریان وصول]]+Table2[[#This Row],[چکهای نزد صندوق]]</f>
        <v>0</v>
      </c>
      <c r="G240" s="12">
        <f>IFERROR(INDEX('مانده سوفاله'!F:F,MATCH(Table2[[#This Row],[كد تفصيلي]],'مانده سوفاله'!A:A,0)),0)</f>
        <v>0</v>
      </c>
    </row>
    <row r="241" spans="1:7" ht="18" customHeight="1" x14ac:dyDescent="0.25">
      <c r="A241" s="78">
        <v>30175</v>
      </c>
      <c r="B241" s="35" t="s">
        <v>330</v>
      </c>
      <c r="C241" s="10">
        <f>IFERROR(INDEX('حسابهای دریافتنی'!H:H,MATCH(Table2[[#This Row],[كد تفصيلي]],'حسابهای دریافتنی'!A:A,0)),0)</f>
        <v>0</v>
      </c>
      <c r="D241" s="11">
        <f>IFERROR(INDEX('درجریان وصول'!F:F,MATCH(Table2[[#This Row],[كد تفصيلي]],'درجریان وصول'!A:A,0)),0)</f>
        <v>0</v>
      </c>
      <c r="E241" s="11">
        <f>IFERROR(INDEX('چکهای دریافتنی'!F:F,MATCH(Table2[[#This Row],[كد تفصيلي]],'چکهای دریافتنی'!A:A,0)),0)</f>
        <v>0</v>
      </c>
      <c r="F241" s="11">
        <f>Table2[[#This Row],[حسابهای دریافتنی]]+Table2[[#This Row],[چکهای در جریان وصول]]+Table2[[#This Row],[چکهای نزد صندوق]]</f>
        <v>0</v>
      </c>
      <c r="G241" s="12">
        <f>IFERROR(INDEX('مانده سوفاله'!F:F,MATCH(Table2[[#This Row],[كد تفصيلي]],'مانده سوفاله'!A:A,0)),0)</f>
        <v>0</v>
      </c>
    </row>
    <row r="242" spans="1:7" ht="18" customHeight="1" x14ac:dyDescent="0.25">
      <c r="A242" s="78">
        <v>30177</v>
      </c>
      <c r="B242" s="35" t="s">
        <v>331</v>
      </c>
      <c r="C242" s="10">
        <f>IFERROR(INDEX('حسابهای دریافتنی'!H:H,MATCH(Table2[[#This Row],[كد تفصيلي]],'حسابهای دریافتنی'!A:A,0)),0)</f>
        <v>0</v>
      </c>
      <c r="D242" s="11">
        <f>IFERROR(INDEX('درجریان وصول'!F:F,MATCH(Table2[[#This Row],[كد تفصيلي]],'درجریان وصول'!A:A,0)),0)</f>
        <v>0</v>
      </c>
      <c r="E242" s="11">
        <f>IFERROR(INDEX('چکهای دریافتنی'!F:F,MATCH(Table2[[#This Row],[كد تفصيلي]],'چکهای دریافتنی'!A:A,0)),0)</f>
        <v>0</v>
      </c>
      <c r="F242" s="11">
        <f>Table2[[#This Row],[حسابهای دریافتنی]]+Table2[[#This Row],[چکهای در جریان وصول]]+Table2[[#This Row],[چکهای نزد صندوق]]</f>
        <v>0</v>
      </c>
      <c r="G242" s="12">
        <f>IFERROR(INDEX('مانده سوفاله'!F:F,MATCH(Table2[[#This Row],[كد تفصيلي]],'مانده سوفاله'!A:A,0)),0)</f>
        <v>0</v>
      </c>
    </row>
    <row r="243" spans="1:7" ht="18" customHeight="1" x14ac:dyDescent="0.25">
      <c r="A243" s="79">
        <v>30180</v>
      </c>
      <c r="B243" s="40" t="s">
        <v>406</v>
      </c>
      <c r="C243" s="10">
        <f>IFERROR(INDEX('حسابهای دریافتنی'!H:H,MATCH(Table2[[#This Row],[كد تفصيلي]],'حسابهای دریافتنی'!A:A,0)),0)</f>
        <v>0</v>
      </c>
      <c r="D243" s="11">
        <f>IFERROR(INDEX('درجریان وصول'!F:F,MATCH(Table2[[#This Row],[كد تفصيلي]],'درجریان وصول'!A:A,0)),0)</f>
        <v>0</v>
      </c>
      <c r="E243" s="11">
        <f>IFERROR(INDEX('چکهای دریافتنی'!F:F,MATCH(Table2[[#This Row],[كد تفصيلي]],'چکهای دریافتنی'!A:A,0)),0)</f>
        <v>0</v>
      </c>
      <c r="F243" s="11">
        <f>Table2[[#This Row],[حسابهای دریافتنی]]+Table2[[#This Row],[چکهای در جریان وصول]]+Table2[[#This Row],[چکهای نزد صندوق]]</f>
        <v>0</v>
      </c>
      <c r="G243" s="12">
        <f>IFERROR(INDEX('مانده سوفاله'!F:F,MATCH(Table2[[#This Row],[كد تفصيلي]],'مانده سوفاله'!A:A,0)),0)</f>
        <v>0</v>
      </c>
    </row>
    <row r="244" spans="1:7" ht="18" customHeight="1" x14ac:dyDescent="0.25">
      <c r="A244" s="78">
        <v>30181</v>
      </c>
      <c r="B244" s="35" t="s">
        <v>341</v>
      </c>
      <c r="C244" s="10">
        <f>IFERROR(INDEX('حسابهای دریافتنی'!H:H,MATCH(Table2[[#This Row],[كد تفصيلي]],'حسابهای دریافتنی'!A:A,0)),0)</f>
        <v>0</v>
      </c>
      <c r="D244" s="11">
        <f>IFERROR(INDEX('درجریان وصول'!F:F,MATCH(Table2[[#This Row],[كد تفصيلي]],'درجریان وصول'!A:A,0)),0)</f>
        <v>0</v>
      </c>
      <c r="E244" s="11">
        <f>IFERROR(INDEX('چکهای دریافتنی'!F:F,MATCH(Table2[[#This Row],[كد تفصيلي]],'چکهای دریافتنی'!A:A,0)),0)</f>
        <v>0</v>
      </c>
      <c r="F244" s="11">
        <f>Table2[[#This Row],[حسابهای دریافتنی]]+Table2[[#This Row],[چکهای در جریان وصول]]+Table2[[#This Row],[چکهای نزد صندوق]]</f>
        <v>0</v>
      </c>
      <c r="G244" s="12">
        <f>IFERROR(INDEX('مانده سوفاله'!F:F,MATCH(Table2[[#This Row],[كد تفصيلي]],'مانده سوفاله'!A:A,0)),0)</f>
        <v>0</v>
      </c>
    </row>
    <row r="245" spans="1:7" ht="18" customHeight="1" x14ac:dyDescent="0.25">
      <c r="A245" s="78">
        <v>30185</v>
      </c>
      <c r="B245" s="35" t="s">
        <v>407</v>
      </c>
      <c r="C245" s="10">
        <f>IFERROR(INDEX('حسابهای دریافتنی'!H:H,MATCH(Table2[[#This Row],[كد تفصيلي]],'حسابهای دریافتنی'!A:A,0)),0)</f>
        <v>0</v>
      </c>
      <c r="D245" s="11">
        <f>IFERROR(INDEX('درجریان وصول'!F:F,MATCH(Table2[[#This Row],[كد تفصيلي]],'درجریان وصول'!A:A,0)),0)</f>
        <v>0</v>
      </c>
      <c r="E245" s="11">
        <f>IFERROR(INDEX('چکهای دریافتنی'!F:F,MATCH(Table2[[#This Row],[كد تفصيلي]],'چکهای دریافتنی'!A:A,0)),0)</f>
        <v>0</v>
      </c>
      <c r="F245" s="11">
        <f>Table2[[#This Row],[حسابهای دریافتنی]]+Table2[[#This Row],[چکهای در جریان وصول]]+Table2[[#This Row],[چکهای نزد صندوق]]</f>
        <v>0</v>
      </c>
      <c r="G245" s="12">
        <f>IFERROR(INDEX('مانده سوفاله'!F:F,MATCH(Table2[[#This Row],[كد تفصيلي]],'مانده سوفاله'!A:A,0)),0)</f>
        <v>0</v>
      </c>
    </row>
    <row r="246" spans="1:7" ht="18" customHeight="1" x14ac:dyDescent="0.25">
      <c r="A246" s="79">
        <v>30188</v>
      </c>
      <c r="B246" s="40" t="s">
        <v>374</v>
      </c>
      <c r="C246" s="10">
        <f>IFERROR(INDEX('حسابهای دریافتنی'!H:H,MATCH(Table2[[#This Row],[كد تفصيلي]],'حسابهای دریافتنی'!A:A,0)),0)</f>
        <v>0</v>
      </c>
      <c r="D246" s="11">
        <f>IFERROR(INDEX('درجریان وصول'!F:F,MATCH(Table2[[#This Row],[كد تفصيلي]],'درجریان وصول'!A:A,0)),0)</f>
        <v>0</v>
      </c>
      <c r="E246" s="11">
        <f>IFERROR(INDEX('چکهای دریافتنی'!F:F,MATCH(Table2[[#This Row],[كد تفصيلي]],'چکهای دریافتنی'!A:A,0)),0)</f>
        <v>0</v>
      </c>
      <c r="F246" s="11">
        <f>Table2[[#This Row],[حسابهای دریافتنی]]+Table2[[#This Row],[چکهای در جریان وصول]]+Table2[[#This Row],[چکهای نزد صندوق]]</f>
        <v>0</v>
      </c>
      <c r="G246" s="12">
        <f>IFERROR(INDEX('مانده سوفاله'!F:F,MATCH(Table2[[#This Row],[كد تفصيلي]],'مانده سوفاله'!A:A,0)),0)</f>
        <v>0</v>
      </c>
    </row>
    <row r="247" spans="1:7" ht="18" customHeight="1" x14ac:dyDescent="0.25">
      <c r="A247" s="18">
        <v>50005</v>
      </c>
      <c r="B247" s="19" t="s">
        <v>148</v>
      </c>
      <c r="C247" s="10">
        <f>IFERROR(INDEX('حسابهای دریافتنی'!H:H,MATCH(Table2[[#This Row],[كد تفصيلي]],'حسابهای دریافتنی'!A:A,0)),0)</f>
        <v>0</v>
      </c>
      <c r="D247" s="11">
        <f>IFERROR(INDEX('درجریان وصول'!F:F,MATCH(Table2[[#This Row],[كد تفصيلي]],'درجریان وصول'!A:A,0)),0)</f>
        <v>0</v>
      </c>
      <c r="E247" s="11">
        <f>IFERROR(INDEX('چکهای دریافتنی'!F:F,MATCH(Table2[[#This Row],[كد تفصيلي]],'چکهای دریافتنی'!A:A,0)),0)</f>
        <v>0</v>
      </c>
      <c r="F247" s="11">
        <f>Table2[[#This Row],[حسابهای دریافتنی]]+Table2[[#This Row],[چکهای در جریان وصول]]+Table2[[#This Row],[چکهای نزد صندوق]]</f>
        <v>0</v>
      </c>
      <c r="G247" s="12">
        <f>IFERROR(INDEX('مانده سوفاله'!F:F,MATCH(Table2[[#This Row],[كد تفصيلي]],'مانده سوفاله'!A:A,0)),0)</f>
        <v>0</v>
      </c>
    </row>
    <row r="248" spans="1:7" ht="18" customHeight="1" x14ac:dyDescent="0.25">
      <c r="A248" s="20">
        <v>50006</v>
      </c>
      <c r="B248" s="21" t="s">
        <v>168</v>
      </c>
      <c r="C248" s="10">
        <f>IFERROR(INDEX('حسابهای دریافتنی'!H:H,MATCH(Table2[[#This Row],[كد تفصيلي]],'حسابهای دریافتنی'!A:A,0)),0)</f>
        <v>0</v>
      </c>
      <c r="D248" s="11">
        <f>IFERROR(INDEX('درجریان وصول'!F:F,MATCH(Table2[[#This Row],[كد تفصيلي]],'درجریان وصول'!A:A,0)),0)</f>
        <v>0</v>
      </c>
      <c r="E248" s="11">
        <f>IFERROR(INDEX('چکهای دریافتنی'!F:F,MATCH(Table2[[#This Row],[كد تفصيلي]],'چکهای دریافتنی'!A:A,0)),0)</f>
        <v>0</v>
      </c>
      <c r="F248" s="11">
        <f>Table2[[#This Row],[حسابهای دریافتنی]]+Table2[[#This Row],[چکهای در جریان وصول]]+Table2[[#This Row],[چکهای نزد صندوق]]</f>
        <v>0</v>
      </c>
      <c r="G248" s="12">
        <f>IFERROR(INDEX('مانده سوفاله'!F:F,MATCH(Table2[[#This Row],[كد تفصيلي]],'مانده سوفاله'!A:A,0)),0)</f>
        <v>-7581</v>
      </c>
    </row>
    <row r="249" spans="1:7" ht="18" customHeight="1" x14ac:dyDescent="0.25">
      <c r="A249" s="20">
        <v>50014</v>
      </c>
      <c r="B249" s="21" t="s">
        <v>249</v>
      </c>
      <c r="C249" s="10">
        <f>IFERROR(INDEX('حسابهای دریافتنی'!H:H,MATCH(Table2[[#This Row],[كد تفصيلي]],'حسابهای دریافتنی'!A:A,0)),0)</f>
        <v>0</v>
      </c>
      <c r="D249" s="11">
        <f>IFERROR(INDEX('درجریان وصول'!F:F,MATCH(Table2[[#This Row],[كد تفصيلي]],'درجریان وصول'!A:A,0)),0)</f>
        <v>0</v>
      </c>
      <c r="E249" s="11">
        <f>IFERROR(INDEX('چکهای دریافتنی'!F:F,MATCH(Table2[[#This Row],[كد تفصيلي]],'چکهای دریافتنی'!A:A,0)),0)</f>
        <v>0</v>
      </c>
      <c r="F249" s="11">
        <f>Table2[[#This Row],[حسابهای دریافتنی]]+Table2[[#This Row],[چکهای در جریان وصول]]+Table2[[#This Row],[چکهای نزد صندوق]]</f>
        <v>0</v>
      </c>
      <c r="G249" s="12">
        <f>IFERROR(INDEX('مانده سوفاله'!F:F,MATCH(Table2[[#This Row],[كد تفصيلي]],'مانده سوفاله'!A:A,0)),0)</f>
        <v>0</v>
      </c>
    </row>
    <row r="250" spans="1:7" ht="18" customHeight="1" x14ac:dyDescent="0.25">
      <c r="A250" s="20">
        <v>79008</v>
      </c>
      <c r="B250" s="21" t="s">
        <v>170</v>
      </c>
      <c r="C250" s="10">
        <f>IFERROR(INDEX('حسابهای دریافتنی'!H:H,MATCH(Table2[[#This Row],[كد تفصيلي]],'حسابهای دریافتنی'!A:A,0)),0)</f>
        <v>0</v>
      </c>
      <c r="D250" s="11">
        <f>IFERROR(INDEX('درجریان وصول'!F:F,MATCH(Table2[[#This Row],[كد تفصيلي]],'درجریان وصول'!A:A,0)),0)</f>
        <v>0</v>
      </c>
      <c r="E250" s="11">
        <f>IFERROR(INDEX('چکهای دریافتنی'!F:F,MATCH(Table2[[#This Row],[كد تفصيلي]],'چکهای دریافتنی'!A:A,0)),0)</f>
        <v>0</v>
      </c>
      <c r="F250" s="11">
        <f>Table2[[#This Row],[حسابهای دریافتنی]]+Table2[[#This Row],[چکهای در جریان وصول]]+Table2[[#This Row],[چکهای نزد صندوق]]</f>
        <v>0</v>
      </c>
      <c r="G250" s="12">
        <f>IFERROR(INDEX('مانده سوفاله'!F:F,MATCH(Table2[[#This Row],[كد تفصيلي]],'مانده سوفاله'!A:A,0)),0)</f>
        <v>0</v>
      </c>
    </row>
    <row r="251" spans="1:7" ht="18" customHeight="1" x14ac:dyDescent="0.25">
      <c r="A251" s="20">
        <v>79010</v>
      </c>
      <c r="B251" s="21" t="s">
        <v>176</v>
      </c>
      <c r="C251" s="10">
        <f>IFERROR(INDEX('حسابهای دریافتنی'!H:H,MATCH(Table2[[#This Row],[كد تفصيلي]],'حسابهای دریافتنی'!A:A,0)),0)</f>
        <v>0</v>
      </c>
      <c r="D251" s="11">
        <f>IFERROR(INDEX('درجریان وصول'!F:F,MATCH(Table2[[#This Row],[كد تفصيلي]],'درجریان وصول'!A:A,0)),0)</f>
        <v>0</v>
      </c>
      <c r="E251" s="11">
        <f>IFERROR(INDEX('چکهای دریافتنی'!F:F,MATCH(Table2[[#This Row],[كد تفصيلي]],'چکهای دریافتنی'!A:A,0)),0)</f>
        <v>0</v>
      </c>
      <c r="F251" s="11">
        <f>Table2[[#This Row],[حسابهای دریافتنی]]+Table2[[#This Row],[چکهای در جریان وصول]]+Table2[[#This Row],[چکهای نزد صندوق]]</f>
        <v>0</v>
      </c>
      <c r="G251" s="12">
        <f>IFERROR(INDEX('مانده سوفاله'!F:F,MATCH(Table2[[#This Row],[كد تفصيلي]],'مانده سوفاله'!A:A,0)),0)</f>
        <v>-110</v>
      </c>
    </row>
    <row r="252" spans="1:7" ht="18" customHeight="1" x14ac:dyDescent="0.25">
      <c r="A252" s="20">
        <v>79014</v>
      </c>
      <c r="B252" s="21" t="s">
        <v>250</v>
      </c>
      <c r="C252" s="10">
        <f>IFERROR(INDEX('حسابهای دریافتنی'!H:H,MATCH(Table2[[#This Row],[كد تفصيلي]],'حسابهای دریافتنی'!A:A,0)),0)</f>
        <v>0</v>
      </c>
      <c r="D252" s="11">
        <f>IFERROR(INDEX('درجریان وصول'!F:F,MATCH(Table2[[#This Row],[كد تفصيلي]],'درجریان وصول'!A:A,0)),0)</f>
        <v>0</v>
      </c>
      <c r="E252" s="11">
        <f>IFERROR(INDEX('چکهای دریافتنی'!F:F,MATCH(Table2[[#This Row],[كد تفصيلي]],'چکهای دریافتنی'!A:A,0)),0)</f>
        <v>0</v>
      </c>
      <c r="F252" s="11">
        <f>Table2[[#This Row],[حسابهای دریافتنی]]+Table2[[#This Row],[چکهای در جریان وصول]]+Table2[[#This Row],[چکهای نزد صندوق]]</f>
        <v>0</v>
      </c>
      <c r="G252" s="12">
        <f>IFERROR(INDEX('مانده سوفاله'!F:F,MATCH(Table2[[#This Row],[كد تفصيلي]],'مانده سوفاله'!A:A,0)),0)</f>
        <v>0</v>
      </c>
    </row>
    <row r="253" spans="1:7" ht="18" customHeight="1" x14ac:dyDescent="0.25">
      <c r="A253" s="20">
        <v>79045</v>
      </c>
      <c r="B253" s="21" t="s">
        <v>133</v>
      </c>
      <c r="C253" s="10">
        <f>IFERROR(INDEX('حسابهای دریافتنی'!H:H,MATCH(Table2[[#This Row],[كد تفصيلي]],'حسابهای دریافتنی'!A:A,0)),0)</f>
        <v>0</v>
      </c>
      <c r="D253" s="11">
        <f>IFERROR(INDEX('درجریان وصول'!F:F,MATCH(Table2[[#This Row],[كد تفصيلي]],'درجریان وصول'!A:A,0)),0)</f>
        <v>0</v>
      </c>
      <c r="E253" s="11">
        <f>IFERROR(INDEX('چکهای دریافتنی'!F:F,MATCH(Table2[[#This Row],[كد تفصيلي]],'چکهای دریافتنی'!A:A,0)),0)</f>
        <v>0</v>
      </c>
      <c r="F253" s="11">
        <f>Table2[[#This Row],[حسابهای دریافتنی]]+Table2[[#This Row],[چکهای در جریان وصول]]+Table2[[#This Row],[چکهای نزد صندوق]]</f>
        <v>0</v>
      </c>
      <c r="G253" s="12">
        <f>IFERROR(INDEX('مانده سوفاله'!F:F,MATCH(Table2[[#This Row],[كد تفصيلي]],'مانده سوفاله'!A:A,0)),0)</f>
        <v>0</v>
      </c>
    </row>
    <row r="254" spans="1:7" ht="18" customHeight="1" x14ac:dyDescent="0.25">
      <c r="A254" s="22"/>
      <c r="B254" s="23"/>
      <c r="C254" s="10">
        <f>IFERROR(INDEX('حسابهای دریافتنی'!H:H,MATCH(Table2[[#This Row],[كد تفصيلي]],'حسابهای دریافتنی'!A:A,0)),0)</f>
        <v>0</v>
      </c>
      <c r="D254" s="11">
        <f>IFERROR(INDEX('درجریان وصول'!F:F,MATCH(Table2[[#This Row],[كد تفصيلي]],'درجریان وصول'!A:A,0)),0)</f>
        <v>0</v>
      </c>
      <c r="E254" s="11">
        <f>IFERROR(INDEX('چکهای دریافتنی'!F:F,MATCH(Table2[[#This Row],[كد تفصيلي]],'چکهای دریافتنی'!A:A,0)),0)</f>
        <v>0</v>
      </c>
      <c r="F254" s="11">
        <f>Table2[[#This Row],[حسابهای دریافتنی]]+Table2[[#This Row],[چکهای در جریان وصول]]+Table2[[#This Row],[چکهای نزد صندوق]]</f>
        <v>0</v>
      </c>
      <c r="G254" s="12">
        <f>IFERROR(INDEX('مانده سوفاله'!F:F,MATCH(Table2[[#This Row],[كد تفصيلي]],'مانده سوفاله'!A:A,0)),0)</f>
        <v>0</v>
      </c>
    </row>
    <row r="255" spans="1:7" ht="18" customHeight="1" x14ac:dyDescent="0.25">
      <c r="A255" s="79">
        <v>30174</v>
      </c>
      <c r="B255" s="40" t="s">
        <v>327</v>
      </c>
      <c r="C255" s="10">
        <f>IFERROR(INDEX('حسابهای دریافتنی'!H:H,MATCH(Table2[[#This Row],[كد تفصيلي]],'حسابهای دریافتنی'!A:A,0)),0)</f>
        <v>-5000</v>
      </c>
      <c r="D255" s="11">
        <f>IFERROR(INDEX('درجریان وصول'!F:F,MATCH(Table2[[#This Row],[كد تفصيلي]],'درجریان وصول'!A:A,0)),0)</f>
        <v>0</v>
      </c>
      <c r="E255" s="11">
        <f>IFERROR(INDEX('چکهای دریافتنی'!F:F,MATCH(Table2[[#This Row],[كد تفصيلي]],'چکهای دریافتنی'!A:A,0)),0)</f>
        <v>0</v>
      </c>
      <c r="F255" s="11">
        <f>Table2[[#This Row],[حسابهای دریافتنی]]+Table2[[#This Row],[چکهای در جریان وصول]]+Table2[[#This Row],[چکهای نزد صندوق]]</f>
        <v>-5000</v>
      </c>
      <c r="G255" s="12">
        <f>IFERROR(INDEX('مانده سوفاله'!F:F,MATCH(Table2[[#This Row],[كد تفصيلي]],'مانده سوفاله'!A:A,0)),0)</f>
        <v>0</v>
      </c>
    </row>
    <row r="256" spans="1:7" ht="18" customHeight="1" x14ac:dyDescent="0.25">
      <c r="A256" s="79">
        <v>10128</v>
      </c>
      <c r="B256" s="40" t="s">
        <v>372</v>
      </c>
      <c r="C256" s="10">
        <f>IFERROR(INDEX('حسابهای دریافتنی'!H:H,MATCH(Table2[[#This Row],[كد تفصيلي]],'حسابهای دریافتنی'!A:A,0)),0)</f>
        <v>-45000</v>
      </c>
      <c r="D256" s="11">
        <f>IFERROR(INDEX('درجریان وصول'!F:F,MATCH(Table2[[#This Row],[كد تفصيلي]],'درجریان وصول'!A:A,0)),0)</f>
        <v>0</v>
      </c>
      <c r="E256" s="11">
        <f>IFERROR(INDEX('چکهای دریافتنی'!F:F,MATCH(Table2[[#This Row],[كد تفصيلي]],'چکهای دریافتنی'!A:A,0)),0)</f>
        <v>0</v>
      </c>
      <c r="F256" s="11">
        <f>Table2[[#This Row],[حسابهای دریافتنی]]+Table2[[#This Row],[چکهای در جریان وصول]]+Table2[[#This Row],[چکهای نزد صندوق]]</f>
        <v>-45000</v>
      </c>
      <c r="G256" s="12">
        <f>IFERROR(INDEX('مانده سوفاله'!F:F,MATCH(Table2[[#This Row],[كد تفصيلي]],'مانده سوفاله'!A:A,0)),0)</f>
        <v>6</v>
      </c>
    </row>
    <row r="257" spans="1:7" ht="18" customHeight="1" x14ac:dyDescent="0.25">
      <c r="A257" s="18">
        <v>30021</v>
      </c>
      <c r="B257" s="19" t="s">
        <v>69</v>
      </c>
      <c r="C257" s="10">
        <f>IFERROR(INDEX('حسابهای دریافتنی'!H:H,MATCH(Table2[[#This Row],[كد تفصيلي]],'حسابهای دریافتنی'!A:A,0)),0)</f>
        <v>-122000</v>
      </c>
      <c r="D257" s="11">
        <f>IFERROR(INDEX('درجریان وصول'!F:F,MATCH(Table2[[#This Row],[كد تفصيلي]],'درجریان وصول'!A:A,0)),0)</f>
        <v>0</v>
      </c>
      <c r="E257" s="11">
        <f>IFERROR(INDEX('چکهای دریافتنی'!F:F,MATCH(Table2[[#This Row],[كد تفصيلي]],'چکهای دریافتنی'!A:A,0)),0)</f>
        <v>0</v>
      </c>
      <c r="F257" s="11">
        <f>Table2[[#This Row],[حسابهای دریافتنی]]+Table2[[#This Row],[چکهای در جریان وصول]]+Table2[[#This Row],[چکهای نزد صندوق]]</f>
        <v>-122000</v>
      </c>
      <c r="G257" s="12">
        <f>IFERROR(INDEX('مانده سوفاله'!F:F,MATCH(Table2[[#This Row],[كد تفصيلي]],'مانده سوفاله'!A:A,0)),0)</f>
        <v>0</v>
      </c>
    </row>
    <row r="258" spans="1:7" ht="18" customHeight="1" x14ac:dyDescent="0.25">
      <c r="A258" s="20">
        <v>10066</v>
      </c>
      <c r="B258" s="21" t="s">
        <v>262</v>
      </c>
      <c r="C258" s="10">
        <f>IFERROR(INDEX('حسابهای دریافتنی'!H:H,MATCH(Table2[[#This Row],[كد تفصيلي]],'حسابهای دریافتنی'!A:A,0)),0)</f>
        <v>-191500</v>
      </c>
      <c r="D258" s="11">
        <f>IFERROR(INDEX('درجریان وصول'!F:F,MATCH(Table2[[#This Row],[كد تفصيلي]],'درجریان وصول'!A:A,0)),0)</f>
        <v>0</v>
      </c>
      <c r="E258" s="11">
        <f>IFERROR(INDEX('چکهای دریافتنی'!F:F,MATCH(Table2[[#This Row],[كد تفصيلي]],'چکهای دریافتنی'!A:A,0)),0)</f>
        <v>0</v>
      </c>
      <c r="F258" s="11">
        <f>Table2[[#This Row],[حسابهای دریافتنی]]+Table2[[#This Row],[چکهای در جریان وصول]]+Table2[[#This Row],[چکهای نزد صندوق]]</f>
        <v>-191500</v>
      </c>
      <c r="G258" s="12">
        <f>IFERROR(INDEX('مانده سوفاله'!F:F,MATCH(Table2[[#This Row],[كد تفصيلي]],'مانده سوفاله'!A:A,0)),0)</f>
        <v>2</v>
      </c>
    </row>
    <row r="259" spans="1:7" ht="18" customHeight="1" x14ac:dyDescent="0.25">
      <c r="A259" s="78">
        <v>30167</v>
      </c>
      <c r="B259" s="35" t="s">
        <v>311</v>
      </c>
      <c r="C259" s="10">
        <f>IFERROR(INDEX('حسابهای دریافتنی'!H:H,MATCH(Table2[[#This Row],[كد تفصيلي]],'حسابهای دریافتنی'!A:A,0)),0)</f>
        <v>-221000</v>
      </c>
      <c r="D259" s="11">
        <f>IFERROR(INDEX('درجریان وصول'!F:F,MATCH(Table2[[#This Row],[كد تفصيلي]],'درجریان وصول'!A:A,0)),0)</f>
        <v>0</v>
      </c>
      <c r="E259" s="11">
        <f>IFERROR(INDEX('چکهای دریافتنی'!F:F,MATCH(Table2[[#This Row],[كد تفصيلي]],'چکهای دریافتنی'!A:A,0)),0)</f>
        <v>0</v>
      </c>
      <c r="F259" s="11">
        <f>Table2[[#This Row],[حسابهای دریافتنی]]+Table2[[#This Row],[چکهای در جریان وصول]]+Table2[[#This Row],[چکهای نزد صندوق]]</f>
        <v>-221000</v>
      </c>
      <c r="G259" s="12">
        <f>IFERROR(INDEX('مانده سوفاله'!F:F,MATCH(Table2[[#This Row],[كد تفصيلي]],'مانده سوفاله'!A:A,0)),0)</f>
        <v>6</v>
      </c>
    </row>
    <row r="260" spans="1:7" ht="18" customHeight="1" x14ac:dyDescent="0.25">
      <c r="A260" s="18">
        <v>10077</v>
      </c>
      <c r="B260" s="19" t="s">
        <v>210</v>
      </c>
      <c r="C260" s="10">
        <f>IFERROR(INDEX('حسابهای دریافتنی'!H:H,MATCH(Table2[[#This Row],[كد تفصيلي]],'حسابهای دریافتنی'!A:A,0)),0)</f>
        <v>-238500</v>
      </c>
      <c r="D260" s="11">
        <f>IFERROR(INDEX('درجریان وصول'!F:F,MATCH(Table2[[#This Row],[كد تفصيلي]],'درجریان وصول'!A:A,0)),0)</f>
        <v>0</v>
      </c>
      <c r="E260" s="11">
        <f>IFERROR(INDEX('چکهای دریافتنی'!F:F,MATCH(Table2[[#This Row],[كد تفصيلي]],'چکهای دریافتنی'!A:A,0)),0)</f>
        <v>0</v>
      </c>
      <c r="F260" s="11">
        <f>Table2[[#This Row],[حسابهای دریافتنی]]+Table2[[#This Row],[چکهای در جریان وصول]]+Table2[[#This Row],[چکهای نزد صندوق]]</f>
        <v>-238500</v>
      </c>
      <c r="G260" s="12">
        <f>IFERROR(INDEX('مانده سوفاله'!F:F,MATCH(Table2[[#This Row],[كد تفصيلي]],'مانده سوفاله'!A:A,0)),0)</f>
        <v>0</v>
      </c>
    </row>
    <row r="261" spans="1:7" ht="18" customHeight="1" x14ac:dyDescent="0.25">
      <c r="A261" s="20">
        <v>10012</v>
      </c>
      <c r="B261" s="21" t="s">
        <v>19</v>
      </c>
      <c r="C261" s="10">
        <f>IFERROR(INDEX('حسابهای دریافتنی'!H:H,MATCH(Table2[[#This Row],[كد تفصيلي]],'حسابهای دریافتنی'!A:A,0)),0)</f>
        <v>-244000</v>
      </c>
      <c r="D261" s="11">
        <f>IFERROR(INDEX('درجریان وصول'!F:F,MATCH(Table2[[#This Row],[كد تفصيلي]],'درجریان وصول'!A:A,0)),0)</f>
        <v>0</v>
      </c>
      <c r="E261" s="11">
        <f>IFERROR(INDEX('چکهای دریافتنی'!F:F,MATCH(Table2[[#This Row],[كد تفصيلي]],'چکهای دریافتنی'!A:A,0)),0)</f>
        <v>0</v>
      </c>
      <c r="F261" s="11">
        <f>Table2[[#This Row],[حسابهای دریافتنی]]+Table2[[#This Row],[چکهای در جریان وصول]]+Table2[[#This Row],[چکهای نزد صندوق]]</f>
        <v>-244000</v>
      </c>
      <c r="G261" s="12">
        <f>IFERROR(INDEX('مانده سوفاله'!F:F,MATCH(Table2[[#This Row],[كد تفصيلي]],'مانده سوفاله'!A:A,0)),0)</f>
        <v>0</v>
      </c>
    </row>
    <row r="262" spans="1:7" ht="18" customHeight="1" x14ac:dyDescent="0.25">
      <c r="A262" s="18">
        <v>30088</v>
      </c>
      <c r="B262" s="19" t="s">
        <v>142</v>
      </c>
      <c r="C262" s="10">
        <f>IFERROR(INDEX('حسابهای دریافتنی'!H:H,MATCH(Table2[[#This Row],[كد تفصيلي]],'حسابهای دریافتنی'!A:A,0)),0)</f>
        <v>-252000</v>
      </c>
      <c r="D262" s="11">
        <f>IFERROR(INDEX('درجریان وصول'!F:F,MATCH(Table2[[#This Row],[كد تفصيلي]],'درجریان وصول'!A:A,0)),0)</f>
        <v>0</v>
      </c>
      <c r="E262" s="11">
        <f>IFERROR(INDEX('چکهای دریافتنی'!F:F,MATCH(Table2[[#This Row],[كد تفصيلي]],'چکهای دریافتنی'!A:A,0)),0)</f>
        <v>0</v>
      </c>
      <c r="F262" s="11">
        <f>Table2[[#This Row],[حسابهای دریافتنی]]+Table2[[#This Row],[چکهای در جریان وصول]]+Table2[[#This Row],[چکهای نزد صندوق]]</f>
        <v>-252000</v>
      </c>
      <c r="G262" s="12">
        <f>IFERROR(INDEX('مانده سوفاله'!F:F,MATCH(Table2[[#This Row],[كد تفصيلي]],'مانده سوفاله'!A:A,0)),0)</f>
        <v>0</v>
      </c>
    </row>
    <row r="263" spans="1:7" ht="18" customHeight="1" x14ac:dyDescent="0.25">
      <c r="A263" s="18">
        <v>10045</v>
      </c>
      <c r="B263" s="19" t="s">
        <v>50</v>
      </c>
      <c r="C263" s="10">
        <f>IFERROR(INDEX('حسابهای دریافتنی'!H:H,MATCH(Table2[[#This Row],[كد تفصيلي]],'حسابهای دریافتنی'!A:A,0)),0)</f>
        <v>-383000</v>
      </c>
      <c r="D263" s="11">
        <f>IFERROR(INDEX('درجریان وصول'!F:F,MATCH(Table2[[#This Row],[كد تفصيلي]],'درجریان وصول'!A:A,0)),0)</f>
        <v>0</v>
      </c>
      <c r="E263" s="11">
        <f>IFERROR(INDEX('چکهای دریافتنی'!F:F,MATCH(Table2[[#This Row],[كد تفصيلي]],'چکهای دریافتنی'!A:A,0)),0)</f>
        <v>0</v>
      </c>
      <c r="F263" s="11">
        <f>Table2[[#This Row],[حسابهای دریافتنی]]+Table2[[#This Row],[چکهای در جریان وصول]]+Table2[[#This Row],[چکهای نزد صندوق]]</f>
        <v>-383000</v>
      </c>
      <c r="G263" s="12">
        <f>IFERROR(INDEX('مانده سوفاله'!F:F,MATCH(Table2[[#This Row],[كد تفصيلي]],'مانده سوفاله'!A:A,0)),0)</f>
        <v>-30</v>
      </c>
    </row>
    <row r="264" spans="1:7" ht="18" customHeight="1" x14ac:dyDescent="0.25">
      <c r="A264" s="18">
        <v>30051</v>
      </c>
      <c r="B264" s="19" t="s">
        <v>98</v>
      </c>
      <c r="C264" s="10">
        <f>IFERROR(INDEX('حسابهای دریافتنی'!H:H,MATCH(Table2[[#This Row],[كد تفصيلي]],'حسابهای دریافتنی'!A:A,0)),0)</f>
        <v>-384000</v>
      </c>
      <c r="D264" s="11">
        <f>IFERROR(INDEX('درجریان وصول'!F:F,MATCH(Table2[[#This Row],[كد تفصيلي]],'درجریان وصول'!A:A,0)),0)</f>
        <v>0</v>
      </c>
      <c r="E264" s="11">
        <f>IFERROR(INDEX('چکهای دریافتنی'!F:F,MATCH(Table2[[#This Row],[كد تفصيلي]],'چکهای دریافتنی'!A:A,0)),0)</f>
        <v>0</v>
      </c>
      <c r="F264" s="11">
        <f>Table2[[#This Row],[حسابهای دریافتنی]]+Table2[[#This Row],[چکهای در جریان وصول]]+Table2[[#This Row],[چکهای نزد صندوق]]</f>
        <v>-384000</v>
      </c>
      <c r="G264" s="12">
        <f>IFERROR(INDEX('مانده سوفاله'!F:F,MATCH(Table2[[#This Row],[كد تفصيلي]],'مانده سوفاله'!A:A,0)),0)</f>
        <v>0</v>
      </c>
    </row>
    <row r="265" spans="1:7" ht="18" customHeight="1" x14ac:dyDescent="0.25">
      <c r="A265" s="18">
        <v>30094</v>
      </c>
      <c r="B265" s="19" t="s">
        <v>152</v>
      </c>
      <c r="C265" s="10">
        <f>IFERROR(INDEX('حسابهای دریافتنی'!H:H,MATCH(Table2[[#This Row],[كد تفصيلي]],'حسابهای دریافتنی'!A:A,0)),0)</f>
        <v>-420000</v>
      </c>
      <c r="D265" s="11">
        <f>IFERROR(INDEX('درجریان وصول'!F:F,MATCH(Table2[[#This Row],[كد تفصيلي]],'درجریان وصول'!A:A,0)),0)</f>
        <v>0</v>
      </c>
      <c r="E265" s="11">
        <f>IFERROR(INDEX('چکهای دریافتنی'!F:F,MATCH(Table2[[#This Row],[كد تفصيلي]],'چکهای دریافتنی'!A:A,0)),0)</f>
        <v>0</v>
      </c>
      <c r="F265" s="11">
        <f>Table2[[#This Row],[حسابهای دریافتنی]]+Table2[[#This Row],[چکهای در جریان وصول]]+Table2[[#This Row],[چکهای نزد صندوق]]</f>
        <v>-420000</v>
      </c>
      <c r="G265" s="12">
        <f>IFERROR(INDEX('مانده سوفاله'!F:F,MATCH(Table2[[#This Row],[كد تفصيلي]],'مانده سوفاله'!A:A,0)),0)</f>
        <v>0</v>
      </c>
    </row>
    <row r="266" spans="1:7" ht="18" customHeight="1" x14ac:dyDescent="0.25">
      <c r="A266" s="20">
        <v>30044</v>
      </c>
      <c r="B266" s="21" t="s">
        <v>91</v>
      </c>
      <c r="C266" s="10">
        <f>IFERROR(INDEX('حسابهای دریافتنی'!H:H,MATCH(Table2[[#This Row],[كد تفصيلي]],'حسابهای دریافتنی'!A:A,0)),0)</f>
        <v>-492500</v>
      </c>
      <c r="D266" s="11">
        <f>IFERROR(INDEX('درجریان وصول'!F:F,MATCH(Table2[[#This Row],[كد تفصيلي]],'درجریان وصول'!A:A,0)),0)</f>
        <v>0</v>
      </c>
      <c r="E266" s="11">
        <f>IFERROR(INDEX('چکهای دریافتنی'!F:F,MATCH(Table2[[#This Row],[كد تفصيلي]],'چکهای دریافتنی'!A:A,0)),0)</f>
        <v>0</v>
      </c>
      <c r="F266" s="11">
        <f>Table2[[#This Row],[حسابهای دریافتنی]]+Table2[[#This Row],[چکهای در جریان وصول]]+Table2[[#This Row],[چکهای نزد صندوق]]</f>
        <v>-492500</v>
      </c>
      <c r="G266" s="12">
        <f>IFERROR(INDEX('مانده سوفاله'!F:F,MATCH(Table2[[#This Row],[كد تفصيلي]],'مانده سوفاله'!A:A,0)),0)</f>
        <v>2</v>
      </c>
    </row>
    <row r="267" spans="1:7" ht="18" customHeight="1" x14ac:dyDescent="0.25">
      <c r="A267" s="18">
        <v>10095</v>
      </c>
      <c r="B267" s="19" t="s">
        <v>268</v>
      </c>
      <c r="C267" s="10">
        <f>IFERROR(INDEX('حسابهای دریافتنی'!H:H,MATCH(Table2[[#This Row],[كد تفصيلي]],'حسابهای دریافتنی'!A:A,0)),0)</f>
        <v>-496500</v>
      </c>
      <c r="D267" s="11">
        <f>IFERROR(INDEX('درجریان وصول'!F:F,MATCH(Table2[[#This Row],[كد تفصيلي]],'درجریان وصول'!A:A,0)),0)</f>
        <v>0</v>
      </c>
      <c r="E267" s="11">
        <f>IFERROR(INDEX('چکهای دریافتنی'!F:F,MATCH(Table2[[#This Row],[كد تفصيلي]],'چکهای دریافتنی'!A:A,0)),0)</f>
        <v>0</v>
      </c>
      <c r="F267" s="11">
        <f>Table2[[#This Row],[حسابهای دریافتنی]]+Table2[[#This Row],[چکهای در جریان وصول]]+Table2[[#This Row],[چکهای نزد صندوق]]</f>
        <v>-496500</v>
      </c>
      <c r="G267" s="12">
        <f>IFERROR(INDEX('مانده سوفاله'!F:F,MATCH(Table2[[#This Row],[كد تفصيلي]],'مانده سوفاله'!A:A,0)),0)</f>
        <v>0</v>
      </c>
    </row>
    <row r="268" spans="1:7" ht="18" customHeight="1" x14ac:dyDescent="0.25">
      <c r="A268" s="20">
        <v>30052</v>
      </c>
      <c r="B268" s="21" t="s">
        <v>149</v>
      </c>
      <c r="C268" s="10">
        <f>IFERROR(INDEX('حسابهای دریافتنی'!H:H,MATCH(Table2[[#This Row],[كد تفصيلي]],'حسابهای دریافتنی'!A:A,0)),0)</f>
        <v>-539000</v>
      </c>
      <c r="D268" s="11">
        <f>IFERROR(INDEX('درجریان وصول'!F:F,MATCH(Table2[[#This Row],[كد تفصيلي]],'درجریان وصول'!A:A,0)),0)</f>
        <v>0</v>
      </c>
      <c r="E268" s="11">
        <f>IFERROR(INDEX('چکهای دریافتنی'!F:F,MATCH(Table2[[#This Row],[كد تفصيلي]],'چکهای دریافتنی'!A:A,0)),0)</f>
        <v>0</v>
      </c>
      <c r="F268" s="11">
        <f>Table2[[#This Row],[حسابهای دریافتنی]]+Table2[[#This Row],[چکهای در جریان وصول]]+Table2[[#This Row],[چکهای نزد صندوق]]</f>
        <v>-539000</v>
      </c>
      <c r="G268" s="12">
        <f>IFERROR(INDEX('مانده سوفاله'!F:F,MATCH(Table2[[#This Row],[كد تفصيلي]],'مانده سوفاله'!A:A,0)),0)</f>
        <v>0</v>
      </c>
    </row>
    <row r="269" spans="1:7" ht="18" customHeight="1" x14ac:dyDescent="0.25">
      <c r="A269" s="18">
        <v>10061</v>
      </c>
      <c r="B269" s="19" t="s">
        <v>194</v>
      </c>
      <c r="C269" s="10">
        <f>IFERROR(INDEX('حسابهای دریافتنی'!H:H,MATCH(Table2[[#This Row],[كد تفصيلي]],'حسابهای دریافتنی'!A:A,0)),0)</f>
        <v>-565500</v>
      </c>
      <c r="D269" s="11">
        <f>IFERROR(INDEX('درجریان وصول'!F:F,MATCH(Table2[[#This Row],[كد تفصيلي]],'درجریان وصول'!A:A,0)),0)</f>
        <v>0</v>
      </c>
      <c r="E269" s="11">
        <f>IFERROR(INDEX('چکهای دریافتنی'!F:F,MATCH(Table2[[#This Row],[كد تفصيلي]],'چکهای دریافتنی'!A:A,0)),0)</f>
        <v>0</v>
      </c>
      <c r="F269" s="11">
        <f>Table2[[#This Row],[حسابهای دریافتنی]]+Table2[[#This Row],[چکهای در جریان وصول]]+Table2[[#This Row],[چکهای نزد صندوق]]</f>
        <v>-565500</v>
      </c>
      <c r="G269" s="12">
        <f>IFERROR(INDEX('مانده سوفاله'!F:F,MATCH(Table2[[#This Row],[كد تفصيلي]],'مانده سوفاله'!A:A,0)),0)</f>
        <v>0</v>
      </c>
    </row>
    <row r="270" spans="1:7" ht="18" customHeight="1" x14ac:dyDescent="0.25">
      <c r="A270" s="79">
        <v>10118</v>
      </c>
      <c r="B270" s="40" t="s">
        <v>334</v>
      </c>
      <c r="C270" s="10">
        <f>IFERROR(INDEX('حسابهای دریافتنی'!H:H,MATCH(Table2[[#This Row],[كد تفصيلي]],'حسابهای دریافتنی'!A:A,0)),0)</f>
        <v>-587500</v>
      </c>
      <c r="D270" s="11">
        <f>IFERROR(INDEX('درجریان وصول'!F:F,MATCH(Table2[[#This Row],[كد تفصيلي]],'درجریان وصول'!A:A,0)),0)</f>
        <v>0</v>
      </c>
      <c r="E270" s="11">
        <f>IFERROR(INDEX('چکهای دریافتنی'!F:F,MATCH(Table2[[#This Row],[كد تفصيلي]],'چکهای دریافتنی'!A:A,0)),0)</f>
        <v>0</v>
      </c>
      <c r="F270" s="11">
        <f>Table2[[#This Row],[حسابهای دریافتنی]]+Table2[[#This Row],[چکهای در جریان وصول]]+Table2[[#This Row],[چکهای نزد صندوق]]</f>
        <v>-587500</v>
      </c>
      <c r="G270" s="12">
        <f>IFERROR(INDEX('مانده سوفاله'!F:F,MATCH(Table2[[#This Row],[كد تفصيلي]],'مانده سوفاله'!A:A,0)),0)</f>
        <v>0</v>
      </c>
    </row>
    <row r="271" spans="1:7" ht="18" customHeight="1" x14ac:dyDescent="0.25">
      <c r="A271" s="18">
        <v>30112</v>
      </c>
      <c r="B271" s="19" t="s">
        <v>201</v>
      </c>
      <c r="C271" s="10">
        <f>IFERROR(INDEX('حسابهای دریافتنی'!H:H,MATCH(Table2[[#This Row],[كد تفصيلي]],'حسابهای دریافتنی'!A:A,0)),0)</f>
        <v>-720500</v>
      </c>
      <c r="D271" s="11">
        <f>IFERROR(INDEX('درجریان وصول'!F:F,MATCH(Table2[[#This Row],[كد تفصيلي]],'درجریان وصول'!A:A,0)),0)</f>
        <v>0</v>
      </c>
      <c r="E271" s="11">
        <f>IFERROR(INDEX('چکهای دریافتنی'!F:F,MATCH(Table2[[#This Row],[كد تفصيلي]],'چکهای دریافتنی'!A:A,0)),0)</f>
        <v>0</v>
      </c>
      <c r="F271" s="11">
        <f>Table2[[#This Row],[حسابهای دریافتنی]]+Table2[[#This Row],[چکهای در جریان وصول]]+Table2[[#This Row],[چکهای نزد صندوق]]</f>
        <v>-720500</v>
      </c>
      <c r="G271" s="12">
        <f>IFERROR(INDEX('مانده سوفاله'!F:F,MATCH(Table2[[#This Row],[كد تفصيلي]],'مانده سوفاله'!A:A,0)),0)</f>
        <v>36</v>
      </c>
    </row>
    <row r="272" spans="1:7" ht="18" customHeight="1" x14ac:dyDescent="0.25">
      <c r="A272" s="18">
        <v>10013</v>
      </c>
      <c r="B272" s="19" t="s">
        <v>20</v>
      </c>
      <c r="C272" s="10">
        <f>IFERROR(INDEX('حسابهای دریافتنی'!H:H,MATCH(Table2[[#This Row],[كد تفصيلي]],'حسابهای دریافتنی'!A:A,0)),0)</f>
        <v>-915000</v>
      </c>
      <c r="D272" s="11">
        <f>IFERROR(INDEX('درجریان وصول'!F:F,MATCH(Table2[[#This Row],[كد تفصيلي]],'درجریان وصول'!A:A,0)),0)</f>
        <v>0</v>
      </c>
      <c r="E272" s="11">
        <f>IFERROR(INDEX('چکهای دریافتنی'!F:F,MATCH(Table2[[#This Row],[كد تفصيلي]],'چکهای دریافتنی'!A:A,0)),0)</f>
        <v>0</v>
      </c>
      <c r="F272" s="11">
        <f>Table2[[#This Row],[حسابهای دریافتنی]]+Table2[[#This Row],[چکهای در جریان وصول]]+Table2[[#This Row],[چکهای نزد صندوق]]</f>
        <v>-915000</v>
      </c>
      <c r="G272" s="12">
        <f>IFERROR(INDEX('مانده سوفاله'!F:F,MATCH(Table2[[#This Row],[كد تفصيلي]],'مانده سوفاله'!A:A,0)),0)</f>
        <v>0</v>
      </c>
    </row>
    <row r="273" spans="1:7" ht="18" customHeight="1" x14ac:dyDescent="0.25">
      <c r="A273" s="20">
        <v>10042</v>
      </c>
      <c r="B273" s="21" t="s">
        <v>47</v>
      </c>
      <c r="C273" s="10">
        <f>IFERROR(INDEX('حسابهای دریافتنی'!H:H,MATCH(Table2[[#This Row],[كد تفصيلي]],'حسابهای دریافتنی'!A:A,0)),0)</f>
        <v>-1120000</v>
      </c>
      <c r="D273" s="11">
        <f>IFERROR(INDEX('درجریان وصول'!F:F,MATCH(Table2[[#This Row],[كد تفصيلي]],'درجریان وصول'!A:A,0)),0)</f>
        <v>0</v>
      </c>
      <c r="E273" s="11">
        <f>IFERROR(INDEX('چکهای دریافتنی'!F:F,MATCH(Table2[[#This Row],[كد تفصيلي]],'چکهای دریافتنی'!A:A,0)),0)</f>
        <v>0</v>
      </c>
      <c r="F273" s="11">
        <f>Table2[[#This Row],[حسابهای دریافتنی]]+Table2[[#This Row],[چکهای در جریان وصول]]+Table2[[#This Row],[چکهای نزد صندوق]]</f>
        <v>-1120000</v>
      </c>
      <c r="G273" s="12">
        <f>IFERROR(INDEX('مانده سوفاله'!F:F,MATCH(Table2[[#This Row],[كد تفصيلي]],'مانده سوفاله'!A:A,0)),0)</f>
        <v>2</v>
      </c>
    </row>
    <row r="274" spans="1:7" ht="18" customHeight="1" x14ac:dyDescent="0.25">
      <c r="A274" s="20">
        <v>30032</v>
      </c>
      <c r="B274" s="21" t="s">
        <v>79</v>
      </c>
      <c r="C274" s="10">
        <f>IFERROR(INDEX('حسابهای دریافتنی'!H:H,MATCH(Table2[[#This Row],[كد تفصيلي]],'حسابهای دریافتنی'!A:A,0)),0)</f>
        <v>-1347000</v>
      </c>
      <c r="D274" s="11">
        <f>IFERROR(INDEX('درجریان وصول'!F:F,MATCH(Table2[[#This Row],[كد تفصيلي]],'درجریان وصول'!A:A,0)),0)</f>
        <v>0</v>
      </c>
      <c r="E274" s="11">
        <f>IFERROR(INDEX('چکهای دریافتنی'!F:F,MATCH(Table2[[#This Row],[كد تفصيلي]],'چکهای دریافتنی'!A:A,0)),0)</f>
        <v>0</v>
      </c>
      <c r="F274" s="11">
        <f>Table2[[#This Row],[حسابهای دریافتنی]]+Table2[[#This Row],[چکهای در جریان وصول]]+Table2[[#This Row],[چکهای نزد صندوق]]</f>
        <v>-1347000</v>
      </c>
      <c r="G274" s="12">
        <f>IFERROR(INDEX('مانده سوفاله'!F:F,MATCH(Table2[[#This Row],[كد تفصيلي]],'مانده سوفاله'!A:A,0)),0)</f>
        <v>0</v>
      </c>
    </row>
    <row r="275" spans="1:7" ht="18" customHeight="1" x14ac:dyDescent="0.25">
      <c r="A275" s="78">
        <v>30171</v>
      </c>
      <c r="B275" s="35" t="s">
        <v>322</v>
      </c>
      <c r="C275" s="10">
        <f>IFERROR(INDEX('حسابهای دریافتنی'!H:H,MATCH(Table2[[#This Row],[كد تفصيلي]],'حسابهای دریافتنی'!A:A,0)),0)</f>
        <v>-1500000</v>
      </c>
      <c r="D275" s="11">
        <f>IFERROR(INDEX('درجریان وصول'!F:F,MATCH(Table2[[#This Row],[كد تفصيلي]],'درجریان وصول'!A:A,0)),0)</f>
        <v>0</v>
      </c>
      <c r="E275" s="11">
        <f>IFERROR(INDEX('چکهای دریافتنی'!F:F,MATCH(Table2[[#This Row],[كد تفصيلي]],'چکهای دریافتنی'!A:A,0)),0)</f>
        <v>0</v>
      </c>
      <c r="F275" s="11">
        <f>Table2[[#This Row],[حسابهای دریافتنی]]+Table2[[#This Row],[چکهای در جریان وصول]]+Table2[[#This Row],[چکهای نزد صندوق]]</f>
        <v>-1500000</v>
      </c>
      <c r="G275" s="12">
        <f>IFERROR(INDEX('مانده سوفاله'!F:F,MATCH(Table2[[#This Row],[كد تفصيلي]],'مانده سوفاله'!A:A,0)),0)</f>
        <v>0</v>
      </c>
    </row>
    <row r="276" spans="1:7" ht="18" customHeight="1" x14ac:dyDescent="0.25">
      <c r="A276" s="18">
        <v>10103</v>
      </c>
      <c r="B276" s="19" t="s">
        <v>283</v>
      </c>
      <c r="C276" s="10">
        <f>IFERROR(INDEX('حسابهای دریافتنی'!H:H,MATCH(Table2[[#This Row],[كد تفصيلي]],'حسابهای دریافتنی'!A:A,0)),0)</f>
        <v>-1580000</v>
      </c>
      <c r="D276" s="11">
        <f>IFERROR(INDEX('درجریان وصول'!F:F,MATCH(Table2[[#This Row],[كد تفصيلي]],'درجریان وصول'!A:A,0)),0)</f>
        <v>0</v>
      </c>
      <c r="E276" s="11">
        <f>IFERROR(INDEX('چکهای دریافتنی'!F:F,MATCH(Table2[[#This Row],[كد تفصيلي]],'چکهای دریافتنی'!A:A,0)),0)</f>
        <v>0</v>
      </c>
      <c r="F276" s="11">
        <f>Table2[[#This Row],[حسابهای دریافتنی]]+Table2[[#This Row],[چکهای در جریان وصول]]+Table2[[#This Row],[چکهای نزد صندوق]]</f>
        <v>-1580000</v>
      </c>
      <c r="G276" s="12">
        <f>IFERROR(INDEX('مانده سوفاله'!F:F,MATCH(Table2[[#This Row],[كد تفصيلي]],'مانده سوفاله'!A:A,0)),0)</f>
        <v>0</v>
      </c>
    </row>
    <row r="277" spans="1:7" ht="18" customHeight="1" x14ac:dyDescent="0.25">
      <c r="A277" s="78">
        <v>10125</v>
      </c>
      <c r="B277" s="35" t="s">
        <v>345</v>
      </c>
      <c r="C277" s="10">
        <f>IFERROR(INDEX('حسابهای دریافتنی'!H:H,MATCH(Table2[[#This Row],[كد تفصيلي]],'حسابهای دریافتنی'!A:A,0)),0)</f>
        <v>-1650000</v>
      </c>
      <c r="D277" s="11">
        <f>IFERROR(INDEX('درجریان وصول'!F:F,MATCH(Table2[[#This Row],[كد تفصيلي]],'درجریان وصول'!A:A,0)),0)</f>
        <v>0</v>
      </c>
      <c r="E277" s="11">
        <f>IFERROR(INDEX('چکهای دریافتنی'!F:F,MATCH(Table2[[#This Row],[كد تفصيلي]],'چکهای دریافتنی'!A:A,0)),0)</f>
        <v>0</v>
      </c>
      <c r="F277" s="11">
        <f>Table2[[#This Row],[حسابهای دریافتنی]]+Table2[[#This Row],[چکهای در جریان وصول]]+Table2[[#This Row],[چکهای نزد صندوق]]</f>
        <v>-1650000</v>
      </c>
      <c r="G277" s="12">
        <f>IFERROR(INDEX('مانده سوفاله'!F:F,MATCH(Table2[[#This Row],[كد تفصيلي]],'مانده سوفاله'!A:A,0)),0)</f>
        <v>0</v>
      </c>
    </row>
    <row r="278" spans="1:7" ht="18" customHeight="1" x14ac:dyDescent="0.25">
      <c r="A278" s="79">
        <v>10110</v>
      </c>
      <c r="B278" s="40" t="s">
        <v>306</v>
      </c>
      <c r="C278" s="10">
        <f>IFERROR(INDEX('حسابهای دریافتنی'!H:H,MATCH(Table2[[#This Row],[كد تفصيلي]],'حسابهای دریافتنی'!A:A,0)),0)</f>
        <v>-1817500</v>
      </c>
      <c r="D278" s="11">
        <f>IFERROR(INDEX('درجریان وصول'!F:F,MATCH(Table2[[#This Row],[كد تفصيلي]],'درجریان وصول'!A:A,0)),0)</f>
        <v>0</v>
      </c>
      <c r="E278" s="11">
        <f>IFERROR(INDEX('چکهای دریافتنی'!F:F,MATCH(Table2[[#This Row],[كد تفصيلي]],'چکهای دریافتنی'!A:A,0)),0)</f>
        <v>0</v>
      </c>
      <c r="F278" s="11">
        <f>Table2[[#This Row],[حسابهای دریافتنی]]+Table2[[#This Row],[چکهای در جریان وصول]]+Table2[[#This Row],[چکهای نزد صندوق]]</f>
        <v>-1817500</v>
      </c>
      <c r="G278" s="12">
        <f>IFERROR(INDEX('مانده سوفاله'!F:F,MATCH(Table2[[#This Row],[كد تفصيلي]],'مانده سوفاله'!A:A,0)),0)</f>
        <v>7</v>
      </c>
    </row>
    <row r="279" spans="1:7" ht="18" customHeight="1" x14ac:dyDescent="0.25">
      <c r="A279" s="20">
        <v>30103</v>
      </c>
      <c r="B279" s="21" t="s">
        <v>240</v>
      </c>
      <c r="C279" s="10">
        <f>IFERROR(INDEX('حسابهای دریافتنی'!H:H,MATCH(Table2[[#This Row],[كد تفصيلي]],'حسابهای دریافتنی'!A:A,0)),0)</f>
        <v>-1820000</v>
      </c>
      <c r="D279" s="11">
        <f>IFERROR(INDEX('درجریان وصول'!F:F,MATCH(Table2[[#This Row],[كد تفصيلي]],'درجریان وصول'!A:A,0)),0)</f>
        <v>0</v>
      </c>
      <c r="E279" s="11">
        <f>IFERROR(INDEX('چکهای دریافتنی'!F:F,MATCH(Table2[[#This Row],[كد تفصيلي]],'چکهای دریافتنی'!A:A,0)),0)</f>
        <v>0</v>
      </c>
      <c r="F279" s="11">
        <f>Table2[[#This Row],[حسابهای دریافتنی]]+Table2[[#This Row],[چکهای در جریان وصول]]+Table2[[#This Row],[چکهای نزد صندوق]]</f>
        <v>-1820000</v>
      </c>
      <c r="G279" s="12">
        <f>IFERROR(INDEX('مانده سوفاله'!F:F,MATCH(Table2[[#This Row],[كد تفصيلي]],'مانده سوفاله'!A:A,0)),0)</f>
        <v>0</v>
      </c>
    </row>
    <row r="280" spans="1:7" ht="18" customHeight="1" x14ac:dyDescent="0.25">
      <c r="A280" s="18">
        <v>10093</v>
      </c>
      <c r="B280" s="19" t="s">
        <v>264</v>
      </c>
      <c r="C280" s="10">
        <f>IFERROR(INDEX('حسابهای دریافتنی'!H:H,MATCH(Table2[[#This Row],[كد تفصيلي]],'حسابهای دریافتنی'!A:A,0)),0)</f>
        <v>-2214000</v>
      </c>
      <c r="D280" s="11">
        <f>IFERROR(INDEX('درجریان وصول'!F:F,MATCH(Table2[[#This Row],[كد تفصيلي]],'درجریان وصول'!A:A,0)),0)</f>
        <v>0</v>
      </c>
      <c r="E280" s="11">
        <f>IFERROR(INDEX('چکهای دریافتنی'!F:F,MATCH(Table2[[#This Row],[كد تفصيلي]],'چکهای دریافتنی'!A:A,0)),0)</f>
        <v>0</v>
      </c>
      <c r="F280" s="11">
        <f>Table2[[#This Row],[حسابهای دریافتنی]]+Table2[[#This Row],[چکهای در جریان وصول]]+Table2[[#This Row],[چکهای نزد صندوق]]</f>
        <v>-2214000</v>
      </c>
      <c r="G280" s="12">
        <f>IFERROR(INDEX('مانده سوفاله'!F:F,MATCH(Table2[[#This Row],[كد تفصيلي]],'مانده سوفاله'!A:A,0)),0)</f>
        <v>0</v>
      </c>
    </row>
    <row r="281" spans="1:7" ht="18" customHeight="1" x14ac:dyDescent="0.25">
      <c r="A281" s="18">
        <v>30128</v>
      </c>
      <c r="B281" s="19" t="s">
        <v>212</v>
      </c>
      <c r="C281" s="10">
        <f>IFERROR(INDEX('حسابهای دریافتنی'!H:H,MATCH(Table2[[#This Row],[كد تفصيلي]],'حسابهای دریافتنی'!A:A,0)),0)</f>
        <v>-2451320</v>
      </c>
      <c r="D281" s="11">
        <f>IFERROR(INDEX('درجریان وصول'!F:F,MATCH(Table2[[#This Row],[كد تفصيلي]],'درجریان وصول'!A:A,0)),0)</f>
        <v>0</v>
      </c>
      <c r="E281" s="11">
        <f>IFERROR(INDEX('چکهای دریافتنی'!F:F,MATCH(Table2[[#This Row],[كد تفصيلي]],'چکهای دریافتنی'!A:A,0)),0)</f>
        <v>0</v>
      </c>
      <c r="F281" s="11">
        <f>Table2[[#This Row],[حسابهای دریافتنی]]+Table2[[#This Row],[چکهای در جریان وصول]]+Table2[[#This Row],[چکهای نزد صندوق]]</f>
        <v>-2451320</v>
      </c>
      <c r="G281" s="12">
        <f>IFERROR(INDEX('مانده سوفاله'!F:F,MATCH(Table2[[#This Row],[كد تفصيلي]],'مانده سوفاله'!A:A,0)),0)</f>
        <v>0</v>
      </c>
    </row>
    <row r="282" spans="1:7" ht="18" customHeight="1" x14ac:dyDescent="0.25">
      <c r="A282" s="78">
        <v>10119</v>
      </c>
      <c r="B282" s="35" t="s">
        <v>333</v>
      </c>
      <c r="C282" s="10">
        <f>IFERROR(INDEX('حسابهای دریافتنی'!H:H,MATCH(Table2[[#This Row],[كد تفصيلي]],'حسابهای دریافتنی'!A:A,0)),0)</f>
        <v>-2592000</v>
      </c>
      <c r="D282" s="11">
        <f>IFERROR(INDEX('درجریان وصول'!F:F,MATCH(Table2[[#This Row],[كد تفصيلي]],'درجریان وصول'!A:A,0)),0)</f>
        <v>0</v>
      </c>
      <c r="E282" s="11">
        <f>IFERROR(INDEX('چکهای دریافتنی'!F:F,MATCH(Table2[[#This Row],[كد تفصيلي]],'چکهای دریافتنی'!A:A,0)),0)</f>
        <v>0</v>
      </c>
      <c r="F282" s="11">
        <f>Table2[[#This Row],[حسابهای دریافتنی]]+Table2[[#This Row],[چکهای در جریان وصول]]+Table2[[#This Row],[چکهای نزد صندوق]]</f>
        <v>-2592000</v>
      </c>
      <c r="G282" s="12">
        <f>IFERROR(INDEX('مانده سوفاله'!F:F,MATCH(Table2[[#This Row],[كد تفصيلي]],'مانده سوفاله'!A:A,0)),0)</f>
        <v>353</v>
      </c>
    </row>
    <row r="283" spans="1:7" ht="18" customHeight="1" x14ac:dyDescent="0.25">
      <c r="A283" s="18">
        <v>30013</v>
      </c>
      <c r="B283" s="19" t="s">
        <v>62</v>
      </c>
      <c r="C283" s="10">
        <f>IFERROR(INDEX('حسابهای دریافتنی'!H:H,MATCH(Table2[[#This Row],[كد تفصيلي]],'حسابهای دریافتنی'!A:A,0)),0)</f>
        <v>-2744620</v>
      </c>
      <c r="D283" s="11">
        <f>IFERROR(INDEX('درجریان وصول'!F:F,MATCH(Table2[[#This Row],[كد تفصيلي]],'درجریان وصول'!A:A,0)),0)</f>
        <v>0</v>
      </c>
      <c r="E283" s="11">
        <f>IFERROR(INDEX('چکهای دریافتنی'!F:F,MATCH(Table2[[#This Row],[كد تفصيلي]],'چکهای دریافتنی'!A:A,0)),0)</f>
        <v>0</v>
      </c>
      <c r="F283" s="11">
        <f>Table2[[#This Row],[حسابهای دریافتنی]]+Table2[[#This Row],[چکهای در جریان وصول]]+Table2[[#This Row],[چکهای نزد صندوق]]</f>
        <v>-2744620</v>
      </c>
      <c r="G283" s="12">
        <f>IFERROR(INDEX('مانده سوفاله'!F:F,MATCH(Table2[[#This Row],[كد تفصيلي]],'مانده سوفاله'!A:A,0)),0)</f>
        <v>0</v>
      </c>
    </row>
    <row r="284" spans="1:7" ht="18" customHeight="1" x14ac:dyDescent="0.25">
      <c r="A284" s="18">
        <v>30015</v>
      </c>
      <c r="B284" s="19" t="s">
        <v>64</v>
      </c>
      <c r="C284" s="10">
        <f>IFERROR(INDEX('حسابهای دریافتنی'!H:H,MATCH(Table2[[#This Row],[كد تفصيلي]],'حسابهای دریافتنی'!A:A,0)),0)</f>
        <v>-3105895</v>
      </c>
      <c r="D284" s="11">
        <f>IFERROR(INDEX('درجریان وصول'!F:F,MATCH(Table2[[#This Row],[كد تفصيلي]],'درجریان وصول'!A:A,0)),0)</f>
        <v>0</v>
      </c>
      <c r="E284" s="11">
        <f>IFERROR(INDEX('چکهای دریافتنی'!F:F,MATCH(Table2[[#This Row],[كد تفصيلي]],'چکهای دریافتنی'!A:A,0)),0)</f>
        <v>0</v>
      </c>
      <c r="F284" s="11">
        <f>Table2[[#This Row],[حسابهای دریافتنی]]+Table2[[#This Row],[چکهای در جریان وصول]]+Table2[[#This Row],[چکهای نزد صندوق]]</f>
        <v>-3105895</v>
      </c>
      <c r="G284" s="12">
        <f>IFERROR(INDEX('مانده سوفاله'!F:F,MATCH(Table2[[#This Row],[كد تفصيلي]],'مانده سوفاله'!A:A,0)),0)</f>
        <v>0</v>
      </c>
    </row>
    <row r="285" spans="1:7" ht="18" customHeight="1" x14ac:dyDescent="0.25">
      <c r="A285" s="18">
        <v>30110</v>
      </c>
      <c r="B285" s="19" t="s">
        <v>200</v>
      </c>
      <c r="C285" s="10">
        <f>IFERROR(INDEX('حسابهای دریافتنی'!H:H,MATCH(Table2[[#This Row],[كد تفصيلي]],'حسابهای دریافتنی'!A:A,0)),0)</f>
        <v>-3492360</v>
      </c>
      <c r="D285" s="11">
        <f>IFERROR(INDEX('درجریان وصول'!F:F,MATCH(Table2[[#This Row],[كد تفصيلي]],'درجریان وصول'!A:A,0)),0)</f>
        <v>0</v>
      </c>
      <c r="E285" s="11">
        <f>IFERROR(INDEX('چکهای دریافتنی'!F:F,MATCH(Table2[[#This Row],[كد تفصيلي]],'چکهای دریافتنی'!A:A,0)),0)</f>
        <v>0</v>
      </c>
      <c r="F285" s="11">
        <f>Table2[[#This Row],[حسابهای دریافتنی]]+Table2[[#This Row],[چکهای در جریان وصول]]+Table2[[#This Row],[چکهای نزد صندوق]]</f>
        <v>-3492360</v>
      </c>
      <c r="G285" s="12">
        <f>IFERROR(INDEX('مانده سوفاله'!F:F,MATCH(Table2[[#This Row],[كد تفصيلي]],'مانده سوفاله'!A:A,0)),0)</f>
        <v>0</v>
      </c>
    </row>
    <row r="286" spans="1:7" ht="18" customHeight="1" x14ac:dyDescent="0.25">
      <c r="A286" s="20">
        <v>10018</v>
      </c>
      <c r="B286" s="21" t="s">
        <v>25</v>
      </c>
      <c r="C286" s="10">
        <f>IFERROR(INDEX('حسابهای دریافتنی'!H:H,MATCH(Table2[[#This Row],[كد تفصيلي]],'حسابهای دریافتنی'!A:A,0)),0)</f>
        <v>95282000</v>
      </c>
      <c r="D286" s="11">
        <f>IFERROR(INDEX('درجریان وصول'!F:F,MATCH(Table2[[#This Row],[كد تفصيلي]],'درجریان وصول'!A:A,0)),0)</f>
        <v>0</v>
      </c>
      <c r="E286" s="11">
        <f>IFERROR(INDEX('چکهای دریافتنی'!F:F,MATCH(Table2[[#This Row],[كد تفصيلي]],'چکهای دریافتنی'!A:A,0)),0)</f>
        <v>0</v>
      </c>
      <c r="F286" s="11">
        <f>Table2[[#This Row],[حسابهای دریافتنی]]+Table2[[#This Row],[چکهای در جریان وصول]]+Table2[[#This Row],[چکهای نزد صندوق]]</f>
        <v>95282000</v>
      </c>
      <c r="G286" s="12">
        <f>IFERROR(INDEX('مانده سوفاله'!F:F,MATCH(Table2[[#This Row],[كد تفصيلي]],'مانده سوفاله'!A:A,0)),0)</f>
        <v>-32</v>
      </c>
    </row>
    <row r="287" spans="1:7" ht="18" customHeight="1" x14ac:dyDescent="0.25">
      <c r="A287" s="20">
        <v>30067</v>
      </c>
      <c r="B287" s="21" t="s">
        <v>112</v>
      </c>
      <c r="C287" s="10">
        <f>IFERROR(INDEX('حسابهای دریافتنی'!H:H,MATCH(Table2[[#This Row],[كد تفصيلي]],'حسابهای دریافتنی'!A:A,0)),0)</f>
        <v>-4654950</v>
      </c>
      <c r="D287" s="11">
        <f>IFERROR(INDEX('درجریان وصول'!F:F,MATCH(Table2[[#This Row],[كد تفصيلي]],'درجریان وصول'!A:A,0)),0)</f>
        <v>0</v>
      </c>
      <c r="E287" s="11">
        <f>IFERROR(INDEX('چکهای دریافتنی'!F:F,MATCH(Table2[[#This Row],[كد تفصيلي]],'چکهای دریافتنی'!A:A,0)),0)</f>
        <v>0</v>
      </c>
      <c r="F287" s="11">
        <f>Table2[[#This Row],[حسابهای دریافتنی]]+Table2[[#This Row],[چکهای در جریان وصول]]+Table2[[#This Row],[چکهای نزد صندوق]]</f>
        <v>-4654950</v>
      </c>
      <c r="G287" s="12">
        <f>IFERROR(INDEX('مانده سوفاله'!F:F,MATCH(Table2[[#This Row],[كد تفصيلي]],'مانده سوفاله'!A:A,0)),0)</f>
        <v>0</v>
      </c>
    </row>
    <row r="288" spans="1:7" ht="18" customHeight="1" x14ac:dyDescent="0.25">
      <c r="A288" s="18">
        <v>10015</v>
      </c>
      <c r="B288" s="19" t="s">
        <v>22</v>
      </c>
      <c r="C288" s="10">
        <f>IFERROR(INDEX('حسابهای دریافتنی'!H:H,MATCH(Table2[[#This Row],[كد تفصيلي]],'حسابهای دریافتنی'!A:A,0)),0)</f>
        <v>-4735000</v>
      </c>
      <c r="D288" s="11">
        <f>IFERROR(INDEX('درجریان وصول'!F:F,MATCH(Table2[[#This Row],[كد تفصيلي]],'درجریان وصول'!A:A,0)),0)</f>
        <v>0</v>
      </c>
      <c r="E288" s="11">
        <f>IFERROR(INDEX('چکهای دریافتنی'!F:F,MATCH(Table2[[#This Row],[كد تفصيلي]],'چکهای دریافتنی'!A:A,0)),0)</f>
        <v>0</v>
      </c>
      <c r="F288" s="11">
        <f>Table2[[#This Row],[حسابهای دریافتنی]]+Table2[[#This Row],[چکهای در جریان وصول]]+Table2[[#This Row],[چکهای نزد صندوق]]</f>
        <v>-4735000</v>
      </c>
      <c r="G288" s="12">
        <f>IFERROR(INDEX('مانده سوفاله'!F:F,MATCH(Table2[[#This Row],[كد تفصيلي]],'مانده سوفاله'!A:A,0)),0)</f>
        <v>12</v>
      </c>
    </row>
    <row r="289" spans="1:7" ht="18" customHeight="1" x14ac:dyDescent="0.25">
      <c r="A289" s="20">
        <v>30153</v>
      </c>
      <c r="B289" s="21" t="s">
        <v>279</v>
      </c>
      <c r="C289" s="10">
        <f>IFERROR(INDEX('حسابهای دریافتنی'!H:H,MATCH(Table2[[#This Row],[كد تفصيلي]],'حسابهای دریافتنی'!A:A,0)),0)</f>
        <v>-4818000</v>
      </c>
      <c r="D289" s="11">
        <f>IFERROR(INDEX('درجریان وصول'!F:F,MATCH(Table2[[#This Row],[كد تفصيلي]],'درجریان وصول'!A:A,0)),0)</f>
        <v>0</v>
      </c>
      <c r="E289" s="11">
        <f>IFERROR(INDEX('چکهای دریافتنی'!F:F,MATCH(Table2[[#This Row],[كد تفصيلي]],'چکهای دریافتنی'!A:A,0)),0)</f>
        <v>0</v>
      </c>
      <c r="F289" s="11">
        <f>Table2[[#This Row],[حسابهای دریافتنی]]+Table2[[#This Row],[چکهای در جریان وصول]]+Table2[[#This Row],[چکهای نزد صندوق]]</f>
        <v>-4818000</v>
      </c>
      <c r="G289" s="12">
        <f>IFERROR(INDEX('مانده سوفاله'!F:F,MATCH(Table2[[#This Row],[كد تفصيلي]],'مانده سوفاله'!A:A,0)),0)</f>
        <v>0</v>
      </c>
    </row>
    <row r="290" spans="1:7" ht="18" customHeight="1" x14ac:dyDescent="0.25">
      <c r="A290" s="18">
        <v>30023</v>
      </c>
      <c r="B290" s="19" t="s">
        <v>71</v>
      </c>
      <c r="C290" s="10">
        <f>IFERROR(INDEX('حسابهای دریافتنی'!H:H,MATCH(Table2[[#This Row],[كد تفصيلي]],'حسابهای دریافتنی'!A:A,0)),0)</f>
        <v>-5793600</v>
      </c>
      <c r="D290" s="11">
        <f>IFERROR(INDEX('درجریان وصول'!F:F,MATCH(Table2[[#This Row],[كد تفصيلي]],'درجریان وصول'!A:A,0)),0)</f>
        <v>0</v>
      </c>
      <c r="E290" s="11">
        <f>IFERROR(INDEX('چکهای دریافتنی'!F:F,MATCH(Table2[[#This Row],[كد تفصيلي]],'چکهای دریافتنی'!A:A,0)),0)</f>
        <v>0</v>
      </c>
      <c r="F290" s="11">
        <f>Table2[[#This Row],[حسابهای دریافتنی]]+Table2[[#This Row],[چکهای در جریان وصول]]+Table2[[#This Row],[چکهای نزد صندوق]]</f>
        <v>-5793600</v>
      </c>
      <c r="G290" s="12">
        <f>IFERROR(INDEX('مانده سوفاله'!F:F,MATCH(Table2[[#This Row],[كد تفصيلي]],'مانده سوفاله'!A:A,0)),0)</f>
        <v>0</v>
      </c>
    </row>
    <row r="291" spans="1:7" customFormat="1" ht="14.25" customHeight="1" x14ac:dyDescent="0.35">
      <c r="A291" s="40">
        <v>30176</v>
      </c>
      <c r="B291" s="40" t="s">
        <v>332</v>
      </c>
      <c r="C291" s="10">
        <f>IFERROR(INDEX('حسابهای دریافتنی'!H:H,MATCH(Table2[[#This Row],[كد تفصيلي]],'حسابهای دریافتنی'!A:A,0)),0)</f>
        <v>-7540075</v>
      </c>
      <c r="D291" s="11">
        <f>IFERROR(INDEX('درجریان وصول'!F:F,MATCH(Table2[[#This Row],[كد تفصيلي]],'درجریان وصول'!A:A,0)),0)</f>
        <v>0</v>
      </c>
      <c r="E291" s="11">
        <f>IFERROR(INDEX('چکهای دریافتنی'!F:F,MATCH(Table2[[#This Row],[كد تفصيلي]],'چکهای دریافتنی'!A:A,0)),0)</f>
        <v>0</v>
      </c>
      <c r="F291" s="11">
        <f>Table2[[#This Row],[حسابهای دریافتنی]]+Table2[[#This Row],[چکهای در جریان وصول]]+Table2[[#This Row],[چکهای نزد صندوق]]</f>
        <v>-7540075</v>
      </c>
      <c r="G291" s="12">
        <f>IFERROR(INDEX('مانده سوفاله'!F:F,MATCH(Table2[[#This Row],[كد تفصيلي]],'مانده سوفاله'!A:A,0)),0)</f>
        <v>0</v>
      </c>
    </row>
    <row r="292" spans="1:7" customFormat="1" ht="14.25" customHeight="1" x14ac:dyDescent="0.35">
      <c r="A292" s="35">
        <v>30179</v>
      </c>
      <c r="B292" s="35" t="s">
        <v>336</v>
      </c>
      <c r="C292" s="10">
        <f>IFERROR(INDEX('حسابهای دریافتنی'!H:H,MATCH(Table2[[#This Row],[كد تفصيلي]],'حسابهای دریافتنی'!A:A,0)),0)</f>
        <v>-637200</v>
      </c>
      <c r="D292" s="11">
        <f>IFERROR(INDEX('درجریان وصول'!F:F,MATCH(Table2[[#This Row],[كد تفصيلي]],'درجریان وصول'!A:A,0)),0)</f>
        <v>0</v>
      </c>
      <c r="E292" s="11">
        <f>IFERROR(INDEX('چکهای دریافتنی'!F:F,MATCH(Table2[[#This Row],[كد تفصيلي]],'چکهای دریافتنی'!A:A,0)),0)</f>
        <v>0</v>
      </c>
      <c r="F292" s="11">
        <f>Table2[[#This Row],[حسابهای دریافتنی]]+Table2[[#This Row],[چکهای در جریان وصول]]+Table2[[#This Row],[چکهای نزد صندوق]]</f>
        <v>-637200</v>
      </c>
      <c r="G292" s="12">
        <f>IFERROR(INDEX('مانده سوفاله'!F:F,MATCH(Table2[[#This Row],[كد تفصيلي]],'مانده سوفاله'!A:A,0)),0)</f>
        <v>0</v>
      </c>
    </row>
    <row r="293" spans="1:7" customFormat="1" ht="14.25" customHeight="1" x14ac:dyDescent="0.35">
      <c r="A293" s="40">
        <v>10106</v>
      </c>
      <c r="B293" s="40" t="s">
        <v>298</v>
      </c>
      <c r="C293" s="10">
        <f>IFERROR(INDEX('حسابهای دریافتنی'!H:H,MATCH(Table2[[#This Row],[كد تفصيلي]],'حسابهای دریافتنی'!A:A,0)),0)</f>
        <v>-9134000</v>
      </c>
      <c r="D293" s="11">
        <f>IFERROR(INDEX('درجریان وصول'!F:F,MATCH(Table2[[#This Row],[كد تفصيلي]],'درجریان وصول'!A:A,0)),0)</f>
        <v>0</v>
      </c>
      <c r="E293" s="11">
        <f>IFERROR(INDEX('چکهای دریافتنی'!F:F,MATCH(Table2[[#This Row],[كد تفصيلي]],'چکهای دریافتنی'!A:A,0)),0)</f>
        <v>0</v>
      </c>
      <c r="F293" s="11">
        <f>Table2[[#This Row],[حسابهای دریافتنی]]+Table2[[#This Row],[چکهای در جریان وصول]]+Table2[[#This Row],[چکهای نزد صندوق]]</f>
        <v>-9134000</v>
      </c>
      <c r="G293" s="12">
        <f>IFERROR(INDEX('مانده سوفاله'!F:F,MATCH(Table2[[#This Row],[كد تفصيلي]],'مانده سوفاله'!A:A,0)),0)</f>
        <v>0</v>
      </c>
    </row>
    <row r="294" spans="1:7" customFormat="1" ht="14.25" customHeight="1" x14ac:dyDescent="0.35">
      <c r="A294" s="21">
        <v>10102</v>
      </c>
      <c r="B294" s="21" t="s">
        <v>282</v>
      </c>
      <c r="C294" s="10">
        <f>IFERROR(INDEX('حسابهای دریافتنی'!H:H,MATCH(Table2[[#This Row],[كد تفصيلي]],'حسابهای دریافتنی'!A:A,0)),0)</f>
        <v>-10374000</v>
      </c>
      <c r="D294" s="11">
        <f>IFERROR(INDEX('درجریان وصول'!F:F,MATCH(Table2[[#This Row],[كد تفصيلي]],'درجریان وصول'!A:A,0)),0)</f>
        <v>0</v>
      </c>
      <c r="E294" s="11">
        <f>IFERROR(INDEX('چکهای دریافتنی'!F:F,MATCH(Table2[[#This Row],[كد تفصيلي]],'چکهای دریافتنی'!A:A,0)),0)</f>
        <v>0</v>
      </c>
      <c r="F294" s="11">
        <f>Table2[[#This Row],[حسابهای دریافتنی]]+Table2[[#This Row],[چکهای در جریان وصول]]+Table2[[#This Row],[چکهای نزد صندوق]]</f>
        <v>-10374000</v>
      </c>
      <c r="G294" s="12">
        <f>IFERROR(INDEX('مانده سوفاله'!F:F,MATCH(Table2[[#This Row],[كد تفصيلي]],'مانده سوفاله'!A:A,0)),0)</f>
        <v>0</v>
      </c>
    </row>
    <row r="295" spans="1:7" customFormat="1" ht="14.25" customHeight="1" x14ac:dyDescent="0.35">
      <c r="A295" s="21">
        <v>10058</v>
      </c>
      <c r="B295" s="21" t="s">
        <v>173</v>
      </c>
      <c r="C295" s="10">
        <f>IFERROR(INDEX('حسابهای دریافتنی'!H:H,MATCH(Table2[[#This Row],[كد تفصيلي]],'حسابهای دریافتنی'!A:A,0)),0)</f>
        <v>-13650000</v>
      </c>
      <c r="D295" s="11">
        <f>IFERROR(INDEX('درجریان وصول'!F:F,MATCH(Table2[[#This Row],[كد تفصيلي]],'درجریان وصول'!A:A,0)),0)</f>
        <v>0</v>
      </c>
      <c r="E295" s="11">
        <f>IFERROR(INDEX('چکهای دریافتنی'!F:F,MATCH(Table2[[#This Row],[كد تفصيلي]],'چکهای دریافتنی'!A:A,0)),0)</f>
        <v>0</v>
      </c>
      <c r="F295" s="11">
        <f>Table2[[#This Row],[حسابهای دریافتنی]]+Table2[[#This Row],[چکهای در جریان وصول]]+Table2[[#This Row],[چکهای نزد صندوق]]</f>
        <v>-13650000</v>
      </c>
      <c r="G295" s="12">
        <f>IFERROR(INDEX('مانده سوفاله'!F:F,MATCH(Table2[[#This Row],[كد تفصيلي]],'مانده سوفاله'!A:A,0)),0)</f>
        <v>0</v>
      </c>
    </row>
    <row r="296" spans="1:7" customFormat="1" ht="14.25" customHeight="1" x14ac:dyDescent="0.35">
      <c r="A296" s="19">
        <v>30074</v>
      </c>
      <c r="B296" s="19" t="s">
        <v>119</v>
      </c>
      <c r="C296" s="10">
        <f>IFERROR(INDEX('حسابهای دریافتنی'!H:H,MATCH(Table2[[#This Row],[كد تفصيلي]],'حسابهای دریافتنی'!A:A,0)),0)</f>
        <v>-13970300</v>
      </c>
      <c r="D296" s="11">
        <f>IFERROR(INDEX('درجریان وصول'!F:F,MATCH(Table2[[#This Row],[كد تفصيلي]],'درجریان وصول'!A:A,0)),0)</f>
        <v>0</v>
      </c>
      <c r="E296" s="11">
        <f>IFERROR(INDEX('چکهای دریافتنی'!F:F,MATCH(Table2[[#This Row],[كد تفصيلي]],'چکهای دریافتنی'!A:A,0)),0)</f>
        <v>0</v>
      </c>
      <c r="F296" s="11">
        <f>Table2[[#This Row],[حسابهای دریافتنی]]+Table2[[#This Row],[چکهای در جریان وصول]]+Table2[[#This Row],[چکهای نزد صندوق]]</f>
        <v>-13970300</v>
      </c>
      <c r="G296" s="12">
        <f>IFERROR(INDEX('مانده سوفاله'!F:F,MATCH(Table2[[#This Row],[كد تفصيلي]],'مانده سوفاله'!A:A,0)),0)</f>
        <v>0</v>
      </c>
    </row>
    <row r="297" spans="1:7" customFormat="1" ht="14.25" customHeight="1" x14ac:dyDescent="0.35">
      <c r="A297" s="40">
        <v>10126</v>
      </c>
      <c r="B297" s="40" t="s">
        <v>370</v>
      </c>
      <c r="C297" s="10">
        <f>IFERROR(INDEX('حسابهای دریافتنی'!H:H,MATCH(Table2[[#This Row],[كد تفصيلي]],'حسابهای دریافتنی'!A:A,0)),0)</f>
        <v>12165000</v>
      </c>
      <c r="D297" s="11">
        <f>IFERROR(INDEX('درجریان وصول'!F:F,MATCH(Table2[[#This Row],[كد تفصيلي]],'درجریان وصول'!A:A,0)),0)</f>
        <v>0</v>
      </c>
      <c r="E297" s="11">
        <f>IFERROR(INDEX('چکهای دریافتنی'!F:F,MATCH(Table2[[#This Row],[كد تفصيلي]],'چکهای دریافتنی'!A:A,0)),0)</f>
        <v>0</v>
      </c>
      <c r="F297" s="11">
        <f>Table2[[#This Row],[حسابهای دریافتنی]]+Table2[[#This Row],[چکهای در جریان وصول]]+Table2[[#This Row],[چکهای نزد صندوق]]</f>
        <v>12165000</v>
      </c>
      <c r="G297" s="12">
        <f>IFERROR(INDEX('مانده سوفاله'!F:F,MATCH(Table2[[#This Row],[كد تفصيلي]],'مانده سوفاله'!A:A,0)),0)</f>
        <v>0</v>
      </c>
    </row>
    <row r="298" spans="1:7" customFormat="1" ht="14.25" customHeight="1" x14ac:dyDescent="0.35">
      <c r="A298" s="19">
        <v>30082</v>
      </c>
      <c r="B298" s="19" t="s">
        <v>127</v>
      </c>
      <c r="C298" s="10">
        <f>IFERROR(INDEX('حسابهای دریافتنی'!H:H,MATCH(Table2[[#This Row],[كد تفصيلي]],'حسابهای دریافتنی'!A:A,0)),0)</f>
        <v>-15037000</v>
      </c>
      <c r="D298" s="11">
        <f>IFERROR(INDEX('درجریان وصول'!F:F,MATCH(Table2[[#This Row],[كد تفصيلي]],'درجریان وصول'!A:A,0)),0)</f>
        <v>0</v>
      </c>
      <c r="E298" s="11">
        <f>IFERROR(INDEX('چکهای دریافتنی'!F:F,MATCH(Table2[[#This Row],[كد تفصيلي]],'چکهای دریافتنی'!A:A,0)),0)</f>
        <v>0</v>
      </c>
      <c r="F298" s="11">
        <f>Table2[[#This Row],[حسابهای دریافتنی]]+Table2[[#This Row],[چکهای در جریان وصول]]+Table2[[#This Row],[چکهای نزد صندوق]]</f>
        <v>-15037000</v>
      </c>
      <c r="G298" s="12">
        <f>IFERROR(INDEX('مانده سوفاله'!F:F,MATCH(Table2[[#This Row],[كد تفصيلي]],'مانده سوفاله'!A:A,0)),0)</f>
        <v>-16</v>
      </c>
    </row>
    <row r="299" spans="1:7" customFormat="1" ht="14.25" customHeight="1" x14ac:dyDescent="0.35">
      <c r="A299" s="21">
        <v>30034</v>
      </c>
      <c r="B299" s="21" t="s">
        <v>81</v>
      </c>
      <c r="C299" s="10">
        <f>IFERROR(INDEX('حسابهای دریافتنی'!H:H,MATCH(Table2[[#This Row],[كد تفصيلي]],'حسابهای دریافتنی'!A:A,0)),0)</f>
        <v>388329200</v>
      </c>
      <c r="D299" s="11">
        <f>IFERROR(INDEX('درجریان وصول'!F:F,MATCH(Table2[[#This Row],[كد تفصيلي]],'درجریان وصول'!A:A,0)),0)</f>
        <v>0</v>
      </c>
      <c r="E299" s="11">
        <f>IFERROR(INDEX('چکهای دریافتنی'!F:F,MATCH(Table2[[#This Row],[كد تفصيلي]],'چکهای دریافتنی'!A:A,0)),0)</f>
        <v>0</v>
      </c>
      <c r="F299" s="11">
        <f>Table2[[#This Row],[حسابهای دریافتنی]]+Table2[[#This Row],[چکهای در جریان وصول]]+Table2[[#This Row],[چکهای نزد صندوق]]</f>
        <v>388329200</v>
      </c>
      <c r="G299" s="12">
        <f>IFERROR(INDEX('مانده سوفاله'!F:F,MATCH(Table2[[#This Row],[كد تفصيلي]],'مانده سوفاله'!A:A,0)),0)</f>
        <v>2886</v>
      </c>
    </row>
    <row r="300" spans="1:7" customFormat="1" ht="14.25" customHeight="1" x14ac:dyDescent="0.35">
      <c r="A300" s="21">
        <v>30042</v>
      </c>
      <c r="B300" s="21" t="s">
        <v>89</v>
      </c>
      <c r="C300" s="10">
        <f>IFERROR(INDEX('حسابهای دریافتنی'!H:H,MATCH(Table2[[#This Row],[كد تفصيلي]],'حسابهای دریافتنی'!A:A,0)),0)</f>
        <v>-18303540</v>
      </c>
      <c r="D300" s="11">
        <f>IFERROR(INDEX('درجریان وصول'!F:F,MATCH(Table2[[#This Row],[كد تفصيلي]],'درجریان وصول'!A:A,0)),0)</f>
        <v>0</v>
      </c>
      <c r="E300" s="11">
        <f>IFERROR(INDEX('چکهای دریافتنی'!F:F,MATCH(Table2[[#This Row],[كد تفصيلي]],'چکهای دریافتنی'!A:A,0)),0)</f>
        <v>0</v>
      </c>
      <c r="F300" s="11">
        <f>Table2[[#This Row],[حسابهای دریافتنی]]+Table2[[#This Row],[چکهای در جریان وصول]]+Table2[[#This Row],[چکهای نزد صندوق]]</f>
        <v>-18303540</v>
      </c>
      <c r="G300" s="12">
        <f>IFERROR(INDEX('مانده سوفاله'!F:F,MATCH(Table2[[#This Row],[كد تفصيلي]],'مانده سوفاله'!A:A,0)),0)</f>
        <v>0</v>
      </c>
    </row>
    <row r="301" spans="1:7" customFormat="1" ht="14.25" customHeight="1" x14ac:dyDescent="0.35">
      <c r="A301" s="21">
        <v>30028</v>
      </c>
      <c r="B301" s="21" t="s">
        <v>76</v>
      </c>
      <c r="C301" s="10">
        <f>IFERROR(INDEX('حسابهای دریافتنی'!H:H,MATCH(Table2[[#This Row],[كد تفصيلي]],'حسابهای دریافتنی'!A:A,0)),0)</f>
        <v>-23665000</v>
      </c>
      <c r="D301" s="11">
        <f>IFERROR(INDEX('درجریان وصول'!F:F,MATCH(Table2[[#This Row],[كد تفصيلي]],'درجریان وصول'!A:A,0)),0)</f>
        <v>0</v>
      </c>
      <c r="E301" s="11">
        <f>IFERROR(INDEX('چکهای دریافتنی'!F:F,MATCH(Table2[[#This Row],[كد تفصيلي]],'چکهای دریافتنی'!A:A,0)),0)</f>
        <v>0</v>
      </c>
      <c r="F301" s="11">
        <f>Table2[[#This Row],[حسابهای دریافتنی]]+Table2[[#This Row],[چکهای در جریان وصول]]+Table2[[#This Row],[چکهای نزد صندوق]]</f>
        <v>-23665000</v>
      </c>
      <c r="G301" s="12">
        <f>IFERROR(INDEX('مانده سوفاله'!F:F,MATCH(Table2[[#This Row],[كد تفصيلي]],'مانده سوفاله'!A:A,0)),0)</f>
        <v>0</v>
      </c>
    </row>
    <row r="302" spans="1:7" customFormat="1" ht="14.25" customHeight="1" x14ac:dyDescent="0.35">
      <c r="A302" s="19">
        <v>30072</v>
      </c>
      <c r="B302" s="19" t="s">
        <v>117</v>
      </c>
      <c r="C302" s="10">
        <f>IFERROR(INDEX('حسابهای دریافتنی'!H:H,MATCH(Table2[[#This Row],[كد تفصيلي]],'حسابهای دریافتنی'!A:A,0)),0)</f>
        <v>-30178900</v>
      </c>
      <c r="D302" s="11">
        <f>IFERROR(INDEX('درجریان وصول'!F:F,MATCH(Table2[[#This Row],[كد تفصيلي]],'درجریان وصول'!A:A,0)),0)</f>
        <v>0</v>
      </c>
      <c r="E302" s="11">
        <f>IFERROR(INDEX('چکهای دریافتنی'!F:F,MATCH(Table2[[#This Row],[كد تفصيلي]],'چکهای دریافتنی'!A:A,0)),0)</f>
        <v>0</v>
      </c>
      <c r="F302" s="11">
        <f>Table2[[#This Row],[حسابهای دریافتنی]]+Table2[[#This Row],[چکهای در جریان وصول]]+Table2[[#This Row],[چکهای نزد صندوق]]</f>
        <v>-30178900</v>
      </c>
      <c r="G302" s="12">
        <f>IFERROR(INDEX('مانده سوفاله'!F:F,MATCH(Table2[[#This Row],[كد تفصيلي]],'مانده سوفاله'!A:A,0)),0)</f>
        <v>-79</v>
      </c>
    </row>
    <row r="303" spans="1:7" customFormat="1" ht="14.25" customHeight="1" x14ac:dyDescent="0.35">
      <c r="A303" s="19">
        <v>10049</v>
      </c>
      <c r="B303" s="19" t="s">
        <v>157</v>
      </c>
      <c r="C303" s="10">
        <f>IFERROR(INDEX('حسابهای دریافتنی'!H:H,MATCH(Table2[[#This Row],[كد تفصيلي]],'حسابهای دریافتنی'!A:A,0)),0)</f>
        <v>-32909500</v>
      </c>
      <c r="D303" s="11">
        <f>IFERROR(INDEX('درجریان وصول'!F:F,MATCH(Table2[[#This Row],[كد تفصيلي]],'درجریان وصول'!A:A,0)),0)</f>
        <v>0</v>
      </c>
      <c r="E303" s="11">
        <f>IFERROR(INDEX('چکهای دریافتنی'!F:F,MATCH(Table2[[#This Row],[كد تفصيلي]],'چکهای دریافتنی'!A:A,0)),0)</f>
        <v>0</v>
      </c>
      <c r="F303" s="11">
        <f>Table2[[#This Row],[حسابهای دریافتنی]]+Table2[[#This Row],[چکهای در جریان وصول]]+Table2[[#This Row],[چکهای نزد صندوق]]</f>
        <v>-32909500</v>
      </c>
      <c r="G303" s="12">
        <f>IFERROR(INDEX('مانده سوفاله'!F:F,MATCH(Table2[[#This Row],[كد تفصيلي]],'مانده سوفاله'!A:A,0)),0)</f>
        <v>0</v>
      </c>
    </row>
    <row r="304" spans="1:7" customFormat="1" ht="14.25" customHeight="1" x14ac:dyDescent="0.35">
      <c r="A304" s="19">
        <v>30098</v>
      </c>
      <c r="B304" s="19" t="s">
        <v>238</v>
      </c>
      <c r="C304" s="10">
        <f>IFERROR(INDEX('حسابهای دریافتنی'!H:H,MATCH(Table2[[#This Row],[كد تفصيلي]],'حسابهای دریافتنی'!A:A,0)),0)</f>
        <v>-45125000</v>
      </c>
      <c r="D304" s="11">
        <f>IFERROR(INDEX('درجریان وصول'!F:F,MATCH(Table2[[#This Row],[كد تفصيلي]],'درجریان وصول'!A:A,0)),0)</f>
        <v>0</v>
      </c>
      <c r="E304" s="11">
        <f>IFERROR(INDEX('چکهای دریافتنی'!F:F,MATCH(Table2[[#This Row],[كد تفصيلي]],'چکهای دریافتنی'!A:A,0)),0)</f>
        <v>0</v>
      </c>
      <c r="F304" s="11">
        <f>Table2[[#This Row],[حسابهای دریافتنی]]+Table2[[#This Row],[چکهای در جریان وصول]]+Table2[[#This Row],[چکهای نزد صندوق]]</f>
        <v>-45125000</v>
      </c>
      <c r="G304" s="12">
        <f>IFERROR(INDEX('مانده سوفاله'!F:F,MATCH(Table2[[#This Row],[كد تفصيلي]],'مانده سوفاله'!A:A,0)),0)</f>
        <v>0</v>
      </c>
    </row>
    <row r="305" spans="1:7" customFormat="1" ht="14.25" customHeight="1" x14ac:dyDescent="0.35">
      <c r="A305" s="19">
        <v>30064</v>
      </c>
      <c r="B305" s="19" t="s">
        <v>109</v>
      </c>
      <c r="C305" s="10">
        <f>IFERROR(INDEX('حسابهای دریافتنی'!H:H,MATCH(Table2[[#This Row],[كد تفصيلي]],'حسابهای دریافتنی'!A:A,0)),0)</f>
        <v>-49679500</v>
      </c>
      <c r="D305" s="11">
        <f>IFERROR(INDEX('درجریان وصول'!F:F,MATCH(Table2[[#This Row],[كد تفصيلي]],'درجریان وصول'!A:A,0)),0)</f>
        <v>0</v>
      </c>
      <c r="E305" s="11">
        <f>IFERROR(INDEX('چکهای دریافتنی'!F:F,MATCH(Table2[[#This Row],[كد تفصيلي]],'چکهای دریافتنی'!A:A,0)),0)</f>
        <v>0</v>
      </c>
      <c r="F305" s="11">
        <f>Table2[[#This Row],[حسابهای دریافتنی]]+Table2[[#This Row],[چکهای در جریان وصول]]+Table2[[#This Row],[چکهای نزد صندوق]]</f>
        <v>-49679500</v>
      </c>
      <c r="G305" s="12">
        <f>IFERROR(INDEX('مانده سوفاله'!F:F,MATCH(Table2[[#This Row],[كد تفصيلي]],'مانده سوفاله'!A:A,0)),0)</f>
        <v>0</v>
      </c>
    </row>
    <row r="306" spans="1:7" customFormat="1" ht="14.25" customHeight="1" x14ac:dyDescent="0.35">
      <c r="A306" s="35">
        <v>10123</v>
      </c>
      <c r="B306" s="35" t="s">
        <v>340</v>
      </c>
      <c r="C306" s="10">
        <f>IFERROR(INDEX('حسابهای دریافتنی'!H:H,MATCH(Table2[[#This Row],[كد تفصيلي]],'حسابهای دریافتنی'!A:A,0)),0)</f>
        <v>-50813000</v>
      </c>
      <c r="D306" s="11">
        <f>IFERROR(INDEX('درجریان وصول'!F:F,MATCH(Table2[[#This Row],[كد تفصيلي]],'درجریان وصول'!A:A,0)),0)</f>
        <v>0</v>
      </c>
      <c r="E306" s="11">
        <f>IFERROR(INDEX('چکهای دریافتنی'!F:F,MATCH(Table2[[#This Row],[كد تفصيلي]],'چکهای دریافتنی'!A:A,0)),0)</f>
        <v>0</v>
      </c>
      <c r="F306" s="11">
        <f>Table2[[#This Row],[حسابهای دریافتنی]]+Table2[[#This Row],[چکهای در جریان وصول]]+Table2[[#This Row],[چکهای نزد صندوق]]</f>
        <v>-50813000</v>
      </c>
      <c r="G306" s="12">
        <f>IFERROR(INDEX('مانده سوفاله'!F:F,MATCH(Table2[[#This Row],[كد تفصيلي]],'مانده سوفاله'!A:A,0)),0)</f>
        <v>0</v>
      </c>
    </row>
    <row r="307" spans="1:7" customFormat="1" ht="14.25" customHeight="1" x14ac:dyDescent="0.35">
      <c r="A307" s="21">
        <v>30000</v>
      </c>
      <c r="B307" s="21" t="s">
        <v>189</v>
      </c>
      <c r="C307" s="10">
        <f>IFERROR(INDEX('حسابهای دریافتنی'!H:H,MATCH(Table2[[#This Row],[كد تفصيلي]],'حسابهای دریافتنی'!A:A,0)),0)</f>
        <v>-55440000</v>
      </c>
      <c r="D307" s="11">
        <f>IFERROR(INDEX('درجریان وصول'!F:F,MATCH(Table2[[#This Row],[كد تفصيلي]],'درجریان وصول'!A:A,0)),0)</f>
        <v>0</v>
      </c>
      <c r="E307" s="11">
        <f>IFERROR(INDEX('چکهای دریافتنی'!F:F,MATCH(Table2[[#This Row],[كد تفصيلي]],'چکهای دریافتنی'!A:A,0)),0)</f>
        <v>0</v>
      </c>
      <c r="F307" s="11">
        <f>Table2[[#This Row],[حسابهای دریافتنی]]+Table2[[#This Row],[چکهای در جریان وصول]]+Table2[[#This Row],[چکهای نزد صندوق]]</f>
        <v>-55440000</v>
      </c>
      <c r="G307" s="12">
        <f>IFERROR(INDEX('مانده سوفاله'!F:F,MATCH(Table2[[#This Row],[كد تفصيلي]],'مانده سوفاله'!A:A,0)),0)</f>
        <v>0</v>
      </c>
    </row>
    <row r="308" spans="1:7" customFormat="1" ht="14.25" customHeight="1" x14ac:dyDescent="0.35">
      <c r="A308" s="21">
        <v>30133</v>
      </c>
      <c r="B308" s="21" t="s">
        <v>251</v>
      </c>
      <c r="C308" s="10">
        <f>IFERROR(INDEX('حسابهای دریافتنی'!H:H,MATCH(Table2[[#This Row],[كد تفصيلي]],'حسابهای دریافتنی'!A:A,0)),0)</f>
        <v>-66889500</v>
      </c>
      <c r="D308" s="11">
        <f>IFERROR(INDEX('درجریان وصول'!F:F,MATCH(Table2[[#This Row],[كد تفصيلي]],'درجریان وصول'!A:A,0)),0)</f>
        <v>0</v>
      </c>
      <c r="E308" s="11">
        <f>IFERROR(INDEX('چکهای دریافتنی'!F:F,MATCH(Table2[[#This Row],[كد تفصيلي]],'چکهای دریافتنی'!A:A,0)),0)</f>
        <v>0</v>
      </c>
      <c r="F308" s="11">
        <f>Table2[[#This Row],[حسابهای دریافتنی]]+Table2[[#This Row],[چکهای در جریان وصول]]+Table2[[#This Row],[چکهای نزد صندوق]]</f>
        <v>-66889500</v>
      </c>
      <c r="G308" s="12">
        <f>IFERROR(INDEX('مانده سوفاله'!F:F,MATCH(Table2[[#This Row],[كد تفصيلي]],'مانده سوفاله'!A:A,0)),0)</f>
        <v>0</v>
      </c>
    </row>
    <row r="309" spans="1:7" customFormat="1" ht="14.25" customHeight="1" x14ac:dyDescent="0.35">
      <c r="A309" s="40">
        <v>30168</v>
      </c>
      <c r="B309" s="40" t="s">
        <v>313</v>
      </c>
      <c r="C309" s="10">
        <f>IFERROR(INDEX('حسابهای دریافتنی'!H:H,MATCH(Table2[[#This Row],[كد تفصيلي]],'حسابهای دریافتنی'!A:A,0)),0)</f>
        <v>-104220000</v>
      </c>
      <c r="D309" s="11">
        <f>IFERROR(INDEX('درجریان وصول'!F:F,MATCH(Table2[[#This Row],[كد تفصيلي]],'درجریان وصول'!A:A,0)),0)</f>
        <v>0</v>
      </c>
      <c r="E309" s="11">
        <f>IFERROR(INDEX('چکهای دریافتنی'!F:F,MATCH(Table2[[#This Row],[كد تفصيلي]],'چکهای دریافتنی'!A:A,0)),0)</f>
        <v>0</v>
      </c>
      <c r="F309" s="11">
        <f>Table2[[#This Row],[حسابهای دریافتنی]]+Table2[[#This Row],[چکهای در جریان وصول]]+Table2[[#This Row],[چکهای نزد صندوق]]</f>
        <v>-104220000</v>
      </c>
      <c r="G309" s="12">
        <f>IFERROR(INDEX('مانده سوفاله'!F:F,MATCH(Table2[[#This Row],[كد تفصيلي]],'مانده سوفاله'!A:A,0)),0)</f>
        <v>0</v>
      </c>
    </row>
    <row r="310" spans="1:7" customFormat="1" ht="14.25" customHeight="1" x14ac:dyDescent="0.35">
      <c r="A310" s="40">
        <v>30164</v>
      </c>
      <c r="B310" s="40" t="s">
        <v>304</v>
      </c>
      <c r="C310" s="10">
        <f>IFERROR(INDEX('حسابهای دریافتنی'!H:H,MATCH(Table2[[#This Row],[كد تفصيلي]],'حسابهای دریافتنی'!A:A,0)),0)</f>
        <v>184944000</v>
      </c>
      <c r="D310" s="11">
        <f>IFERROR(INDEX('درجریان وصول'!F:F,MATCH(Table2[[#This Row],[كد تفصيلي]],'درجریان وصول'!A:A,0)),0)</f>
        <v>0</v>
      </c>
      <c r="E310" s="11">
        <f>IFERROR(INDEX('چکهای دریافتنی'!F:F,MATCH(Table2[[#This Row],[كد تفصيلي]],'چکهای دریافتنی'!A:A,0)),0)</f>
        <v>0</v>
      </c>
      <c r="F310" s="11">
        <f>Table2[[#This Row],[حسابهای دریافتنی]]+Table2[[#This Row],[چکهای در جریان وصول]]+Table2[[#This Row],[چکهای نزد صندوق]]</f>
        <v>184944000</v>
      </c>
      <c r="G310" s="12">
        <f>IFERROR(INDEX('مانده سوفاله'!F:F,MATCH(Table2[[#This Row],[كد تفصيلي]],'مانده سوفاله'!A:A,0)),0)</f>
        <v>561</v>
      </c>
    </row>
    <row r="311" spans="1:7" customFormat="1" ht="14.25" customHeight="1" x14ac:dyDescent="0.35">
      <c r="A311" s="19">
        <v>10089</v>
      </c>
      <c r="B311" s="19" t="s">
        <v>255</v>
      </c>
      <c r="C311" s="10">
        <f>IFERROR(INDEX('حسابهای دریافتنی'!H:H,MATCH(Table2[[#This Row],[كد تفصيلي]],'حسابهای دریافتنی'!A:A,0)),0)</f>
        <v>-143944000</v>
      </c>
      <c r="D311" s="11">
        <f>IFERROR(INDEX('درجریان وصول'!F:F,MATCH(Table2[[#This Row],[كد تفصيلي]],'درجریان وصول'!A:A,0)),0)</f>
        <v>0</v>
      </c>
      <c r="E311" s="11">
        <f>IFERROR(INDEX('چکهای دریافتنی'!F:F,MATCH(Table2[[#This Row],[كد تفصيلي]],'چکهای دریافتنی'!A:A,0)),0)</f>
        <v>0</v>
      </c>
      <c r="F311" s="11">
        <f>Table2[[#This Row],[حسابهای دریافتنی]]+Table2[[#This Row],[چکهای در جریان وصول]]+Table2[[#This Row],[چکهای نزد صندوق]]</f>
        <v>-143944000</v>
      </c>
      <c r="G311" s="12">
        <f>IFERROR(INDEX('مانده سوفاله'!F:F,MATCH(Table2[[#This Row],[كد تفصيلي]],'مانده سوفاله'!A:A,0)),0)</f>
        <v>-948</v>
      </c>
    </row>
    <row r="312" spans="1:7" customFormat="1" ht="14.25" customHeight="1" x14ac:dyDescent="0.35">
      <c r="A312" s="19">
        <v>30156</v>
      </c>
      <c r="B312" s="19" t="s">
        <v>290</v>
      </c>
      <c r="C312" s="10">
        <f>IFERROR(INDEX('حسابهای دریافتنی'!H:H,MATCH(Table2[[#This Row],[كد تفصيلي]],'حسابهای دریافتنی'!A:A,0)),0)</f>
        <v>-180917500</v>
      </c>
      <c r="D312" s="11">
        <f>IFERROR(INDEX('درجریان وصول'!F:F,MATCH(Table2[[#This Row],[كد تفصيلي]],'درجریان وصول'!A:A,0)),0)</f>
        <v>0</v>
      </c>
      <c r="E312" s="11">
        <f>IFERROR(INDEX('چکهای دریافتنی'!F:F,MATCH(Table2[[#This Row],[كد تفصيلي]],'چکهای دریافتنی'!A:A,0)),0)</f>
        <v>0</v>
      </c>
      <c r="F312" s="11">
        <f>Table2[[#This Row],[حسابهای دریافتنی]]+Table2[[#This Row],[چکهای در جریان وصول]]+Table2[[#This Row],[چکهای نزد صندوق]]</f>
        <v>-180917500</v>
      </c>
      <c r="G312" s="12">
        <f>IFERROR(INDEX('مانده سوفاله'!F:F,MATCH(Table2[[#This Row],[كد تفصيلي]],'مانده سوفاله'!A:A,0)),0)</f>
        <v>0</v>
      </c>
    </row>
    <row r="313" spans="1:7" customFormat="1" ht="14.25" customHeight="1" x14ac:dyDescent="0.35">
      <c r="A313" s="35">
        <v>30183</v>
      </c>
      <c r="B313" s="35" t="s">
        <v>343</v>
      </c>
      <c r="C313" s="10">
        <f>IFERROR(INDEX('حسابهای دریافتنی'!H:H,MATCH(Table2[[#This Row],[كد تفصيلي]],'حسابهای دریافتنی'!A:A,0)),0)</f>
        <v>-5000</v>
      </c>
      <c r="D313" s="11">
        <f>IFERROR(INDEX('درجریان وصول'!F:F,MATCH(Table2[[#This Row],[كد تفصيلي]],'درجریان وصول'!A:A,0)),0)</f>
        <v>0</v>
      </c>
      <c r="E313" s="11">
        <f>IFERROR(INDEX('چکهای دریافتنی'!F:F,MATCH(Table2[[#This Row],[كد تفصيلي]],'چکهای دریافتنی'!A:A,0)),0)</f>
        <v>0</v>
      </c>
      <c r="F313" s="11">
        <f>Table2[[#This Row],[حسابهای دریافتنی]]+Table2[[#This Row],[چکهای در جریان وصول]]+Table2[[#This Row],[چکهای نزد صندوق]]</f>
        <v>-5000</v>
      </c>
      <c r="G313" s="12">
        <f>IFERROR(INDEX('مانده سوفاله'!F:F,MATCH(Table2[[#This Row],[كد تفصيلي]],'مانده سوفاله'!A:A,0)),0)</f>
        <v>0</v>
      </c>
    </row>
    <row r="314" spans="1:7" customFormat="1" ht="14.25" customHeight="1" x14ac:dyDescent="0.35">
      <c r="A314" s="19">
        <v>10079</v>
      </c>
      <c r="B314" s="19" t="s">
        <v>174</v>
      </c>
      <c r="C314" s="10">
        <f>IFERROR(INDEX('حسابهای دریافتنی'!H:H,MATCH(Table2[[#This Row],[كد تفصيلي]],'حسابهای دریافتنی'!A:A,0)),0)</f>
        <v>-226593500</v>
      </c>
      <c r="D314" s="11">
        <f>IFERROR(INDEX('درجریان وصول'!F:F,MATCH(Table2[[#This Row],[كد تفصيلي]],'درجریان وصول'!A:A,0)),0)</f>
        <v>0</v>
      </c>
      <c r="E314" s="11">
        <f>IFERROR(INDEX('چکهای دریافتنی'!F:F,MATCH(Table2[[#This Row],[كد تفصيلي]],'چکهای دریافتنی'!A:A,0)),0)</f>
        <v>0</v>
      </c>
      <c r="F314" s="11">
        <f>Table2[[#This Row],[حسابهای دریافتنی]]+Table2[[#This Row],[چکهای در جریان وصول]]+Table2[[#This Row],[چکهای نزد صندوق]]</f>
        <v>-226593500</v>
      </c>
      <c r="G314" s="12">
        <f>IFERROR(INDEX('مانده سوفاله'!F:F,MATCH(Table2[[#This Row],[كد تفصيلي]],'مانده سوفاله'!A:A,0)),0)</f>
        <v>0</v>
      </c>
    </row>
    <row r="315" spans="1:7" customFormat="1" ht="14.25" customHeight="1" x14ac:dyDescent="0.35">
      <c r="A315" s="19">
        <v>10101</v>
      </c>
      <c r="B315" s="19" t="s">
        <v>281</v>
      </c>
      <c r="C315" s="10">
        <f>IFERROR(INDEX('حسابهای دریافتنی'!H:H,MATCH(Table2[[#This Row],[كد تفصيلي]],'حسابهای دریافتنی'!A:A,0)),0)</f>
        <v>0</v>
      </c>
      <c r="D315" s="11">
        <f>IFERROR(INDEX('درجریان وصول'!F:F,MATCH(Table2[[#This Row],[كد تفصيلي]],'درجریان وصول'!A:A,0)),0)</f>
        <v>0</v>
      </c>
      <c r="E315" s="11">
        <f>IFERROR(INDEX('چکهای دریافتنی'!F:F,MATCH(Table2[[#This Row],[كد تفصيلي]],'چکهای دریافتنی'!A:A,0)),0)</f>
        <v>0</v>
      </c>
      <c r="F315" s="11">
        <f>Table2[[#This Row],[حسابهای دریافتنی]]+Table2[[#This Row],[چکهای در جریان وصول]]+Table2[[#This Row],[چکهای نزد صندوق]]</f>
        <v>0</v>
      </c>
      <c r="G315" s="12">
        <f>IFERROR(INDEX('مانده سوفاله'!F:F,MATCH(Table2[[#This Row],[كد تفصيلي]],'مانده سوفاله'!A:A,0)),0)</f>
        <v>0</v>
      </c>
    </row>
    <row r="316" spans="1:7" customFormat="1" ht="14.25" customHeight="1" x14ac:dyDescent="0.35">
      <c r="A316" s="19">
        <v>30116</v>
      </c>
      <c r="B316" s="19" t="s">
        <v>203</v>
      </c>
      <c r="C316" s="10">
        <f>IFERROR(INDEX('حسابهای دریافتنی'!H:H,MATCH(Table2[[#This Row],[كد تفصيلي]],'حسابهای دریافتنی'!A:A,0)),0)</f>
        <v>-303220621</v>
      </c>
      <c r="D316" s="11">
        <f>IFERROR(INDEX('درجریان وصول'!F:F,MATCH(Table2[[#This Row],[كد تفصيلي]],'درجریان وصول'!A:A,0)),0)</f>
        <v>0</v>
      </c>
      <c r="E316" s="11">
        <f>IFERROR(INDEX('چکهای دریافتنی'!F:F,MATCH(Table2[[#This Row],[كد تفصيلي]],'چکهای دریافتنی'!A:A,0)),0)</f>
        <v>0</v>
      </c>
      <c r="F316" s="11">
        <f>Table2[[#This Row],[حسابهای دریافتنی]]+Table2[[#This Row],[چکهای در جریان وصول]]+Table2[[#This Row],[چکهای نزد صندوق]]</f>
        <v>-303220621</v>
      </c>
      <c r="G316" s="12">
        <f>IFERROR(INDEX('مانده سوفاله'!F:F,MATCH(Table2[[#This Row],[كد تفصيلي]],'مانده سوفاله'!A:A,0)),0)</f>
        <v>0</v>
      </c>
    </row>
    <row r="317" spans="1:7" customFormat="1" ht="14.25" customHeight="1" x14ac:dyDescent="0.35">
      <c r="A317" s="21">
        <v>50008</v>
      </c>
      <c r="B317" s="21" t="s">
        <v>146</v>
      </c>
      <c r="C317" s="10">
        <f>IFERROR(INDEX('حسابهای دریافتنی'!H:H,MATCH(Table2[[#This Row],[كد تفصيلي]],'حسابهای دریافتنی'!A:A,0)),0)</f>
        <v>-406230000</v>
      </c>
      <c r="D317" s="11">
        <f>IFERROR(INDEX('درجریان وصول'!F:F,MATCH(Table2[[#This Row],[كد تفصيلي]],'درجریان وصول'!A:A,0)),0)</f>
        <v>0</v>
      </c>
      <c r="E317" s="11">
        <f>IFERROR(INDEX('چکهای دریافتنی'!F:F,MATCH(Table2[[#This Row],[كد تفصيلي]],'چکهای دریافتنی'!A:A,0)),0)</f>
        <v>0</v>
      </c>
      <c r="F317" s="11">
        <f>Table2[[#This Row],[حسابهای دریافتنی]]+Table2[[#This Row],[چکهای در جریان وصول]]+Table2[[#This Row],[چکهای نزد صندوق]]</f>
        <v>-406230000</v>
      </c>
      <c r="G317" s="12">
        <f>IFERROR(INDEX('مانده سوفاله'!F:F,MATCH(Table2[[#This Row],[كد تفصيلي]],'مانده سوفاله'!A:A,0)),0)</f>
        <v>0</v>
      </c>
    </row>
    <row r="318" spans="1:7" customFormat="1" ht="14.25" customHeight="1" x14ac:dyDescent="0.35">
      <c r="A318" s="40">
        <v>30182</v>
      </c>
      <c r="B318" s="40" t="s">
        <v>342</v>
      </c>
      <c r="C318" s="10">
        <f>IFERROR(INDEX('حسابهای دریافتنی'!H:H,MATCH(Table2[[#This Row],[كد تفصيلي]],'حسابهای دریافتنی'!A:A,0)),0)</f>
        <v>-528256400</v>
      </c>
      <c r="D318" s="11">
        <f>IFERROR(INDEX('درجریان وصول'!F:F,MATCH(Table2[[#This Row],[كد تفصيلي]],'درجریان وصول'!A:A,0)),0)</f>
        <v>0</v>
      </c>
      <c r="E318" s="11">
        <f>IFERROR(INDEX('چکهای دریافتنی'!F:F,MATCH(Table2[[#This Row],[كد تفصيلي]],'چکهای دریافتنی'!A:A,0)),0)</f>
        <v>0</v>
      </c>
      <c r="F318" s="11">
        <f>Table2[[#This Row],[حسابهای دریافتنی]]+Table2[[#This Row],[چکهای در جریان وصول]]+Table2[[#This Row],[چکهای نزد صندوق]]</f>
        <v>-528256400</v>
      </c>
      <c r="G318" s="12">
        <f>IFERROR(INDEX('مانده سوفاله'!F:F,MATCH(Table2[[#This Row],[كد تفصيلي]],'مانده سوفاله'!A:A,0)),0)</f>
        <v>0</v>
      </c>
    </row>
    <row r="319" spans="1:7" ht="18" customHeight="1" x14ac:dyDescent="0.25">
      <c r="A319" s="20">
        <v>30155</v>
      </c>
      <c r="B319" s="21" t="s">
        <v>289</v>
      </c>
      <c r="C319" s="10">
        <f>IFERROR(INDEX('حسابهای دریافتنی'!H:H,MATCH(Table2[[#This Row],[كد تفصيلي]],'حسابهای دریافتنی'!A:A,0)),0)</f>
        <v>-454985417</v>
      </c>
      <c r="D319" s="11">
        <f>IFERROR(INDEX('درجریان وصول'!F:F,MATCH(Table2[[#This Row],[كد تفصيلي]],'درجریان وصول'!A:A,0)),0)</f>
        <v>0</v>
      </c>
      <c r="E319" s="11">
        <f>IFERROR(INDEX('چکهای دریافتنی'!F:F,MATCH(Table2[[#This Row],[كد تفصيلي]],'چکهای دریافتنی'!A:A,0)),0)</f>
        <v>1379936267</v>
      </c>
      <c r="F319" s="11">
        <f>Table2[[#This Row],[حسابهای دریافتنی]]+Table2[[#This Row],[چکهای در جریان وصول]]+Table2[[#This Row],[چکهای نزد صندوق]]</f>
        <v>924950850</v>
      </c>
      <c r="G319" s="12">
        <f>IFERROR(INDEX('مانده سوفاله'!F:F,MATCH(Table2[[#This Row],[كد تفصيلي]],'مانده سوفاله'!A:A,0)),0)</f>
        <v>0</v>
      </c>
    </row>
    <row r="320" spans="1:7" ht="18" customHeight="1" x14ac:dyDescent="0.25">
      <c r="A320" s="20">
        <v>30006</v>
      </c>
      <c r="B320" s="21" t="s">
        <v>56</v>
      </c>
      <c r="C320" s="10">
        <f>IFERROR(INDEX('حسابهای دریافتنی'!H:H,MATCH(Table2[[#This Row],[كد تفصيلي]],'حسابهای دریافتنی'!A:A,0)),0)</f>
        <v>-162677545</v>
      </c>
      <c r="D320" s="11">
        <f>IFERROR(INDEX('درجریان وصول'!F:F,MATCH(Table2[[#This Row],[كد تفصيلي]],'درجریان وصول'!A:A,0)),0)</f>
        <v>0</v>
      </c>
      <c r="E320" s="11">
        <f>IFERROR(INDEX('چکهای دریافتنی'!F:F,MATCH(Table2[[#This Row],[كد تفصيلي]],'چکهای دریافتنی'!A:A,0)),0)</f>
        <v>0</v>
      </c>
      <c r="F320" s="11">
        <f>Table2[[#This Row],[حسابهای دریافتنی]]+Table2[[#This Row],[چکهای در جریان وصول]]+Table2[[#This Row],[چکهای نزد صندوق]]</f>
        <v>-162677545</v>
      </c>
      <c r="G320" s="12">
        <f>IFERROR(INDEX('مانده سوفاله'!F:F,MATCH(Table2[[#This Row],[كد تفصيلي]],'مانده سوفاله'!A:A,0)),0)</f>
        <v>-6</v>
      </c>
    </row>
    <row r="321" spans="1:7" ht="18" customHeight="1" x14ac:dyDescent="0.25">
      <c r="A321" s="20">
        <v>30040</v>
      </c>
      <c r="B321" s="21" t="s">
        <v>87</v>
      </c>
      <c r="C321" s="10">
        <f>IFERROR(INDEX('حسابهای دریافتنی'!H:H,MATCH(Table2[[#This Row],[كد تفصيلي]],'حسابهای دریافتنی'!A:A,0)),0)</f>
        <v>0</v>
      </c>
      <c r="D321" s="11">
        <f>IFERROR(INDEX('درجریان وصول'!F:F,MATCH(Table2[[#This Row],[كد تفصيلي]],'درجریان وصول'!A:A,0)),0)</f>
        <v>0</v>
      </c>
      <c r="E321" s="11">
        <f>IFERROR(INDEX('چکهای دریافتنی'!F:F,MATCH(Table2[[#This Row],[كد تفصيلي]],'چکهای دریافتنی'!A:A,0)),0)</f>
        <v>0</v>
      </c>
      <c r="F321" s="11">
        <f>Table2[[#This Row],[حسابهای دریافتنی]]+Table2[[#This Row],[چکهای در جریان وصول]]+Table2[[#This Row],[چکهای نزد صندوق]]</f>
        <v>0</v>
      </c>
      <c r="G321" s="12">
        <f>IFERROR(INDEX('مانده سوفاله'!F:F,MATCH(Table2[[#This Row],[كد تفصيلي]],'مانده سوفاله'!A:A,0)),0)</f>
        <v>0</v>
      </c>
    </row>
    <row r="322" spans="1:7" ht="18" customHeight="1" x14ac:dyDescent="0.25">
      <c r="A322" s="18">
        <v>10105</v>
      </c>
      <c r="B322" s="19" t="s">
        <v>294</v>
      </c>
      <c r="C322" s="10">
        <f>IFERROR(INDEX('حسابهای دریافتنی'!H:H,MATCH(Table2[[#This Row],[كد تفصيلي]],'حسابهای دریافتنی'!A:A,0)),0)</f>
        <v>7630000</v>
      </c>
      <c r="D322" s="11">
        <f>IFERROR(INDEX('درجریان وصول'!F:F,MATCH(Table2[[#This Row],[كد تفصيلي]],'درجریان وصول'!A:A,0)),0)</f>
        <v>0</v>
      </c>
      <c r="E322" s="11">
        <f>IFERROR(INDEX('چکهای دریافتنی'!F:F,MATCH(Table2[[#This Row],[كد تفصيلي]],'چکهای دریافتنی'!A:A,0)),0)</f>
        <v>0</v>
      </c>
      <c r="F322" s="11">
        <f>Table2[[#This Row],[حسابهای دریافتنی]]+Table2[[#This Row],[چکهای در جریان وصول]]+Table2[[#This Row],[چکهای نزد صندوق]]</f>
        <v>7630000</v>
      </c>
      <c r="G322" s="12">
        <f>IFERROR(INDEX('مانده سوفاله'!F:F,MATCH(Table2[[#This Row],[كد تفصيلي]],'مانده سوفاله'!A:A,0)),0)</f>
        <v>0</v>
      </c>
    </row>
    <row r="323" spans="1:7" ht="18" customHeight="1" x14ac:dyDescent="0.25">
      <c r="A323" s="79">
        <v>30184</v>
      </c>
      <c r="B323" s="40" t="s">
        <v>368</v>
      </c>
      <c r="C323" s="10">
        <f>IFERROR(INDEX('حسابهای دریافتنی'!H:H,MATCH(Table2[[#This Row],[كد تفصيلي]],'حسابهای دریافتنی'!A:A,0)),0)</f>
        <v>904890480</v>
      </c>
      <c r="D323" s="11">
        <f>IFERROR(INDEX('درجریان وصول'!F:F,MATCH(Table2[[#This Row],[كد تفصيلي]],'درجریان وصول'!A:A,0)),0)</f>
        <v>0</v>
      </c>
      <c r="E323" s="11">
        <f>IFERROR(INDEX('چکهای دریافتنی'!F:F,MATCH(Table2[[#This Row],[كد تفصيلي]],'چکهای دریافتنی'!A:A,0)),0)</f>
        <v>0</v>
      </c>
      <c r="F323" s="11">
        <f>Table2[[#This Row],[حسابهای دریافتنی]]+Table2[[#This Row],[چکهای در جریان وصول]]+Table2[[#This Row],[چکهای نزد صندوق]]</f>
        <v>904890480</v>
      </c>
      <c r="G323" s="12">
        <f>IFERROR(INDEX('مانده سوفاله'!F:F,MATCH(Table2[[#This Row],[كد تفصيلي]],'مانده سوفاله'!A:A,0)),0)</f>
        <v>-100</v>
      </c>
    </row>
    <row r="324" spans="1:7" ht="18" customHeight="1" x14ac:dyDescent="0.25">
      <c r="A324" s="18">
        <v>10029</v>
      </c>
      <c r="B324" s="19" t="s">
        <v>35</v>
      </c>
      <c r="C324" s="10">
        <f>IFERROR(INDEX('حسابهای دریافتنی'!H:H,MATCH(Table2[[#This Row],[كد تفصيلي]],'حسابهای دریافتنی'!A:A,0)),0)</f>
        <v>-1038298620</v>
      </c>
      <c r="D324" s="11">
        <f>IFERROR(INDEX('درجریان وصول'!F:F,MATCH(Table2[[#This Row],[كد تفصيلي]],'درجریان وصول'!A:A,0)),0)</f>
        <v>0</v>
      </c>
      <c r="E324" s="11">
        <f>IFERROR(INDEX('چکهای دریافتنی'!F:F,MATCH(Table2[[#This Row],[كد تفصيلي]],'چکهای دریافتنی'!A:A,0)),0)</f>
        <v>2019000000</v>
      </c>
      <c r="F324" s="11">
        <f>Table2[[#This Row],[حسابهای دریافتنی]]+Table2[[#This Row],[چکهای در جریان وصول]]+Table2[[#This Row],[چکهای نزد صندوق]]</f>
        <v>980701380</v>
      </c>
      <c r="G324" s="12">
        <f>IFERROR(INDEX('مانده سوفاله'!F:F,MATCH(Table2[[#This Row],[كد تفصيلي]],'مانده سوفاله'!A:A,0)),0)</f>
        <v>6603</v>
      </c>
    </row>
    <row r="325" spans="1:7" ht="18" customHeight="1" x14ac:dyDescent="0.25">
      <c r="A325" s="20">
        <v>10044</v>
      </c>
      <c r="B325" s="21" t="s">
        <v>49</v>
      </c>
      <c r="C325" s="10">
        <f>IFERROR(INDEX('حسابهای دریافتنی'!H:H,MATCH(Table2[[#This Row],[كد تفصيلي]],'حسابهای دریافتنی'!A:A,0)),0)</f>
        <v>0</v>
      </c>
      <c r="D325" s="11">
        <f>IFERROR(INDEX('درجریان وصول'!F:F,MATCH(Table2[[#This Row],[كد تفصيلي]],'درجریان وصول'!A:A,0)),0)</f>
        <v>0</v>
      </c>
      <c r="E325" s="11">
        <f>IFERROR(INDEX('چکهای دریافتنی'!F:F,MATCH(Table2[[#This Row],[كد تفصيلي]],'چکهای دریافتنی'!A:A,0)),0)</f>
        <v>0</v>
      </c>
      <c r="F325" s="11">
        <f>Table2[[#This Row],[حسابهای دریافتنی]]+Table2[[#This Row],[چکهای در جریان وصول]]+Table2[[#This Row],[چکهای نزد صندوق]]</f>
        <v>0</v>
      </c>
      <c r="G325" s="12">
        <f>IFERROR(INDEX('مانده سوفاله'!F:F,MATCH(Table2[[#This Row],[كد تفصيلي]],'مانده سوفاله'!A:A,0)),0)</f>
        <v>0</v>
      </c>
    </row>
    <row r="326" spans="1:7" ht="18" customHeight="1" x14ac:dyDescent="0.25">
      <c r="A326" s="78">
        <v>30165</v>
      </c>
      <c r="B326" s="35" t="s">
        <v>310</v>
      </c>
      <c r="C326" s="10">
        <f>IFERROR(INDEX('حسابهای دریافتنی'!H:H,MATCH(Table2[[#This Row],[كد تفصيلي]],'حسابهای دریافتنی'!A:A,0)),0)</f>
        <v>-1139268000</v>
      </c>
      <c r="D326" s="11">
        <f>IFERROR(INDEX('درجریان وصول'!F:F,MATCH(Table2[[#This Row],[كد تفصيلي]],'درجریان وصول'!A:A,0)),0)</f>
        <v>0</v>
      </c>
      <c r="E326" s="11">
        <f>IFERROR(INDEX('چکهای دریافتنی'!F:F,MATCH(Table2[[#This Row],[كد تفصيلي]],'چکهای دریافتنی'!A:A,0)),0)</f>
        <v>0</v>
      </c>
      <c r="F326" s="11">
        <f>Table2[[#This Row],[حسابهای دریافتنی]]+Table2[[#This Row],[چکهای در جریان وصول]]+Table2[[#This Row],[چکهای نزد صندوق]]</f>
        <v>-1139268000</v>
      </c>
      <c r="G326" s="12">
        <f>IFERROR(INDEX('مانده سوفاله'!F:F,MATCH(Table2[[#This Row],[كد تفصيلي]],'مانده سوفاله'!A:A,0)),0)</f>
        <v>0</v>
      </c>
    </row>
    <row r="327" spans="1:7" ht="18" customHeight="1" x14ac:dyDescent="0.25">
      <c r="A327" s="78">
        <v>10109</v>
      </c>
      <c r="B327" s="35" t="s">
        <v>303</v>
      </c>
      <c r="C327" s="10">
        <f>IFERROR(INDEX('حسابهای دریافتنی'!H:H,MATCH(Table2[[#This Row],[كد تفصيلي]],'حسابهای دریافتنی'!A:A,0)),0)</f>
        <v>-1124737000</v>
      </c>
      <c r="D327" s="11">
        <f>IFERROR(INDEX('درجریان وصول'!F:F,MATCH(Table2[[#This Row],[كد تفصيلي]],'درجریان وصول'!A:A,0)),0)</f>
        <v>0</v>
      </c>
      <c r="E327" s="11">
        <f>IFERROR(INDEX('چکهای دریافتنی'!F:F,MATCH(Table2[[#This Row],[كد تفصيلي]],'چکهای دریافتنی'!A:A,0)),0)</f>
        <v>0</v>
      </c>
      <c r="F327" s="11">
        <f>Table2[[#This Row],[حسابهای دریافتنی]]+Table2[[#This Row],[چکهای در جریان وصول]]+Table2[[#This Row],[چکهای نزد صندوق]]</f>
        <v>-1124737000</v>
      </c>
      <c r="G327" s="12">
        <f>IFERROR(INDEX('مانده سوفاله'!F:F,MATCH(Table2[[#This Row],[كد تفصيلي]],'مانده سوفاله'!A:A,0)),0)</f>
        <v>-241</v>
      </c>
    </row>
    <row r="328" spans="1:7" ht="18" customHeight="1" x14ac:dyDescent="0.25">
      <c r="A328" s="18">
        <v>10069</v>
      </c>
      <c r="B328" s="19" t="s">
        <v>204</v>
      </c>
      <c r="C328" s="10">
        <f>IFERROR(INDEX('حسابهای دریافتنی'!H:H,MATCH(Table2[[#This Row],[كد تفصيلي]],'حسابهای دریافتنی'!A:A,0)),0)</f>
        <v>952500</v>
      </c>
      <c r="D328" s="11">
        <f>IFERROR(INDEX('درجریان وصول'!F:F,MATCH(Table2[[#This Row],[كد تفصيلي]],'درجریان وصول'!A:A,0)),0)</f>
        <v>0</v>
      </c>
      <c r="E328" s="11">
        <f>IFERROR(INDEX('چکهای دریافتنی'!F:F,MATCH(Table2[[#This Row],[كد تفصيلي]],'چکهای دریافتنی'!A:A,0)),0)</f>
        <v>73000000</v>
      </c>
      <c r="F328" s="11">
        <f>Table2[[#This Row],[حسابهای دریافتنی]]+Table2[[#This Row],[چکهای در جریان وصول]]+Table2[[#This Row],[چکهای نزد صندوق]]</f>
        <v>73952500</v>
      </c>
      <c r="G328" s="12">
        <f>IFERROR(INDEX('مانده سوفاله'!F:F,MATCH(Table2[[#This Row],[كد تفصيلي]],'مانده سوفاله'!A:A,0)),0)</f>
        <v>339</v>
      </c>
    </row>
    <row r="329" spans="1:7" ht="18" customHeight="1" x14ac:dyDescent="0.25">
      <c r="A329" s="18">
        <v>10009</v>
      </c>
      <c r="B329" s="19" t="s">
        <v>16</v>
      </c>
      <c r="C329" s="10">
        <f>IFERROR(INDEX('حسابهای دریافتنی'!H:H,MATCH(Table2[[#This Row],[كد تفصيلي]],'حسابهای دریافتنی'!A:A,0)),0)</f>
        <v>-4260580000</v>
      </c>
      <c r="D329" s="11">
        <f>IFERROR(INDEX('درجریان وصول'!F:F,MATCH(Table2[[#This Row],[كد تفصيلي]],'درجریان وصول'!A:A,0)),0)</f>
        <v>0</v>
      </c>
      <c r="E329" s="11">
        <f>IFERROR(INDEX('چکهای دریافتنی'!F:F,MATCH(Table2[[#This Row],[كد تفصيلي]],'چکهای دریافتنی'!A:A,0)),0)</f>
        <v>1600000000</v>
      </c>
      <c r="F329" s="11">
        <f>Table2[[#This Row],[حسابهای دریافتنی]]+Table2[[#This Row],[چکهای در جریان وصول]]+Table2[[#This Row],[چکهای نزد صندوق]]</f>
        <v>-2660580000</v>
      </c>
      <c r="G329" s="12">
        <f>IFERROR(INDEX('مانده سوفاله'!F:F,MATCH(Table2[[#This Row],[كد تفصيلي]],'مانده سوفاله'!A:A,0)),0)</f>
        <v>9952</v>
      </c>
    </row>
    <row r="330" spans="1:7" ht="18" customHeight="1" x14ac:dyDescent="0.25">
      <c r="A330" s="18">
        <v>30146</v>
      </c>
      <c r="B330" s="19" t="s">
        <v>266</v>
      </c>
      <c r="C330" s="10">
        <f>IFERROR(INDEX('حسابهای دریافتنی'!H:H,MATCH(Table2[[#This Row],[كد تفصيلي]],'حسابهای دریافتنی'!A:A,0)),0)</f>
        <v>-4146512500</v>
      </c>
      <c r="D330" s="11">
        <f>IFERROR(INDEX('درجریان وصول'!F:F,MATCH(Table2[[#This Row],[كد تفصيلي]],'درجریان وصول'!A:A,0)),0)</f>
        <v>0</v>
      </c>
      <c r="E330" s="11">
        <f>IFERROR(INDEX('چکهای دریافتنی'!F:F,MATCH(Table2[[#This Row],[كد تفصيلي]],'چکهای دریافتنی'!A:A,0)),0)</f>
        <v>0</v>
      </c>
      <c r="F330" s="11">
        <f>Table2[[#This Row],[حسابهای دریافتنی]]+Table2[[#This Row],[چکهای در جریان وصول]]+Table2[[#This Row],[چکهای نزد صندوق]]</f>
        <v>-4146512500</v>
      </c>
      <c r="G330" s="12">
        <f>IFERROR(INDEX('مانده سوفاله'!F:F,MATCH(Table2[[#This Row],[كد تفصيلي]],'مانده سوفاله'!A:A,0)),0)</f>
        <v>2823</v>
      </c>
    </row>
    <row r="331" spans="1:7" ht="18" customHeight="1" x14ac:dyDescent="0.25">
      <c r="A331" s="18">
        <v>79120</v>
      </c>
      <c r="B331" s="19" t="s">
        <v>195</v>
      </c>
      <c r="C331" s="10">
        <f>IFERROR(INDEX('حسابهای دریافتنی'!H:H,MATCH(Table2[[#This Row],[كد تفصيلي]],'حسابهای دریافتنی'!A:A,0)),0)</f>
        <v>-15776160000</v>
      </c>
      <c r="D331" s="11">
        <f>IFERROR(INDEX('درجریان وصول'!F:F,MATCH(Table2[[#This Row],[كد تفصيلي]],'درجریان وصول'!A:A,0)),0)</f>
        <v>0</v>
      </c>
      <c r="E331" s="11">
        <f>IFERROR(INDEX('چکهای دریافتنی'!F:F,MATCH(Table2[[#This Row],[كد تفصيلي]],'چکهای دریافتنی'!A:A,0)),0)</f>
        <v>0</v>
      </c>
      <c r="F331" s="11">
        <f>Table2[[#This Row],[حسابهای دریافتنی]]+Table2[[#This Row],[چکهای در جریان وصول]]+Table2[[#This Row],[چکهای نزد صندوق]]</f>
        <v>-15776160000</v>
      </c>
      <c r="G331" s="12">
        <f>IFERROR(INDEX('مانده سوفاله'!F:F,MATCH(Table2[[#This Row],[كد تفصيلي]],'مانده سوفاله'!A:A,0)),0)</f>
        <v>0</v>
      </c>
    </row>
    <row r="332" spans="1:7" ht="18" customHeight="1" x14ac:dyDescent="0.25">
      <c r="A332" s="20">
        <v>79043</v>
      </c>
      <c r="B332" s="21" t="s">
        <v>156</v>
      </c>
      <c r="C332" s="10">
        <f>IFERROR(INDEX('حسابهای دریافتنی'!H:H,MATCH(Table2[[#This Row],[كد تفصيلي]],'حسابهای دریافتنی'!A:A,0)),0)</f>
        <v>-16110730000</v>
      </c>
      <c r="D332" s="11">
        <f>IFERROR(INDEX('درجریان وصول'!F:F,MATCH(Table2[[#This Row],[كد تفصيلي]],'درجریان وصول'!A:A,0)),0)</f>
        <v>0</v>
      </c>
      <c r="E332" s="11">
        <f>IFERROR(INDEX('چکهای دریافتنی'!F:F,MATCH(Table2[[#This Row],[كد تفصيلي]],'چکهای دریافتنی'!A:A,0)),0)</f>
        <v>0</v>
      </c>
      <c r="F332" s="11">
        <f>Table2[[#This Row],[حسابهای دریافتنی]]+Table2[[#This Row],[چکهای در جریان وصول]]+Table2[[#This Row],[چکهای نزد صندوق]]</f>
        <v>-16110730000</v>
      </c>
      <c r="G332" s="12">
        <f>IFERROR(INDEX('مانده سوفاله'!F:F,MATCH(Table2[[#This Row],[كد تفصيلي]],'مانده سوفاله'!A:A,0)),0)</f>
        <v>0</v>
      </c>
    </row>
    <row r="333" spans="1:7" ht="18" customHeight="1" x14ac:dyDescent="0.35">
      <c r="A333" s="36"/>
      <c r="B333" s="37"/>
      <c r="C333" s="38">
        <f>SUBTOTAL(109,Table2[حسابهای دریافتنی])</f>
        <v>75171108092</v>
      </c>
      <c r="D333" s="38">
        <f>SUBTOTAL(109,Table2[چکهای در جریان وصول])</f>
        <v>0</v>
      </c>
      <c r="E333" s="38">
        <f>SUBTOTAL(109,Table2[چکهای نزد صندوق])</f>
        <v>62507828942</v>
      </c>
      <c r="F333" s="38"/>
      <c r="G333" s="39">
        <f>SUBTOTAL(109,Table2[مانده سوفاله])</f>
        <v>-133324.5</v>
      </c>
    </row>
  </sheetData>
  <mergeCells count="1">
    <mergeCell ref="A1:G1"/>
  </mergeCells>
  <pageMargins left="0.25" right="0.25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8"/>
  <sheetViews>
    <sheetView rightToLeft="1" workbookViewId="0">
      <selection activeCell="D7" sqref="D7"/>
    </sheetView>
  </sheetViews>
  <sheetFormatPr defaultColWidth="9.08984375" defaultRowHeight="15.5" x14ac:dyDescent="0.35"/>
  <cols>
    <col min="1" max="1" width="14.36328125" style="5" customWidth="1"/>
    <col min="2" max="2" width="30.6328125" style="5" customWidth="1"/>
    <col min="3" max="3" width="20.26953125" style="3" customWidth="1"/>
    <col min="4" max="4" width="17.3632812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8.5" customHeight="1" thickBot="1" x14ac:dyDescent="0.4">
      <c r="A1" s="97" t="s">
        <v>391</v>
      </c>
      <c r="B1" s="98"/>
      <c r="C1" s="98"/>
      <c r="D1" s="98"/>
      <c r="E1" s="98"/>
      <c r="F1" s="98"/>
      <c r="G1" s="99"/>
    </row>
    <row r="2" spans="1:7" s="2" customFormat="1" ht="41.2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18" customHeight="1" x14ac:dyDescent="0.3">
      <c r="A3" s="26">
        <v>30066</v>
      </c>
      <c r="B3" s="24" t="s">
        <v>111</v>
      </c>
      <c r="C3" s="10">
        <f>IFERROR(INDEX('حسابهای دریافتنی'!H:H,MATCH(Table22[[#This Row],[كد تفصيلي]],'حسابهای دریافتنی'!A:A,0)),0)</f>
        <v>6484147500</v>
      </c>
      <c r="D3" s="10">
        <f>IFERROR(INDEX('درجریان وصول'!F:F,MATCH(Table22[[#This Row],[كد تفصيلي]],'درجریان وصول'!A:A,0)),0)</f>
        <v>0</v>
      </c>
      <c r="E3" s="10">
        <f>IFERROR(INDEX('چکهای دریافتنی'!F:F,MATCH(Table22[[#This Row],[كد تفصيلي]],'چکهای دریافتنی'!A:A,0)),0)</f>
        <v>0</v>
      </c>
      <c r="F3" s="10">
        <f>Table22[[#This Row],[حسابهای دریافتنی]]+Table22[[#This Row],[چکهای در جریان وصول]]+Table22[[#This Row],[چکهای نزد صندوق]]</f>
        <v>6484147500</v>
      </c>
      <c r="G3" s="12">
        <f>IFERROR(INDEX('مانده سوفاله'!F:F,MATCH(Table22[[#This Row],[كد تفصيلي]],'مانده سوفاله'!A:A,0)),0)</f>
        <v>-1320</v>
      </c>
    </row>
    <row r="4" spans="1:7" ht="18" customHeight="1" x14ac:dyDescent="0.3">
      <c r="A4" s="26">
        <v>10003</v>
      </c>
      <c r="B4" s="24" t="s">
        <v>10</v>
      </c>
      <c r="C4" s="10">
        <f>IFERROR(INDEX('حسابهای دریافتنی'!H:H,MATCH(Table22[[#This Row],[كد تفصيلي]],'حسابهای دریافتنی'!A:A,0)),0)</f>
        <v>10804267992</v>
      </c>
      <c r="D4" s="11">
        <f>IFERROR(INDEX('درجریان وصول'!F:F,MATCH(Table22[[#This Row],[كد تفصيلي]],'درجریان وصول'!A:A,0)),0)</f>
        <v>0</v>
      </c>
      <c r="E4" s="11">
        <f>IFERROR(INDEX('چکهای دریافتنی'!F:F,MATCH(Table22[[#This Row],[كد تفصيلي]],'چکهای دریافتنی'!A:A,0)),0)</f>
        <v>13698001280</v>
      </c>
      <c r="F4" s="11">
        <f>Table22[[#This Row],[حسابهای دریافتنی]]+Table22[[#This Row],[چکهای در جریان وصول]]+Table22[[#This Row],[چکهای نزد صندوق]]</f>
        <v>24502269272</v>
      </c>
      <c r="G4" s="12">
        <f>IFERROR(INDEX('مانده سوفاله'!F:F,MATCH(Table22[[#This Row],[كد تفصيلي]],'مانده سوفاله'!A:A,0)),0)</f>
        <v>-39886</v>
      </c>
    </row>
    <row r="5" spans="1:7" ht="18" customHeight="1" x14ac:dyDescent="0.3">
      <c r="A5" s="27">
        <v>30127</v>
      </c>
      <c r="B5" s="25" t="s">
        <v>163</v>
      </c>
      <c r="C5" s="10">
        <f>IFERROR(INDEX('حسابهای دریافتنی'!H:H,MATCH(Table22[[#This Row],[كد تفصيلي]],'حسابهای دریافتنی'!A:A,0)),0)</f>
        <v>31800110000</v>
      </c>
      <c r="D5" s="17">
        <f>IFERROR(INDEX('درجریان وصول'!F:F,MATCH(Table22[[#This Row],[كد تفصيلي]],'درجریان وصول'!A:A,0)),0)</f>
        <v>0</v>
      </c>
      <c r="E5" s="17">
        <f>IFERROR(INDEX('چکهای دریافتنی'!F:F,MATCH(Table22[[#This Row],[كد تفصيلي]],'چکهای دریافتنی'!A:A,0)),0)</f>
        <v>0</v>
      </c>
      <c r="F5" s="17">
        <f>Table22[[#This Row],[حسابهای دریافتنی]]+Table22[[#This Row],[چکهای در جریان وصول]]+Table22[[#This Row],[چکهای نزد صندوق]]</f>
        <v>31800110000</v>
      </c>
      <c r="G5" s="12">
        <f>IFERROR(INDEX('مانده سوفاله'!F:F,MATCH(Table22[[#This Row],[كد تفصيلي]],'مانده سوفاله'!A:A,0)),0)</f>
        <v>-18472</v>
      </c>
    </row>
    <row r="6" spans="1:7" ht="18" customHeight="1" x14ac:dyDescent="0.3">
      <c r="A6" s="26">
        <v>30009</v>
      </c>
      <c r="B6" s="24" t="s">
        <v>164</v>
      </c>
      <c r="C6" s="10">
        <f>IFERROR(INDEX('حسابهای دریافتنی'!H:H,MATCH(Table22[[#This Row],[كد تفصيلي]],'حسابهای دریافتنی'!A:A,0)),0)</f>
        <v>7853844277</v>
      </c>
      <c r="D6" s="11">
        <f>IFERROR(INDEX('درجریان وصول'!F:F,MATCH(Table22[[#This Row],[كد تفصيلي]],'درجریان وصول'!A:A,0)),0)</f>
        <v>0</v>
      </c>
      <c r="E6" s="11">
        <f>IFERROR(INDEX('چکهای دریافتنی'!F:F,MATCH(Table22[[#This Row],[كد تفصيلي]],'چکهای دریافتنی'!A:A,0)),0)</f>
        <v>6474835380</v>
      </c>
      <c r="F6" s="11">
        <f>Table22[[#This Row],[حسابهای دریافتنی]]+Table22[[#This Row],[چکهای در جریان وصول]]+Table22[[#This Row],[چکهای نزد صندوق]]</f>
        <v>14328679657</v>
      </c>
      <c r="G6" s="12">
        <f>IFERROR(INDEX('مانده سوفاله'!F:F,MATCH(Table22[[#This Row],[كد تفصيلي]],'مانده سوفاله'!A:A,0)),0)</f>
        <v>-11452</v>
      </c>
    </row>
    <row r="7" spans="1:7" ht="18" customHeight="1" x14ac:dyDescent="0.3">
      <c r="A7" s="26">
        <v>10027</v>
      </c>
      <c r="B7" s="24" t="s">
        <v>33</v>
      </c>
      <c r="C7" s="10">
        <f>IFERROR(INDEX('حسابهای دریافتنی'!H:H,MATCH(Table22[[#This Row],[كد تفصيلي]],'حسابهای دریافتنی'!A:A,0)),0)</f>
        <v>33078340</v>
      </c>
      <c r="D7" s="10">
        <f>IFERROR(INDEX('درجریان وصول'!F:F,MATCH(Table22[[#This Row],[كد تفصيلي]],'درجریان وصول'!A:A,0)),0)</f>
        <v>0</v>
      </c>
      <c r="E7" s="10">
        <f>IFERROR(INDEX('چکهای دریافتنی'!F:F,MATCH(Table22[[#This Row],[كد تفصيلي]],'چکهای دریافتنی'!A:A,0)),0)</f>
        <v>1588359160</v>
      </c>
      <c r="F7" s="10">
        <f>Table22[[#This Row],[حسابهای دریافتنی]]+Table22[[#This Row],[چکهای در جریان وصول]]+Table22[[#This Row],[چکهای نزد صندوق]]</f>
        <v>1621437500</v>
      </c>
      <c r="G7" s="12">
        <f>IFERROR(INDEX('مانده سوفاله'!F:F,MATCH(Table22[[#This Row],[كد تفصيلي]],'مانده سوفاله'!A:A,0)),0)</f>
        <v>-647</v>
      </c>
    </row>
    <row r="8" spans="1:7" ht="18" customHeight="1" x14ac:dyDescent="0.3">
      <c r="A8" s="27">
        <v>10026</v>
      </c>
      <c r="B8" s="25" t="s">
        <v>32</v>
      </c>
      <c r="C8" s="10">
        <f>IFERROR(INDEX('حسابهای دریافتنی'!H:H,MATCH(Table22[[#This Row],[كد تفصيلي]],'حسابهای دریافتنی'!A:A,0)),0)</f>
        <v>3795031844</v>
      </c>
      <c r="D8" s="10">
        <f>IFERROR(INDEX('درجریان وصول'!F:F,MATCH(Table22[[#This Row],[كد تفصيلي]],'درجریان وصول'!A:A,0)),0)</f>
        <v>0</v>
      </c>
      <c r="E8" s="10">
        <f>IFERROR(INDEX('چکهای دریافتنی'!F:F,MATCH(Table22[[#This Row],[كد تفصيلي]],'چکهای دریافتنی'!A:A,0)),0)</f>
        <v>2690000000</v>
      </c>
      <c r="F8" s="10">
        <f>Table22[[#This Row],[حسابهای دریافتنی]]+Table22[[#This Row],[چکهای در جریان وصول]]+Table22[[#This Row],[چکهای نزد صندوق]]</f>
        <v>6485031844</v>
      </c>
      <c r="G8" s="12">
        <f>IFERROR(INDEX('مانده سوفاله'!F:F,MATCH(Table22[[#This Row],[كد تفصيلي]],'مانده سوفاله'!A:A,0)),0)</f>
        <v>-12543</v>
      </c>
    </row>
    <row r="9" spans="1:7" ht="18" customHeight="1" x14ac:dyDescent="0.3">
      <c r="A9" s="27">
        <v>50016</v>
      </c>
      <c r="B9" s="25" t="s">
        <v>160</v>
      </c>
      <c r="C9" s="10">
        <f>IFERROR(INDEX('حسابهای دریافتنی'!H:H,MATCH(Table22[[#This Row],[كد تفصيلي]],'حسابهای دریافتنی'!A:A,0)),0)</f>
        <v>6344545550</v>
      </c>
      <c r="D9" s="17">
        <f>IFERROR(INDEX('درجریان وصول'!F:F,MATCH(Table22[[#This Row],[كد تفصيلي]],'درجریان وصول'!A:A,0)),0)</f>
        <v>0</v>
      </c>
      <c r="E9" s="17">
        <f>IFERROR(INDEX('چکهای دریافتنی'!F:F,MATCH(Table22[[#This Row],[كد تفصيلي]],'چکهای دریافتنی'!A:A,0)),0)</f>
        <v>0</v>
      </c>
      <c r="F9" s="17">
        <f>Table22[[#This Row],[حسابهای دریافتنی]]+Table22[[#This Row],[چکهای در جریان وصول]]+Table22[[#This Row],[چکهای نزد صندوق]]</f>
        <v>6344545550</v>
      </c>
      <c r="G9" s="12">
        <f>IFERROR(INDEX('مانده سوفاله'!F:F,MATCH(Table22[[#This Row],[كد تفصيلي]],'مانده سوفاله'!A:A,0)),0)</f>
        <v>5508</v>
      </c>
    </row>
    <row r="10" spans="1:7" ht="18" customHeight="1" x14ac:dyDescent="0.3">
      <c r="A10" s="27">
        <v>30081</v>
      </c>
      <c r="B10" s="25" t="s">
        <v>126</v>
      </c>
      <c r="C10" s="10">
        <f>IFERROR(INDEX('حسابهای دریافتنی'!H:H,MATCH(Table22[[#This Row],[كد تفصيلي]],'حسابهای دریافتنی'!A:A,0)),0)</f>
        <v>1148992373</v>
      </c>
      <c r="D10" s="17">
        <f>IFERROR(INDEX('درجریان وصول'!F:F,MATCH(Table22[[#This Row],[كد تفصيلي]],'درجریان وصول'!A:A,0)),0)</f>
        <v>0</v>
      </c>
      <c r="E10" s="17">
        <f>IFERROR(INDEX('چکهای دریافتنی'!F:F,MATCH(Table22[[#This Row],[كد تفصيلي]],'چکهای دریافتنی'!A:A,0)),0)</f>
        <v>0</v>
      </c>
      <c r="F10" s="17">
        <f>Table22[[#This Row],[حسابهای دریافتنی]]+Table22[[#This Row],[چکهای در جریان وصول]]+Table22[[#This Row],[چکهای نزد صندوق]]</f>
        <v>1148992373</v>
      </c>
      <c r="G10" s="12">
        <f>IFERROR(INDEX('مانده سوفاله'!F:F,MATCH(Table22[[#This Row],[كد تفصيلي]],'مانده سوفاله'!A:A,0)),0)</f>
        <v>-6924</v>
      </c>
    </row>
    <row r="11" spans="1:7" ht="18" customHeight="1" x14ac:dyDescent="0.3">
      <c r="A11" s="26">
        <v>30058</v>
      </c>
      <c r="B11" s="24" t="s">
        <v>103</v>
      </c>
      <c r="C11" s="10">
        <f>IFERROR(INDEX('حسابهای دریافتنی'!H:H,MATCH(Table22[[#This Row],[كد تفصيلي]],'حسابهای دریافتنی'!A:A,0)),0)</f>
        <v>1700045560</v>
      </c>
      <c r="D11" s="17">
        <f>IFERROR(INDEX('درجریان وصول'!F:F,MATCH(Table22[[#This Row],[كد تفصيلي]],'درجریان وصول'!A:A,0)),0)</f>
        <v>0</v>
      </c>
      <c r="E11" s="17">
        <f>IFERROR(INDEX('چکهای دریافتنی'!F:F,MATCH(Table22[[#This Row],[كد تفصيلي]],'چکهای دریافتنی'!A:A,0)),0)</f>
        <v>0</v>
      </c>
      <c r="F11" s="17">
        <f>Table22[[#This Row],[حسابهای دریافتنی]]+Table22[[#This Row],[چکهای در جریان وصول]]+Table22[[#This Row],[چکهای نزد صندوق]]</f>
        <v>1700045560</v>
      </c>
      <c r="G11" s="12">
        <f>IFERROR(INDEX('مانده سوفاله'!F:F,MATCH(Table22[[#This Row],[كد تفصيلي]],'مانده سوفاله'!A:A,0)),0)</f>
        <v>-225</v>
      </c>
    </row>
    <row r="12" spans="1:7" ht="18" customHeight="1" x14ac:dyDescent="0.3">
      <c r="A12" s="26">
        <v>10055</v>
      </c>
      <c r="B12" s="24" t="s">
        <v>162</v>
      </c>
      <c r="C12" s="10">
        <f>IFERROR(INDEX('حسابهای دریافتنی'!H:H,MATCH(Table22[[#This Row],[كد تفصيلي]],'حسابهای دریافتنی'!A:A,0)),0)</f>
        <v>10460111325</v>
      </c>
      <c r="D12" s="10">
        <f>IFERROR(INDEX('درجریان وصول'!F:F,MATCH(Table22[[#This Row],[كد تفصيلي]],'درجریان وصول'!A:A,0)),0)</f>
        <v>0</v>
      </c>
      <c r="E12" s="10">
        <f>IFERROR(INDEX('چکهای دریافتنی'!F:F,MATCH(Table22[[#This Row],[كد تفصيلي]],'چکهای دریافتنی'!A:A,0)),0)</f>
        <v>2783298655</v>
      </c>
      <c r="F12" s="10">
        <f>Table22[[#This Row],[حسابهای دریافتنی]]+Table22[[#This Row],[چکهای در جریان وصول]]+Table22[[#This Row],[چکهای نزد صندوق]]</f>
        <v>13243409980</v>
      </c>
      <c r="G12" s="12">
        <f>IFERROR(INDEX('مانده سوفاله'!F:F,MATCH(Table22[[#This Row],[كد تفصيلي]],'مانده سوفاله'!A:A,0)),0)</f>
        <v>-12714</v>
      </c>
    </row>
    <row r="13" spans="1:7" ht="18" customHeight="1" x14ac:dyDescent="0.3">
      <c r="A13" s="27">
        <v>30004</v>
      </c>
      <c r="B13" s="25" t="s">
        <v>54</v>
      </c>
      <c r="C13" s="10">
        <f>IFERROR(INDEX('حسابهای دریافتنی'!H:H,MATCH(Table22[[#This Row],[كد تفصيلي]],'حسابهای دریافتنی'!A:A,0)),0)</f>
        <v>7598548260</v>
      </c>
      <c r="D13" s="17">
        <f>IFERROR(INDEX('درجریان وصول'!F:F,MATCH(Table22[[#This Row],[كد تفصيلي]],'درجریان وصول'!A:A,0)),0)</f>
        <v>0</v>
      </c>
      <c r="E13" s="17">
        <f>IFERROR(INDEX('چکهای دریافتنی'!F:F,MATCH(Table22[[#This Row],[كد تفصيلي]],'چکهای دریافتنی'!A:A,0)),0)</f>
        <v>11698760000</v>
      </c>
      <c r="F13" s="17">
        <f>Table22[[#This Row],[حسابهای دریافتنی]]+Table22[[#This Row],[چکهای در جریان وصول]]+Table22[[#This Row],[چکهای نزد صندوق]]</f>
        <v>19297308260</v>
      </c>
      <c r="G13" s="12">
        <f>IFERROR(INDEX('مانده سوفاله'!F:F,MATCH(Table22[[#This Row],[كد تفصيلي]],'مانده سوفاله'!A:A,0)),0)</f>
        <v>-4237</v>
      </c>
    </row>
    <row r="14" spans="1:7" ht="18" customHeight="1" x14ac:dyDescent="0.3">
      <c r="A14" s="27">
        <v>30099</v>
      </c>
      <c r="B14" s="25" t="s">
        <v>167</v>
      </c>
      <c r="C14" s="10">
        <f>IFERROR(INDEX('حسابهای دریافتنی'!H:H,MATCH(Table22[[#This Row],[كد تفصيلي]],'حسابهای دریافتنی'!A:A,0)),0)</f>
        <v>1398393484</v>
      </c>
      <c r="D14" s="17">
        <f>IFERROR(INDEX('درجریان وصول'!F:F,MATCH(Table22[[#This Row],[كد تفصيلي]],'درجریان وصول'!A:A,0)),0)</f>
        <v>0</v>
      </c>
      <c r="E14" s="17">
        <f>IFERROR(INDEX('چکهای دریافتنی'!F:F,MATCH(Table22[[#This Row],[كد تفصيلي]],'چکهای دریافتنی'!A:A,0)),0)</f>
        <v>583000000</v>
      </c>
      <c r="F14" s="17">
        <f>Table22[[#This Row],[حسابهای دریافتنی]]+Table22[[#This Row],[چکهای در جریان وصول]]+Table22[[#This Row],[چکهای نزد صندوق]]</f>
        <v>1981393484</v>
      </c>
      <c r="G14" s="12">
        <f>IFERROR(INDEX('مانده سوفاله'!F:F,MATCH(Table22[[#This Row],[كد تفصيلي]],'مانده سوفاله'!A:A,0)),0)</f>
        <v>-332</v>
      </c>
    </row>
    <row r="15" spans="1:7" ht="18" customHeight="1" x14ac:dyDescent="0.3">
      <c r="A15" s="27">
        <v>10123</v>
      </c>
      <c r="B15" s="25" t="s">
        <v>352</v>
      </c>
      <c r="C15" s="10">
        <f>IFERROR(INDEX('حسابهای دریافتنی'!H:H,MATCH(Table22[[#This Row],[كد تفصيلي]],'حسابهای دریافتنی'!A:A,0)),0)</f>
        <v>-50813000</v>
      </c>
      <c r="D15" s="11">
        <f>IFERROR(INDEX('درجریان وصول'!F:F,MATCH(Table22[[#This Row],[كد تفصيلي]],'درجریان وصول'!A:A,0)),0)</f>
        <v>0</v>
      </c>
      <c r="E15" s="11">
        <f>IFERROR(INDEX('چکهای دریافتنی'!F:F,MATCH(Table22[[#This Row],[كد تفصيلي]],'چکهای دریافتنی'!A:A,0)),0)</f>
        <v>0</v>
      </c>
      <c r="F15" s="11">
        <f>Table22[[#This Row],[حسابهای دریافتنی]]+Table22[[#This Row],[چکهای در جریان وصول]]+Table22[[#This Row],[چکهای نزد صندوق]]</f>
        <v>-50813000</v>
      </c>
      <c r="G15" s="12">
        <f>IFERROR(INDEX('مانده سوفاله'!F:F,MATCH(Table22[[#This Row],[كد تفصيلي]],'مانده سوفاله'!A:A,0)),0)</f>
        <v>0</v>
      </c>
    </row>
    <row r="16" spans="1:7" ht="18" customHeight="1" x14ac:dyDescent="0.3">
      <c r="A16" s="26">
        <v>30003</v>
      </c>
      <c r="B16" s="24" t="s">
        <v>53</v>
      </c>
      <c r="C16" s="10">
        <f>IFERROR(INDEX('حسابهای دریافتنی'!H:H,MATCH(Table22[[#This Row],[كد تفصيلي]],'حسابهای دریافتنی'!A:A,0)),0)</f>
        <v>754765900</v>
      </c>
      <c r="D16" s="17">
        <f>IFERROR(INDEX('درجریان وصول'!F:F,MATCH(Table22[[#This Row],[كد تفصيلي]],'درجریان وصول'!A:A,0)),0)</f>
        <v>0</v>
      </c>
      <c r="E16" s="17">
        <f>IFERROR(INDEX('چکهای دریافتنی'!F:F,MATCH(Table22[[#This Row],[كد تفصيلي]],'چکهای دریافتنی'!A:A,0)),0)</f>
        <v>571000000</v>
      </c>
      <c r="F16" s="17">
        <f>Table22[[#This Row],[حسابهای دریافتنی]]+Table22[[#This Row],[چکهای در جریان وصول]]+Table22[[#This Row],[چکهای نزد صندوق]]</f>
        <v>1325765900</v>
      </c>
      <c r="G16" s="12">
        <f>IFERROR(INDEX('مانده سوفاله'!F:F,MATCH(Table22[[#This Row],[كد تفصيلي]],'مانده سوفاله'!A:A,0)),0)</f>
        <v>-3538</v>
      </c>
    </row>
    <row r="17" spans="1:7" ht="18" customHeight="1" x14ac:dyDescent="0.3">
      <c r="A17" s="26">
        <v>10029</v>
      </c>
      <c r="B17" s="24" t="s">
        <v>35</v>
      </c>
      <c r="C17" s="10">
        <f>IFERROR(INDEX('حسابهای دریافتنی'!H:H,MATCH(Table22[[#This Row],[كد تفصيلي]],'حسابهای دریافتنی'!A:A,0)),0)</f>
        <v>-1038298620</v>
      </c>
      <c r="D17" s="11">
        <f>IFERROR(INDEX('درجریان وصول'!F:F,MATCH(Table22[[#This Row],[كد تفصيلي]],'درجریان وصول'!A:A,0)),0)</f>
        <v>0</v>
      </c>
      <c r="E17" s="11">
        <f>IFERROR(INDEX('چکهای دریافتنی'!F:F,MATCH(Table22[[#This Row],[كد تفصيلي]],'چکهای دریافتنی'!A:A,0)),0)</f>
        <v>2019000000</v>
      </c>
      <c r="F17" s="11">
        <f>Table22[[#This Row],[حسابهای دریافتنی]]+Table22[[#This Row],[چکهای در جریان وصول]]+Table22[[#This Row],[چکهای نزد صندوق]]</f>
        <v>980701380</v>
      </c>
      <c r="G17" s="12">
        <f>IFERROR(INDEX('مانده سوفاله'!F:F,MATCH(Table22[[#This Row],[كد تفصيلي]],'مانده سوفاله'!A:A,0)),0)</f>
        <v>6603</v>
      </c>
    </row>
    <row r="18" spans="1:7" ht="18" customHeight="1" x14ac:dyDescent="0.3">
      <c r="A18" s="27">
        <v>30014</v>
      </c>
      <c r="B18" s="25" t="s">
        <v>63</v>
      </c>
      <c r="C18" s="10">
        <f>IFERROR(INDEX('حسابهای دریافتنی'!H:H,MATCH(Table22[[#This Row],[كد تفصيلي]],'حسابهای دریافتنی'!A:A,0)),0)</f>
        <v>1762223932</v>
      </c>
      <c r="D18" s="11">
        <f>IFERROR(INDEX('درجریان وصول'!F:F,MATCH(Table22[[#This Row],[كد تفصيلي]],'درجریان وصول'!A:A,0)),0)</f>
        <v>0</v>
      </c>
      <c r="E18" s="11">
        <f>IFERROR(INDEX('چکهای دریافتنی'!F:F,MATCH(Table22[[#This Row],[كد تفصيلي]],'چکهای دریافتنی'!A:A,0)),0)</f>
        <v>0</v>
      </c>
      <c r="F18" s="11">
        <f>Table22[[#This Row],[حسابهای دریافتنی]]+Table22[[#This Row],[چکهای در جریان وصول]]+Table22[[#This Row],[چکهای نزد صندوق]]</f>
        <v>1762223932</v>
      </c>
      <c r="G18" s="12">
        <f>IFERROR(INDEX('مانده سوفاله'!F:F,MATCH(Table22[[#This Row],[كد تفصيلي]],'مانده سوفاله'!A:A,0)),0)</f>
        <v>-1368</v>
      </c>
    </row>
    <row r="19" spans="1:7" ht="18" customHeight="1" x14ac:dyDescent="0.3">
      <c r="A19" s="27">
        <v>30012</v>
      </c>
      <c r="B19" s="25" t="s">
        <v>61</v>
      </c>
      <c r="C19" s="10">
        <f>IFERROR(INDEX('حسابهای دریافتنی'!H:H,MATCH(Table22[[#This Row],[كد تفصيلي]],'حسابهای دریافتنی'!A:A,0)),0)</f>
        <v>-46099000</v>
      </c>
      <c r="D19" s="17">
        <f>IFERROR(INDEX('درجریان وصول'!F:F,MATCH(Table22[[#This Row],[كد تفصيلي]],'درجریان وصول'!A:A,0)),0)</f>
        <v>0</v>
      </c>
      <c r="E19" s="17">
        <f>IFERROR(INDEX('چکهای دریافتنی'!F:F,MATCH(Table22[[#This Row],[كد تفصيلي]],'چکهای دریافتنی'!A:A,0)),0)</f>
        <v>348650000</v>
      </c>
      <c r="F19" s="17">
        <f>Table22[[#This Row],[حسابهای دریافتنی]]+Table22[[#This Row],[چکهای در جریان وصول]]+Table22[[#This Row],[چکهای نزد صندوق]]</f>
        <v>302551000</v>
      </c>
      <c r="G19" s="12">
        <f>IFERROR(INDEX('مانده سوفاله'!F:F,MATCH(Table22[[#This Row],[كد تفصيلي]],'مانده سوفاله'!A:A,0)),0)</f>
        <v>141</v>
      </c>
    </row>
    <row r="20" spans="1:7" ht="18" customHeight="1" x14ac:dyDescent="0.3">
      <c r="A20" s="27">
        <v>10008</v>
      </c>
      <c r="B20" s="25" t="s">
        <v>15</v>
      </c>
      <c r="C20" s="10">
        <f>IFERROR(INDEX('حسابهای دریافتنی'!H:H,MATCH(Table22[[#This Row],[كد تفصيلي]],'حسابهای دریافتنی'!A:A,0)),0)</f>
        <v>597342000</v>
      </c>
      <c r="D20" s="11">
        <f>IFERROR(INDEX('درجریان وصول'!F:F,MATCH(Table22[[#This Row],[كد تفصيلي]],'درجریان وصول'!A:A,0)),0)</f>
        <v>0</v>
      </c>
      <c r="E20" s="11">
        <f>IFERROR(INDEX('چکهای دریافتنی'!F:F,MATCH(Table22[[#This Row],[كد تفصيلي]],'چکهای دریافتنی'!A:A,0)),0)</f>
        <v>0</v>
      </c>
      <c r="F20" s="11">
        <f>Table22[[#This Row],[حسابهای دریافتنی]]+Table22[[#This Row],[چکهای در جریان وصول]]+Table22[[#This Row],[چکهای نزد صندوق]]</f>
        <v>597342000</v>
      </c>
      <c r="G20" s="12">
        <f>IFERROR(INDEX('مانده سوفاله'!F:F,MATCH(Table22[[#This Row],[كد تفصيلي]],'مانده سوفاله'!A:A,0)),0)</f>
        <v>-578</v>
      </c>
    </row>
    <row r="21" spans="1:7" ht="18" customHeight="1" x14ac:dyDescent="0.3">
      <c r="A21" s="26">
        <v>50011</v>
      </c>
      <c r="B21" s="24" t="s">
        <v>147</v>
      </c>
      <c r="C21" s="10">
        <f>IFERROR(INDEX('حسابهای دریافتنی'!H:H,MATCH(Table22[[#This Row],[كد تفصيلي]],'حسابهای دریافتنی'!A:A,0)),0)</f>
        <v>832182413</v>
      </c>
      <c r="D21" s="17">
        <f>IFERROR(INDEX('درجریان وصول'!F:F,MATCH(Table22[[#This Row],[كد تفصيلي]],'درجریان وصول'!A:A,0)),0)</f>
        <v>0</v>
      </c>
      <c r="E21" s="17">
        <f>IFERROR(INDEX('چکهای دریافتنی'!F:F,MATCH(Table22[[#This Row],[كد تفصيلي]],'چکهای دریافتنی'!A:A,0)),0)</f>
        <v>0</v>
      </c>
      <c r="F21" s="17">
        <f>Table22[[#This Row],[حسابهای دریافتنی]]+Table22[[#This Row],[چکهای در جریان وصول]]+Table22[[#This Row],[چکهای نزد صندوق]]</f>
        <v>832182413</v>
      </c>
      <c r="G21" s="12">
        <f>IFERROR(INDEX('مانده سوفاله'!F:F,MATCH(Table22[[#This Row],[كد تفصيلي]],'مانده سوفاله'!A:A,0)),0)</f>
        <v>30</v>
      </c>
    </row>
    <row r="22" spans="1:7" ht="18" customHeight="1" x14ac:dyDescent="0.3">
      <c r="A22" s="26">
        <v>30146</v>
      </c>
      <c r="B22" s="24" t="s">
        <v>266</v>
      </c>
      <c r="C22" s="10">
        <f>IFERROR(INDEX('حسابهای دریافتنی'!H:H,MATCH(Table22[[#This Row],[كد تفصيلي]],'حسابهای دریافتنی'!A:A,0)),0)</f>
        <v>-4146512500</v>
      </c>
      <c r="D22" s="10">
        <f>IFERROR(INDEX('درجریان وصول'!F:F,MATCH(Table22[[#This Row],[كد تفصيلي]],'درجریان وصول'!A:A,0)),0)</f>
        <v>0</v>
      </c>
      <c r="E22" s="10">
        <f>IFERROR(INDEX('چکهای دریافتنی'!F:F,MATCH(Table22[[#This Row],[كد تفصيلي]],'چکهای دریافتنی'!A:A,0)),0)</f>
        <v>0</v>
      </c>
      <c r="F22" s="10">
        <f>Table22[[#This Row],[حسابهای دریافتنی]]+Table22[[#This Row],[چکهای در جریان وصول]]+Table22[[#This Row],[چکهای نزد صندوق]]</f>
        <v>-4146512500</v>
      </c>
      <c r="G22" s="12">
        <f>IFERROR(INDEX('مانده سوفاله'!F:F,MATCH(Table22[[#This Row],[كد تفصيلي]],'مانده سوفاله'!A:A,0)),0)</f>
        <v>2823</v>
      </c>
    </row>
    <row r="23" spans="1:7" ht="18" customHeight="1" x14ac:dyDescent="0.3">
      <c r="A23" s="27">
        <v>30018</v>
      </c>
      <c r="B23" s="25" t="s">
        <v>66</v>
      </c>
      <c r="C23" s="10">
        <f>IFERROR(INDEX('حسابهای دریافتنی'!H:H,MATCH(Table22[[#This Row],[كد تفصيلي]],'حسابهای دریافتنی'!A:A,0)),0)</f>
        <v>1901077182</v>
      </c>
      <c r="D23" s="17">
        <f>IFERROR(INDEX('درجریان وصول'!F:F,MATCH(Table22[[#This Row],[كد تفصيلي]],'درجریان وصول'!A:A,0)),0)</f>
        <v>0</v>
      </c>
      <c r="E23" s="17">
        <f>IFERROR(INDEX('چکهای دریافتنی'!F:F,MATCH(Table22[[#This Row],[كد تفصيلي]],'چکهای دریافتنی'!A:A,0)),0)</f>
        <v>0</v>
      </c>
      <c r="F23" s="17">
        <f>Table22[[#This Row],[حسابهای دریافتنی]]+Table22[[#This Row],[چکهای در جریان وصول]]+Table22[[#This Row],[چکهای نزد صندوق]]</f>
        <v>1901077182</v>
      </c>
      <c r="G23" s="12">
        <f>IFERROR(INDEX('مانده سوفاله'!F:F,MATCH(Table22[[#This Row],[كد تفصيلي]],'مانده سوفاله'!A:A,0)),0)</f>
        <v>-3024</v>
      </c>
    </row>
    <row r="24" spans="1:7" ht="18" customHeight="1" x14ac:dyDescent="0.3">
      <c r="A24" s="27">
        <v>30069</v>
      </c>
      <c r="B24" s="25" t="s">
        <v>114</v>
      </c>
      <c r="C24" s="10">
        <f>IFERROR(INDEX('حسابهای دریافتنی'!H:H,MATCH(Table22[[#This Row],[كد تفصيلي]],'حسابهای دریافتنی'!A:A,0)),0)</f>
        <v>377909400</v>
      </c>
      <c r="D24" s="17">
        <f>IFERROR(INDEX('درجریان وصول'!F:F,MATCH(Table22[[#This Row],[كد تفصيلي]],'درجریان وصول'!A:A,0)),0)</f>
        <v>0</v>
      </c>
      <c r="E24" s="17">
        <f>IFERROR(INDEX('چکهای دریافتنی'!F:F,MATCH(Table22[[#This Row],[كد تفصيلي]],'چکهای دریافتنی'!A:A,0)),0)</f>
        <v>0</v>
      </c>
      <c r="F24" s="17">
        <f>Table22[[#This Row],[حسابهای دریافتنی]]+Table22[[#This Row],[چکهای در جریان وصول]]+Table22[[#This Row],[چکهای نزد صندوق]]</f>
        <v>377909400</v>
      </c>
      <c r="G24" s="12">
        <f>IFERROR(INDEX('مانده سوفاله'!F:F,MATCH(Table22[[#This Row],[كد تفصيلي]],'مانده سوفاله'!A:A,0)),0)</f>
        <v>66</v>
      </c>
    </row>
    <row r="25" spans="1:7" ht="18" customHeight="1" x14ac:dyDescent="0.3">
      <c r="A25" s="26">
        <v>10057</v>
      </c>
      <c r="B25" s="24" t="s">
        <v>225</v>
      </c>
      <c r="C25" s="10">
        <f>IFERROR(INDEX('حسابهای دریافتنی'!H:H,MATCH(Table22[[#This Row],[كد تفصيلي]],'حسابهای دریافتنی'!A:A,0)),0)</f>
        <v>1390485500</v>
      </c>
      <c r="D25" s="11">
        <f>IFERROR(INDEX('درجریان وصول'!F:F,MATCH(Table22[[#This Row],[كد تفصيلي]],'درجریان وصول'!A:A,0)),0)</f>
        <v>0</v>
      </c>
      <c r="E25" s="11">
        <f>IFERROR(INDEX('چکهای دریافتنی'!F:F,MATCH(Table22[[#This Row],[كد تفصيلي]],'چکهای دریافتنی'!A:A,0)),0)</f>
        <v>0</v>
      </c>
      <c r="F25" s="11">
        <f>Table22[[#This Row],[حسابهای دریافتنی]]+Table22[[#This Row],[چکهای در جریان وصول]]+Table22[[#This Row],[چکهای نزد صندوق]]</f>
        <v>1390485500</v>
      </c>
      <c r="G25" s="12">
        <f>IFERROR(INDEX('مانده سوفاله'!F:F,MATCH(Table22[[#This Row],[كد تفصيلي]],'مانده سوفاله'!A:A,0)),0)</f>
        <v>-2044</v>
      </c>
    </row>
    <row r="26" spans="1:7" ht="18" customHeight="1" x14ac:dyDescent="0.3">
      <c r="A26" s="27">
        <v>50008</v>
      </c>
      <c r="B26" s="25" t="s">
        <v>146</v>
      </c>
      <c r="C26" s="10">
        <f>IFERROR(INDEX('حسابهای دریافتنی'!H:H,MATCH(Table22[[#This Row],[كد تفصيلي]],'حسابهای دریافتنی'!A:A,0)),0)</f>
        <v>-406230000</v>
      </c>
      <c r="D26" s="11">
        <f>IFERROR(INDEX('درجریان وصول'!F:F,MATCH(Table22[[#This Row],[كد تفصيلي]],'درجریان وصول'!A:A,0)),0)</f>
        <v>0</v>
      </c>
      <c r="E26" s="11">
        <f>IFERROR(INDEX('چکهای دریافتنی'!F:F,MATCH(Table22[[#This Row],[كد تفصيلي]],'چکهای دریافتنی'!A:A,0)),0)</f>
        <v>0</v>
      </c>
      <c r="F26" s="11">
        <f>Table22[[#This Row],[حسابهای دریافتنی]]+Table22[[#This Row],[چکهای در جریان وصول]]+Table22[[#This Row],[چکهای نزد صندوق]]</f>
        <v>-406230000</v>
      </c>
      <c r="G26" s="12">
        <f>IFERROR(INDEX('مانده سوفاله'!F:F,MATCH(Table22[[#This Row],[كد تفصيلي]],'مانده سوفاله'!A:A,0)),0)</f>
        <v>0</v>
      </c>
    </row>
    <row r="27" spans="1:7" ht="18" customHeight="1" x14ac:dyDescent="0.3">
      <c r="A27" s="26">
        <v>10069</v>
      </c>
      <c r="B27" s="24" t="s">
        <v>204</v>
      </c>
      <c r="C27" s="10">
        <f>IFERROR(INDEX('حسابهای دریافتنی'!H:H,MATCH(Table22[[#This Row],[كد تفصيلي]],'حسابهای دریافتنی'!A:A,0)),0)</f>
        <v>952500</v>
      </c>
      <c r="D27" s="11">
        <f>IFERROR(INDEX('درجریان وصول'!F:F,MATCH(Table22[[#This Row],[كد تفصيلي]],'درجریان وصول'!A:A,0)),0)</f>
        <v>0</v>
      </c>
      <c r="E27" s="11">
        <f>IFERROR(INDEX('چکهای دریافتنی'!F:F,MATCH(Table22[[#This Row],[كد تفصيلي]],'چکهای دریافتنی'!A:A,0)),0)</f>
        <v>73000000</v>
      </c>
      <c r="F27" s="11">
        <f>Table22[[#This Row],[حسابهای دریافتنی]]+Table22[[#This Row],[چکهای در جریان وصول]]+Table22[[#This Row],[چکهای نزد صندوق]]</f>
        <v>73952500</v>
      </c>
      <c r="G27" s="12">
        <f>IFERROR(INDEX('مانده سوفاله'!F:F,MATCH(Table22[[#This Row],[كد تفصيلي]],'مانده سوفاله'!A:A,0)),0)</f>
        <v>339</v>
      </c>
    </row>
    <row r="28" spans="1:7" ht="18" customHeight="1" x14ac:dyDescent="0.3">
      <c r="A28" s="27">
        <v>30055</v>
      </c>
      <c r="B28" s="25" t="s">
        <v>100</v>
      </c>
      <c r="C28" s="10">
        <f>IFERROR(INDEX('حسابهای دریافتنی'!H:H,MATCH(Table22[[#This Row],[كد تفصيلي]],'حسابهای دریافتنی'!A:A,0)),0)</f>
        <v>0</v>
      </c>
      <c r="D28" s="17">
        <f>IFERROR(INDEX('درجریان وصول'!F:F,MATCH(Table22[[#This Row],[كد تفصيلي]],'درجریان وصول'!A:A,0)),0)</f>
        <v>0</v>
      </c>
      <c r="E28" s="17">
        <f>IFERROR(INDEX('چکهای دریافتنی'!F:F,MATCH(Table22[[#This Row],[كد تفصيلي]],'چکهای دریافتنی'!A:A,0)),0)</f>
        <v>0</v>
      </c>
      <c r="F28" s="17">
        <f>Table22[[#This Row],[حسابهای دریافتنی]]+Table22[[#This Row],[چکهای در جریان وصول]]+Table22[[#This Row],[چکهای نزد صندوق]]</f>
        <v>0</v>
      </c>
      <c r="G28" s="12">
        <f>IFERROR(INDEX('مانده سوفاله'!F:F,MATCH(Table22[[#This Row],[كد تفصيلي]],'مانده سوفاله'!A:A,0)),0)</f>
        <v>48</v>
      </c>
    </row>
    <row r="29" spans="1:7" ht="18" customHeight="1" x14ac:dyDescent="0.3">
      <c r="A29" s="26">
        <v>30086</v>
      </c>
      <c r="B29" s="24" t="s">
        <v>131</v>
      </c>
      <c r="C29" s="10">
        <f>IFERROR(INDEX('حسابهای دریافتنی'!H:H,MATCH(Table22[[#This Row],[كد تفصيلي]],'حسابهای دریافتنی'!A:A,0)),0)</f>
        <v>187376603</v>
      </c>
      <c r="D29" s="17">
        <f>IFERROR(INDEX('درجریان وصول'!F:F,MATCH(Table22[[#This Row],[كد تفصيلي]],'درجریان وصول'!A:A,0)),0)</f>
        <v>0</v>
      </c>
      <c r="E29" s="17">
        <f>IFERROR(INDEX('چکهای دریافتنی'!F:F,MATCH(Table22[[#This Row],[كد تفصيلي]],'چکهای دریافتنی'!A:A,0)),0)</f>
        <v>0</v>
      </c>
      <c r="F29" s="17">
        <f>Table22[[#This Row],[حسابهای دریافتنی]]+Table22[[#This Row],[چکهای در جریان وصول]]+Table22[[#This Row],[چکهای نزد صندوق]]</f>
        <v>187376603</v>
      </c>
      <c r="G29" s="12">
        <f>IFERROR(INDEX('مانده سوفاله'!F:F,MATCH(Table22[[#This Row],[كد تفصيلي]],'مانده سوفاله'!A:A,0)),0)</f>
        <v>1549</v>
      </c>
    </row>
    <row r="30" spans="1:7" ht="18" customHeight="1" x14ac:dyDescent="0.3">
      <c r="A30" s="27">
        <v>10092</v>
      </c>
      <c r="B30" s="25" t="s">
        <v>260</v>
      </c>
      <c r="C30" s="10">
        <f>IFERROR(INDEX('حسابهای دریافتنی'!H:H,MATCH(Table22[[#This Row],[كد تفصيلي]],'حسابهای دریافتنی'!A:A,0)),0)</f>
        <v>-1749946500</v>
      </c>
      <c r="D30" s="10">
        <f>IFERROR(INDEX('درجریان وصول'!F:F,MATCH(Table22[[#This Row],[كد تفصيلي]],'درجریان وصول'!A:A,0)),0)</f>
        <v>0</v>
      </c>
      <c r="E30" s="10">
        <f>IFERROR(INDEX('چکهای دریافتنی'!F:F,MATCH(Table22[[#This Row],[كد تفصيلي]],'چکهای دریافتنی'!A:A,0)),0)</f>
        <v>300000000</v>
      </c>
      <c r="F30" s="10">
        <f>Table22[[#This Row],[حسابهای دریافتنی]]+Table22[[#This Row],[چکهای در جریان وصول]]+Table22[[#This Row],[چکهای نزد صندوق]]</f>
        <v>-1449946500</v>
      </c>
      <c r="G30" s="12">
        <f>IFERROR(INDEX('مانده سوفاله'!F:F,MATCH(Table22[[#This Row],[كد تفصيلي]],'مانده سوفاله'!A:A,0)),0)</f>
        <v>0</v>
      </c>
    </row>
    <row r="31" spans="1:7" ht="18" customHeight="1" x14ac:dyDescent="0.3">
      <c r="A31" s="27">
        <v>10020</v>
      </c>
      <c r="B31" s="25" t="s">
        <v>27</v>
      </c>
      <c r="C31" s="10">
        <f>IFERROR(INDEX('حسابهای دریافتنی'!H:H,MATCH(Table22[[#This Row],[كد تفصيلي]],'حسابهای دریافتنی'!A:A,0)),0)</f>
        <v>57999963</v>
      </c>
      <c r="D31" s="10">
        <f>IFERROR(INDEX('درجریان وصول'!F:F,MATCH(Table22[[#This Row],[كد تفصيلي]],'درجریان وصول'!A:A,0)),0)</f>
        <v>0</v>
      </c>
      <c r="E31" s="10">
        <f>IFERROR(INDEX('چکهای دریافتنی'!F:F,MATCH(Table22[[#This Row],[كد تفصيلي]],'چکهای دریافتنی'!A:A,0)),0)</f>
        <v>728000000</v>
      </c>
      <c r="F31" s="10">
        <f>Table22[[#This Row],[حسابهای دریافتنی]]+Table22[[#This Row],[چکهای در جریان وصول]]+Table22[[#This Row],[چکهای نزد صندوق]]</f>
        <v>785999963</v>
      </c>
      <c r="G31" s="12">
        <f>IFERROR(INDEX('مانده سوفاله'!F:F,MATCH(Table22[[#This Row],[كد تفصيلي]],'مانده سوفاله'!A:A,0)),0)</f>
        <v>-1031</v>
      </c>
    </row>
    <row r="32" spans="1:7" ht="18" customHeight="1" x14ac:dyDescent="0.3">
      <c r="A32" s="27">
        <v>30026</v>
      </c>
      <c r="B32" s="25" t="s">
        <v>74</v>
      </c>
      <c r="C32" s="10">
        <f>IFERROR(INDEX('حسابهای دریافتنی'!H:H,MATCH(Table22[[#This Row],[كد تفصيلي]],'حسابهای دریافتنی'!A:A,0)),0)</f>
        <v>5689439</v>
      </c>
      <c r="D32" s="17">
        <f>IFERROR(INDEX('درجریان وصول'!F:F,MATCH(Table22[[#This Row],[كد تفصيلي]],'درجریان وصول'!A:A,0)),0)</f>
        <v>0</v>
      </c>
      <c r="E32" s="17">
        <f>IFERROR(INDEX('چکهای دریافتنی'!F:F,MATCH(Table22[[#This Row],[كد تفصيلي]],'چکهای دریافتنی'!A:A,0)),0)</f>
        <v>0</v>
      </c>
      <c r="F32" s="17">
        <f>Table22[[#This Row],[حسابهای دریافتنی]]+Table22[[#This Row],[چکهای در جریان وصول]]+Table22[[#This Row],[چکهای نزد صندوق]]</f>
        <v>5689439</v>
      </c>
      <c r="G32" s="12">
        <f>IFERROR(INDEX('مانده سوفاله'!F:F,MATCH(Table22[[#This Row],[كد تفصيلي]],'مانده سوفاله'!A:A,0)),0)</f>
        <v>764</v>
      </c>
    </row>
    <row r="33" spans="1:7" ht="18" customHeight="1" x14ac:dyDescent="0.3">
      <c r="A33" s="26">
        <v>30019</v>
      </c>
      <c r="B33" s="24" t="s">
        <v>67</v>
      </c>
      <c r="C33" s="10">
        <f>IFERROR(INDEX('حسابهای دریافتنی'!H:H,MATCH(Table22[[#This Row],[كد تفصيلي]],'حسابهای دریافتنی'!A:A,0)),0)</f>
        <v>823484840</v>
      </c>
      <c r="D33" s="11">
        <f>IFERROR(INDEX('درجریان وصول'!F:F,MATCH(Table22[[#This Row],[كد تفصيلي]],'درجریان وصول'!A:A,0)),0)</f>
        <v>0</v>
      </c>
      <c r="E33" s="11">
        <f>IFERROR(INDEX('چکهای دریافتنی'!F:F,MATCH(Table22[[#This Row],[كد تفصيلي]],'چکهای دریافتنی'!A:A,0)),0)</f>
        <v>0</v>
      </c>
      <c r="F33" s="11">
        <f>Table22[[#This Row],[حسابهای دریافتنی]]+Table22[[#This Row],[چکهای در جریان وصول]]+Table22[[#This Row],[چکهای نزد صندوق]]</f>
        <v>823484840</v>
      </c>
      <c r="G33" s="12">
        <f>IFERROR(INDEX('مانده سوفاله'!F:F,MATCH(Table22[[#This Row],[كد تفصيلي]],'مانده سوفاله'!A:A,0)),0)</f>
        <v>612</v>
      </c>
    </row>
    <row r="34" spans="1:7" ht="18" customHeight="1" x14ac:dyDescent="0.3">
      <c r="A34" s="27">
        <v>10096</v>
      </c>
      <c r="B34" s="25" t="s">
        <v>271</v>
      </c>
      <c r="C34" s="10">
        <f>IFERROR(INDEX('حسابهای دریافتنی'!H:H,MATCH(Table22[[#This Row],[كد تفصيلي]],'حسابهای دریافتنی'!A:A,0)),0)</f>
        <v>36455500</v>
      </c>
      <c r="D34" s="11">
        <f>IFERROR(INDEX('درجریان وصول'!F:F,MATCH(Table22[[#This Row],[كد تفصيلي]],'درجریان وصول'!A:A,0)),0)</f>
        <v>0</v>
      </c>
      <c r="E34" s="11">
        <f>IFERROR(INDEX('چکهای دریافتنی'!F:F,MATCH(Table22[[#This Row],[كد تفصيلي]],'چکهای دریافتنی'!A:A,0)),0)</f>
        <v>0</v>
      </c>
      <c r="F34" s="11">
        <f>Table22[[#This Row],[حسابهای دریافتنی]]+Table22[[#This Row],[چکهای در جریان وصول]]+Table22[[#This Row],[چکهای نزد صندوق]]</f>
        <v>36455500</v>
      </c>
      <c r="G34" s="12">
        <f>IFERROR(INDEX('مانده سوفاله'!F:F,MATCH(Table22[[#This Row],[كد تفصيلي]],'مانده سوفاله'!A:A,0)),0)</f>
        <v>0</v>
      </c>
    </row>
    <row r="35" spans="1:7" ht="18" customHeight="1" x14ac:dyDescent="0.3">
      <c r="A35" s="26">
        <v>30025</v>
      </c>
      <c r="B35" s="24" t="s">
        <v>73</v>
      </c>
      <c r="C35" s="10">
        <f>IFERROR(INDEX('حسابهای دریافتنی'!H:H,MATCH(Table22[[#This Row],[كد تفصيلي]],'حسابهای دریافتنی'!A:A,0)),0)</f>
        <v>35598920</v>
      </c>
      <c r="D35" s="11">
        <f>IFERROR(INDEX('درجریان وصول'!F:F,MATCH(Table22[[#This Row],[كد تفصيلي]],'درجریان وصول'!A:A,0)),0)</f>
        <v>0</v>
      </c>
      <c r="E35" s="11">
        <f>IFERROR(INDEX('چکهای دریافتنی'!F:F,MATCH(Table22[[#This Row],[كد تفصيلي]],'چکهای دریافتنی'!A:A,0)),0)</f>
        <v>0</v>
      </c>
      <c r="F35" s="11">
        <f>Table22[[#This Row],[حسابهای دریافتنی]]+Table22[[#This Row],[چکهای در جریان وصول]]+Table22[[#This Row],[چکهای نزد صندوق]]</f>
        <v>35598920</v>
      </c>
      <c r="G35" s="12">
        <f>IFERROR(INDEX('مانده سوفاله'!F:F,MATCH(Table22[[#This Row],[كد تفصيلي]],'مانده سوفاله'!A:A,0)),0)</f>
        <v>-165</v>
      </c>
    </row>
    <row r="36" spans="1:7" ht="18" customHeight="1" x14ac:dyDescent="0.3">
      <c r="A36" s="26">
        <v>30005</v>
      </c>
      <c r="B36" s="24" t="s">
        <v>55</v>
      </c>
      <c r="C36" s="10">
        <f>IFERROR(INDEX('حسابهای دریافتنی'!H:H,MATCH(Table22[[#This Row],[كد تفصيلي]],'حسابهای دریافتنی'!A:A,0)),0)</f>
        <v>35368209</v>
      </c>
      <c r="D36" s="17">
        <f>IFERROR(INDEX('درجریان وصول'!F:F,MATCH(Table22[[#This Row],[كد تفصيلي]],'درجریان وصول'!A:A,0)),0)</f>
        <v>0</v>
      </c>
      <c r="E36" s="17">
        <f>IFERROR(INDEX('چکهای دریافتنی'!F:F,MATCH(Table22[[#This Row],[كد تفصيلي]],'چکهای دریافتنی'!A:A,0)),0)</f>
        <v>0</v>
      </c>
      <c r="F36" s="17">
        <f>Table22[[#This Row],[حسابهای دریافتنی]]+Table22[[#This Row],[چکهای در جریان وصول]]+Table22[[#This Row],[چکهای نزد صندوق]]</f>
        <v>35368209</v>
      </c>
      <c r="G36" s="12">
        <f>IFERROR(INDEX('مانده سوفاله'!F:F,MATCH(Table22[[#This Row],[كد تفصيلي]],'مانده سوفاله'!A:A,0)),0)</f>
        <v>61</v>
      </c>
    </row>
    <row r="37" spans="1:7" ht="18" customHeight="1" x14ac:dyDescent="0.3">
      <c r="A37" s="27">
        <v>30093</v>
      </c>
      <c r="B37" s="25" t="s">
        <v>151</v>
      </c>
      <c r="C37" s="10">
        <f>IFERROR(INDEX('حسابهای دریافتنی'!H:H,MATCH(Table22[[#This Row],[كد تفصيلي]],'حسابهای دریافتنی'!A:A,0)),0)</f>
        <v>0</v>
      </c>
      <c r="D37" s="17">
        <f>IFERROR(INDEX('درجریان وصول'!F:F,MATCH(Table22[[#This Row],[كد تفصيلي]],'درجریان وصول'!A:A,0)),0)</f>
        <v>0</v>
      </c>
      <c r="E37" s="17">
        <f>IFERROR(INDEX('چکهای دریافتنی'!F:F,MATCH(Table22[[#This Row],[كد تفصيلي]],'چکهای دریافتنی'!A:A,0)),0)</f>
        <v>0</v>
      </c>
      <c r="F37" s="17">
        <f>Table22[[#This Row],[حسابهای دریافتنی]]+Table22[[#This Row],[چکهای در جریان وصول]]+Table22[[#This Row],[چکهای نزد صندوق]]</f>
        <v>0</v>
      </c>
      <c r="G37" s="12">
        <v>-1563</v>
      </c>
    </row>
    <row r="38" spans="1:7" ht="18" customHeight="1" x14ac:dyDescent="0.3">
      <c r="A38" s="27">
        <v>30008</v>
      </c>
      <c r="B38" s="25" t="s">
        <v>58</v>
      </c>
      <c r="C38" s="10">
        <f>IFERROR(INDEX('حسابهای دریافتنی'!H:H,MATCH(Table22[[#This Row],[كد تفصيلي]],'حسابهای دریافتنی'!A:A,0)),0)</f>
        <v>15520000</v>
      </c>
      <c r="D38" s="17">
        <f>IFERROR(INDEX('درجریان وصول'!F:F,MATCH(Table22[[#This Row],[كد تفصيلي]],'درجریان وصول'!A:A,0)),0)</f>
        <v>0</v>
      </c>
      <c r="E38" s="17">
        <f>IFERROR(INDEX('چکهای دریافتنی'!F:F,MATCH(Table22[[#This Row],[كد تفصيلي]],'چکهای دریافتنی'!A:A,0)),0)</f>
        <v>0</v>
      </c>
      <c r="F38" s="17">
        <f>Table22[[#This Row],[حسابهای دریافتنی]]+Table22[[#This Row],[چکهای در جریان وصول]]+Table22[[#This Row],[چکهای نزد صندوق]]</f>
        <v>15520000</v>
      </c>
      <c r="G38" s="12">
        <f>IFERROR(INDEX('مانده سوفاله'!F:F,MATCH(Table22[[#This Row],[كد تفصيلي]],'مانده سوفاله'!A:A,0)),0)</f>
        <v>0</v>
      </c>
    </row>
    <row r="39" spans="1:7" ht="18" customHeight="1" x14ac:dyDescent="0.3">
      <c r="A39" s="27">
        <v>10070</v>
      </c>
      <c r="B39" s="25" t="s">
        <v>230</v>
      </c>
      <c r="C39" s="10">
        <f>IFERROR(INDEX('حسابهای دریافتنی'!H:H,MATCH(Table22[[#This Row],[كد تفصيلي]],'حسابهای دریافتنی'!A:A,0)),0)</f>
        <v>508152500</v>
      </c>
      <c r="D39" s="11">
        <f>IFERROR(INDEX('درجریان وصول'!F:F,MATCH(Table22[[#This Row],[كد تفصيلي]],'درجریان وصول'!A:A,0)),0)</f>
        <v>0</v>
      </c>
      <c r="E39" s="11">
        <f>IFERROR(INDEX('چکهای دریافتنی'!F:F,MATCH(Table22[[#This Row],[كد تفصيلي]],'چکهای دریافتنی'!A:A,0)),0)</f>
        <v>570000000</v>
      </c>
      <c r="F39" s="11">
        <f>Table22[[#This Row],[حسابهای دریافتنی]]+Table22[[#This Row],[چکهای در جریان وصول]]+Table22[[#This Row],[چکهای نزد صندوق]]</f>
        <v>1078152500</v>
      </c>
      <c r="G39" s="12">
        <f>IFERROR(INDEX('مانده سوفاله'!F:F,MATCH(Table22[[#This Row],[كد تفصيلي]],'مانده سوفاله'!A:A,0)),0)</f>
        <v>-3170</v>
      </c>
    </row>
    <row r="40" spans="1:7" ht="18" customHeight="1" x14ac:dyDescent="0.3">
      <c r="A40" s="26">
        <v>10007</v>
      </c>
      <c r="B40" s="24" t="s">
        <v>14</v>
      </c>
      <c r="C40" s="10">
        <f>IFERROR(INDEX('حسابهای دریافتنی'!H:H,MATCH(Table22[[#This Row],[كد تفصيلي]],'حسابهای دریافتنی'!A:A,0)),0)</f>
        <v>12770000</v>
      </c>
      <c r="D40" s="11">
        <f>IFERROR(INDEX('درجریان وصول'!F:F,MATCH(Table22[[#This Row],[كد تفصيلي]],'درجریان وصول'!A:A,0)),0)</f>
        <v>0</v>
      </c>
      <c r="E40" s="11">
        <f>IFERROR(INDEX('چکهای دریافتنی'!F:F,MATCH(Table22[[#This Row],[كد تفصيلي]],'چکهای دریافتنی'!A:A,0)),0)</f>
        <v>0</v>
      </c>
      <c r="F40" s="11">
        <f>Table22[[#This Row],[حسابهای دریافتنی]]+Table22[[#This Row],[چکهای در جریان وصول]]+Table22[[#This Row],[چکهای نزد صندوق]]</f>
        <v>12770000</v>
      </c>
      <c r="G40" s="12">
        <f>IFERROR(INDEX('مانده سوفاله'!F:F,MATCH(Table22[[#This Row],[كد تفصيلي]],'مانده سوفاله'!A:A,0)),0)</f>
        <v>-52.5</v>
      </c>
    </row>
    <row r="41" spans="1:7" ht="18" customHeight="1" x14ac:dyDescent="0.3">
      <c r="A41" s="27">
        <v>30101</v>
      </c>
      <c r="B41" s="25" t="s">
        <v>196</v>
      </c>
      <c r="C41" s="10">
        <f>IFERROR(INDEX('حسابهای دریافتنی'!H:H,MATCH(Table22[[#This Row],[كد تفصيلي]],'حسابهای دریافتنی'!A:A,0)),0)</f>
        <v>203336095</v>
      </c>
      <c r="D41" s="10">
        <f>IFERROR(INDEX('درجریان وصول'!F:F,MATCH(Table22[[#This Row],[كد تفصيلي]],'درجریان وصول'!A:A,0)),0)</f>
        <v>0</v>
      </c>
      <c r="E41" s="10">
        <f>IFERROR(INDEX('چکهای دریافتنی'!F:F,MATCH(Table22[[#This Row],[كد تفصيلي]],'چکهای دریافتنی'!A:A,0)),0)</f>
        <v>0</v>
      </c>
      <c r="F41" s="10">
        <f>Table22[[#This Row],[حسابهای دریافتنی]]+Table22[[#This Row],[چکهای در جریان وصول]]+Table22[[#This Row],[چکهای نزد صندوق]]</f>
        <v>203336095</v>
      </c>
      <c r="G41" s="12">
        <f>IFERROR(INDEX('مانده سوفاله'!F:F,MATCH(Table22[[#This Row],[كد تفصيلي]],'مانده سوفاله'!A:A,0)),0)</f>
        <v>15</v>
      </c>
    </row>
    <row r="42" spans="1:7" ht="18" customHeight="1" x14ac:dyDescent="0.3">
      <c r="A42" s="27">
        <v>30145</v>
      </c>
      <c r="B42" s="25" t="s">
        <v>265</v>
      </c>
      <c r="C42" s="10">
        <f>IFERROR(INDEX('حسابهای دریافتنی'!H:H,MATCH(Table22[[#This Row],[كد تفصيلي]],'حسابهای دریافتنی'!A:A,0)),0)</f>
        <v>6442500</v>
      </c>
      <c r="D42" s="17">
        <f>IFERROR(INDEX('درجریان وصول'!F:F,MATCH(Table22[[#This Row],[كد تفصيلي]],'درجریان وصول'!A:A,0)),0)</f>
        <v>0</v>
      </c>
      <c r="E42" s="17">
        <f>IFERROR(INDEX('چکهای دریافتنی'!F:F,MATCH(Table22[[#This Row],[كد تفصيلي]],'چکهای دریافتنی'!A:A,0)),0)</f>
        <v>0</v>
      </c>
      <c r="F42" s="17">
        <f>Table22[[#This Row],[حسابهای دریافتنی]]+Table22[[#This Row],[چکهای در جریان وصول]]+Table22[[#This Row],[چکهای نزد صندوق]]</f>
        <v>6442500</v>
      </c>
      <c r="G42" s="12">
        <f>IFERROR(INDEX('مانده سوفاله'!F:F,MATCH(Table22[[#This Row],[كد تفصيلي]],'مانده سوفاله'!A:A,0)),0)</f>
        <v>0</v>
      </c>
    </row>
    <row r="43" spans="1:7" ht="18" customHeight="1" x14ac:dyDescent="0.3">
      <c r="A43" s="26">
        <v>30047</v>
      </c>
      <c r="B43" s="24" t="s">
        <v>94</v>
      </c>
      <c r="C43" s="10">
        <f>IFERROR(INDEX('حسابهای دریافتنی'!H:H,MATCH(Table22[[#This Row],[كد تفصيلي]],'حسابهای دریافتنی'!A:A,0)),0)</f>
        <v>5794900</v>
      </c>
      <c r="D43" s="17">
        <f>IFERROR(INDEX('درجریان وصول'!F:F,MATCH(Table22[[#This Row],[كد تفصيلي]],'درجریان وصول'!A:A,0)),0)</f>
        <v>0</v>
      </c>
      <c r="E43" s="17">
        <f>IFERROR(INDEX('چکهای دریافتنی'!F:F,MATCH(Table22[[#This Row],[كد تفصيلي]],'چکهای دریافتنی'!A:A,0)),0)</f>
        <v>0</v>
      </c>
      <c r="F43" s="17">
        <f>Table22[[#This Row],[حسابهای دریافتنی]]+Table22[[#This Row],[چکهای در جریان وصول]]+Table22[[#This Row],[چکهای نزد صندوق]]</f>
        <v>5794900</v>
      </c>
      <c r="G43" s="12">
        <f>IFERROR(INDEX('مانده سوفاله'!F:F,MATCH(Table22[[#This Row],[كد تفصيلي]],'مانده سوفاله'!A:A,0)),0)</f>
        <v>-630</v>
      </c>
    </row>
    <row r="44" spans="1:7" ht="18" customHeight="1" x14ac:dyDescent="0.3">
      <c r="A44" s="26">
        <v>30011</v>
      </c>
      <c r="B44" s="24" t="s">
        <v>60</v>
      </c>
      <c r="C44" s="10">
        <f>IFERROR(INDEX('حسابهای دریافتنی'!H:H,MATCH(Table22[[#This Row],[كد تفصيلي]],'حسابهای دریافتنی'!A:A,0)),0)</f>
        <v>5595200</v>
      </c>
      <c r="D44" s="11">
        <f>IFERROR(INDEX('درجریان وصول'!F:F,MATCH(Table22[[#This Row],[كد تفصيلي]],'درجریان وصول'!A:A,0)),0)</f>
        <v>0</v>
      </c>
      <c r="E44" s="11">
        <f>IFERROR(INDEX('چکهای دریافتنی'!F:F,MATCH(Table22[[#This Row],[كد تفصيلي]],'چکهای دریافتنی'!A:A,0)),0)</f>
        <v>0</v>
      </c>
      <c r="F44" s="11">
        <f>Table22[[#This Row],[حسابهای دریافتنی]]+Table22[[#This Row],[چکهای در جریان وصول]]+Table22[[#This Row],[چکهای نزد صندوق]]</f>
        <v>5595200</v>
      </c>
      <c r="G44" s="12">
        <f>IFERROR(INDEX('مانده سوفاله'!F:F,MATCH(Table22[[#This Row],[كد تفصيلي]],'مانده سوفاله'!A:A,0)),0)</f>
        <v>-5</v>
      </c>
    </row>
    <row r="45" spans="1:7" ht="18" customHeight="1" x14ac:dyDescent="0.3">
      <c r="A45" s="27">
        <v>10080</v>
      </c>
      <c r="B45" s="25" t="s">
        <v>214</v>
      </c>
      <c r="C45" s="10">
        <f>IFERROR(INDEX('حسابهای دریافتنی'!H:H,MATCH(Table22[[#This Row],[كد تفصيلي]],'حسابهای دریافتنی'!A:A,0)),0)</f>
        <v>5395000</v>
      </c>
      <c r="D45" s="11">
        <f>IFERROR(INDEX('درجریان وصول'!F:F,MATCH(Table22[[#This Row],[كد تفصيلي]],'درجریان وصول'!A:A,0)),0)</f>
        <v>0</v>
      </c>
      <c r="E45" s="11">
        <f>IFERROR(INDEX('چکهای دریافتنی'!F:F,MATCH(Table22[[#This Row],[كد تفصيلي]],'چکهای دریافتنی'!A:A,0)),0)</f>
        <v>0</v>
      </c>
      <c r="F45" s="11">
        <f>Table22[[#This Row],[حسابهای دریافتنی]]+Table22[[#This Row],[چکهای در جریان وصول]]+Table22[[#This Row],[چکهای نزد صندوق]]</f>
        <v>5395000</v>
      </c>
      <c r="G45" s="12">
        <f>IFERROR(INDEX('مانده سوفاله'!F:F,MATCH(Table22[[#This Row],[كد تفصيلي]],'مانده سوفاله'!A:A,0)),0)</f>
        <v>0</v>
      </c>
    </row>
    <row r="46" spans="1:7" ht="18" customHeight="1" x14ac:dyDescent="0.3">
      <c r="A46" s="26">
        <v>30114</v>
      </c>
      <c r="B46" s="24" t="s">
        <v>175</v>
      </c>
      <c r="C46" s="10">
        <f>IFERROR(INDEX('حسابهای دریافتنی'!H:H,MATCH(Table22[[#This Row],[كد تفصيلي]],'حسابهای دریافتنی'!A:A,0)),0)</f>
        <v>5385600</v>
      </c>
      <c r="D46" s="11">
        <f>IFERROR(INDEX('درجریان وصول'!F:F,MATCH(Table22[[#This Row],[كد تفصيلي]],'درجریان وصول'!A:A,0)),0)</f>
        <v>0</v>
      </c>
      <c r="E46" s="11">
        <f>IFERROR(INDEX('چکهای دریافتنی'!F:F,MATCH(Table22[[#This Row],[كد تفصيلي]],'چکهای دریافتنی'!A:A,0)),0)</f>
        <v>0</v>
      </c>
      <c r="F46" s="11">
        <f>Table22[[#This Row],[حسابهای دریافتنی]]+Table22[[#This Row],[چکهای در جریان وصول]]+Table22[[#This Row],[چکهای نزد صندوق]]</f>
        <v>5385600</v>
      </c>
      <c r="G46" s="12">
        <f>IFERROR(INDEX('مانده سوفاله'!F:F,MATCH(Table22[[#This Row],[كد تفصيلي]],'مانده سوفاله'!A:A,0)),0)</f>
        <v>0</v>
      </c>
    </row>
    <row r="47" spans="1:7" ht="18" customHeight="1" x14ac:dyDescent="0.3">
      <c r="A47" s="27">
        <v>30123</v>
      </c>
      <c r="B47" s="25" t="s">
        <v>208</v>
      </c>
      <c r="C47" s="10">
        <f>IFERROR(INDEX('حسابهای دریافتنی'!H:H,MATCH(Table22[[#This Row],[كد تفصيلي]],'حسابهای دریافتنی'!A:A,0)),0)</f>
        <v>4138250</v>
      </c>
      <c r="D47" s="17">
        <f>IFERROR(INDEX('درجریان وصول'!F:F,MATCH(Table22[[#This Row],[كد تفصيلي]],'درجریان وصول'!A:A,0)),0)</f>
        <v>0</v>
      </c>
      <c r="E47" s="17">
        <f>IFERROR(INDEX('چکهای دریافتنی'!F:F,MATCH(Table22[[#This Row],[كد تفصيلي]],'چکهای دریافتنی'!A:A,0)),0)</f>
        <v>0</v>
      </c>
      <c r="F47" s="17">
        <f>Table22[[#This Row],[حسابهای دریافتنی]]+Table22[[#This Row],[چکهای در جریان وصول]]+Table22[[#This Row],[چکهای نزد صندوق]]</f>
        <v>4138250</v>
      </c>
      <c r="G47" s="12">
        <f>IFERROR(INDEX('مانده سوفاله'!F:F,MATCH(Table22[[#This Row],[كد تفصيلي]],'مانده سوفاله'!A:A,0)),0)</f>
        <v>-20</v>
      </c>
    </row>
    <row r="48" spans="1:7" ht="18" customHeight="1" x14ac:dyDescent="0.3">
      <c r="A48" s="27">
        <v>10116</v>
      </c>
      <c r="B48" s="25" t="s">
        <v>349</v>
      </c>
      <c r="C48" s="10">
        <f>IFERROR(INDEX('حسابهای دریافتنی'!H:H,MATCH(Table22[[#This Row],[كد تفصيلي]],'حسابهای دریافتنی'!A:A,0)),0)</f>
        <v>3892500</v>
      </c>
      <c r="D48" s="11">
        <f>IFERROR(INDEX('درجریان وصول'!F:F,MATCH(Table22[[#This Row],[كد تفصيلي]],'درجریان وصول'!A:A,0)),0)</f>
        <v>0</v>
      </c>
      <c r="E48" s="11">
        <f>IFERROR(INDEX('چکهای دریافتنی'!F:F,MATCH(Table22[[#This Row],[كد تفصيلي]],'چکهای دریافتنی'!A:A,0)),0)</f>
        <v>0</v>
      </c>
      <c r="F48" s="11">
        <f>Table22[[#This Row],[حسابهای دریافتنی]]+Table22[[#This Row],[چکهای در جریان وصول]]+Table22[[#This Row],[چکهای نزد صندوق]]</f>
        <v>3892500</v>
      </c>
      <c r="G48" s="12">
        <f>IFERROR(INDEX('مانده سوفاله'!F:F,MATCH(Table22[[#This Row],[كد تفصيلي]],'مانده سوفاله'!A:A,0)),0)</f>
        <v>0</v>
      </c>
    </row>
    <row r="49" spans="1:7" ht="18" customHeight="1" x14ac:dyDescent="0.3">
      <c r="A49" s="27">
        <v>10030</v>
      </c>
      <c r="B49" s="25" t="s">
        <v>36</v>
      </c>
      <c r="C49" s="10">
        <f>IFERROR(INDEX('حسابهای دریافتنی'!H:H,MATCH(Table22[[#This Row],[كد تفصيلي]],'حسابهای دریافتنی'!A:A,0)),0)</f>
        <v>3272000</v>
      </c>
      <c r="D49" s="10">
        <f>IFERROR(INDEX('درجریان وصول'!F:F,MATCH(Table22[[#This Row],[كد تفصيلي]],'درجریان وصول'!A:A,0)),0)</f>
        <v>0</v>
      </c>
      <c r="E49" s="10">
        <f>IFERROR(INDEX('چکهای دریافتنی'!F:F,MATCH(Table22[[#This Row],[كد تفصيلي]],'چکهای دریافتنی'!A:A,0)),0)</f>
        <v>0</v>
      </c>
      <c r="F49" s="10">
        <f>Table22[[#This Row],[حسابهای دریافتنی]]+Table22[[#This Row],[چکهای در جریان وصول]]+Table22[[#This Row],[چکهای نزد صندوق]]</f>
        <v>3272000</v>
      </c>
      <c r="G49" s="12">
        <f>IFERROR(INDEX('مانده سوفاله'!F:F,MATCH(Table22[[#This Row],[كد تفصيلي]],'مانده سوفاله'!A:A,0)),0)</f>
        <v>-222</v>
      </c>
    </row>
    <row r="50" spans="1:7" ht="18" customHeight="1" x14ac:dyDescent="0.3">
      <c r="A50" s="26">
        <v>30001</v>
      </c>
      <c r="B50" s="24" t="s">
        <v>190</v>
      </c>
      <c r="C50" s="10">
        <f>IFERROR(INDEX('حسابهای دریافتنی'!H:H,MATCH(Table22[[#This Row],[كد تفصيلي]],'حسابهای دریافتنی'!A:A,0)),0)</f>
        <v>119647176</v>
      </c>
      <c r="D50" s="17">
        <f>IFERROR(INDEX('درجریان وصول'!F:F,MATCH(Table22[[#This Row],[كد تفصيلي]],'درجریان وصول'!A:A,0)),0)</f>
        <v>0</v>
      </c>
      <c r="E50" s="17">
        <f>IFERROR(INDEX('چکهای دریافتنی'!F:F,MATCH(Table22[[#This Row],[كد تفصيلي]],'چکهای دریافتنی'!A:A,0)),0)</f>
        <v>0</v>
      </c>
      <c r="F50" s="17">
        <f>Table22[[#This Row],[حسابهای دریافتنی]]+Table22[[#This Row],[چکهای در جریان وصول]]+Table22[[#This Row],[چکهای نزد صندوق]]</f>
        <v>119647176</v>
      </c>
      <c r="G50" s="12">
        <f>IFERROR(INDEX('مانده سوفاله'!F:F,MATCH(Table22[[#This Row],[كد تفصيلي]],'مانده سوفاله'!A:A,0)),0)</f>
        <v>123</v>
      </c>
    </row>
    <row r="51" spans="1:7" ht="18" customHeight="1" x14ac:dyDescent="0.3">
      <c r="A51" s="26">
        <v>30138</v>
      </c>
      <c r="B51" s="24" t="s">
        <v>252</v>
      </c>
      <c r="C51" s="10">
        <f>IFERROR(INDEX('حسابهای دریافتنی'!H:H,MATCH(Table22[[#This Row],[كد تفصيلي]],'حسابهای دریافتنی'!A:A,0)),0)</f>
        <v>0</v>
      </c>
      <c r="D51" s="17">
        <f>IFERROR(INDEX('درجریان وصول'!F:F,MATCH(Table22[[#This Row],[كد تفصيلي]],'درجریان وصول'!A:A,0)),0)</f>
        <v>0</v>
      </c>
      <c r="E51" s="17">
        <f>IFERROR(INDEX('چکهای دریافتنی'!F:F,MATCH(Table22[[#This Row],[كد تفصيلي]],'چکهای دریافتنی'!A:A,0)),0)</f>
        <v>0</v>
      </c>
      <c r="F51" s="17">
        <f>Table22[[#This Row],[حسابهای دریافتنی]]+Table22[[#This Row],[چکهای در جریان وصول]]+Table22[[#This Row],[چکهای نزد صندوق]]</f>
        <v>0</v>
      </c>
      <c r="G51" s="12">
        <f>IFERROR(INDEX('مانده سوفاله'!F:F,MATCH(Table22[[#This Row],[كد تفصيلي]],'مانده سوفاله'!A:A,0)),0)</f>
        <v>0</v>
      </c>
    </row>
    <row r="52" spans="1:7" ht="18" customHeight="1" x14ac:dyDescent="0.3">
      <c r="A52" s="27">
        <v>10032</v>
      </c>
      <c r="B52" s="25" t="s">
        <v>38</v>
      </c>
      <c r="C52" s="10">
        <f>IFERROR(INDEX('حسابهای دریافتنی'!H:H,MATCH(Table22[[#This Row],[كد تفصيلي]],'حسابهای دریافتنی'!A:A,0)),0)</f>
        <v>0</v>
      </c>
      <c r="D52" s="10">
        <f>IFERROR(INDEX('درجریان وصول'!F:F,MATCH(Table22[[#This Row],[كد تفصيلي]],'درجریان وصول'!A:A,0)),0)</f>
        <v>0</v>
      </c>
      <c r="E52" s="10">
        <f>IFERROR(INDEX('چکهای دریافتنی'!F:F,MATCH(Table22[[#This Row],[كد تفصيلي]],'چکهای دریافتنی'!A:A,0)),0)</f>
        <v>0</v>
      </c>
      <c r="F52" s="10">
        <f>Table22[[#This Row],[حسابهای دریافتنی]]+Table22[[#This Row],[چکهای در جریان وصول]]+Table22[[#This Row],[چکهای نزد صندوق]]</f>
        <v>0</v>
      </c>
      <c r="G52" s="12">
        <f>IFERROR(INDEX('مانده سوفاله'!F:F,MATCH(Table22[[#This Row],[كد تفصيلي]],'مانده سوفاله'!A:A,0)),0)</f>
        <v>0</v>
      </c>
    </row>
    <row r="53" spans="1:7" ht="18" customHeight="1" x14ac:dyDescent="0.3">
      <c r="A53" s="26">
        <v>30084</v>
      </c>
      <c r="B53" s="24" t="s">
        <v>129</v>
      </c>
      <c r="C53" s="10">
        <f>IFERROR(INDEX('حسابهای دریافتنی'!H:H,MATCH(Table22[[#This Row],[كد تفصيلي]],'حسابهای دریافتنی'!A:A,0)),0)</f>
        <v>1220000</v>
      </c>
      <c r="D53" s="11">
        <f>IFERROR(INDEX('درجریان وصول'!F:F,MATCH(Table22[[#This Row],[كد تفصيلي]],'درجریان وصول'!A:A,0)),0)</f>
        <v>0</v>
      </c>
      <c r="E53" s="11">
        <f>IFERROR(INDEX('چکهای دریافتنی'!F:F,MATCH(Table22[[#This Row],[كد تفصيلي]],'چکهای دریافتنی'!A:A,0)),0)</f>
        <v>0</v>
      </c>
      <c r="F53" s="11">
        <f>Table22[[#This Row],[حسابهای دریافتنی]]+Table22[[#This Row],[چکهای در جریان وصول]]+Table22[[#This Row],[چکهای نزد صندوق]]</f>
        <v>1220000</v>
      </c>
      <c r="G53" s="12">
        <f>IFERROR(INDEX('مانده سوفاله'!F:F,MATCH(Table22[[#This Row],[كد تفصيلي]],'مانده سوفاله'!A:A,0)),0)</f>
        <v>0</v>
      </c>
    </row>
    <row r="54" spans="1:7" ht="18" customHeight="1" x14ac:dyDescent="0.3">
      <c r="A54" s="27">
        <v>10076</v>
      </c>
      <c r="B54" s="25" t="s">
        <v>182</v>
      </c>
      <c r="C54" s="10">
        <f>IFERROR(INDEX('حسابهای دریافتنی'!H:H,MATCH(Table22[[#This Row],[كد تفصيلي]],'حسابهای دریافتنی'!A:A,0)),0)</f>
        <v>0</v>
      </c>
      <c r="D54" s="11">
        <f>IFERROR(INDEX('درجریان وصول'!F:F,MATCH(Table22[[#This Row],[كد تفصيلي]],'درجریان وصول'!A:A,0)),0)</f>
        <v>0</v>
      </c>
      <c r="E54" s="11">
        <f>IFERROR(INDEX('چکهای دریافتنی'!F:F,MATCH(Table22[[#This Row],[كد تفصيلي]],'چکهای دریافتنی'!A:A,0)),0)</f>
        <v>0</v>
      </c>
      <c r="F54" s="11">
        <f>Table22[[#This Row],[حسابهای دریافتنی]]+Table22[[#This Row],[چکهای در جریان وصول]]+Table22[[#This Row],[چکهای نزد صندوق]]</f>
        <v>0</v>
      </c>
      <c r="G54" s="12">
        <f>IFERROR(INDEX('مانده سوفاله'!F:F,MATCH(Table22[[#This Row],[كد تفصيلي]],'مانده سوفاله'!A:A,0)),0)</f>
        <v>-13</v>
      </c>
    </row>
    <row r="55" spans="1:7" ht="18" customHeight="1" x14ac:dyDescent="0.3">
      <c r="A55" s="27">
        <v>79055</v>
      </c>
      <c r="B55" s="25" t="s">
        <v>297</v>
      </c>
      <c r="C55" s="10">
        <f>IFERROR(INDEX('حسابهای دریافتنی'!H:H,MATCH(Table22[[#This Row],[كد تفصيلي]],'حسابهای دریافتنی'!A:A,0)),0)</f>
        <v>896500</v>
      </c>
      <c r="D55" s="17">
        <f>IFERROR(INDEX('درجریان وصول'!F:F,MATCH(Table22[[#This Row],[كد تفصيلي]],'درجریان وصول'!A:A,0)),0)</f>
        <v>0</v>
      </c>
      <c r="E55" s="17">
        <f>IFERROR(INDEX('چکهای دریافتنی'!F:F,MATCH(Table22[[#This Row],[كد تفصيلي]],'چکهای دریافتنی'!A:A,0)),0)</f>
        <v>0</v>
      </c>
      <c r="F55" s="17">
        <f>Table22[[#This Row],[حسابهای دریافتنی]]+Table22[[#This Row],[چکهای در جریان وصول]]+Table22[[#This Row],[چکهای نزد صندوق]]</f>
        <v>896500</v>
      </c>
      <c r="G55" s="12">
        <f>IFERROR(INDEX('مانده سوفاله'!F:F,MATCH(Table22[[#This Row],[كد تفصيلي]],'مانده سوفاله'!A:A,0)),0)</f>
        <v>0</v>
      </c>
    </row>
    <row r="56" spans="1:7" ht="18" customHeight="1" x14ac:dyDescent="0.3">
      <c r="A56" s="27">
        <v>30030</v>
      </c>
      <c r="B56" s="25" t="s">
        <v>77</v>
      </c>
      <c r="C56" s="10">
        <f>IFERROR(INDEX('حسابهای دریافتنی'!H:H,MATCH(Table22[[#This Row],[كد تفصيلي]],'حسابهای دریافتنی'!A:A,0)),0)</f>
        <v>850500</v>
      </c>
      <c r="D56" s="17">
        <f>IFERROR(INDEX('درجریان وصول'!F:F,MATCH(Table22[[#This Row],[كد تفصيلي]],'درجریان وصول'!A:A,0)),0)</f>
        <v>0</v>
      </c>
      <c r="E56" s="17">
        <f>IFERROR(INDEX('چکهای دریافتنی'!F:F,MATCH(Table22[[#This Row],[كد تفصيلي]],'چکهای دریافتنی'!A:A,0)),0)</f>
        <v>0</v>
      </c>
      <c r="F56" s="17">
        <f>Table22[[#This Row],[حسابهای دریافتنی]]+Table22[[#This Row],[چکهای در جریان وصول]]+Table22[[#This Row],[چکهای نزد صندوق]]</f>
        <v>850500</v>
      </c>
      <c r="G56" s="12">
        <f>IFERROR(INDEX('مانده سوفاله'!F:F,MATCH(Table22[[#This Row],[كد تفصيلي]],'مانده سوفاله'!A:A,0)),0)</f>
        <v>-49</v>
      </c>
    </row>
    <row r="57" spans="1:7" ht="18" customHeight="1" x14ac:dyDescent="0.3">
      <c r="A57" s="27">
        <v>30129</v>
      </c>
      <c r="B57" s="25" t="s">
        <v>178</v>
      </c>
      <c r="C57" s="10">
        <f>IFERROR(INDEX('حسابهای دریافتنی'!H:H,MATCH(Table22[[#This Row],[كد تفصيلي]],'حسابهای دریافتنی'!A:A,0)),0)</f>
        <v>783000</v>
      </c>
      <c r="D57" s="17">
        <f>IFERROR(INDEX('درجریان وصول'!F:F,MATCH(Table22[[#This Row],[كد تفصيلي]],'درجریان وصول'!A:A,0)),0)</f>
        <v>0</v>
      </c>
      <c r="E57" s="17">
        <f>IFERROR(INDEX('چکهای دریافتنی'!F:F,MATCH(Table22[[#This Row],[كد تفصيلي]],'چکهای دریافتنی'!A:A,0)),0)</f>
        <v>0</v>
      </c>
      <c r="F57" s="17">
        <f>Table22[[#This Row],[حسابهای دریافتنی]]+Table22[[#This Row],[چکهای در جریان وصول]]+Table22[[#This Row],[چکهای نزد صندوق]]</f>
        <v>783000</v>
      </c>
      <c r="G57" s="12">
        <f>IFERROR(INDEX('مانده سوفاله'!F:F,MATCH(Table22[[#This Row],[كد تفصيلي]],'مانده سوفاله'!A:A,0)),0)</f>
        <v>0</v>
      </c>
    </row>
    <row r="58" spans="1:7" ht="18" customHeight="1" x14ac:dyDescent="0.3">
      <c r="A58" s="26">
        <v>30090</v>
      </c>
      <c r="B58" s="24" t="s">
        <v>144</v>
      </c>
      <c r="C58" s="10">
        <f>IFERROR(INDEX('حسابهای دریافتنی'!H:H,MATCH(Table22[[#This Row],[كد تفصيلي]],'حسابهای دریافتنی'!A:A,0)),0)</f>
        <v>640100</v>
      </c>
      <c r="D58" s="10">
        <f>IFERROR(INDEX('درجریان وصول'!F:F,MATCH(Table22[[#This Row],[كد تفصيلي]],'درجریان وصول'!A:A,0)),0)</f>
        <v>0</v>
      </c>
      <c r="E58" s="10">
        <f>IFERROR(INDEX('چکهای دریافتنی'!F:F,MATCH(Table22[[#This Row],[كد تفصيلي]],'چکهای دریافتنی'!A:A,0)),0)</f>
        <v>0</v>
      </c>
      <c r="F58" s="10">
        <f>Table22[[#This Row],[حسابهای دریافتنی]]+Table22[[#This Row],[چکهای در جریان وصول]]+Table22[[#This Row],[چکهای نزد صندوق]]</f>
        <v>640100</v>
      </c>
      <c r="G58" s="12">
        <f>IFERROR(INDEX('مانده سوفاله'!F:F,MATCH(Table22[[#This Row],[كد تفصيلي]],'مانده سوفاله'!A:A,0)),0)</f>
        <v>0</v>
      </c>
    </row>
    <row r="59" spans="1:7" ht="18" customHeight="1" x14ac:dyDescent="0.3">
      <c r="A59" s="26">
        <v>30124</v>
      </c>
      <c r="B59" s="24" t="s">
        <v>246</v>
      </c>
      <c r="C59" s="10">
        <f>IFERROR(INDEX('حسابهای دریافتنی'!H:H,MATCH(Table22[[#This Row],[كد تفصيلي]],'حسابهای دریافتنی'!A:A,0)),0)</f>
        <v>0</v>
      </c>
      <c r="D59" s="17">
        <f>IFERROR(INDEX('درجریان وصول'!F:F,MATCH(Table22[[#This Row],[كد تفصيلي]],'درجریان وصول'!A:A,0)),0)</f>
        <v>0</v>
      </c>
      <c r="E59" s="17">
        <f>IFERROR(INDEX('چکهای دریافتنی'!F:F,MATCH(Table22[[#This Row],[كد تفصيلي]],'چکهای دریافتنی'!A:A,0)),0)</f>
        <v>505676000</v>
      </c>
      <c r="F59" s="17">
        <f>Table22[[#This Row],[حسابهای دریافتنی]]+Table22[[#This Row],[چکهای در جریان وصول]]+Table22[[#This Row],[چکهای نزد صندوق]]</f>
        <v>505676000</v>
      </c>
      <c r="G59" s="12">
        <f>IFERROR(INDEX('مانده سوفاله'!F:F,MATCH(Table22[[#This Row],[كد تفصيلي]],'مانده سوفاله'!A:A,0)),0)</f>
        <v>1498</v>
      </c>
    </row>
    <row r="60" spans="1:7" ht="18" customHeight="1" x14ac:dyDescent="0.3">
      <c r="A60" s="27">
        <v>30109</v>
      </c>
      <c r="B60" s="25" t="s">
        <v>165</v>
      </c>
      <c r="C60" s="10">
        <f>IFERROR(INDEX('حسابهای دریافتنی'!H:H,MATCH(Table22[[#This Row],[كد تفصيلي]],'حسابهای دریافتنی'!A:A,0)),0)</f>
        <v>607300</v>
      </c>
      <c r="D60" s="17">
        <f>IFERROR(INDEX('درجریان وصول'!F:F,MATCH(Table22[[#This Row],[كد تفصيلي]],'درجریان وصول'!A:A,0)),0)</f>
        <v>0</v>
      </c>
      <c r="E60" s="17">
        <f>IFERROR(INDEX('چکهای دریافتنی'!F:F,MATCH(Table22[[#This Row],[كد تفصيلي]],'چکهای دریافتنی'!A:A,0)),0)</f>
        <v>0</v>
      </c>
      <c r="F60" s="17">
        <f>Table22[[#This Row],[حسابهای دریافتنی]]+Table22[[#This Row],[چکهای در جریان وصول]]+Table22[[#This Row],[چکهای نزد صندوق]]</f>
        <v>607300</v>
      </c>
      <c r="G60" s="12">
        <f>IFERROR(INDEX('مانده سوفاله'!F:F,MATCH(Table22[[#This Row],[كد تفصيلي]],'مانده سوفاله'!A:A,0)),0)</f>
        <v>0</v>
      </c>
    </row>
    <row r="61" spans="1:7" ht="18" customHeight="1" x14ac:dyDescent="0.3">
      <c r="A61" s="26">
        <v>10097</v>
      </c>
      <c r="B61" s="24" t="s">
        <v>270</v>
      </c>
      <c r="C61" s="10">
        <f>IFERROR(INDEX('حسابهای دریافتنی'!H:H,MATCH(Table22[[#This Row],[كد تفصيلي]],'حسابهای دریافتنی'!A:A,0)),0)</f>
        <v>270642500</v>
      </c>
      <c r="D61" s="10">
        <f>IFERROR(INDEX('درجریان وصول'!F:F,MATCH(Table22[[#This Row],[كد تفصيلي]],'درجریان وصول'!A:A,0)),0)</f>
        <v>0</v>
      </c>
      <c r="E61" s="10">
        <f>IFERROR(INDEX('چکهای دریافتنی'!F:F,MATCH(Table22[[#This Row],[كد تفصيلي]],'چکهای دریافتنی'!A:A,0)),0)</f>
        <v>287000000</v>
      </c>
      <c r="F61" s="10">
        <f>Table22[[#This Row],[حسابهای دریافتنی]]+Table22[[#This Row],[چکهای در جریان وصول]]+Table22[[#This Row],[چکهای نزد صندوق]]</f>
        <v>557642500</v>
      </c>
      <c r="G61" s="12">
        <f>IFERROR(INDEX('مانده سوفاله'!F:F,MATCH(Table22[[#This Row],[كد تفصيلي]],'مانده سوفاله'!A:A,0)),0)</f>
        <v>0</v>
      </c>
    </row>
    <row r="62" spans="1:7" ht="18" customHeight="1" x14ac:dyDescent="0.3">
      <c r="A62" s="27">
        <v>30010</v>
      </c>
      <c r="B62" s="25" t="s">
        <v>59</v>
      </c>
      <c r="C62" s="10">
        <f>IFERROR(INDEX('حسابهای دریافتنی'!H:H,MATCH(Table22[[#This Row],[كد تفصيلي]],'حسابهای دریافتنی'!A:A,0)),0)</f>
        <v>366215</v>
      </c>
      <c r="D62" s="17">
        <f>IFERROR(INDEX('درجریان وصول'!F:F,MATCH(Table22[[#This Row],[كد تفصيلي]],'درجریان وصول'!A:A,0)),0)</f>
        <v>0</v>
      </c>
      <c r="E62" s="17">
        <f>IFERROR(INDEX('چکهای دریافتنی'!F:F,MATCH(Table22[[#This Row],[كد تفصيلي]],'چکهای دریافتنی'!A:A,0)),0)</f>
        <v>0</v>
      </c>
      <c r="F62" s="17">
        <f>Table22[[#This Row],[حسابهای دریافتنی]]+Table22[[#This Row],[چکهای در جریان وصول]]+Table22[[#This Row],[چکهای نزد صندوق]]</f>
        <v>366215</v>
      </c>
      <c r="G62" s="12">
        <f>IFERROR(INDEX('مانده سوفاله'!F:F,MATCH(Table22[[#This Row],[كد تفصيلي]],'مانده سوفاله'!A:A,0)),0)</f>
        <v>8</v>
      </c>
    </row>
    <row r="63" spans="1:7" ht="18" customHeight="1" x14ac:dyDescent="0.3">
      <c r="A63" s="26">
        <v>30027</v>
      </c>
      <c r="B63" s="24" t="s">
        <v>75</v>
      </c>
      <c r="C63" s="10">
        <f>IFERROR(INDEX('حسابهای دریافتنی'!H:H,MATCH(Table22[[#This Row],[كد تفصيلي]],'حسابهای دریافتنی'!A:A,0)),0)</f>
        <v>326950</v>
      </c>
      <c r="D63" s="11">
        <f>IFERROR(INDEX('درجریان وصول'!F:F,MATCH(Table22[[#This Row],[كد تفصيلي]],'درجریان وصول'!A:A,0)),0)</f>
        <v>0</v>
      </c>
      <c r="E63" s="11">
        <f>IFERROR(INDEX('چکهای دریافتنی'!F:F,MATCH(Table22[[#This Row],[كد تفصيلي]],'چکهای دریافتنی'!A:A,0)),0)</f>
        <v>0</v>
      </c>
      <c r="F63" s="11">
        <f>Table22[[#This Row],[حسابهای دریافتنی]]+Table22[[#This Row],[چکهای در جریان وصول]]+Table22[[#This Row],[چکهای نزد صندوق]]</f>
        <v>326950</v>
      </c>
      <c r="G63" s="12">
        <f>IFERROR(INDEX('مانده سوفاله'!F:F,MATCH(Table22[[#This Row],[كد تفصيلي]],'مانده سوفاله'!A:A,0)),0)</f>
        <v>0</v>
      </c>
    </row>
    <row r="64" spans="1:7" ht="18" customHeight="1" x14ac:dyDescent="0.3">
      <c r="A64" s="26">
        <v>10091</v>
      </c>
      <c r="B64" s="24" t="s">
        <v>258</v>
      </c>
      <c r="C64" s="10">
        <f>IFERROR(INDEX('حسابهای دریافتنی'!H:H,MATCH(Table22[[#This Row],[كد تفصيلي]],'حسابهای دریافتنی'!A:A,0)),0)</f>
        <v>59321500</v>
      </c>
      <c r="D64" s="11">
        <f>IFERROR(INDEX('درجریان وصول'!F:F,MATCH(Table22[[#This Row],[كد تفصيلي]],'درجریان وصول'!A:A,0)),0)</f>
        <v>0</v>
      </c>
      <c r="E64" s="11">
        <f>IFERROR(INDEX('چکهای دریافتنی'!F:F,MATCH(Table22[[#This Row],[كد تفصيلي]],'چکهای دریافتنی'!A:A,0)),0)</f>
        <v>0</v>
      </c>
      <c r="F64" s="11">
        <f>Table22[[#This Row],[حسابهای دریافتنی]]+Table22[[#This Row],[چکهای در جریان وصول]]+Table22[[#This Row],[چکهای نزد صندوق]]</f>
        <v>59321500</v>
      </c>
      <c r="G64" s="12">
        <f>IFERROR(INDEX('مانده سوفاله'!F:F,MATCH(Table22[[#This Row],[كد تفصيلي]],'مانده سوفاله'!A:A,0)),0)</f>
        <v>0</v>
      </c>
    </row>
    <row r="65" spans="1:7" ht="18" customHeight="1" x14ac:dyDescent="0.3">
      <c r="A65" s="26">
        <v>10063</v>
      </c>
      <c r="B65" s="24" t="s">
        <v>180</v>
      </c>
      <c r="C65" s="10">
        <f>IFERROR(INDEX('حسابهای دریافتنی'!H:H,MATCH(Table22[[#This Row],[كد تفصيلي]],'حسابهای دریافتنی'!A:A,0)),0)</f>
        <v>0</v>
      </c>
      <c r="D65" s="10">
        <f>IFERROR(INDEX('درجریان وصول'!F:F,MATCH(Table22[[#This Row],[كد تفصيلي]],'درجریان وصول'!A:A,0)),0)</f>
        <v>0</v>
      </c>
      <c r="E65" s="10">
        <f>IFERROR(INDEX('چکهای دریافتنی'!F:F,MATCH(Table22[[#This Row],[كد تفصيلي]],'چکهای دریافتنی'!A:A,0)),0)</f>
        <v>0</v>
      </c>
      <c r="F65" s="10">
        <f>Table22[[#This Row],[حسابهای دریافتنی]]+Table22[[#This Row],[چکهای در جریان وصول]]+Table22[[#This Row],[چکهای نزد صندوق]]</f>
        <v>0</v>
      </c>
      <c r="G65" s="12">
        <f>IFERROR(INDEX('مانده سوفاله'!F:F,MATCH(Table22[[#This Row],[كد تفصيلي]],'مانده سوفاله'!A:A,0)),0)</f>
        <v>0</v>
      </c>
    </row>
    <row r="66" spans="1:7" ht="18" customHeight="1" x14ac:dyDescent="0.3">
      <c r="A66" s="27">
        <v>10064</v>
      </c>
      <c r="B66" s="25" t="s">
        <v>181</v>
      </c>
      <c r="C66" s="10">
        <f>IFERROR(INDEX('حسابهای دریافتنی'!H:H,MATCH(Table22[[#This Row],[كد تفصيلي]],'حسابهای دریافتنی'!A:A,0)),0)</f>
        <v>0</v>
      </c>
      <c r="D66" s="11">
        <f>IFERROR(INDEX('درجریان وصول'!F:F,MATCH(Table22[[#This Row],[كد تفصيلي]],'درجریان وصول'!A:A,0)),0)</f>
        <v>0</v>
      </c>
      <c r="E66" s="11">
        <f>IFERROR(INDEX('چکهای دریافتنی'!F:F,MATCH(Table22[[#This Row],[كد تفصيلي]],'چکهای دریافتنی'!A:A,0)),0)</f>
        <v>0</v>
      </c>
      <c r="F66" s="11">
        <f>Table22[[#This Row],[حسابهای دریافتنی]]+Table22[[#This Row],[چکهای در جریان وصول]]+Table22[[#This Row],[چکهای نزد صندوق]]</f>
        <v>0</v>
      </c>
      <c r="G66" s="12">
        <f>IFERROR(INDEX('مانده سوفاله'!F:F,MATCH(Table22[[#This Row],[كد تفصيلي]],'مانده سوفاله'!A:A,0)),0)</f>
        <v>0</v>
      </c>
    </row>
    <row r="67" spans="1:7" ht="18" customHeight="1" x14ac:dyDescent="0.3">
      <c r="A67" s="27">
        <v>30135</v>
      </c>
      <c r="B67" s="25" t="s">
        <v>179</v>
      </c>
      <c r="C67" s="10">
        <f>IFERROR(INDEX('حسابهای دریافتنی'!H:H,MATCH(Table22[[#This Row],[كد تفصيلي]],'حسابهای دریافتنی'!A:A,0)),0)</f>
        <v>195000</v>
      </c>
      <c r="D67" s="17">
        <f>IFERROR(INDEX('درجریان وصول'!F:F,MATCH(Table22[[#This Row],[كد تفصيلي]],'درجریان وصول'!A:A,0)),0)</f>
        <v>0</v>
      </c>
      <c r="E67" s="17">
        <f>IFERROR(INDEX('چکهای دریافتنی'!F:F,MATCH(Table22[[#This Row],[كد تفصيلي]],'چکهای دریافتنی'!A:A,0)),0)</f>
        <v>0</v>
      </c>
      <c r="F67" s="17">
        <f>Table22[[#This Row],[حسابهای دریافتنی]]+Table22[[#This Row],[چکهای در جریان وصول]]+Table22[[#This Row],[چکهای نزد صندوق]]</f>
        <v>195000</v>
      </c>
      <c r="G67" s="12">
        <f>IFERROR(INDEX('مانده سوفاله'!F:F,MATCH(Table22[[#This Row],[كد تفصيلي]],'مانده سوفاله'!A:A,0)),0)</f>
        <v>-5</v>
      </c>
    </row>
    <row r="68" spans="1:7" ht="18" customHeight="1" x14ac:dyDescent="0.3">
      <c r="A68" s="26">
        <v>10043</v>
      </c>
      <c r="B68" s="24" t="s">
        <v>48</v>
      </c>
      <c r="C68" s="10">
        <f>IFERROR(INDEX('حسابهای دریافتنی'!H:H,MATCH(Table22[[#This Row],[كد تفصيلي]],'حسابهای دریافتنی'!A:A,0)),0)</f>
        <v>0</v>
      </c>
      <c r="D68" s="11">
        <f>IFERROR(INDEX('درجریان وصول'!F:F,MATCH(Table22[[#This Row],[كد تفصيلي]],'درجریان وصول'!A:A,0)),0)</f>
        <v>0</v>
      </c>
      <c r="E68" s="11">
        <f>IFERROR(INDEX('چکهای دریافتنی'!F:F,MATCH(Table22[[#This Row],[كد تفصيلي]],'چکهای دریافتنی'!A:A,0)),0)</f>
        <v>0</v>
      </c>
      <c r="F68" s="11">
        <f>Table22[[#This Row],[حسابهای دریافتنی]]+Table22[[#This Row],[چکهای در جریان وصول]]+Table22[[#This Row],[چکهای نزد صندوق]]</f>
        <v>0</v>
      </c>
      <c r="G68" s="12">
        <f>IFERROR(INDEX('مانده سوفاله'!F:F,MATCH(Table22[[#This Row],[كد تفصيلي]],'مانده سوفاله'!A:A,0)),0)</f>
        <v>0</v>
      </c>
    </row>
    <row r="69" spans="1:7" ht="18" customHeight="1" x14ac:dyDescent="0.3">
      <c r="A69" s="26">
        <v>30163</v>
      </c>
      <c r="B69" s="24" t="s">
        <v>356</v>
      </c>
      <c r="C69" s="10">
        <f>IFERROR(INDEX('حسابهای دریافتنی'!H:H,MATCH(Table22[[#This Row],[كد تفصيلي]],'حسابهای دریافتنی'!A:A,0)),0)</f>
        <v>0</v>
      </c>
      <c r="D69" s="17">
        <f>IFERROR(INDEX('درجریان وصول'!F:F,MATCH(Table22[[#This Row],[كد تفصيلي]],'درجریان وصول'!A:A,0)),0)</f>
        <v>0</v>
      </c>
      <c r="E69" s="17">
        <f>IFERROR(INDEX('چکهای دریافتنی'!F:F,MATCH(Table22[[#This Row],[كد تفصيلي]],'چکهای دریافتنی'!A:A,0)),0)</f>
        <v>0</v>
      </c>
      <c r="F69" s="17">
        <f>Table22[[#This Row],[حسابهای دریافتنی]]+Table22[[#This Row],[چکهای در جریان وصول]]+Table22[[#This Row],[چکهای نزد صندوق]]</f>
        <v>0</v>
      </c>
      <c r="G69" s="12">
        <f>IFERROR(INDEX('مانده سوفاله'!F:F,MATCH(Table22[[#This Row],[كد تفصيلي]],'مانده سوفاله'!A:A,0)),0)</f>
        <v>0</v>
      </c>
    </row>
    <row r="70" spans="1:7" ht="18" customHeight="1" x14ac:dyDescent="0.3">
      <c r="A70" s="26">
        <v>10075</v>
      </c>
      <c r="B70" s="24" t="s">
        <v>169</v>
      </c>
      <c r="C70" s="10">
        <f>IFERROR(INDEX('حسابهای دریافتنی'!H:H,MATCH(Table22[[#This Row],[كد تفصيلي]],'حسابهای دریافتنی'!A:A,0)),0)</f>
        <v>0</v>
      </c>
      <c r="D70" s="11">
        <f>IFERROR(INDEX('درجریان وصول'!F:F,MATCH(Table22[[#This Row],[كد تفصيلي]],'درجریان وصول'!A:A,0)),0)</f>
        <v>0</v>
      </c>
      <c r="E70" s="11">
        <f>IFERROR(INDEX('چکهای دریافتنی'!F:F,MATCH(Table22[[#This Row],[كد تفصيلي]],'چکهای دریافتنی'!A:A,0)),0)</f>
        <v>0</v>
      </c>
      <c r="F70" s="11">
        <f>Table22[[#This Row],[حسابهای دریافتنی]]+Table22[[#This Row],[چکهای در جریان وصول]]+Table22[[#This Row],[چکهای نزد صندوق]]</f>
        <v>0</v>
      </c>
      <c r="G70" s="12">
        <f>IFERROR(INDEX('مانده سوفاله'!F:F,MATCH(Table22[[#This Row],[كد تفصيلي]],'مانده سوفاله'!A:A,0)),0)</f>
        <v>0</v>
      </c>
    </row>
    <row r="71" spans="1:7" ht="18" customHeight="1" x14ac:dyDescent="0.3">
      <c r="A71" s="27">
        <v>30020</v>
      </c>
      <c r="B71" s="25" t="s">
        <v>68</v>
      </c>
      <c r="C71" s="10">
        <f>IFERROR(INDEX('حسابهای دریافتنی'!H:H,MATCH(Table22[[#This Row],[كد تفصيلي]],'حسابهای دریافتنی'!A:A,0)),0)</f>
        <v>2253500</v>
      </c>
      <c r="D71" s="17">
        <f>IFERROR(INDEX('درجریان وصول'!F:F,MATCH(Table22[[#This Row],[كد تفصيلي]],'درجریان وصول'!A:A,0)),0)</f>
        <v>0</v>
      </c>
      <c r="E71" s="17">
        <f>IFERROR(INDEX('چکهای دریافتنی'!F:F,MATCH(Table22[[#This Row],[كد تفصيلي]],'چکهای دریافتنی'!A:A,0)),0)</f>
        <v>0</v>
      </c>
      <c r="F71" s="17">
        <f>Table22[[#This Row],[حسابهای دریافتنی]]+Table22[[#This Row],[چکهای در جریان وصول]]+Table22[[#This Row],[چکهای نزد صندوق]]</f>
        <v>2253500</v>
      </c>
      <c r="G71" s="12">
        <f>IFERROR(INDEX('مانده سوفاله'!F:F,MATCH(Table22[[#This Row],[كد تفصيلي]],'مانده سوفاله'!A:A,0)),0)</f>
        <v>4</v>
      </c>
    </row>
    <row r="72" spans="1:7" ht="18" customHeight="1" x14ac:dyDescent="0.3">
      <c r="A72" s="27">
        <v>50006</v>
      </c>
      <c r="B72" s="25" t="s">
        <v>168</v>
      </c>
      <c r="C72" s="10">
        <f>IFERROR(INDEX('حسابهای دریافتنی'!H:H,MATCH(Table22[[#This Row],[كد تفصيلي]],'حسابهای دریافتنی'!A:A,0)),0)</f>
        <v>0</v>
      </c>
      <c r="D72" s="17">
        <f>IFERROR(INDEX('درجریان وصول'!F:F,MATCH(Table22[[#This Row],[كد تفصيلي]],'درجریان وصول'!A:A,0)),0)</f>
        <v>0</v>
      </c>
      <c r="E72" s="17">
        <f>IFERROR(INDEX('چکهای دریافتنی'!F:F,MATCH(Table22[[#This Row],[كد تفصيلي]],'چکهای دریافتنی'!A:A,0)),0)</f>
        <v>0</v>
      </c>
      <c r="F72" s="17">
        <f>Table22[[#This Row],[حسابهای دریافتنی]]+Table22[[#This Row],[چکهای در جریان وصول]]+Table22[[#This Row],[چکهای نزد صندوق]]</f>
        <v>0</v>
      </c>
      <c r="G72" s="12">
        <f>IFERROR(INDEX('مانده سوفاله'!F:F,MATCH(Table22[[#This Row],[كد تفصيلي]],'مانده سوفاله'!A:A,0)),0)</f>
        <v>-7581</v>
      </c>
    </row>
    <row r="73" spans="1:7" ht="18" customHeight="1" x14ac:dyDescent="0.3">
      <c r="A73" s="27">
        <v>30077</v>
      </c>
      <c r="B73" s="25" t="s">
        <v>122</v>
      </c>
      <c r="C73" s="10">
        <f>IFERROR(INDEX('حسابهای دریافتنی'!H:H,MATCH(Table22[[#This Row],[كد تفصيلي]],'حسابهای دریافتنی'!A:A,0)),0)</f>
        <v>360000</v>
      </c>
      <c r="D73" s="10">
        <f>IFERROR(INDEX('درجریان وصول'!F:F,MATCH(Table22[[#This Row],[كد تفصيلي]],'درجریان وصول'!A:A,0)),0)</f>
        <v>0</v>
      </c>
      <c r="E73" s="10">
        <f>IFERROR(INDEX('چکهای دریافتنی'!F:F,MATCH(Table22[[#This Row],[كد تفصيلي]],'چکهای دریافتنی'!A:A,0)),0)</f>
        <v>0</v>
      </c>
      <c r="F73" s="10">
        <f>Table22[[#This Row],[حسابهای دریافتنی]]+Table22[[#This Row],[چکهای در جریان وصول]]+Table22[[#This Row],[چکهای نزد صندوق]]</f>
        <v>360000</v>
      </c>
      <c r="G73" s="12">
        <f>IFERROR(INDEX('مانده سوفاله'!F:F,MATCH(Table22[[#This Row],[كد تفصيلي]],'مانده سوفاله'!A:A,0)),0)</f>
        <v>-32</v>
      </c>
    </row>
    <row r="74" spans="1:7" ht="18" customHeight="1" x14ac:dyDescent="0.3">
      <c r="A74" s="26">
        <v>30160</v>
      </c>
      <c r="B74" s="24" t="s">
        <v>296</v>
      </c>
      <c r="C74" s="10">
        <f>IFERROR(INDEX('حسابهای دریافتنی'!H:H,MATCH(Table22[[#This Row],[كد تفصيلي]],'حسابهای دریافتنی'!A:A,0)),0)</f>
        <v>0</v>
      </c>
      <c r="D74" s="17">
        <f>IFERROR(INDEX('درجریان وصول'!F:F,MATCH(Table22[[#This Row],[كد تفصيلي]],'درجریان وصول'!A:A,0)),0)</f>
        <v>0</v>
      </c>
      <c r="E74" s="17">
        <f>IFERROR(INDEX('چکهای دریافتنی'!F:F,MATCH(Table22[[#This Row],[كد تفصيلي]],'چکهای دریافتنی'!A:A,0)),0)</f>
        <v>0</v>
      </c>
      <c r="F74" s="17">
        <f>Table22[[#This Row],[حسابهای دریافتنی]]+Table22[[#This Row],[چکهای در جریان وصول]]+Table22[[#This Row],[چکهای نزد صندوق]]</f>
        <v>0</v>
      </c>
      <c r="G74" s="12">
        <f>IFERROR(INDEX('مانده سوفاله'!F:F,MATCH(Table22[[#This Row],[كد تفصيلي]],'مانده سوفاله'!A:A,0)),0)</f>
        <v>-425</v>
      </c>
    </row>
    <row r="75" spans="1:7" ht="18" customHeight="1" x14ac:dyDescent="0.3">
      <c r="A75" s="27">
        <v>30131</v>
      </c>
      <c r="B75" s="25" t="s">
        <v>213</v>
      </c>
      <c r="C75" s="10">
        <f>IFERROR(INDEX('حسابهای دریافتنی'!H:H,MATCH(Table22[[#This Row],[كد تفصيلي]],'حسابهای دریافتنی'!A:A,0)),0)</f>
        <v>-6228486500</v>
      </c>
      <c r="D75" s="17">
        <f>IFERROR(INDEX('درجریان وصول'!F:F,MATCH(Table22[[#This Row],[كد تفصيلي]],'درجریان وصول'!A:A,0)),0)</f>
        <v>0</v>
      </c>
      <c r="E75" s="17">
        <f>IFERROR(INDEX('چکهای دریافتنی'!F:F,MATCH(Table22[[#This Row],[كد تفصيلي]],'چکهای دریافتنی'!A:A,0)),0)</f>
        <v>0</v>
      </c>
      <c r="F75" s="17">
        <f>Table22[[#This Row],[حسابهای دریافتنی]]+Table22[[#This Row],[چکهای در جریان وصول]]+Table22[[#This Row],[چکهای نزد صندوق]]</f>
        <v>-6228486500</v>
      </c>
      <c r="G75" s="12">
        <f>IFERROR(INDEX('مانده سوفاله'!F:F,MATCH(Table22[[#This Row],[كد تفصيلي]],'مانده سوفاله'!A:A,0)),0)</f>
        <v>222</v>
      </c>
    </row>
    <row r="76" spans="1:7" ht="18" customHeight="1" x14ac:dyDescent="0.3">
      <c r="A76" s="26">
        <v>10023</v>
      </c>
      <c r="B76" s="24" t="s">
        <v>155</v>
      </c>
      <c r="C76" s="10">
        <f>IFERROR(INDEX('حسابهای دریافتنی'!H:H,MATCH(Table22[[#This Row],[كد تفصيلي]],'حسابهای دریافتنی'!A:A,0)),0)</f>
        <v>0</v>
      </c>
      <c r="D76" s="10">
        <f>IFERROR(INDEX('درجریان وصول'!F:F,MATCH(Table22[[#This Row],[كد تفصيلي]],'درجریان وصول'!A:A,0)),0)</f>
        <v>0</v>
      </c>
      <c r="E76" s="10">
        <f>IFERROR(INDEX('چکهای دریافتنی'!F:F,MATCH(Table22[[#This Row],[كد تفصيلي]],'چکهای دریافتنی'!A:A,0)),0)</f>
        <v>0</v>
      </c>
      <c r="F76" s="10">
        <f>Table22[[#This Row],[حسابهای دریافتنی]]+Table22[[#This Row],[چکهای در جریان وصول]]+Table22[[#This Row],[چکهای نزد صندوق]]</f>
        <v>0</v>
      </c>
      <c r="G76" s="12">
        <f>IFERROR(INDEX('مانده سوفاله'!F:F,MATCH(Table22[[#This Row],[كد تفصيلي]],'مانده سوفاله'!A:A,0)),0)</f>
        <v>6</v>
      </c>
    </row>
    <row r="77" spans="1:7" ht="18" customHeight="1" x14ac:dyDescent="0.3">
      <c r="A77" s="27">
        <v>10010</v>
      </c>
      <c r="B77" s="25" t="s">
        <v>17</v>
      </c>
      <c r="C77" s="10">
        <f>IFERROR(INDEX('حسابهای دریافتنی'!H:H,MATCH(Table22[[#This Row],[كد تفصيلي]],'حسابهای دریافتنی'!A:A,0)),0)</f>
        <v>0</v>
      </c>
      <c r="D77" s="11">
        <f>IFERROR(INDEX('درجریان وصول'!F:F,MATCH(Table22[[#This Row],[كد تفصيلي]],'درجریان وصول'!A:A,0)),0)</f>
        <v>0</v>
      </c>
      <c r="E77" s="11">
        <f>IFERROR(INDEX('چکهای دریافتنی'!F:F,MATCH(Table22[[#This Row],[كد تفصيلي]],'چکهای دریافتنی'!A:A,0)),0)</f>
        <v>0</v>
      </c>
      <c r="F77" s="11">
        <f>Table22[[#This Row],[حسابهای دریافتنی]]+Table22[[#This Row],[چکهای در جریان وصول]]+Table22[[#This Row],[چکهای نزد صندوق]]</f>
        <v>0</v>
      </c>
      <c r="G77" s="12">
        <f>IFERROR(INDEX('مانده سوفاله'!F:F,MATCH(Table22[[#This Row],[كد تفصيلي]],'مانده سوفاله'!A:A,0)),0)</f>
        <v>8</v>
      </c>
    </row>
    <row r="78" spans="1:7" ht="18" customHeight="1" x14ac:dyDescent="0.3">
      <c r="A78" s="26">
        <v>10039</v>
      </c>
      <c r="B78" s="24" t="s">
        <v>45</v>
      </c>
      <c r="C78" s="10">
        <f>IFERROR(INDEX('حسابهای دریافتنی'!H:H,MATCH(Table22[[#This Row],[كد تفصيلي]],'حسابهای دریافتنی'!A:A,0)),0)</f>
        <v>0</v>
      </c>
      <c r="D78" s="11">
        <f>IFERROR(INDEX('درجریان وصول'!F:F,MATCH(Table22[[#This Row],[كد تفصيلي]],'درجریان وصول'!A:A,0)),0)</f>
        <v>0</v>
      </c>
      <c r="E78" s="11">
        <f>IFERROR(INDEX('چکهای دریافتنی'!F:F,MATCH(Table22[[#This Row],[كد تفصيلي]],'چکهای دریافتنی'!A:A,0)),0)</f>
        <v>0</v>
      </c>
      <c r="F78" s="11">
        <f>Table22[[#This Row],[حسابهای دریافتنی]]+Table22[[#This Row],[چکهای در جریان وصول]]+Table22[[#This Row],[چکهای نزد صندوق]]</f>
        <v>0</v>
      </c>
      <c r="G78" s="12">
        <f>IFERROR(INDEX('مانده سوفاله'!F:F,MATCH(Table22[[#This Row],[كد تفصيلي]],'مانده سوفاله'!A:A,0)),0)</f>
        <v>4</v>
      </c>
    </row>
    <row r="79" spans="1:7" ht="18" customHeight="1" x14ac:dyDescent="0.3">
      <c r="A79" s="27">
        <v>10046</v>
      </c>
      <c r="B79" s="25" t="s">
        <v>51</v>
      </c>
      <c r="C79" s="10">
        <f>IFERROR(INDEX('حسابهای دریافتنی'!H:H,MATCH(Table22[[#This Row],[كد تفصيلي]],'حسابهای دریافتنی'!A:A,0)),0)</f>
        <v>0</v>
      </c>
      <c r="D79" s="11">
        <f>IFERROR(INDEX('درجریان وصول'!F:F,MATCH(Table22[[#This Row],[كد تفصيلي]],'درجریان وصول'!A:A,0)),0)</f>
        <v>0</v>
      </c>
      <c r="E79" s="11">
        <f>IFERROR(INDEX('چکهای دریافتنی'!F:F,MATCH(Table22[[#This Row],[كد تفصيلي]],'چکهای دریافتنی'!A:A,0)),0)</f>
        <v>0</v>
      </c>
      <c r="F79" s="11">
        <f>Table22[[#This Row],[حسابهای دریافتنی]]+Table22[[#This Row],[چکهای در جریان وصول]]+Table22[[#This Row],[چکهای نزد صندوق]]</f>
        <v>0</v>
      </c>
      <c r="G79" s="12">
        <f>IFERROR(INDEX('مانده سوفاله'!F:F,MATCH(Table22[[#This Row],[كد تفصيلي]],'مانده سوفاله'!A:A,0)),0)</f>
        <v>118</v>
      </c>
    </row>
    <row r="80" spans="1:7" ht="18" customHeight="1" x14ac:dyDescent="0.3">
      <c r="A80" s="26">
        <v>10065</v>
      </c>
      <c r="B80" s="24" t="s">
        <v>228</v>
      </c>
      <c r="C80" s="10">
        <f>IFERROR(INDEX('حسابهای دریافتنی'!H:H,MATCH(Table22[[#This Row],[كد تفصيلي]],'حسابهای دریافتنی'!A:A,0)),0)</f>
        <v>0</v>
      </c>
      <c r="D80" s="11">
        <f>IFERROR(INDEX('درجریان وصول'!F:F,MATCH(Table22[[#This Row],[كد تفصيلي]],'درجریان وصول'!A:A,0)),0)</f>
        <v>0</v>
      </c>
      <c r="E80" s="11">
        <f>IFERROR(INDEX('چکهای دریافتنی'!F:F,MATCH(Table22[[#This Row],[كد تفصيلي]],'چکهای دریافتنی'!A:A,0)),0)</f>
        <v>0</v>
      </c>
      <c r="F80" s="11">
        <f>Table22[[#This Row],[حسابهای دریافتنی]]+Table22[[#This Row],[چکهای در جریان وصول]]+Table22[[#This Row],[چکهای نزد صندوق]]</f>
        <v>0</v>
      </c>
      <c r="G80" s="12">
        <f>IFERROR(INDEX('مانده سوفاله'!F:F,MATCH(Table22[[#This Row],[كد تفصيلي]],'مانده سوفاله'!A:A,0)),0)</f>
        <v>127</v>
      </c>
    </row>
    <row r="81" spans="1:7" ht="18" customHeight="1" x14ac:dyDescent="0.3">
      <c r="A81" s="26">
        <v>30031</v>
      </c>
      <c r="B81" s="24" t="s">
        <v>78</v>
      </c>
      <c r="C81" s="10">
        <f>IFERROR(INDEX('حسابهای دریافتنی'!H:H,MATCH(Table22[[#This Row],[كد تفصيلي]],'حسابهای دریافتنی'!A:A,0)),0)</f>
        <v>0</v>
      </c>
      <c r="D81" s="17">
        <f>IFERROR(INDEX('درجریان وصول'!F:F,MATCH(Table22[[#This Row],[كد تفصيلي]],'درجریان وصول'!A:A,0)),0)</f>
        <v>0</v>
      </c>
      <c r="E81" s="17">
        <f>IFERROR(INDEX('چکهای دریافتنی'!F:F,MATCH(Table22[[#This Row],[كد تفصيلي]],'چکهای دریافتنی'!A:A,0)),0)</f>
        <v>0</v>
      </c>
      <c r="F81" s="17">
        <f>Table22[[#This Row],[حسابهای دریافتنی]]+Table22[[#This Row],[چکهای در جریان وصول]]+Table22[[#This Row],[چکهای نزد صندوق]]</f>
        <v>0</v>
      </c>
      <c r="G81" s="12">
        <f>IFERROR(INDEX('مانده سوفاله'!F:F,MATCH(Table22[[#This Row],[كد تفصيلي]],'مانده سوفاله'!A:A,0)),0)</f>
        <v>-1</v>
      </c>
    </row>
    <row r="82" spans="1:7" ht="18" customHeight="1" x14ac:dyDescent="0.3">
      <c r="A82" s="26">
        <v>30062</v>
      </c>
      <c r="B82" s="24" t="s">
        <v>107</v>
      </c>
      <c r="C82" s="10">
        <f>IFERROR(INDEX('حسابهای دریافتنی'!H:H,MATCH(Table22[[#This Row],[كد تفصيلي]],'حسابهای دریافتنی'!A:A,0)),0)</f>
        <v>0</v>
      </c>
      <c r="D82" s="17">
        <f>IFERROR(INDEX('درجریان وصول'!F:F,MATCH(Table22[[#This Row],[كد تفصيلي]],'درجریان وصول'!A:A,0)),0)</f>
        <v>0</v>
      </c>
      <c r="E82" s="17">
        <f>IFERROR(INDEX('چکهای دریافتنی'!F:F,MATCH(Table22[[#This Row],[كد تفصيلي]],'چکهای دریافتنی'!A:A,0)),0)</f>
        <v>0</v>
      </c>
      <c r="F82" s="17">
        <f>Table22[[#This Row],[حسابهای دریافتنی]]+Table22[[#This Row],[چکهای در جریان وصول]]+Table22[[#This Row],[چکهای نزد صندوق]]</f>
        <v>0</v>
      </c>
      <c r="G82" s="12">
        <f>IFERROR(INDEX('مانده سوفاله'!F:F,MATCH(Table22[[#This Row],[كد تفصيلي]],'مانده سوفاله'!A:A,0)),0)</f>
        <v>1</v>
      </c>
    </row>
    <row r="83" spans="1:7" ht="18" customHeight="1" x14ac:dyDescent="0.3">
      <c r="A83" s="27">
        <v>30065</v>
      </c>
      <c r="B83" s="25" t="s">
        <v>110</v>
      </c>
      <c r="C83" s="10">
        <f>IFERROR(INDEX('حسابهای دریافتنی'!H:H,MATCH(Table22[[#This Row],[كد تفصيلي]],'حسابهای دریافتنی'!A:A,0)),0)</f>
        <v>0</v>
      </c>
      <c r="D83" s="17">
        <f>IFERROR(INDEX('درجریان وصول'!F:F,MATCH(Table22[[#This Row],[كد تفصيلي]],'درجریان وصول'!A:A,0)),0)</f>
        <v>0</v>
      </c>
      <c r="E83" s="17">
        <f>IFERROR(INDEX('چکهای دریافتنی'!F:F,MATCH(Table22[[#This Row],[كد تفصيلي]],'چکهای دریافتنی'!A:A,0)),0)</f>
        <v>0</v>
      </c>
      <c r="F83" s="17">
        <f>Table22[[#This Row],[حسابهای دریافتنی]]+Table22[[#This Row],[چکهای در جریان وصول]]+Table22[[#This Row],[چکهای نزد صندوق]]</f>
        <v>0</v>
      </c>
      <c r="G83" s="12">
        <f>IFERROR(INDEX('مانده سوفاله'!F:F,MATCH(Table22[[#This Row],[كد تفصيلي]],'مانده سوفاله'!A:A,0)),0)</f>
        <v>33</v>
      </c>
    </row>
    <row r="84" spans="1:7" ht="18" customHeight="1" x14ac:dyDescent="0.3">
      <c r="A84" s="27">
        <v>30071</v>
      </c>
      <c r="B84" s="25" t="s">
        <v>116</v>
      </c>
      <c r="C84" s="10">
        <f>IFERROR(INDEX('حسابهای دریافتنی'!H:H,MATCH(Table22[[#This Row],[كد تفصيلي]],'حسابهای دریافتنی'!A:A,0)),0)</f>
        <v>0</v>
      </c>
      <c r="D84" s="17">
        <f>IFERROR(INDEX('درجریان وصول'!F:F,MATCH(Table22[[#This Row],[كد تفصيلي]],'درجریان وصول'!A:A,0)),0)</f>
        <v>0</v>
      </c>
      <c r="E84" s="17">
        <f>IFERROR(INDEX('چکهای دریافتنی'!F:F,MATCH(Table22[[#This Row],[كد تفصيلي]],'چکهای دریافتنی'!A:A,0)),0)</f>
        <v>0</v>
      </c>
      <c r="F84" s="17">
        <f>Table22[[#This Row],[حسابهای دریافتنی]]+Table22[[#This Row],[چکهای در جریان وصول]]+Table22[[#This Row],[چکهای نزد صندوق]]</f>
        <v>0</v>
      </c>
      <c r="G84" s="12">
        <f>IFERROR(INDEX('مانده سوفاله'!F:F,MATCH(Table22[[#This Row],[كد تفصيلي]],'مانده سوفاله'!A:A,0)),0)</f>
        <v>3</v>
      </c>
    </row>
    <row r="85" spans="1:7" ht="18" customHeight="1" x14ac:dyDescent="0.3">
      <c r="A85" s="27">
        <v>30079</v>
      </c>
      <c r="B85" s="25" t="s">
        <v>124</v>
      </c>
      <c r="C85" s="10">
        <f>IFERROR(INDEX('حسابهای دریافتنی'!H:H,MATCH(Table22[[#This Row],[كد تفصيلي]],'حسابهای دریافتنی'!A:A,0)),0)</f>
        <v>0</v>
      </c>
      <c r="D85" s="17">
        <f>IFERROR(INDEX('درجریان وصول'!F:F,MATCH(Table22[[#This Row],[كد تفصيلي]],'درجریان وصول'!A:A,0)),0)</f>
        <v>0</v>
      </c>
      <c r="E85" s="17">
        <f>IFERROR(INDEX('چکهای دریافتنی'!F:F,MATCH(Table22[[#This Row],[كد تفصيلي]],'چکهای دریافتنی'!A:A,0)),0)</f>
        <v>0</v>
      </c>
      <c r="F85" s="17">
        <f>Table22[[#This Row],[حسابهای دریافتنی]]+Table22[[#This Row],[چکهای در جریان وصول]]+Table22[[#This Row],[چکهای نزد صندوق]]</f>
        <v>0</v>
      </c>
      <c r="G85" s="12">
        <f>IFERROR(INDEX('مانده سوفاله'!F:F,MATCH(Table22[[#This Row],[كد تفصيلي]],'مانده سوفاله'!A:A,0)),0)</f>
        <v>-85</v>
      </c>
    </row>
    <row r="86" spans="1:7" ht="18" customHeight="1" x14ac:dyDescent="0.3">
      <c r="A86" s="27">
        <v>30097</v>
      </c>
      <c r="B86" s="25" t="s">
        <v>188</v>
      </c>
      <c r="C86" s="10">
        <f>IFERROR(INDEX('حسابهای دریافتنی'!H:H,MATCH(Table22[[#This Row],[كد تفصيلي]],'حسابهای دریافتنی'!A:A,0)),0)</f>
        <v>0</v>
      </c>
      <c r="D86" s="17">
        <f>IFERROR(INDEX('درجریان وصول'!F:F,MATCH(Table22[[#This Row],[كد تفصيلي]],'درجریان وصول'!A:A,0)),0)</f>
        <v>0</v>
      </c>
      <c r="E86" s="17">
        <f>IFERROR(INDEX('چکهای دریافتنی'!F:F,MATCH(Table22[[#This Row],[كد تفصيلي]],'چکهای دریافتنی'!A:A,0)),0)</f>
        <v>0</v>
      </c>
      <c r="F86" s="17">
        <f>Table22[[#This Row],[حسابهای دریافتنی]]+Table22[[#This Row],[چکهای در جریان وصول]]+Table22[[#This Row],[چکهای نزد صندوق]]</f>
        <v>0</v>
      </c>
      <c r="G86" s="12">
        <f>IFERROR(INDEX('مانده سوفاله'!F:F,MATCH(Table22[[#This Row],[كد تفصيلي]],'مانده سوفاله'!A:A,0)),0)</f>
        <v>-82</v>
      </c>
    </row>
    <row r="87" spans="1:7" ht="18" customHeight="1" x14ac:dyDescent="0.3">
      <c r="A87" s="27">
        <v>30141</v>
      </c>
      <c r="B87" s="25" t="s">
        <v>261</v>
      </c>
      <c r="C87" s="10">
        <f>IFERROR(INDEX('حسابهای دریافتنی'!H:H,MATCH(Table22[[#This Row],[كد تفصيلي]],'حسابهای دریافتنی'!A:A,0)),0)</f>
        <v>0</v>
      </c>
      <c r="D87" s="17">
        <f>IFERROR(INDEX('درجریان وصول'!F:F,MATCH(Table22[[#This Row],[كد تفصيلي]],'درجریان وصول'!A:A,0)),0)</f>
        <v>0</v>
      </c>
      <c r="E87" s="17">
        <f>IFERROR(INDEX('چکهای دریافتنی'!F:F,MATCH(Table22[[#This Row],[كد تفصيلي]],'چکهای دریافتنی'!A:A,0)),0)</f>
        <v>0</v>
      </c>
      <c r="F87" s="17">
        <f>Table22[[#This Row],[حسابهای دریافتنی]]+Table22[[#This Row],[چکهای در جریان وصول]]+Table22[[#This Row],[چکهای نزد صندوق]]</f>
        <v>0</v>
      </c>
      <c r="G87" s="12">
        <f>IFERROR(INDEX('مانده سوفاله'!F:F,MATCH(Table22[[#This Row],[كد تفصيلي]],'مانده سوفاله'!A:A,0)),0)</f>
        <v>-42</v>
      </c>
    </row>
    <row r="88" spans="1:7" ht="18" customHeight="1" x14ac:dyDescent="0.3">
      <c r="A88" s="26">
        <v>30142</v>
      </c>
      <c r="B88" s="24" t="s">
        <v>263</v>
      </c>
      <c r="C88" s="10">
        <f>IFERROR(INDEX('حسابهای دریافتنی'!H:H,MATCH(Table22[[#This Row],[كد تفصيلي]],'حسابهای دریافتنی'!A:A,0)),0)</f>
        <v>0</v>
      </c>
      <c r="D88" s="10">
        <f>IFERROR(INDEX('درجریان وصول'!F:F,MATCH(Table22[[#This Row],[كد تفصيلي]],'درجریان وصول'!A:A,0)),0)</f>
        <v>0</v>
      </c>
      <c r="E88" s="10">
        <f>IFERROR(INDEX('چکهای دریافتنی'!F:F,MATCH(Table22[[#This Row],[كد تفصيلي]],'چکهای دریافتنی'!A:A,0)),0)</f>
        <v>0</v>
      </c>
      <c r="F88" s="10">
        <f>Table22[[#This Row],[حسابهای دریافتنی]]+Table22[[#This Row],[چکهای در جریان وصول]]+Table22[[#This Row],[چکهای نزد صندوق]]</f>
        <v>0</v>
      </c>
      <c r="G88" s="12">
        <f>IFERROR(INDEX('مانده سوفاله'!F:F,MATCH(Table22[[#This Row],[كد تفصيلي]],'مانده سوفاله'!A:A,0)),0)</f>
        <v>13</v>
      </c>
    </row>
    <row r="89" spans="1:7" ht="18" customHeight="1" x14ac:dyDescent="0.3">
      <c r="A89" s="27">
        <v>79010</v>
      </c>
      <c r="B89" s="25" t="s">
        <v>176</v>
      </c>
      <c r="C89" s="10">
        <f>IFERROR(INDEX('حسابهای دریافتنی'!H:H,MATCH(Table22[[#This Row],[كد تفصيلي]],'حسابهای دریافتنی'!A:A,0)),0)</f>
        <v>0</v>
      </c>
      <c r="D89" s="10">
        <f>IFERROR(INDEX('درجریان وصول'!F:F,MATCH(Table22[[#This Row],[كد تفصيلي]],'درجریان وصول'!A:A,0)),0)</f>
        <v>0</v>
      </c>
      <c r="E89" s="10">
        <f>IFERROR(INDEX('چکهای دریافتنی'!F:F,MATCH(Table22[[#This Row],[كد تفصيلي]],'چکهای دریافتنی'!A:A,0)),0)</f>
        <v>0</v>
      </c>
      <c r="F89" s="10">
        <f>Table22[[#This Row],[حسابهای دریافتنی]]+Table22[[#This Row],[چکهای در جریان وصول]]+Table22[[#This Row],[چکهای نزد صندوق]]</f>
        <v>0</v>
      </c>
      <c r="G89" s="12">
        <f>IFERROR(INDEX('مانده سوفاله'!F:F,MATCH(Table22[[#This Row],[كد تفصيلي]],'مانده سوفاله'!A:A,0)),0)</f>
        <v>-110</v>
      </c>
    </row>
    <row r="90" spans="1:7" ht="18" customHeight="1" x14ac:dyDescent="0.3">
      <c r="A90" s="26">
        <v>30118</v>
      </c>
      <c r="B90" s="24" t="s">
        <v>205</v>
      </c>
      <c r="C90" s="10">
        <f>IFERROR(INDEX('حسابهای دریافتنی'!H:H,MATCH(Table22[[#This Row],[كد تفصيلي]],'حسابهای دریافتنی'!A:A,0)),0)</f>
        <v>0</v>
      </c>
      <c r="D90" s="11">
        <f>IFERROR(INDEX('درجریان وصول'!F:F,MATCH(Table22[[#This Row],[كد تفصيلي]],'درجریان وصول'!A:A,0)),0)</f>
        <v>0</v>
      </c>
      <c r="E90" s="11">
        <f>IFERROR(INDEX('چکهای دریافتنی'!F:F,MATCH(Table22[[#This Row],[كد تفصيلي]],'چکهای دریافتنی'!A:A,0)),0)</f>
        <v>0</v>
      </c>
      <c r="F90" s="11">
        <f>Table22[[#This Row],[حسابهای دریافتنی]]+Table22[[#This Row],[چکهای در جریان وصول]]+Table22[[#This Row],[چکهای نزد صندوق]]</f>
        <v>0</v>
      </c>
      <c r="G90" s="12">
        <f>IFERROR(INDEX('مانده سوفاله'!F:F,MATCH(Table22[[#This Row],[كد تفصيلي]],'مانده سوفاله'!A:A,0)),0)</f>
        <v>-20</v>
      </c>
    </row>
    <row r="91" spans="1:7" ht="18" customHeight="1" x14ac:dyDescent="0.3">
      <c r="A91" s="27">
        <v>30113</v>
      </c>
      <c r="B91" s="25" t="s">
        <v>202</v>
      </c>
      <c r="C91" s="10">
        <f>IFERROR(INDEX('حسابهای دریافتنی'!H:H,MATCH(Table22[[#This Row],[كد تفصيلي]],'حسابهای دریافتنی'!A:A,0)),0)</f>
        <v>0</v>
      </c>
      <c r="D91" s="17">
        <f>IFERROR(INDEX('درجریان وصول'!F:F,MATCH(Table22[[#This Row],[كد تفصيلي]],'درجریان وصول'!A:A,0)),0)</f>
        <v>0</v>
      </c>
      <c r="E91" s="17">
        <f>IFERROR(INDEX('چکهای دریافتنی'!F:F,MATCH(Table22[[#This Row],[كد تفصيلي]],'چکهای دریافتنی'!A:A,0)),0)</f>
        <v>0</v>
      </c>
      <c r="F91" s="17">
        <f>Table22[[#This Row],[حسابهای دریافتنی]]+Table22[[#This Row],[چکهای در جریان وصول]]+Table22[[#This Row],[چکهای نزد صندوق]]</f>
        <v>0</v>
      </c>
      <c r="G91" s="12">
        <f>IFERROR(INDEX('مانده سوفاله'!F:F,MATCH(Table22[[#This Row],[كد تفصيلي]],'مانده سوفاله'!A:A,0)),0)</f>
        <v>0</v>
      </c>
    </row>
    <row r="92" spans="1:7" ht="18" customHeight="1" x14ac:dyDescent="0.3">
      <c r="A92" s="26">
        <v>30140</v>
      </c>
      <c r="B92" s="24" t="s">
        <v>259</v>
      </c>
      <c r="C92" s="10">
        <f>IFERROR(INDEX('حسابهای دریافتنی'!H:H,MATCH(Table22[[#This Row],[كد تفصيلي]],'حسابهای دریافتنی'!A:A,0)),0)</f>
        <v>553728200</v>
      </c>
      <c r="D92" s="17">
        <f>IFERROR(INDEX('درجریان وصول'!F:F,MATCH(Table22[[#This Row],[كد تفصيلي]],'درجریان وصول'!A:A,0)),0)</f>
        <v>0</v>
      </c>
      <c r="E92" s="17">
        <f>IFERROR(INDEX('چکهای دریافتنی'!F:F,MATCH(Table22[[#This Row],[كد تفصيلي]],'چکهای دریافتنی'!A:A,0)),0)</f>
        <v>1030000000</v>
      </c>
      <c r="F92" s="17">
        <f>Table22[[#This Row],[حسابهای دریافتنی]]+Table22[[#This Row],[چکهای در جریان وصول]]+Table22[[#This Row],[چکهای نزد صندوق]]</f>
        <v>1583728200</v>
      </c>
      <c r="G92" s="12">
        <f>IFERROR(INDEX('مانده سوفاله'!F:F,MATCH(Table22[[#This Row],[كد تفصيلي]],'مانده سوفاله'!A:A,0)),0)</f>
        <v>-12630</v>
      </c>
    </row>
    <row r="93" spans="1:7" ht="18" customHeight="1" x14ac:dyDescent="0.3">
      <c r="A93" s="27">
        <v>30164</v>
      </c>
      <c r="B93" s="25" t="s">
        <v>357</v>
      </c>
      <c r="C93" s="10">
        <f>IFERROR(INDEX('حسابهای دریافتنی'!H:H,MATCH(Table22[[#This Row],[كد تفصيلي]],'حسابهای دریافتنی'!A:A,0)),0)</f>
        <v>184944000</v>
      </c>
      <c r="D93" s="11">
        <f>IFERROR(INDEX('درجریان وصول'!F:F,MATCH(Table22[[#This Row],[كد تفصيلي]],'درجریان وصول'!A:A,0)),0)</f>
        <v>0</v>
      </c>
      <c r="E93" s="11">
        <f>IFERROR(INDEX('چکهای دریافتنی'!F:F,MATCH(Table22[[#This Row],[كد تفصيلي]],'چکهای دریافتنی'!A:A,0)),0)</f>
        <v>0</v>
      </c>
      <c r="F93" s="11">
        <f>Table22[[#This Row],[حسابهای دریافتنی]]+Table22[[#This Row],[چکهای در جریان وصول]]+Table22[[#This Row],[چکهای نزد صندوق]]</f>
        <v>184944000</v>
      </c>
      <c r="G93" s="12">
        <f>IFERROR(INDEX('مانده سوفاله'!F:F,MATCH(Table22[[#This Row],[كد تفصيلي]],'مانده سوفاله'!A:A,0)),0)</f>
        <v>561</v>
      </c>
    </row>
    <row r="94" spans="1:7" ht="18" customHeight="1" x14ac:dyDescent="0.3">
      <c r="A94" s="26">
        <v>10109</v>
      </c>
      <c r="B94" s="24" t="s">
        <v>347</v>
      </c>
      <c r="C94" s="10">
        <f>IFERROR(INDEX('حسابهای دریافتنی'!H:H,MATCH(Table22[[#This Row],[كد تفصيلي]],'حسابهای دریافتنی'!A:A,0)),0)</f>
        <v>-1124737000</v>
      </c>
      <c r="D94" s="17">
        <f>IFERROR(INDEX('درجریان وصول'!F:F,MATCH(Table22[[#This Row],[كد تفصيلي]],'درجریان وصول'!A:A,0)),0)</f>
        <v>0</v>
      </c>
      <c r="E94" s="17">
        <f>IFERROR(INDEX('چکهای دریافتنی'!F:F,MATCH(Table22[[#This Row],[كد تفصيلي]],'چکهای دریافتنی'!A:A,0)),0)</f>
        <v>0</v>
      </c>
      <c r="F94" s="17">
        <f>Table22[[#This Row],[حسابهای دریافتنی]]+Table22[[#This Row],[چکهای در جریان وصول]]+Table22[[#This Row],[چکهای نزد صندوق]]</f>
        <v>-1124737000</v>
      </c>
      <c r="G94" s="12">
        <f>IFERROR(INDEX('مانده سوفاله'!F:F,MATCH(Table22[[#This Row],[كد تفصيلي]],'مانده سوفاله'!A:A,0)),0)</f>
        <v>-241</v>
      </c>
    </row>
    <row r="95" spans="1:7" ht="18" customHeight="1" x14ac:dyDescent="0.3">
      <c r="A95" s="26">
        <v>30021</v>
      </c>
      <c r="B95" s="24" t="s">
        <v>69</v>
      </c>
      <c r="C95" s="10">
        <f>IFERROR(INDEX('حسابهای دریافتنی'!H:H,MATCH(Table22[[#This Row],[كد تفصيلي]],'حسابهای دریافتنی'!A:A,0)),0)</f>
        <v>-122000</v>
      </c>
      <c r="D95" s="17">
        <f>IFERROR(INDEX('درجریان وصول'!F:F,MATCH(Table22[[#This Row],[كد تفصيلي]],'درجریان وصول'!A:A,0)),0)</f>
        <v>0</v>
      </c>
      <c r="E95" s="17">
        <f>IFERROR(INDEX('چکهای دریافتنی'!F:F,MATCH(Table22[[#This Row],[كد تفصيلي]],'چکهای دریافتنی'!A:A,0)),0)</f>
        <v>0</v>
      </c>
      <c r="F95" s="17">
        <f>Table22[[#This Row],[حسابهای دریافتنی]]+Table22[[#This Row],[چکهای در جریان وصول]]+Table22[[#This Row],[چکهای نزد صندوق]]</f>
        <v>-122000</v>
      </c>
      <c r="G95" s="12">
        <f>IFERROR(INDEX('مانده سوفاله'!F:F,MATCH(Table22[[#This Row],[كد تفصيلي]],'مانده سوفاله'!A:A,0)),0)</f>
        <v>0</v>
      </c>
    </row>
    <row r="96" spans="1:7" ht="18" customHeight="1" x14ac:dyDescent="0.3">
      <c r="A96" s="27">
        <v>10066</v>
      </c>
      <c r="B96" s="25" t="s">
        <v>262</v>
      </c>
      <c r="C96" s="10">
        <f>IFERROR(INDEX('حسابهای دریافتنی'!H:H,MATCH(Table22[[#This Row],[كد تفصيلي]],'حسابهای دریافتنی'!A:A,0)),0)</f>
        <v>-191500</v>
      </c>
      <c r="D96" s="11">
        <f>IFERROR(INDEX('درجریان وصول'!F:F,MATCH(Table22[[#This Row],[كد تفصيلي]],'درجریان وصول'!A:A,0)),0)</f>
        <v>0</v>
      </c>
      <c r="E96" s="11">
        <f>IFERROR(INDEX('چکهای دریافتنی'!F:F,MATCH(Table22[[#This Row],[كد تفصيلي]],'چکهای دریافتنی'!A:A,0)),0)</f>
        <v>0</v>
      </c>
      <c r="F96" s="11">
        <f>Table22[[#This Row],[حسابهای دریافتنی]]+Table22[[#This Row],[چکهای در جریان وصول]]+Table22[[#This Row],[چکهای نزد صندوق]]</f>
        <v>-191500</v>
      </c>
      <c r="G96" s="12">
        <f>IFERROR(INDEX('مانده سوفاله'!F:F,MATCH(Table22[[#This Row],[كد تفصيلي]],'مانده سوفاله'!A:A,0)),0)</f>
        <v>2</v>
      </c>
    </row>
    <row r="97" spans="1:7" ht="18" customHeight="1" x14ac:dyDescent="0.3">
      <c r="A97" s="26">
        <v>30167</v>
      </c>
      <c r="B97" s="24" t="s">
        <v>358</v>
      </c>
      <c r="C97" s="10">
        <f>IFERROR(INDEX('حسابهای دریافتنی'!H:H,MATCH(Table22[[#This Row],[كد تفصيلي]],'حسابهای دریافتنی'!A:A,0)),0)</f>
        <v>-221000</v>
      </c>
      <c r="D97" s="17">
        <f>IFERROR(INDEX('درجریان وصول'!F:F,MATCH(Table22[[#This Row],[كد تفصيلي]],'درجریان وصول'!A:A,0)),0)</f>
        <v>0</v>
      </c>
      <c r="E97" s="17">
        <f>IFERROR(INDEX('چکهای دریافتنی'!F:F,MATCH(Table22[[#This Row],[كد تفصيلي]],'چکهای دریافتنی'!A:A,0)),0)</f>
        <v>0</v>
      </c>
      <c r="F97" s="17">
        <f>Table22[[#This Row],[حسابهای دریافتنی]]+Table22[[#This Row],[چکهای در جریان وصول]]+Table22[[#This Row],[چکهای نزد صندوق]]</f>
        <v>-221000</v>
      </c>
      <c r="G97" s="12">
        <f>IFERROR(INDEX('مانده سوفاله'!F:F,MATCH(Table22[[#This Row],[كد تفصيلي]],'مانده سوفاله'!A:A,0)),0)</f>
        <v>6</v>
      </c>
    </row>
    <row r="98" spans="1:7" ht="18" customHeight="1" x14ac:dyDescent="0.3">
      <c r="A98" s="26">
        <v>30017</v>
      </c>
      <c r="B98" s="24" t="s">
        <v>65</v>
      </c>
      <c r="C98" s="10">
        <f>IFERROR(INDEX('حسابهای دریافتنی'!H:H,MATCH(Table22[[#This Row],[كد تفصيلي]],'حسابهای دریافتنی'!A:A,0)),0)</f>
        <v>905000830</v>
      </c>
      <c r="D98" s="17">
        <f>IFERROR(INDEX('درجریان وصول'!F:F,MATCH(Table22[[#This Row],[كد تفصيلي]],'درجریان وصول'!A:A,0)),0)</f>
        <v>0</v>
      </c>
      <c r="E98" s="17">
        <f>IFERROR(INDEX('چکهای دریافتنی'!F:F,MATCH(Table22[[#This Row],[كد تفصيلي]],'چکهای دریافتنی'!A:A,0)),0)</f>
        <v>0</v>
      </c>
      <c r="F98" s="17">
        <f>Table22[[#This Row],[حسابهای دریافتنی]]+Table22[[#This Row],[چکهای در جریان وصول]]+Table22[[#This Row],[چکهای نزد صندوق]]</f>
        <v>905000830</v>
      </c>
      <c r="G98" s="12">
        <f>IFERROR(INDEX('مانده سوفاله'!F:F,MATCH(Table22[[#This Row],[كد تفصيلي]],'مانده سوفاله'!A:A,0)),0)</f>
        <v>-2186</v>
      </c>
    </row>
    <row r="99" spans="1:7" ht="18" customHeight="1" x14ac:dyDescent="0.3">
      <c r="A99" s="26">
        <v>10077</v>
      </c>
      <c r="B99" s="24" t="s">
        <v>210</v>
      </c>
      <c r="C99" s="10">
        <f>IFERROR(INDEX('حسابهای دریافتنی'!H:H,MATCH(Table22[[#This Row],[كد تفصيلي]],'حسابهای دریافتنی'!A:A,0)),0)</f>
        <v>-238500</v>
      </c>
      <c r="D99" s="11">
        <f>IFERROR(INDEX('درجریان وصول'!F:F,MATCH(Table22[[#This Row],[كد تفصيلي]],'درجریان وصول'!A:A,0)),0)</f>
        <v>0</v>
      </c>
      <c r="E99" s="11">
        <f>IFERROR(INDEX('چکهای دریافتنی'!F:F,MATCH(Table22[[#This Row],[كد تفصيلي]],'چکهای دریافتنی'!A:A,0)),0)</f>
        <v>0</v>
      </c>
      <c r="F99" s="11">
        <f>Table22[[#This Row],[حسابهای دریافتنی]]+Table22[[#This Row],[چکهای در جریان وصول]]+Table22[[#This Row],[چکهای نزد صندوق]]</f>
        <v>-238500</v>
      </c>
      <c r="G99" s="12">
        <f>IFERROR(INDEX('مانده سوفاله'!F:F,MATCH(Table22[[#This Row],[كد تفصيلي]],'مانده سوفاله'!A:A,0)),0)</f>
        <v>0</v>
      </c>
    </row>
    <row r="100" spans="1:7" ht="18" customHeight="1" x14ac:dyDescent="0.3">
      <c r="A100" s="27">
        <v>10048</v>
      </c>
      <c r="B100" s="25" t="s">
        <v>191</v>
      </c>
      <c r="C100" s="10">
        <f>IFERROR(INDEX('حسابهای دریافتنی'!H:H,MATCH(Table22[[#This Row],[كد تفصيلي]],'حسابهای دریافتنی'!A:A,0)),0)</f>
        <v>0</v>
      </c>
      <c r="D100" s="10">
        <f>IFERROR(INDEX('درجریان وصول'!F:F,MATCH(Table22[[#This Row],[كد تفصيلي]],'درجریان وصول'!A:A,0)),0)</f>
        <v>0</v>
      </c>
      <c r="E100" s="10">
        <f>IFERROR(INDEX('چکهای دریافتنی'!F:F,MATCH(Table22[[#This Row],[كد تفصيلي]],'چکهای دریافتنی'!A:A,0)),0)</f>
        <v>0</v>
      </c>
      <c r="F100" s="10">
        <f>Table22[[#This Row],[حسابهای دریافتنی]]+Table22[[#This Row],[چکهای در جریان وصول]]+Table22[[#This Row],[چکهای نزد صندوق]]</f>
        <v>0</v>
      </c>
      <c r="G100" s="12">
        <f>IFERROR(INDEX('مانده سوفاله'!F:F,MATCH(Table22[[#This Row],[كد تفصيلي]],'مانده سوفاله'!A:A,0)),0)</f>
        <v>-1097</v>
      </c>
    </row>
    <row r="101" spans="1:7" ht="18" customHeight="1" x14ac:dyDescent="0.3">
      <c r="A101" s="27">
        <v>10012</v>
      </c>
      <c r="B101" s="25" t="s">
        <v>19</v>
      </c>
      <c r="C101" s="10">
        <f>IFERROR(INDEX('حسابهای دریافتنی'!H:H,MATCH(Table22[[#This Row],[كد تفصيلي]],'حسابهای دریافتنی'!A:A,0)),0)</f>
        <v>-244000</v>
      </c>
      <c r="D101" s="11">
        <f>IFERROR(INDEX('درجریان وصول'!F:F,MATCH(Table22[[#This Row],[كد تفصيلي]],'درجریان وصول'!A:A,0)),0)</f>
        <v>0</v>
      </c>
      <c r="E101" s="11">
        <f>IFERROR(INDEX('چکهای دریافتنی'!F:F,MATCH(Table22[[#This Row],[كد تفصيلي]],'چکهای دریافتنی'!A:A,0)),0)</f>
        <v>0</v>
      </c>
      <c r="F101" s="11">
        <f>Table22[[#This Row],[حسابهای دریافتنی]]+Table22[[#This Row],[چکهای در جریان وصول]]+Table22[[#This Row],[چکهای نزد صندوق]]</f>
        <v>-244000</v>
      </c>
      <c r="G101" s="12">
        <f>IFERROR(INDEX('مانده سوفاله'!F:F,MATCH(Table22[[#This Row],[كد تفصيلي]],'مانده سوفاله'!A:A,0)),0)</f>
        <v>0</v>
      </c>
    </row>
    <row r="102" spans="1:7" ht="18" customHeight="1" x14ac:dyDescent="0.3">
      <c r="A102" s="26">
        <v>30088</v>
      </c>
      <c r="B102" s="24" t="s">
        <v>142</v>
      </c>
      <c r="C102" s="10">
        <f>IFERROR(INDEX('حسابهای دریافتنی'!H:H,MATCH(Table22[[#This Row],[كد تفصيلي]],'حسابهای دریافتنی'!A:A,0)),0)</f>
        <v>-252000</v>
      </c>
      <c r="D102" s="17">
        <f>IFERROR(INDEX('درجریان وصول'!F:F,MATCH(Table22[[#This Row],[كد تفصيلي]],'درجریان وصول'!A:A,0)),0)</f>
        <v>0</v>
      </c>
      <c r="E102" s="17">
        <f>IFERROR(INDEX('چکهای دریافتنی'!F:F,MATCH(Table22[[#This Row],[كد تفصيلي]],'چکهای دریافتنی'!A:A,0)),0)</f>
        <v>0</v>
      </c>
      <c r="F102" s="17">
        <f>Table22[[#This Row],[حسابهای دریافتنی]]+Table22[[#This Row],[چکهای در جریان وصول]]+Table22[[#This Row],[چکهای نزد صندوق]]</f>
        <v>-252000</v>
      </c>
      <c r="G102" s="12">
        <f>IFERROR(INDEX('مانده سوفاله'!F:F,MATCH(Table22[[#This Row],[كد تفصيلي]],'مانده سوفاله'!A:A,0)),0)</f>
        <v>0</v>
      </c>
    </row>
    <row r="103" spans="1:7" ht="18" customHeight="1" x14ac:dyDescent="0.3">
      <c r="A103" s="27">
        <v>10052</v>
      </c>
      <c r="B103" s="25" t="s">
        <v>192</v>
      </c>
      <c r="C103" s="10">
        <f>IFERROR(INDEX('حسابهای دریافتنی'!H:H,MATCH(Table22[[#This Row],[كد تفصيلي]],'حسابهای دریافتنی'!A:A,0)),0)</f>
        <v>0</v>
      </c>
      <c r="D103" s="10">
        <f>IFERROR(INDEX('درجریان وصول'!F:F,MATCH(Table22[[#This Row],[كد تفصيلي]],'درجریان وصول'!A:A,0)),0)</f>
        <v>0</v>
      </c>
      <c r="E103" s="10">
        <v>0</v>
      </c>
      <c r="F103" s="10">
        <f>Table22[[#This Row],[حسابهای دریافتنی]]+Table22[[#This Row],[چکهای در جریان وصول]]+Table22[[#This Row],[چکهای نزد صندوق]]</f>
        <v>0</v>
      </c>
      <c r="G103" s="12">
        <f>IFERROR(INDEX('مانده سوفاله'!F:F,MATCH(Table22[[#This Row],[كد تفصيلي]],'مانده سوفاله'!A:A,0)),0)</f>
        <v>0</v>
      </c>
    </row>
    <row r="104" spans="1:7" ht="18" customHeight="1" x14ac:dyDescent="0.3">
      <c r="A104" s="26">
        <v>10045</v>
      </c>
      <c r="B104" s="24" t="s">
        <v>50</v>
      </c>
      <c r="C104" s="10">
        <f>IFERROR(INDEX('حسابهای دریافتنی'!H:H,MATCH(Table22[[#This Row],[كد تفصيلي]],'حسابهای دریافتنی'!A:A,0)),0)</f>
        <v>-383000</v>
      </c>
      <c r="D104" s="10">
        <f>IFERROR(INDEX('درجریان وصول'!F:F,MATCH(Table22[[#This Row],[كد تفصيلي]],'درجریان وصول'!A:A,0)),0)</f>
        <v>0</v>
      </c>
      <c r="E104" s="10">
        <f>IFERROR(INDEX('چکهای دریافتنی'!F:F,MATCH(Table22[[#This Row],[كد تفصيلي]],'چکهای دریافتنی'!A:A,0)),0)</f>
        <v>0</v>
      </c>
      <c r="F104" s="10">
        <f>Table22[[#This Row],[حسابهای دریافتنی]]+Table22[[#This Row],[چکهای در جریان وصول]]+Table22[[#This Row],[چکهای نزد صندوق]]</f>
        <v>-383000</v>
      </c>
      <c r="G104" s="12">
        <f>IFERROR(INDEX('مانده سوفاله'!F:F,MATCH(Table22[[#This Row],[كد تفصيلي]],'مانده سوفاله'!A:A,0)),0)</f>
        <v>-30</v>
      </c>
    </row>
    <row r="105" spans="1:7" ht="18" customHeight="1" x14ac:dyDescent="0.3">
      <c r="A105" s="26">
        <v>30051</v>
      </c>
      <c r="B105" s="24" t="s">
        <v>98</v>
      </c>
      <c r="C105" s="10">
        <f>IFERROR(INDEX('حسابهای دریافتنی'!H:H,MATCH(Table22[[#This Row],[كد تفصيلي]],'حسابهای دریافتنی'!A:A,0)),0)</f>
        <v>-384000</v>
      </c>
      <c r="D105" s="17">
        <f>IFERROR(INDEX('درجریان وصول'!F:F,MATCH(Table22[[#This Row],[كد تفصيلي]],'درجریان وصول'!A:A,0)),0)</f>
        <v>0</v>
      </c>
      <c r="E105" s="17">
        <f>IFERROR(INDEX('چکهای دریافتنی'!F:F,MATCH(Table22[[#This Row],[كد تفصيلي]],'چکهای دریافتنی'!A:A,0)),0)</f>
        <v>0</v>
      </c>
      <c r="F105" s="17">
        <f>Table22[[#This Row],[حسابهای دریافتنی]]+Table22[[#This Row],[چکهای در جریان وصول]]+Table22[[#This Row],[چکهای نزد صندوق]]</f>
        <v>-384000</v>
      </c>
      <c r="G105" s="12">
        <f>IFERROR(INDEX('مانده سوفاله'!F:F,MATCH(Table22[[#This Row],[كد تفصيلي]],'مانده سوفاله'!A:A,0)),0)</f>
        <v>0</v>
      </c>
    </row>
    <row r="106" spans="1:7" ht="18" customHeight="1" x14ac:dyDescent="0.3">
      <c r="A106" s="27">
        <v>10072</v>
      </c>
      <c r="B106" s="25" t="s">
        <v>177</v>
      </c>
      <c r="C106" s="10">
        <f>IFERROR(INDEX('حسابهای دریافتنی'!H:H,MATCH(Table22[[#This Row],[كد تفصيلي]],'حسابهای دریافتنی'!A:A,0)),0)</f>
        <v>55880</v>
      </c>
      <c r="D106" s="11">
        <f>IFERROR(INDEX('درجریان وصول'!F:F,MATCH(Table22[[#This Row],[كد تفصيلي]],'درجریان وصول'!A:A,0)),0)</f>
        <v>0</v>
      </c>
      <c r="E106" s="11">
        <f>IFERROR(INDEX('چکهای دریافتنی'!F:F,MATCH(Table22[[#This Row],[كد تفصيلي]],'چکهای دریافتنی'!A:A,0)),0)</f>
        <v>427700000</v>
      </c>
      <c r="F106" s="11">
        <f>Table22[[#This Row],[حسابهای دریافتنی]]+Table22[[#This Row],[چکهای در جریان وصول]]+Table22[[#This Row],[چکهای نزد صندوق]]</f>
        <v>427755880</v>
      </c>
      <c r="G106" s="12">
        <f>IFERROR(INDEX('مانده سوفاله'!F:F,MATCH(Table22[[#This Row],[كد تفصيلي]],'مانده سوفاله'!A:A,0)),0)</f>
        <v>0</v>
      </c>
    </row>
    <row r="107" spans="1:7" ht="18" customHeight="1" x14ac:dyDescent="0.3">
      <c r="A107" s="27">
        <v>30044</v>
      </c>
      <c r="B107" s="25" t="s">
        <v>91</v>
      </c>
      <c r="C107" s="10">
        <f>IFERROR(INDEX('حسابهای دریافتنی'!H:H,MATCH(Table22[[#This Row],[كد تفصيلي]],'حسابهای دریافتنی'!A:A,0)),0)</f>
        <v>-492500</v>
      </c>
      <c r="D107" s="17">
        <f>IFERROR(INDEX('درجریان وصول'!F:F,MATCH(Table22[[#This Row],[كد تفصيلي]],'درجریان وصول'!A:A,0)),0)</f>
        <v>0</v>
      </c>
      <c r="E107" s="17">
        <f>IFERROR(INDEX('چکهای دریافتنی'!F:F,MATCH(Table22[[#This Row],[كد تفصيلي]],'چکهای دریافتنی'!A:A,0)),0)</f>
        <v>0</v>
      </c>
      <c r="F107" s="17">
        <f>Table22[[#This Row],[حسابهای دریافتنی]]+Table22[[#This Row],[چکهای در جریان وصول]]+Table22[[#This Row],[چکهای نزد صندوق]]</f>
        <v>-492500</v>
      </c>
      <c r="G107" s="12">
        <f>IFERROR(INDEX('مانده سوفاله'!F:F,MATCH(Table22[[#This Row],[كد تفصيلي]],'مانده سوفاله'!A:A,0)),0)</f>
        <v>2</v>
      </c>
    </row>
    <row r="108" spans="1:7" ht="18" customHeight="1" x14ac:dyDescent="0.3">
      <c r="A108" s="26">
        <v>10095</v>
      </c>
      <c r="B108" s="24" t="s">
        <v>268</v>
      </c>
      <c r="C108" s="10">
        <f>IFERROR(INDEX('حسابهای دریافتنی'!H:H,MATCH(Table22[[#This Row],[كد تفصيلي]],'حسابهای دریافتنی'!A:A,0)),0)</f>
        <v>-496500</v>
      </c>
      <c r="D108" s="10">
        <f>IFERROR(INDEX('درجریان وصول'!F:F,MATCH(Table22[[#This Row],[كد تفصيلي]],'درجریان وصول'!A:A,0)),0)</f>
        <v>0</v>
      </c>
      <c r="E108" s="10">
        <f>IFERROR(INDEX('چکهای دریافتنی'!F:F,MATCH(Table22[[#This Row],[كد تفصيلي]],'چکهای دریافتنی'!A:A,0)),0)</f>
        <v>0</v>
      </c>
      <c r="F108" s="10">
        <f>Table22[[#This Row],[حسابهای دریافتنی]]+Table22[[#This Row],[چکهای در جریان وصول]]+Table22[[#This Row],[چکهای نزد صندوق]]</f>
        <v>-496500</v>
      </c>
      <c r="G108" s="12">
        <f>IFERROR(INDEX('مانده سوفاله'!F:F,MATCH(Table22[[#This Row],[كد تفصيلي]],'مانده سوفاله'!A:A,0)),0)</f>
        <v>0</v>
      </c>
    </row>
    <row r="109" spans="1:7" ht="18" customHeight="1" x14ac:dyDescent="0.3">
      <c r="A109" s="27">
        <v>30052</v>
      </c>
      <c r="B109" s="25" t="s">
        <v>149</v>
      </c>
      <c r="C109" s="10">
        <f>IFERROR(INDEX('حسابهای دریافتنی'!H:H,MATCH(Table22[[#This Row],[كد تفصيلي]],'حسابهای دریافتنی'!A:A,0)),0)</f>
        <v>-539000</v>
      </c>
      <c r="D109" s="10">
        <f>IFERROR(INDEX('درجریان وصول'!F:F,MATCH(Table22[[#This Row],[كد تفصيلي]],'درجریان وصول'!A:A,0)),0)</f>
        <v>0</v>
      </c>
      <c r="E109" s="10">
        <f>IFERROR(INDEX('چکهای دریافتنی'!F:F,MATCH(Table22[[#This Row],[كد تفصيلي]],'چکهای دریافتنی'!A:A,0)),0)</f>
        <v>0</v>
      </c>
      <c r="F109" s="10">
        <f>Table22[[#This Row],[حسابهای دریافتنی]]+Table22[[#This Row],[چکهای در جریان وصول]]+Table22[[#This Row],[چکهای نزد صندوق]]</f>
        <v>-539000</v>
      </c>
      <c r="G109" s="12">
        <f>IFERROR(INDEX('مانده سوفاله'!F:F,MATCH(Table22[[#This Row],[كد تفصيلي]],'مانده سوفاله'!A:A,0)),0)</f>
        <v>0</v>
      </c>
    </row>
    <row r="110" spans="1:7" ht="18" customHeight="1" x14ac:dyDescent="0.3">
      <c r="A110" s="26">
        <v>10061</v>
      </c>
      <c r="B110" s="24" t="s">
        <v>194</v>
      </c>
      <c r="C110" s="10">
        <f>IFERROR(INDEX('حسابهای دریافتنی'!H:H,MATCH(Table22[[#This Row],[كد تفصيلي]],'حسابهای دریافتنی'!A:A,0)),0)</f>
        <v>-565500</v>
      </c>
      <c r="D110" s="11">
        <f>IFERROR(INDEX('درجریان وصول'!F:F,MATCH(Table22[[#This Row],[كد تفصيلي]],'درجریان وصول'!A:A,0)),0)</f>
        <v>0</v>
      </c>
      <c r="E110" s="11">
        <f>IFERROR(INDEX('چکهای دریافتنی'!F:F,MATCH(Table22[[#This Row],[كد تفصيلي]],'چکهای دریافتنی'!A:A,0)),0)</f>
        <v>0</v>
      </c>
      <c r="F110" s="11">
        <f>Table22[[#This Row],[حسابهای دریافتنی]]+Table22[[#This Row],[چکهای در جریان وصول]]+Table22[[#This Row],[چکهای نزد صندوق]]</f>
        <v>-565500</v>
      </c>
      <c r="G110" s="12">
        <f>IFERROR(INDEX('مانده سوفاله'!F:F,MATCH(Table22[[#This Row],[كد تفصيلي]],'مانده سوفاله'!A:A,0)),0)</f>
        <v>0</v>
      </c>
    </row>
    <row r="111" spans="1:7" ht="18" customHeight="1" x14ac:dyDescent="0.3">
      <c r="A111" s="26">
        <v>10118</v>
      </c>
      <c r="B111" s="24" t="s">
        <v>350</v>
      </c>
      <c r="C111" s="10">
        <f>IFERROR(INDEX('حسابهای دریافتنی'!H:H,MATCH(Table22[[#This Row],[كد تفصيلي]],'حسابهای دریافتنی'!A:A,0)),0)</f>
        <v>-587500</v>
      </c>
      <c r="D111" s="17">
        <f>IFERROR(INDEX('درجریان وصول'!F:F,MATCH(Table22[[#This Row],[كد تفصيلي]],'درجریان وصول'!A:A,0)),0)</f>
        <v>0</v>
      </c>
      <c r="E111" s="17">
        <f>IFERROR(INDEX('چکهای دریافتنی'!F:F,MATCH(Table22[[#This Row],[كد تفصيلي]],'چکهای دریافتنی'!A:A,0)),0)</f>
        <v>0</v>
      </c>
      <c r="F111" s="17">
        <f>Table22[[#This Row],[حسابهای دریافتنی]]+Table22[[#This Row],[چکهای در جریان وصول]]+Table22[[#This Row],[چکهای نزد صندوق]]</f>
        <v>-587500</v>
      </c>
      <c r="G111" s="12">
        <f>IFERROR(INDEX('مانده سوفاله'!F:F,MATCH(Table22[[#This Row],[كد تفصيلي]],'مانده سوفاله'!A:A,0)),0)</f>
        <v>0</v>
      </c>
    </row>
    <row r="112" spans="1:7" ht="18" customHeight="1" x14ac:dyDescent="0.3">
      <c r="A112" s="27">
        <v>10018</v>
      </c>
      <c r="B112" s="25" t="s">
        <v>25</v>
      </c>
      <c r="C112" s="10">
        <f>IFERROR(INDEX('حسابهای دریافتنی'!H:H,MATCH(Table22[[#This Row],[كد تفصيلي]],'حسابهای دریافتنی'!A:A,0)),0)</f>
        <v>95282000</v>
      </c>
      <c r="D112" s="11">
        <f>IFERROR(INDEX('درجریان وصول'!F:F,MATCH(Table22[[#This Row],[كد تفصيلي]],'درجریان وصول'!A:A,0)),0)</f>
        <v>0</v>
      </c>
      <c r="E112" s="11">
        <f>IFERROR(INDEX('چکهای دریافتنی'!F:F,MATCH(Table22[[#This Row],[كد تفصيلي]],'چکهای دریافتنی'!A:A,0)),0)</f>
        <v>0</v>
      </c>
      <c r="F112" s="11">
        <f>Table22[[#This Row],[حسابهای دریافتنی]]+Table22[[#This Row],[چکهای در جریان وصول]]+Table22[[#This Row],[چکهای نزد صندوق]]</f>
        <v>95282000</v>
      </c>
      <c r="G112" s="12">
        <f>IFERROR(INDEX('مانده سوفاله'!F:F,MATCH(Table22[[#This Row],[كد تفصيلي]],'مانده سوفاله'!A:A,0)),0)</f>
        <v>-32</v>
      </c>
    </row>
    <row r="113" spans="1:7" ht="18" customHeight="1" x14ac:dyDescent="0.3">
      <c r="A113" s="26">
        <v>30112</v>
      </c>
      <c r="B113" s="24" t="s">
        <v>201</v>
      </c>
      <c r="C113" s="10">
        <f>IFERROR(INDEX('حسابهای دریافتنی'!H:H,MATCH(Table22[[#This Row],[كد تفصيلي]],'حسابهای دریافتنی'!A:A,0)),0)</f>
        <v>-720500</v>
      </c>
      <c r="D113" s="17">
        <f>IFERROR(INDEX('درجریان وصول'!F:F,MATCH(Table22[[#This Row],[كد تفصيلي]],'درجریان وصول'!A:A,0)),0)</f>
        <v>0</v>
      </c>
      <c r="E113" s="17">
        <f>IFERROR(INDEX('چکهای دریافتنی'!F:F,MATCH(Table22[[#This Row],[كد تفصيلي]],'چکهای دریافتنی'!A:A,0)),0)</f>
        <v>0</v>
      </c>
      <c r="F113" s="17">
        <f>Table22[[#This Row],[حسابهای دریافتنی]]+Table22[[#This Row],[چکهای در جریان وصول]]+Table22[[#This Row],[چکهای نزد صندوق]]</f>
        <v>-720500</v>
      </c>
      <c r="G113" s="12">
        <f>IFERROR(INDEX('مانده سوفاله'!F:F,MATCH(Table22[[#This Row],[كد تفصيلي]],'مانده سوفاله'!A:A,0)),0)</f>
        <v>36</v>
      </c>
    </row>
    <row r="114" spans="1:7" ht="18" customHeight="1" x14ac:dyDescent="0.3">
      <c r="A114" s="26">
        <v>10013</v>
      </c>
      <c r="B114" s="24" t="s">
        <v>20</v>
      </c>
      <c r="C114" s="10">
        <f>IFERROR(INDEX('حسابهای دریافتنی'!H:H,MATCH(Table22[[#This Row],[كد تفصيلي]],'حسابهای دریافتنی'!A:A,0)),0)</f>
        <v>-915000</v>
      </c>
      <c r="D114" s="10">
        <f>IFERROR(INDEX('درجریان وصول'!F:F,MATCH(Table22[[#This Row],[كد تفصيلي]],'درجریان وصول'!A:A,0)),0)</f>
        <v>0</v>
      </c>
      <c r="E114" s="10">
        <v>0</v>
      </c>
      <c r="F114" s="10">
        <f>Table22[[#This Row],[حسابهای دریافتنی]]+Table22[[#This Row],[چکهای در جریان وصول]]+Table22[[#This Row],[چکهای نزد صندوق]]</f>
        <v>-915000</v>
      </c>
      <c r="G114" s="12">
        <f>IFERROR(INDEX('مانده سوفاله'!F:F,MATCH(Table22[[#This Row],[كد تفصيلي]],'مانده سوفاله'!A:A,0)),0)</f>
        <v>0</v>
      </c>
    </row>
    <row r="115" spans="1:7" ht="18" customHeight="1" x14ac:dyDescent="0.3">
      <c r="A115" s="27">
        <v>10042</v>
      </c>
      <c r="B115" s="25" t="s">
        <v>47</v>
      </c>
      <c r="C115" s="10">
        <f>IFERROR(INDEX('حسابهای دریافتنی'!H:H,MATCH(Table22[[#This Row],[كد تفصيلي]],'حسابهای دریافتنی'!A:A,0)),0)</f>
        <v>-1120000</v>
      </c>
      <c r="D115" s="11">
        <f>IFERROR(INDEX('درجریان وصول'!F:F,MATCH(Table22[[#This Row],[كد تفصيلي]],'درجریان وصول'!A:A,0)),0)</f>
        <v>0</v>
      </c>
      <c r="E115" s="11">
        <f>IFERROR(INDEX('چکهای دریافتنی'!F:F,MATCH(Table22[[#This Row],[كد تفصيلي]],'چکهای دریافتنی'!A:A,0)),0)</f>
        <v>0</v>
      </c>
      <c r="F115" s="11">
        <f>Table22[[#This Row],[حسابهای دریافتنی]]+Table22[[#This Row],[چکهای در جریان وصول]]+Table22[[#This Row],[چکهای نزد صندوق]]</f>
        <v>-1120000</v>
      </c>
      <c r="G115" s="12">
        <f>IFERROR(INDEX('مانده سوفاله'!F:F,MATCH(Table22[[#This Row],[كد تفصيلي]],'مانده سوفاله'!A:A,0)),0)</f>
        <v>2</v>
      </c>
    </row>
    <row r="116" spans="1:7" ht="18" customHeight="1" x14ac:dyDescent="0.3">
      <c r="A116" s="27">
        <v>30032</v>
      </c>
      <c r="B116" s="25" t="s">
        <v>79</v>
      </c>
      <c r="C116" s="10">
        <f>IFERROR(INDEX('حسابهای دریافتنی'!H:H,MATCH(Table22[[#This Row],[كد تفصيلي]],'حسابهای دریافتنی'!A:A,0)),0)</f>
        <v>-1347000</v>
      </c>
      <c r="D116" s="10">
        <f>IFERROR(INDEX('درجریان وصول'!F:F,MATCH(Table22[[#This Row],[كد تفصيلي]],'درجریان وصول'!A:A,0)),0)</f>
        <v>0</v>
      </c>
      <c r="E116" s="10">
        <f>IFERROR(INDEX('چکهای دریافتنی'!F:F,MATCH(Table22[[#This Row],[كد تفصيلي]],'چکهای دریافتنی'!A:A,0)),0)</f>
        <v>0</v>
      </c>
      <c r="F116" s="10">
        <f>Table22[[#This Row],[حسابهای دریافتنی]]+Table22[[#This Row],[چکهای در جریان وصول]]+Table22[[#This Row],[چکهای نزد صندوق]]</f>
        <v>-1347000</v>
      </c>
      <c r="G116" s="12">
        <f>IFERROR(INDEX('مانده سوفاله'!F:F,MATCH(Table22[[#This Row],[كد تفصيلي]],'مانده سوفاله'!A:A,0)),0)</f>
        <v>0</v>
      </c>
    </row>
    <row r="117" spans="1:7" ht="18" customHeight="1" x14ac:dyDescent="0.3">
      <c r="A117" s="26">
        <v>30171</v>
      </c>
      <c r="B117" s="24" t="s">
        <v>360</v>
      </c>
      <c r="C117" s="10">
        <f>IFERROR(INDEX('حسابهای دریافتنی'!H:H,MATCH(Table22[[#This Row],[كد تفصيلي]],'حسابهای دریافتنی'!A:A,0)),0)</f>
        <v>-1500000</v>
      </c>
      <c r="D117" s="17">
        <f>IFERROR(INDEX('درجریان وصول'!F:F,MATCH(Table22[[#This Row],[كد تفصيلي]],'درجریان وصول'!A:A,0)),0)</f>
        <v>0</v>
      </c>
      <c r="E117" s="17">
        <f>IFERROR(INDEX('چکهای دریافتنی'!F:F,MATCH(Table22[[#This Row],[كد تفصيلي]],'چکهای دریافتنی'!A:A,0)),0)</f>
        <v>0</v>
      </c>
      <c r="F117" s="17">
        <f>Table22[[#This Row],[حسابهای دریافتنی]]+Table22[[#This Row],[چکهای در جریان وصول]]+Table22[[#This Row],[چکهای نزد صندوق]]</f>
        <v>-1500000</v>
      </c>
      <c r="G117" s="12">
        <f>IFERROR(INDEX('مانده سوفاله'!F:F,MATCH(Table22[[#This Row],[كد تفصيلي]],'مانده سوفاله'!A:A,0)),0)</f>
        <v>0</v>
      </c>
    </row>
    <row r="118" spans="1:7" ht="18" customHeight="1" x14ac:dyDescent="0.3">
      <c r="A118" s="26">
        <v>10103</v>
      </c>
      <c r="B118" s="24" t="s">
        <v>283</v>
      </c>
      <c r="C118" s="10">
        <f>IFERROR(INDEX('حسابهای دریافتنی'!H:H,MATCH(Table22[[#This Row],[كد تفصيلي]],'حسابهای دریافتنی'!A:A,0)),0)</f>
        <v>-1580000</v>
      </c>
      <c r="D118" s="10">
        <f>IFERROR(INDEX('درجریان وصول'!F:F,MATCH(Table22[[#This Row],[كد تفصيلي]],'درجریان وصول'!A:A,0)),0)</f>
        <v>0</v>
      </c>
      <c r="E118" s="10">
        <f>IFERROR(INDEX('چکهای دریافتنی'!F:F,MATCH(Table22[[#This Row],[كد تفصيلي]],'چکهای دریافتنی'!A:A,0)),0)</f>
        <v>0</v>
      </c>
      <c r="F118" s="10">
        <f>Table22[[#This Row],[حسابهای دریافتنی]]+Table22[[#This Row],[چکهای در جریان وصول]]+Table22[[#This Row],[چکهای نزد صندوق]]</f>
        <v>-1580000</v>
      </c>
      <c r="G118" s="12">
        <f>IFERROR(INDEX('مانده سوفاله'!F:F,MATCH(Table22[[#This Row],[كد تفصيلي]],'مانده سوفاله'!A:A,0)),0)</f>
        <v>0</v>
      </c>
    </row>
    <row r="119" spans="1:7" ht="18" customHeight="1" x14ac:dyDescent="0.3">
      <c r="A119" s="27">
        <v>30103</v>
      </c>
      <c r="B119" s="25" t="s">
        <v>240</v>
      </c>
      <c r="C119" s="10">
        <f>IFERROR(INDEX('حسابهای دریافتنی'!H:H,MATCH(Table22[[#This Row],[كد تفصيلي]],'حسابهای دریافتنی'!A:A,0)),0)</f>
        <v>-1820000</v>
      </c>
      <c r="D119" s="10">
        <f>IFERROR(INDEX('درجریان وصول'!F:F,MATCH(Table22[[#This Row],[كد تفصيلي]],'درجریان وصول'!A:A,0)),0)</f>
        <v>0</v>
      </c>
      <c r="E119" s="10">
        <f>IFERROR(INDEX('چکهای دریافتنی'!F:F,MATCH(Table22[[#This Row],[كد تفصيلي]],'چکهای دریافتنی'!A:A,0)),0)</f>
        <v>0</v>
      </c>
      <c r="F119" s="10">
        <f>Table22[[#This Row],[حسابهای دریافتنی]]+Table22[[#This Row],[چکهای در جریان وصول]]+Table22[[#This Row],[چکهای نزد صندوق]]</f>
        <v>-1820000</v>
      </c>
      <c r="G119" s="12">
        <f>IFERROR(INDEX('مانده سوفاله'!F:F,MATCH(Table22[[#This Row],[كد تفصيلي]],'مانده سوفاله'!A:A,0)),0)</f>
        <v>0</v>
      </c>
    </row>
    <row r="120" spans="1:7" ht="18" customHeight="1" x14ac:dyDescent="0.3">
      <c r="A120" s="26">
        <v>30174</v>
      </c>
      <c r="B120" s="24" t="s">
        <v>361</v>
      </c>
      <c r="C120" s="10">
        <f>IFERROR(INDEX('حسابهای دریافتنی'!H:H,MATCH(Table22[[#This Row],[كد تفصيلي]],'حسابهای دریافتنی'!A:A,0)),0)</f>
        <v>-5000</v>
      </c>
      <c r="D120" s="11">
        <f>IFERROR(INDEX('درجریان وصول'!F:F,MATCH(Table22[[#This Row],[كد تفصيلي]],'درجریان وصول'!A:A,0)),0)</f>
        <v>0</v>
      </c>
      <c r="E120" s="11">
        <f>IFERROR(INDEX('چکهای دریافتنی'!F:F,MATCH(Table22[[#This Row],[كد تفصيلي]],'چکهای دریافتنی'!A:A,0)),0)</f>
        <v>0</v>
      </c>
      <c r="F120" s="11">
        <f>Table22[[#This Row],[حسابهای دریافتنی]]+Table22[[#This Row],[چکهای در جریان وصول]]+Table22[[#This Row],[چکهای نزد صندوق]]</f>
        <v>-5000</v>
      </c>
      <c r="G120" s="12">
        <f>IFERROR(INDEX('مانده سوفاله'!F:F,MATCH(Table22[[#This Row],[كد تفصيلي]],'مانده سوفاله'!A:A,0)),0)</f>
        <v>0</v>
      </c>
    </row>
    <row r="121" spans="1:7" ht="18" customHeight="1" x14ac:dyDescent="0.3">
      <c r="A121" s="26">
        <v>30128</v>
      </c>
      <c r="B121" s="24" t="s">
        <v>212</v>
      </c>
      <c r="C121" s="10">
        <f>IFERROR(INDEX('حسابهای دریافتنی'!H:H,MATCH(Table22[[#This Row],[كد تفصيلي]],'حسابهای دریافتنی'!A:A,0)),0)</f>
        <v>-2451320</v>
      </c>
      <c r="D121" s="10">
        <f>IFERROR(INDEX('درجریان وصول'!F:F,MATCH(Table22[[#This Row],[كد تفصيلي]],'درجریان وصول'!A:A,0)),0)</f>
        <v>0</v>
      </c>
      <c r="E121" s="10">
        <f>IFERROR(INDEX('چکهای دریافتنی'!F:F,MATCH(Table22[[#This Row],[كد تفصيلي]],'چکهای دریافتنی'!A:A,0)),0)</f>
        <v>0</v>
      </c>
      <c r="F121" s="10">
        <f>Table22[[#This Row],[حسابهای دریافتنی]]+Table22[[#This Row],[چکهای در جریان وصول]]+Table22[[#This Row],[چکهای نزد صندوق]]</f>
        <v>-2451320</v>
      </c>
      <c r="G121" s="12">
        <f>IFERROR(INDEX('مانده سوفاله'!F:F,MATCH(Table22[[#This Row],[كد تفصيلي]],'مانده سوفاله'!A:A,0)),0)</f>
        <v>0</v>
      </c>
    </row>
    <row r="122" spans="1:7" ht="18" customHeight="1" x14ac:dyDescent="0.3">
      <c r="A122" s="27">
        <v>10084</v>
      </c>
      <c r="B122" s="25" t="s">
        <v>217</v>
      </c>
      <c r="C122" s="10">
        <f>IFERROR(INDEX('حسابهای دریافتنی'!H:H,MATCH(Table22[[#This Row],[كد تفصيلي]],'حسابهای دریافتنی'!A:A,0)),0)</f>
        <v>358092810</v>
      </c>
      <c r="D122" s="10">
        <f>IFERROR(INDEX('درجریان وصول'!F:F,MATCH(Table22[[#This Row],[كد تفصيلي]],'درجریان وصول'!A:A,0)),0)</f>
        <v>0</v>
      </c>
      <c r="E122" s="10">
        <f>IFERROR(INDEX('چکهای دریافتنی'!F:F,MATCH(Table22[[#This Row],[كد تفصيلي]],'چکهای دریافتنی'!A:A,0)),0)</f>
        <v>870000000</v>
      </c>
      <c r="F122" s="10">
        <f>Table22[[#This Row],[حسابهای دریافتنی]]+Table22[[#This Row],[چکهای در جریان وصول]]+Table22[[#This Row],[چکهای نزد صندوق]]</f>
        <v>1228092810</v>
      </c>
      <c r="G122" s="12">
        <f>IFERROR(INDEX('مانده سوفاله'!F:F,MATCH(Table22[[#This Row],[كد تفصيلي]],'مانده سوفاله'!A:A,0)),0)</f>
        <v>-1656</v>
      </c>
    </row>
    <row r="123" spans="1:7" ht="18" customHeight="1" x14ac:dyDescent="0.3">
      <c r="A123" s="26">
        <v>30015</v>
      </c>
      <c r="B123" s="24" t="s">
        <v>64</v>
      </c>
      <c r="C123" s="10">
        <f>IFERROR(INDEX('حسابهای دریافتنی'!H:H,MATCH(Table22[[#This Row],[كد تفصيلي]],'حسابهای دریافتنی'!A:A,0)),0)</f>
        <v>-3105895</v>
      </c>
      <c r="D123" s="17">
        <f>IFERROR(INDEX('درجریان وصول'!F:F,MATCH(Table22[[#This Row],[كد تفصيلي]],'درجریان وصول'!A:A,0)),0)</f>
        <v>0</v>
      </c>
      <c r="E123" s="17">
        <f>IFERROR(INDEX('چکهای دریافتنی'!F:F,MATCH(Table22[[#This Row],[كد تفصيلي]],'چکهای دریافتنی'!A:A,0)),0)</f>
        <v>0</v>
      </c>
      <c r="F123" s="17">
        <f>Table22[[#This Row],[حسابهای دریافتنی]]+Table22[[#This Row],[چکهای در جریان وصول]]+Table22[[#This Row],[چکهای نزد صندوق]]</f>
        <v>-3105895</v>
      </c>
      <c r="G123" s="12">
        <f>IFERROR(INDEX('مانده سوفاله'!F:F,MATCH(Table22[[#This Row],[كد تفصيلي]],'مانده سوفاله'!A:A,0)),0)</f>
        <v>0</v>
      </c>
    </row>
    <row r="124" spans="1:7" ht="18" customHeight="1" x14ac:dyDescent="0.3">
      <c r="A124" s="26">
        <v>30110</v>
      </c>
      <c r="B124" s="24" t="s">
        <v>200</v>
      </c>
      <c r="C124" s="10">
        <f>IFERROR(INDEX('حسابهای دریافتنی'!H:H,MATCH(Table22[[#This Row],[كد تفصيلي]],'حسابهای دریافتنی'!A:A,0)),0)</f>
        <v>-3492360</v>
      </c>
      <c r="D124" s="17">
        <f>IFERROR(INDEX('درجریان وصول'!F:F,MATCH(Table22[[#This Row],[كد تفصيلي]],'درجریان وصول'!A:A,0)),0)</f>
        <v>0</v>
      </c>
      <c r="E124" s="17">
        <f>IFERROR(INDEX('چکهای دریافتنی'!F:F,MATCH(Table22[[#This Row],[كد تفصيلي]],'چکهای دریافتنی'!A:A,0)),0)</f>
        <v>0</v>
      </c>
      <c r="F124" s="17">
        <f>Table22[[#This Row],[حسابهای دریافتنی]]+Table22[[#This Row],[چکهای در جریان وصول]]+Table22[[#This Row],[چکهای نزد صندوق]]</f>
        <v>-3492360</v>
      </c>
      <c r="G124" s="12">
        <f>IFERROR(INDEX('مانده سوفاله'!F:F,MATCH(Table22[[#This Row],[كد تفصيلي]],'مانده سوفاله'!A:A,0)),0)</f>
        <v>0</v>
      </c>
    </row>
    <row r="125" spans="1:7" ht="18" customHeight="1" x14ac:dyDescent="0.3">
      <c r="A125" s="26">
        <v>10049</v>
      </c>
      <c r="B125" s="24" t="s">
        <v>157</v>
      </c>
      <c r="C125" s="10">
        <f>IFERROR(INDEX('حسابهای دریافتنی'!H:H,MATCH(Table22[[#This Row],[كد تفصيلي]],'حسابهای دریافتنی'!A:A,0)),0)</f>
        <v>-32909500</v>
      </c>
      <c r="D125" s="11">
        <f>IFERROR(INDEX('درجریان وصول'!F:F,MATCH(Table22[[#This Row],[كد تفصيلي]],'درجریان وصول'!A:A,0)),0)</f>
        <v>0</v>
      </c>
      <c r="E125" s="11">
        <f>IFERROR(INDEX('چکهای دریافتنی'!F:F,MATCH(Table22[[#This Row],[كد تفصيلي]],'چکهای دریافتنی'!A:A,0)),0)</f>
        <v>0</v>
      </c>
      <c r="F125" s="11">
        <f>Table22[[#This Row],[حسابهای دریافتنی]]+Table22[[#This Row],[چکهای در جریان وصول]]+Table22[[#This Row],[چکهای نزد صندوق]]</f>
        <v>-32909500</v>
      </c>
      <c r="G125" s="12">
        <f>IFERROR(INDEX('مانده سوفاله'!F:F,MATCH(Table22[[#This Row],[كد تفصيلي]],'مانده سوفاله'!A:A,0)),0)</f>
        <v>0</v>
      </c>
    </row>
    <row r="126" spans="1:7" ht="18" customHeight="1" x14ac:dyDescent="0.3">
      <c r="A126" s="26">
        <v>30023</v>
      </c>
      <c r="B126" s="24" t="s">
        <v>71</v>
      </c>
      <c r="C126" s="10">
        <f>IFERROR(INDEX('حسابهای دریافتنی'!H:H,MATCH(Table22[[#This Row],[كد تفصيلي]],'حسابهای دریافتنی'!A:A,0)),0)</f>
        <v>-5793600</v>
      </c>
      <c r="D126" s="17">
        <f>IFERROR(INDEX('درجریان وصول'!F:F,MATCH(Table22[[#This Row],[كد تفصيلي]],'درجریان وصول'!A:A,0)),0)</f>
        <v>0</v>
      </c>
      <c r="E126" s="17">
        <f>IFERROR(INDEX('چکهای دریافتنی'!F:F,MATCH(Table22[[#This Row],[كد تفصيلي]],'چکهای دریافتنی'!A:A,0)),0)</f>
        <v>0</v>
      </c>
      <c r="F126" s="17">
        <f>Table22[[#This Row],[حسابهای دریافتنی]]+Table22[[#This Row],[چکهای در جریان وصول]]+Table22[[#This Row],[چکهای نزد صندوق]]</f>
        <v>-5793600</v>
      </c>
      <c r="G126" s="12">
        <f>IFERROR(INDEX('مانده سوفاله'!F:F,MATCH(Table22[[#This Row],[كد تفصيلي]],'مانده سوفاله'!A:A,0)),0)</f>
        <v>0</v>
      </c>
    </row>
    <row r="127" spans="1:7" ht="18" customHeight="1" x14ac:dyDescent="0.3">
      <c r="A127" s="26">
        <v>30176</v>
      </c>
      <c r="B127" s="24" t="s">
        <v>362</v>
      </c>
      <c r="C127" s="10">
        <f>IFERROR(INDEX('حسابهای دریافتنی'!H:H,MATCH(Table22[[#This Row],[كد تفصيلي]],'حسابهای دریافتنی'!A:A,0)),0)</f>
        <v>-7540075</v>
      </c>
      <c r="D127" s="17">
        <f>IFERROR(INDEX('درجریان وصول'!F:F,MATCH(Table22[[#This Row],[كد تفصيلي]],'درجریان وصول'!A:A,0)),0)</f>
        <v>0</v>
      </c>
      <c r="E127" s="17">
        <f>IFERROR(INDEX('چکهای دریافتنی'!F:F,MATCH(Table22[[#This Row],[كد تفصيلي]],'چکهای دریافتنی'!A:A,0)),0)</f>
        <v>0</v>
      </c>
      <c r="F127" s="17">
        <f>Table22[[#This Row],[حسابهای دریافتنی]]+Table22[[#This Row],[چکهای در جریان وصول]]+Table22[[#This Row],[چکهای نزد صندوق]]</f>
        <v>-7540075</v>
      </c>
      <c r="G127" s="12">
        <f>IFERROR(INDEX('مانده سوفاله'!F:F,MATCH(Table22[[#This Row],[كد تفصيلي]],'مانده سوفاله'!A:A,0)),0)</f>
        <v>0</v>
      </c>
    </row>
    <row r="128" spans="1:7" ht="18" customHeight="1" x14ac:dyDescent="0.3">
      <c r="A128" s="26">
        <v>10106</v>
      </c>
      <c r="B128" s="24" t="s">
        <v>346</v>
      </c>
      <c r="C128" s="10">
        <f>IFERROR(INDEX('حسابهای دریافتنی'!H:H,MATCH(Table22[[#This Row],[كد تفصيلي]],'حسابهای دریافتنی'!A:A,0)),0)</f>
        <v>-9134000</v>
      </c>
      <c r="D128" s="17">
        <f>IFERROR(INDEX('درجریان وصول'!F:F,MATCH(Table22[[#This Row],[كد تفصيلي]],'درجریان وصول'!A:A,0)),0)</f>
        <v>0</v>
      </c>
      <c r="E128" s="17">
        <f>IFERROR(INDEX('چکهای دریافتنی'!F:F,MATCH(Table22[[#This Row],[كد تفصيلي]],'چکهای دریافتنی'!A:A,0)),0)</f>
        <v>0</v>
      </c>
      <c r="F128" s="17">
        <f>Table22[[#This Row],[حسابهای دریافتنی]]+Table22[[#This Row],[چکهای در جریان وصول]]+Table22[[#This Row],[چکهای نزد صندوق]]</f>
        <v>-9134000</v>
      </c>
      <c r="G128" s="12">
        <f>IFERROR(INDEX('مانده سوفاله'!F:F,MATCH(Table22[[#This Row],[كد تفصيلي]],'مانده سوفاله'!A:A,0)),0)</f>
        <v>0</v>
      </c>
    </row>
    <row r="129" spans="1:7" ht="18" customHeight="1" x14ac:dyDescent="0.3">
      <c r="A129" s="27">
        <v>10102</v>
      </c>
      <c r="B129" s="25" t="s">
        <v>282</v>
      </c>
      <c r="C129" s="10">
        <f>IFERROR(INDEX('حسابهای دریافتنی'!H:H,MATCH(Table22[[#This Row],[كد تفصيلي]],'حسابهای دریافتنی'!A:A,0)),0)</f>
        <v>-10374000</v>
      </c>
      <c r="D129" s="10">
        <f>IFERROR(INDEX('درجریان وصول'!F:F,MATCH(Table22[[#This Row],[كد تفصيلي]],'درجریان وصول'!A:A,0)),0)</f>
        <v>0</v>
      </c>
      <c r="E129" s="10">
        <f>IFERROR(INDEX('چکهای دریافتنی'!F:F,MATCH(Table22[[#This Row],[كد تفصيلي]],'چکهای دریافتنی'!A:A,0)),0)</f>
        <v>0</v>
      </c>
      <c r="F129" s="10">
        <f>Table22[[#This Row],[حسابهای دریافتنی]]+Table22[[#This Row],[چکهای در جریان وصول]]+Table22[[#This Row],[چکهای نزد صندوق]]</f>
        <v>-10374000</v>
      </c>
      <c r="G129" s="12">
        <f>IFERROR(INDEX('مانده سوفاله'!F:F,MATCH(Table22[[#This Row],[كد تفصيلي]],'مانده سوفاله'!A:A,0)),0)</f>
        <v>0</v>
      </c>
    </row>
    <row r="130" spans="1:7" ht="18" customHeight="1" x14ac:dyDescent="0.3">
      <c r="A130" s="27">
        <v>10058</v>
      </c>
      <c r="B130" s="25" t="s">
        <v>173</v>
      </c>
      <c r="C130" s="10">
        <f>IFERROR(INDEX('حسابهای دریافتنی'!H:H,MATCH(Table22[[#This Row],[كد تفصيلي]],'حسابهای دریافتنی'!A:A,0)),0)</f>
        <v>-13650000</v>
      </c>
      <c r="D130" s="11">
        <f>IFERROR(INDEX('درجریان وصول'!F:F,MATCH(Table22[[#This Row],[كد تفصيلي]],'درجریان وصول'!A:A,0)),0)</f>
        <v>0</v>
      </c>
      <c r="E130" s="11">
        <f>IFERROR(INDEX('چکهای دریافتنی'!F:F,MATCH(Table22[[#This Row],[كد تفصيلي]],'چکهای دریافتنی'!A:A,0)),0)</f>
        <v>0</v>
      </c>
      <c r="F130" s="11">
        <f>Table22[[#This Row],[حسابهای دریافتنی]]+Table22[[#This Row],[چکهای در جریان وصول]]+Table22[[#This Row],[چکهای نزد صندوق]]</f>
        <v>-13650000</v>
      </c>
      <c r="G130" s="12">
        <f>IFERROR(INDEX('مانده سوفاله'!F:F,MATCH(Table22[[#This Row],[كد تفصيلي]],'مانده سوفاله'!A:A,0)),0)</f>
        <v>0</v>
      </c>
    </row>
    <row r="131" spans="1:7" ht="18" customHeight="1" x14ac:dyDescent="0.3">
      <c r="A131" s="26">
        <v>30070</v>
      </c>
      <c r="B131" s="24" t="s">
        <v>115</v>
      </c>
      <c r="C131" s="10">
        <f>IFERROR(INDEX('حسابهای دریافتنی'!H:H,MATCH(Table22[[#This Row],[كد تفصيلي]],'حسابهای دریافتنی'!A:A,0)),0)</f>
        <v>2651728820</v>
      </c>
      <c r="D131" s="17">
        <f>IFERROR(INDEX('درجریان وصول'!F:F,MATCH(Table22[[#This Row],[كد تفصيلي]],'درجریان وصول'!A:A,0)),0)</f>
        <v>0</v>
      </c>
      <c r="E131" s="17">
        <f>IFERROR(INDEX('چکهای دریافتنی'!F:F,MATCH(Table22[[#This Row],[كد تفصيلي]],'چکهای دریافتنی'!A:A,0)),0)</f>
        <v>3660000000</v>
      </c>
      <c r="F131" s="17">
        <f>Table22[[#This Row],[حسابهای دریافتنی]]+Table22[[#This Row],[چکهای در جریان وصول]]+Table22[[#This Row],[چکهای نزد صندوق]]</f>
        <v>6311728820</v>
      </c>
      <c r="G131" s="12">
        <f>IFERROR(INDEX('مانده سوفاله'!F:F,MATCH(Table22[[#This Row],[كد تفصيلي]],'مانده سوفاله'!A:A,0)),0)</f>
        <v>4378</v>
      </c>
    </row>
    <row r="132" spans="1:7" ht="18" customHeight="1" x14ac:dyDescent="0.3">
      <c r="A132" s="26">
        <v>30082</v>
      </c>
      <c r="B132" s="24" t="s">
        <v>127</v>
      </c>
      <c r="C132" s="10">
        <f>IFERROR(INDEX('حسابهای دریافتنی'!H:H,MATCH(Table22[[#This Row],[كد تفصيلي]],'حسابهای دریافتنی'!A:A,0)),0)</f>
        <v>-15037000</v>
      </c>
      <c r="D132" s="11">
        <f>IFERROR(INDEX('درجریان وصول'!F:F,MATCH(Table22[[#This Row],[كد تفصيلي]],'درجریان وصول'!A:A,0)),0)</f>
        <v>0</v>
      </c>
      <c r="E132" s="11">
        <f>IFERROR(INDEX('چکهای دریافتنی'!F:F,MATCH(Table22[[#This Row],[كد تفصيلي]],'چکهای دریافتنی'!A:A,0)),0)</f>
        <v>0</v>
      </c>
      <c r="F132" s="11">
        <f>Table22[[#This Row],[حسابهای دریافتنی]]+Table22[[#This Row],[چکهای در جریان وصول]]+Table22[[#This Row],[چکهای نزد صندوق]]</f>
        <v>-15037000</v>
      </c>
      <c r="G132" s="12">
        <f>IFERROR(INDEX('مانده سوفاله'!F:F,MATCH(Table22[[#This Row],[كد تفصيلي]],'مانده سوفاله'!A:A,0)),0)</f>
        <v>-16</v>
      </c>
    </row>
    <row r="133" spans="1:7" ht="18" customHeight="1" x14ac:dyDescent="0.3">
      <c r="A133" s="27">
        <v>30034</v>
      </c>
      <c r="B133" s="25" t="s">
        <v>81</v>
      </c>
      <c r="C133" s="10">
        <f>IFERROR(INDEX('حسابهای دریافتنی'!H:H,MATCH(Table22[[#This Row],[كد تفصيلي]],'حسابهای دریافتنی'!A:A,0)),0)</f>
        <v>388329200</v>
      </c>
      <c r="D133" s="11">
        <f>IFERROR(INDEX('درجریان وصول'!F:F,MATCH(Table22[[#This Row],[كد تفصيلي]],'درجریان وصول'!A:A,0)),0)</f>
        <v>0</v>
      </c>
      <c r="E133" s="11">
        <f>IFERROR(INDEX('چکهای دریافتنی'!F:F,MATCH(Table22[[#This Row],[كد تفصيلي]],'چکهای دریافتنی'!A:A,0)),0)</f>
        <v>0</v>
      </c>
      <c r="F133" s="11">
        <f>Table22[[#This Row],[حسابهای دریافتنی]]+Table22[[#This Row],[چکهای در جریان وصول]]+Table22[[#This Row],[چکهای نزد صندوق]]</f>
        <v>388329200</v>
      </c>
      <c r="G133" s="12">
        <f>IFERROR(INDEX('مانده سوفاله'!F:F,MATCH(Table22[[#This Row],[كد تفصيلي]],'مانده سوفاله'!A:A,0)),0)</f>
        <v>2886</v>
      </c>
    </row>
    <row r="134" spans="1:7" ht="18" customHeight="1" x14ac:dyDescent="0.3">
      <c r="A134" s="27">
        <v>30042</v>
      </c>
      <c r="B134" s="25" t="s">
        <v>89</v>
      </c>
      <c r="C134" s="10">
        <f>IFERROR(INDEX('حسابهای دریافتنی'!H:H,MATCH(Table22[[#This Row],[كد تفصيلي]],'حسابهای دریافتنی'!A:A,0)),0)</f>
        <v>-18303540</v>
      </c>
      <c r="D134" s="17">
        <f>IFERROR(INDEX('درجریان وصول'!F:F,MATCH(Table22[[#This Row],[كد تفصيلي]],'درجریان وصول'!A:A,0)),0)</f>
        <v>0</v>
      </c>
      <c r="E134" s="17">
        <f>IFERROR(INDEX('چکهای دریافتنی'!F:F,MATCH(Table22[[#This Row],[كد تفصيلي]],'چکهای دریافتنی'!A:A,0)),0)</f>
        <v>0</v>
      </c>
      <c r="F134" s="17">
        <f>Table22[[#This Row],[حسابهای دریافتنی]]+Table22[[#This Row],[چکهای در جریان وصول]]+Table22[[#This Row],[چکهای نزد صندوق]]</f>
        <v>-18303540</v>
      </c>
      <c r="G134" s="12">
        <f>IFERROR(INDEX('مانده سوفاله'!F:F,MATCH(Table22[[#This Row],[كد تفصيلي]],'مانده سوفاله'!A:A,0)),0)</f>
        <v>0</v>
      </c>
    </row>
    <row r="135" spans="1:7" ht="18" customHeight="1" x14ac:dyDescent="0.3">
      <c r="A135" s="27">
        <v>30028</v>
      </c>
      <c r="B135" s="25" t="s">
        <v>76</v>
      </c>
      <c r="C135" s="10">
        <f>IFERROR(INDEX('حسابهای دریافتنی'!H:H,MATCH(Table22[[#This Row],[كد تفصيلي]],'حسابهای دریافتنی'!A:A,0)),0)</f>
        <v>-23665000</v>
      </c>
      <c r="D135" s="17">
        <f>IFERROR(INDEX('درجریان وصول'!F:F,MATCH(Table22[[#This Row],[كد تفصيلي]],'درجریان وصول'!A:A,0)),0)</f>
        <v>0</v>
      </c>
      <c r="E135" s="17">
        <f>IFERROR(INDEX('چکهای دریافتنی'!F:F,MATCH(Table22[[#This Row],[كد تفصيلي]],'چکهای دریافتنی'!A:A,0)),0)</f>
        <v>0</v>
      </c>
      <c r="F135" s="17">
        <f>Table22[[#This Row],[حسابهای دریافتنی]]+Table22[[#This Row],[چکهای در جریان وصول]]+Table22[[#This Row],[چکهای نزد صندوق]]</f>
        <v>-23665000</v>
      </c>
      <c r="G135" s="12">
        <f>IFERROR(INDEX('مانده سوفاله'!F:F,MATCH(Table22[[#This Row],[كد تفصيلي]],'مانده سوفاله'!A:A,0)),0)</f>
        <v>0</v>
      </c>
    </row>
    <row r="136" spans="1:7" ht="18" customHeight="1" x14ac:dyDescent="0.3">
      <c r="A136" s="27">
        <v>30024</v>
      </c>
      <c r="B136" s="25" t="s">
        <v>72</v>
      </c>
      <c r="C136" s="10">
        <f>IFERROR(INDEX('حسابهای دریافتنی'!H:H,MATCH(Table22[[#This Row],[كد تفصيلي]],'حسابهای دریافتنی'!A:A,0)),0)</f>
        <v>16135000</v>
      </c>
      <c r="D136" s="17">
        <f>IFERROR(INDEX('درجریان وصول'!F:F,MATCH(Table22[[#This Row],[كد تفصيلي]],'درجریان وصول'!A:A,0)),0)</f>
        <v>0</v>
      </c>
      <c r="E136" s="17">
        <f>IFERROR(INDEX('چکهای دریافتنی'!F:F,MATCH(Table22[[#This Row],[كد تفصيلي]],'چکهای دریافتنی'!A:A,0)),0)</f>
        <v>0</v>
      </c>
      <c r="F136" s="17">
        <f>Table22[[#This Row],[حسابهای دریافتنی]]+Table22[[#This Row],[چکهای در جریان وصول]]+Table22[[#This Row],[چکهای نزد صندوق]]</f>
        <v>16135000</v>
      </c>
      <c r="G136" s="12">
        <f>IFERROR(INDEX('مانده سوفاله'!F:F,MATCH(Table22[[#This Row],[كد تفصيلي]],'مانده سوفاله'!A:A,0)),0)</f>
        <v>0</v>
      </c>
    </row>
    <row r="137" spans="1:7" ht="18" customHeight="1" x14ac:dyDescent="0.3">
      <c r="A137" s="26">
        <v>30072</v>
      </c>
      <c r="B137" s="24" t="s">
        <v>117</v>
      </c>
      <c r="C137" s="10">
        <f>IFERROR(INDEX('حسابهای دریافتنی'!H:H,MATCH(Table22[[#This Row],[كد تفصيلي]],'حسابهای دریافتنی'!A:A,0)),0)</f>
        <v>-30178900</v>
      </c>
      <c r="D137" s="17">
        <f>IFERROR(INDEX('درجریان وصول'!F:F,MATCH(Table22[[#This Row],[كد تفصيلي]],'درجریان وصول'!A:A,0)),0)</f>
        <v>0</v>
      </c>
      <c r="E137" s="17">
        <f>IFERROR(INDEX('چکهای دریافتنی'!F:F,MATCH(Table22[[#This Row],[كد تفصيلي]],'چکهای دریافتنی'!A:A,0)),0)</f>
        <v>0</v>
      </c>
      <c r="F137" s="17">
        <f>Table22[[#This Row],[حسابهای دریافتنی]]+Table22[[#This Row],[چکهای در جریان وصول]]+Table22[[#This Row],[چکهای نزد صندوق]]</f>
        <v>-30178900</v>
      </c>
      <c r="G137" s="12">
        <f>IFERROR(INDEX('مانده سوفاله'!F:F,MATCH(Table22[[#This Row],[كد تفصيلي]],'مانده سوفاله'!A:A,0)),0)</f>
        <v>-79</v>
      </c>
    </row>
    <row r="138" spans="1:7" ht="18" customHeight="1" x14ac:dyDescent="0.3">
      <c r="A138" s="26">
        <v>30183</v>
      </c>
      <c r="B138" s="24" t="s">
        <v>364</v>
      </c>
      <c r="C138" s="10">
        <f>IFERROR(INDEX('حسابهای دریافتنی'!H:H,MATCH(Table22[[#This Row],[كد تفصيلي]],'حسابهای دریافتنی'!A:A,0)),0)</f>
        <v>-5000</v>
      </c>
      <c r="D138" s="17">
        <f>IFERROR(INDEX('درجریان وصول'!F:F,MATCH(Table22[[#This Row],[كد تفصيلي]],'درجریان وصول'!A:A,0)),0)</f>
        <v>0</v>
      </c>
      <c r="E138" s="17">
        <f>IFERROR(INDEX('چکهای دریافتنی'!F:F,MATCH(Table22[[#This Row],[كد تفصيلي]],'چکهای دریافتنی'!A:A,0)),0)</f>
        <v>0</v>
      </c>
      <c r="F138" s="17">
        <f>Table22[[#This Row],[حسابهای دریافتنی]]+Table22[[#This Row],[چکهای در جریان وصول]]+Table22[[#This Row],[چکهای نزد صندوق]]</f>
        <v>-5000</v>
      </c>
      <c r="G138" s="12">
        <f>IFERROR(INDEX('مانده سوفاله'!F:F,MATCH(Table22[[#This Row],[كد تفصيلي]],'مانده سوفاله'!A:A,0)),0)</f>
        <v>0</v>
      </c>
    </row>
    <row r="139" spans="1:7" ht="18" customHeight="1" x14ac:dyDescent="0.3">
      <c r="A139" s="27">
        <v>10004</v>
      </c>
      <c r="B139" s="25" t="s">
        <v>11</v>
      </c>
      <c r="C139" s="10">
        <f>IFERROR(INDEX('حسابهای دریافتنی'!H:H,MATCH(Table22[[#This Row],[كد تفصيلي]],'حسابهای دریافتنی'!A:A,0)),0)</f>
        <v>853000</v>
      </c>
      <c r="D139" s="11">
        <f>IFERROR(INDEX('درجریان وصول'!F:F,MATCH(Table22[[#This Row],[كد تفصيلي]],'درجریان وصول'!A:A,0)),0)</f>
        <v>0</v>
      </c>
      <c r="E139" s="11">
        <f>IFERROR(INDEX('چکهای دریافتنی'!F:F,MATCH(Table22[[#This Row],[كد تفصيلي]],'چکهای دریافتنی'!A:A,0)),0)</f>
        <v>341000000</v>
      </c>
      <c r="F139" s="11">
        <f>Table22[[#This Row],[حسابهای دریافتنی]]+Table22[[#This Row],[چکهای در جریان وصول]]+Table22[[#This Row],[چکهای نزد صندوق]]</f>
        <v>341853000</v>
      </c>
      <c r="G139" s="12">
        <f>IFERROR(INDEX('مانده سوفاله'!F:F,MATCH(Table22[[#This Row],[كد تفصيلي]],'مانده سوفاله'!A:A,0)),0)</f>
        <v>-12</v>
      </c>
    </row>
    <row r="140" spans="1:7" ht="18" customHeight="1" x14ac:dyDescent="0.3">
      <c r="A140" s="27">
        <v>30000</v>
      </c>
      <c r="B140" s="25" t="s">
        <v>189</v>
      </c>
      <c r="C140" s="10">
        <f>IFERROR(INDEX('حسابهای دریافتنی'!H:H,MATCH(Table22[[#This Row],[كد تفصيلي]],'حسابهای دریافتنی'!A:A,0)),0)</f>
        <v>-55440000</v>
      </c>
      <c r="D140" s="17">
        <f>IFERROR(INDEX('درجریان وصول'!F:F,MATCH(Table22[[#This Row],[كد تفصيلي]],'درجریان وصول'!A:A,0)),0)</f>
        <v>0</v>
      </c>
      <c r="E140" s="17">
        <f>IFERROR(INDEX('چکهای دریافتنی'!F:F,MATCH(Table22[[#This Row],[كد تفصيلي]],'چکهای دریافتنی'!A:A,0)),0)</f>
        <v>0</v>
      </c>
      <c r="F140" s="17">
        <f>Table22[[#This Row],[حسابهای دریافتنی]]+Table22[[#This Row],[چکهای در جریان وصول]]+Table22[[#This Row],[چکهای نزد صندوق]]</f>
        <v>-55440000</v>
      </c>
      <c r="G140" s="12">
        <f>IFERROR(INDEX('مانده سوفاله'!F:F,MATCH(Table22[[#This Row],[كد تفصيلي]],'مانده سوفاله'!A:A,0)),0)</f>
        <v>0</v>
      </c>
    </row>
    <row r="141" spans="1:7" ht="18" customHeight="1" x14ac:dyDescent="0.3">
      <c r="A141" s="27">
        <v>30133</v>
      </c>
      <c r="B141" s="25" t="s">
        <v>251</v>
      </c>
      <c r="C141" s="10">
        <f>IFERROR(INDEX('حسابهای دریافتنی'!H:H,MATCH(Table22[[#This Row],[كد تفصيلي]],'حسابهای دریافتنی'!A:A,0)),0)</f>
        <v>-66889500</v>
      </c>
      <c r="D141" s="17">
        <f>IFERROR(INDEX('درجریان وصول'!F:F,MATCH(Table22[[#This Row],[كد تفصيلي]],'درجریان وصول'!A:A,0)),0)</f>
        <v>0</v>
      </c>
      <c r="E141" s="17">
        <f>IFERROR(INDEX('چکهای دریافتنی'!F:F,MATCH(Table22[[#This Row],[كد تفصيلي]],'چکهای دریافتنی'!A:A,0)),0)</f>
        <v>0</v>
      </c>
      <c r="F141" s="17">
        <f>Table22[[#This Row],[حسابهای دریافتنی]]+Table22[[#This Row],[چکهای در جریان وصول]]+Table22[[#This Row],[چکهای نزد صندوق]]</f>
        <v>-66889500</v>
      </c>
      <c r="G141" s="12">
        <f>IFERROR(INDEX('مانده سوفاله'!F:F,MATCH(Table22[[#This Row],[كد تفصيلي]],'مانده سوفاله'!A:A,0)),0)</f>
        <v>0</v>
      </c>
    </row>
    <row r="142" spans="1:7" ht="18" customHeight="1" x14ac:dyDescent="0.3">
      <c r="A142" s="27">
        <v>30165</v>
      </c>
      <c r="B142" s="25" t="s">
        <v>366</v>
      </c>
      <c r="C142" s="10">
        <f>IFERROR(INDEX('حسابهای دریافتنی'!H:H,MATCH(Table22[[#This Row],[كد تفصيلي]],'حسابهای دریافتنی'!A:A,0)),0)</f>
        <v>-1139268000</v>
      </c>
      <c r="D142" s="10">
        <f>IFERROR(INDEX('درجریان وصول'!F:F,MATCH(Table22[[#This Row],[كد تفصيلي]],'درجریان وصول'!A:A,0)),0)</f>
        <v>0</v>
      </c>
      <c r="E142" s="10">
        <f>IFERROR(INDEX('چکهای دریافتنی'!F:F,MATCH(Table22[[#This Row],[كد تفصيلي]],'چکهای دریافتنی'!A:A,0)),0)</f>
        <v>0</v>
      </c>
      <c r="F142" s="10">
        <f>Table22[[#This Row],[حسابهای دریافتنی]]+Table22[[#This Row],[چکهای در جریان وصول]]+Table22[[#This Row],[چکهای نزد صندوق]]</f>
        <v>-1139268000</v>
      </c>
      <c r="G142" s="12">
        <f>IFERROR(INDEX('مانده سوفاله'!F:F,MATCH(Table22[[#This Row],[كد تفصيلي]],'مانده سوفاله'!A:A,0)),0)</f>
        <v>0</v>
      </c>
    </row>
    <row r="143" spans="1:7" ht="18" customHeight="1" x14ac:dyDescent="0.3">
      <c r="A143" s="27">
        <v>30169</v>
      </c>
      <c r="B143" s="25" t="s">
        <v>359</v>
      </c>
      <c r="C143" s="10">
        <f>IFERROR(INDEX('حسابهای دریافتنی'!H:H,MATCH(Table22[[#This Row],[كد تفصيلي]],'حسابهای دریافتنی'!A:A,0)),0)</f>
        <v>-658993316</v>
      </c>
      <c r="D143" s="10">
        <f>IFERROR(INDEX('درجریان وصول'!F:F,MATCH(Table22[[#This Row],[كد تفصيلي]],'درجریان وصول'!A:A,0)),0)</f>
        <v>0</v>
      </c>
      <c r="E143" s="10">
        <f>IFERROR(INDEX('چکهای دریافتنی'!F:F,MATCH(Table22[[#This Row],[كد تفصيلي]],'چکهای دریافتنی'!A:A,0)),0)</f>
        <v>2085000000</v>
      </c>
      <c r="F143" s="10">
        <f>Table22[[#This Row],[حسابهای دریافتنی]]+Table22[[#This Row],[چکهای در جریان وصول]]+Table22[[#This Row],[چکهای نزد صندوق]]</f>
        <v>1426006684</v>
      </c>
      <c r="G143" s="12">
        <f>IFERROR(INDEX('مانده سوفاله'!F:F,MATCH(Table22[[#This Row],[كد تفصيلي]],'مانده سوفاله'!A:A,0)),0)</f>
        <v>0</v>
      </c>
    </row>
    <row r="144" spans="1:7" ht="18" customHeight="1" x14ac:dyDescent="0.3">
      <c r="A144" s="26">
        <v>10009</v>
      </c>
      <c r="B144" s="24" t="s">
        <v>16</v>
      </c>
      <c r="C144" s="10">
        <f>IFERROR(INDEX('حسابهای دریافتنی'!H:H,MATCH(Table22[[#This Row],[كد تفصيلي]],'حسابهای دریافتنی'!A:A,0)),0)</f>
        <v>-4260580000</v>
      </c>
      <c r="D144" s="11">
        <f>IFERROR(INDEX('درجریان وصول'!F:F,MATCH(Table22[[#This Row],[كد تفصيلي]],'درجریان وصول'!A:A,0)),0)</f>
        <v>0</v>
      </c>
      <c r="E144" s="11">
        <f>IFERROR(INDEX('چکهای دریافتنی'!F:F,MATCH(Table22[[#This Row],[كد تفصيلي]],'چکهای دریافتنی'!A:A,0)),0)</f>
        <v>1600000000</v>
      </c>
      <c r="F144" s="11">
        <f>Table22[[#This Row],[حسابهای دریافتنی]]+Table22[[#This Row],[چکهای در جریان وصول]]+Table22[[#This Row],[چکهای نزد صندوق]]</f>
        <v>-2660580000</v>
      </c>
      <c r="G144" s="12">
        <f>IFERROR(INDEX('مانده سوفاله'!F:F,MATCH(Table22[[#This Row],[كد تفصيلي]],'مانده سوفاله'!A:A,0)),0)</f>
        <v>9952</v>
      </c>
    </row>
    <row r="145" spans="1:7" ht="18" customHeight="1" x14ac:dyDescent="0.3">
      <c r="A145" s="27">
        <v>30016</v>
      </c>
      <c r="B145" s="25" t="s">
        <v>253</v>
      </c>
      <c r="C145" s="10">
        <f>IFERROR(INDEX('حسابهای دریافتنی'!H:H,MATCH(Table22[[#This Row],[كد تفصيلي]],'حسابهای دریافتنی'!A:A,0)),0)</f>
        <v>0</v>
      </c>
      <c r="D145" s="11">
        <f>IFERROR(INDEX('درجریان وصول'!F:F,MATCH(Table22[[#This Row],[كد تفصيلي]],'درجریان وصول'!A:A,0)),0)</f>
        <v>0</v>
      </c>
      <c r="E145" s="11">
        <f>IFERROR(INDEX('چکهای دریافتنی'!F:F,MATCH(Table22[[#This Row],[كد تفصيلي]],'چکهای دریافتنی'!A:A,0)),0)</f>
        <v>0</v>
      </c>
      <c r="F145" s="11">
        <f>Table22[[#This Row],[حسابهای دریافتنی]]+Table22[[#This Row],[چکهای در جریان وصول]]+Table22[[#This Row],[چکهای نزد صندوق]]</f>
        <v>0</v>
      </c>
      <c r="G145" s="12">
        <f>IFERROR(INDEX('مانده سوفاله'!F:F,MATCH(Table22[[#This Row],[كد تفصيلي]],'مانده سوفاله'!A:A,0)),0)</f>
        <v>0</v>
      </c>
    </row>
    <row r="146" spans="1:7" ht="18" customHeight="1" x14ac:dyDescent="0.3">
      <c r="A146" s="26">
        <v>10105</v>
      </c>
      <c r="B146" s="24" t="s">
        <v>294</v>
      </c>
      <c r="C146" s="10">
        <f>IFERROR(INDEX('حسابهای دریافتنی'!H:H,MATCH(Table22[[#This Row],[كد تفصيلي]],'حسابهای دریافتنی'!A:A,0)),0)</f>
        <v>7630000</v>
      </c>
      <c r="D146" s="10">
        <f>IFERROR(INDEX('درجریان وصول'!F:F,MATCH(Table22[[#This Row],[كد تفصيلي]],'درجریان وصول'!A:A,0)),0)</f>
        <v>0</v>
      </c>
      <c r="E146" s="10">
        <f>IFERROR(INDEX('چکهای دریافتنی'!F:F,MATCH(Table22[[#This Row],[كد تفصيلي]],'چکهای دریافتنی'!A:A,0)),0)</f>
        <v>0</v>
      </c>
      <c r="F146" s="10">
        <f>Table22[[#This Row],[حسابهای دریافتنی]]+Table22[[#This Row],[چکهای در جریان وصول]]+Table22[[#This Row],[چکهای نزد صندوق]]</f>
        <v>7630000</v>
      </c>
      <c r="G146" s="12">
        <f>IFERROR(INDEX('مانده سوفاله'!F:F,MATCH(Table22[[#This Row],[كد تفصيلي]],'مانده سوفاله'!A:A,0)),0)</f>
        <v>0</v>
      </c>
    </row>
    <row r="147" spans="1:7" ht="18" customHeight="1" x14ac:dyDescent="0.3">
      <c r="A147" s="26">
        <v>30156</v>
      </c>
      <c r="B147" s="24" t="s">
        <v>290</v>
      </c>
      <c r="C147" s="10">
        <f>IFERROR(INDEX('حسابهای دریافتنی'!H:H,MATCH(Table22[[#This Row],[كد تفصيلي]],'حسابهای دریافتنی'!A:A,0)),0)</f>
        <v>-180917500</v>
      </c>
      <c r="D147" s="11">
        <f>IFERROR(INDEX('درجریان وصول'!F:F,MATCH(Table22[[#This Row],[كد تفصيلي]],'درجریان وصول'!A:A,0)),0)</f>
        <v>0</v>
      </c>
      <c r="E147" s="11">
        <f>IFERROR(INDEX('چکهای دریافتنی'!F:F,MATCH(Table22[[#This Row],[كد تفصيلي]],'چکهای دریافتنی'!A:A,0)),0)</f>
        <v>0</v>
      </c>
      <c r="F147" s="11">
        <f>Table22[[#This Row],[حسابهای دریافتنی]]+Table22[[#This Row],[چکهای در جریان وصول]]+Table22[[#This Row],[چکهای نزد صندوق]]</f>
        <v>-180917500</v>
      </c>
      <c r="G147" s="12">
        <f>IFERROR(INDEX('مانده سوفاله'!F:F,MATCH(Table22[[#This Row],[كد تفصيلي]],'مانده سوفاله'!A:A,0)),0)</f>
        <v>0</v>
      </c>
    </row>
    <row r="148" spans="1:7" ht="18" customHeight="1" x14ac:dyDescent="0.3">
      <c r="A148" s="26">
        <v>30064</v>
      </c>
      <c r="B148" s="24" t="s">
        <v>109</v>
      </c>
      <c r="C148" s="10">
        <f>IFERROR(INDEX('حسابهای دریافتنی'!H:H,MATCH(Table22[[#This Row],[كد تفصيلي]],'حسابهای دریافتنی'!A:A,0)),0)</f>
        <v>-49679500</v>
      </c>
      <c r="D148" s="17">
        <f>IFERROR(INDEX('درجریان وصول'!F:F,MATCH(Table22[[#This Row],[كد تفصيلي]],'درجریان وصول'!A:A,0)),0)</f>
        <v>0</v>
      </c>
      <c r="E148" s="17">
        <f>IFERROR(INDEX('چکهای دریافتنی'!F:F,MATCH(Table22[[#This Row],[كد تفصيلي]],'چکهای دریافتنی'!A:A,0)),0)</f>
        <v>0</v>
      </c>
      <c r="F148" s="17">
        <f>Table22[[#This Row],[حسابهای دریافتنی]]+Table22[[#This Row],[چکهای در جریان وصول]]+Table22[[#This Row],[چکهای نزد صندوق]]</f>
        <v>-49679500</v>
      </c>
      <c r="G148" s="12">
        <f>IFERROR(INDEX('مانده سوفاله'!F:F,MATCH(Table22[[#This Row],[كد تفصيلي]],'مانده سوفاله'!A:A,0)),0)</f>
        <v>0</v>
      </c>
    </row>
    <row r="149" spans="1:7" ht="18" customHeight="1" x14ac:dyDescent="0.3">
      <c r="A149" s="26">
        <v>10015</v>
      </c>
      <c r="B149" s="24" t="s">
        <v>22</v>
      </c>
      <c r="C149" s="10">
        <f>IFERROR(INDEX('حسابهای دریافتنی'!H:H,MATCH(Table22[[#This Row],[كد تفصيلي]],'حسابهای دریافتنی'!A:A,0)),0)</f>
        <v>-4735000</v>
      </c>
      <c r="D149" s="11">
        <f>IFERROR(INDEX('درجریان وصول'!F:F,MATCH(Table22[[#This Row],[كد تفصيلي]],'درجریان وصول'!A:A,0)),0)</f>
        <v>0</v>
      </c>
      <c r="E149" s="11">
        <f>IFERROR(INDEX('چکهای دریافتنی'!F:F,MATCH(Table22[[#This Row],[كد تفصيلي]],'چکهای دریافتنی'!A:A,0)),0)</f>
        <v>0</v>
      </c>
      <c r="F149" s="11">
        <f>Table22[[#This Row],[حسابهای دریافتنی]]+Table22[[#This Row],[چکهای در جریان وصول]]+Table22[[#This Row],[چکهای نزد صندوق]]</f>
        <v>-4735000</v>
      </c>
      <c r="G149" s="12">
        <f>IFERROR(INDEX('مانده سوفاله'!F:F,MATCH(Table22[[#This Row],[كد تفصيلي]],'مانده سوفاله'!A:A,0)),0)</f>
        <v>12</v>
      </c>
    </row>
    <row r="150" spans="1:7" ht="18" customHeight="1" x14ac:dyDescent="0.3">
      <c r="A150" s="26">
        <v>30104</v>
      </c>
      <c r="B150" s="24" t="s">
        <v>198</v>
      </c>
      <c r="C150" s="10">
        <f>IFERROR(INDEX('حسابهای دریافتنی'!H:H,MATCH(Table22[[#This Row],[كد تفصيلي]],'حسابهای دریافتنی'!A:A,0)),0)</f>
        <v>0</v>
      </c>
      <c r="D150" s="17">
        <f>IFERROR(INDEX('درجریان وصول'!F:F,MATCH(Table22[[#This Row],[كد تفصيلي]],'درجریان وصول'!A:A,0)),0)</f>
        <v>0</v>
      </c>
      <c r="E150" s="17">
        <f>IFERROR(INDEX('چکهای دریافتنی'!F:F,MATCH(Table22[[#This Row],[كد تفصيلي]],'چکهای دریافتنی'!A:A,0)),0)</f>
        <v>0</v>
      </c>
      <c r="F150" s="17">
        <f>Table22[[#This Row],[حسابهای دریافتنی]]+Table22[[#This Row],[چکهای در جریان وصول]]+Table22[[#This Row],[چکهای نزد صندوق]]</f>
        <v>0</v>
      </c>
      <c r="G150" s="12">
        <f>IFERROR(INDEX('مانده سوفاله'!F:F,MATCH(Table22[[#This Row],[كد تفصيلي]],'مانده سوفاله'!A:A,0)),0)</f>
        <v>0</v>
      </c>
    </row>
    <row r="151" spans="1:7" ht="18" customHeight="1" x14ac:dyDescent="0.3">
      <c r="A151" s="27">
        <v>30184</v>
      </c>
      <c r="B151" s="25" t="s">
        <v>365</v>
      </c>
      <c r="C151" s="10">
        <f>IFERROR(INDEX('حسابهای دریافتنی'!H:H,MATCH(Table22[[#This Row],[كد تفصيلي]],'حسابهای دریافتنی'!A:A,0)),0)</f>
        <v>904890480</v>
      </c>
      <c r="D151" s="17">
        <f>IFERROR(INDEX('درجریان وصول'!F:F,MATCH(Table22[[#This Row],[كد تفصيلي]],'درجریان وصول'!A:A,0)),0)</f>
        <v>0</v>
      </c>
      <c r="E151" s="17">
        <f>IFERROR(INDEX('چکهای دریافتنی'!F:F,MATCH(Table22[[#This Row],[كد تفصيلي]],'چکهای دریافتنی'!A:A,0)),0)</f>
        <v>0</v>
      </c>
      <c r="F151" s="17">
        <f>Table22[[#This Row],[حسابهای دریافتنی]]+Table22[[#This Row],[چکهای در جریان وصول]]+Table22[[#This Row],[چکهای نزد صندوق]]</f>
        <v>904890480</v>
      </c>
      <c r="G151" s="12">
        <f>IFERROR(INDEX('مانده سوفاله'!F:F,MATCH(Table22[[#This Row],[كد تفصيلي]],'مانده سوفاله'!A:A,0)),0)</f>
        <v>-100</v>
      </c>
    </row>
    <row r="152" spans="1:7" ht="18" customHeight="1" x14ac:dyDescent="0.3">
      <c r="A152" s="27">
        <v>30040</v>
      </c>
      <c r="B152" s="25" t="s">
        <v>87</v>
      </c>
      <c r="C152" s="10">
        <f>IFERROR(INDEX('حسابهای دریافتنی'!H:H,MATCH(Table22[[#This Row],[كد تفصيلي]],'حسابهای دریافتنی'!A:A,0)),0)</f>
        <v>0</v>
      </c>
      <c r="D152" s="11">
        <f>IFERROR(INDEX('درجریان وصول'!F:F,MATCH(Table22[[#This Row],[كد تفصيلي]],'درجریان وصول'!A:A,0)),0)</f>
        <v>0</v>
      </c>
      <c r="E152" s="11">
        <f>IFERROR(INDEX('چکهای دریافتنی'!F:F,MATCH(Table22[[#This Row],[كد تفصيلي]],'چکهای دریافتنی'!A:A,0)),0)</f>
        <v>0</v>
      </c>
      <c r="F152" s="11">
        <f>Table22[[#This Row],[حسابهای دریافتنی]]+Table22[[#This Row],[چکهای در جریان وصول]]+Table22[[#This Row],[چکهای نزد صندوق]]</f>
        <v>0</v>
      </c>
      <c r="G152" s="12">
        <f>IFERROR(INDEX('مانده سوفاله'!F:F,MATCH(Table22[[#This Row],[كد تفصيلي]],'مانده سوفاله'!A:A,0)),0)</f>
        <v>0</v>
      </c>
    </row>
    <row r="153" spans="1:7" ht="18" customHeight="1" x14ac:dyDescent="0.3">
      <c r="A153" s="27">
        <v>10119</v>
      </c>
      <c r="B153" s="25" t="s">
        <v>351</v>
      </c>
      <c r="C153" s="10">
        <f>IFERROR(INDEX('حسابهای دریافتنی'!H:H,MATCH(Table22[[#This Row],[كد تفصيلي]],'حسابهای دریافتنی'!A:A,0)),0)</f>
        <v>-2592000</v>
      </c>
      <c r="D153" s="17">
        <f>IFERROR(INDEX('درجریان وصول'!F:F,MATCH(Table22[[#This Row],[كد تفصيلي]],'درجریان وصول'!A:A,0)),0)</f>
        <v>0</v>
      </c>
      <c r="E153" s="17">
        <f>IFERROR(INDEX('چکهای دریافتنی'!F:F,MATCH(Table22[[#This Row],[كد تفصيلي]],'چکهای دریافتنی'!A:A,0)),0)</f>
        <v>0</v>
      </c>
      <c r="F153" s="17">
        <f>Table22[[#This Row],[حسابهای دریافتنی]]+Table22[[#This Row],[چکهای در جریان وصول]]+Table22[[#This Row],[چکهای نزد صندوق]]</f>
        <v>-2592000</v>
      </c>
      <c r="G153" s="12">
        <f>IFERROR(INDEX('مانده سوفاله'!F:F,MATCH(Table22[[#This Row],[كد تفصيلي]],'مانده سوفاله'!A:A,0)),0)</f>
        <v>353</v>
      </c>
    </row>
    <row r="154" spans="1:7" ht="18" customHeight="1" x14ac:dyDescent="0.3">
      <c r="A154" s="27">
        <v>10056</v>
      </c>
      <c r="B154" s="25" t="s">
        <v>166</v>
      </c>
      <c r="C154" s="10">
        <f>IFERROR(INDEX('حسابهای دریافتنی'!H:H,MATCH(Table22[[#This Row],[كد تفصيلي]],'حسابهای دریافتنی'!A:A,0)),0)</f>
        <v>812653500</v>
      </c>
      <c r="D154" s="11">
        <f>IFERROR(INDEX('درجریان وصول'!F:F,MATCH(Table22[[#This Row],[كد تفصيلي]],'درجریان وصول'!A:A,0)),0)</f>
        <v>0</v>
      </c>
      <c r="E154" s="11">
        <f>IFERROR(INDEX('چکهای دریافتنی'!F:F,MATCH(Table22[[#This Row],[كد تفصيلي]],'چکهای دریافتنی'!A:A,0)),0)</f>
        <v>0</v>
      </c>
      <c r="F154" s="11">
        <f>Table22[[#This Row],[حسابهای دریافتنی]]+Table22[[#This Row],[چکهای در جریان وصول]]+Table22[[#This Row],[چکهای نزد صندوق]]</f>
        <v>812653500</v>
      </c>
      <c r="G154" s="12">
        <f>IFERROR(INDEX('مانده سوفاله'!F:F,MATCH(Table22[[#This Row],[كد تفصيلي]],'مانده سوفاله'!A:A,0)),0)</f>
        <v>0</v>
      </c>
    </row>
    <row r="155" spans="1:7" ht="18" customHeight="1" x14ac:dyDescent="0.3">
      <c r="A155" s="26">
        <v>10089</v>
      </c>
      <c r="B155" s="24" t="s">
        <v>255</v>
      </c>
      <c r="C155" s="10">
        <f>IFERROR(INDEX('حسابهای دریافتنی'!H:H,MATCH(Table22[[#This Row],[كد تفصيلي]],'حسابهای دریافتنی'!A:A,0)),0)</f>
        <v>-143944000</v>
      </c>
      <c r="D155" s="10">
        <f>IFERROR(INDEX('درجریان وصول'!F:F,MATCH(Table22[[#This Row],[كد تفصيلي]],'درجریان وصول'!A:A,0)),0)</f>
        <v>0</v>
      </c>
      <c r="E155" s="10">
        <f>IFERROR(INDEX('چکهای دریافتنی'!F:F,MATCH(Table22[[#This Row],[كد تفصيلي]],'چکهای دریافتنی'!A:A,0)),0)</f>
        <v>0</v>
      </c>
      <c r="F155" s="10">
        <f>Table22[[#This Row],[حسابهای دریافتنی]]+Table22[[#This Row],[چکهای در جریان وصول]]+Table22[[#This Row],[چکهای نزد صندوق]]</f>
        <v>-143944000</v>
      </c>
      <c r="G155" s="12">
        <f>IFERROR(INDEX('مانده سوفاله'!F:F,MATCH(Table22[[#This Row],[كد تفصيلي]],'مانده سوفاله'!A:A,0)),0)</f>
        <v>-948</v>
      </c>
    </row>
    <row r="156" spans="1:7" ht="18" customHeight="1" x14ac:dyDescent="0.3">
      <c r="A156" s="27">
        <v>10125</v>
      </c>
      <c r="B156" s="25" t="s">
        <v>353</v>
      </c>
      <c r="C156" s="10">
        <f>IFERROR(INDEX('حسابهای دریافتنی'!H:H,MATCH(Table22[[#This Row],[كد تفصيلي]],'حسابهای دریافتنی'!A:A,0)),0)</f>
        <v>-1650000</v>
      </c>
      <c r="D156" s="17">
        <f>IFERROR(INDEX('درجریان وصول'!F:F,MATCH(Table22[[#This Row],[كد تفصيلي]],'درجریان وصول'!A:A,0)),0)</f>
        <v>0</v>
      </c>
      <c r="E156" s="17">
        <f>IFERROR(INDEX('چکهای دریافتنی'!F:F,MATCH(Table22[[#This Row],[كد تفصيلي]],'چکهای دریافتنی'!A:A,0)),0)</f>
        <v>0</v>
      </c>
      <c r="F156" s="17">
        <f>Table22[[#This Row],[حسابهای دریافتنی]]+Table22[[#This Row],[چکهای در جریان وصول]]+Table22[[#This Row],[چکهای نزد صندوق]]</f>
        <v>-1650000</v>
      </c>
      <c r="G156" s="12">
        <f>IFERROR(INDEX('مانده سوفاله'!F:F,MATCH(Table22[[#This Row],[كد تفصيلي]],'مانده سوفاله'!A:A,0)),0)</f>
        <v>0</v>
      </c>
    </row>
    <row r="157" spans="1:7" ht="18" customHeight="1" x14ac:dyDescent="0.3">
      <c r="A157" s="26">
        <v>30178</v>
      </c>
      <c r="B157" s="24" t="s">
        <v>363</v>
      </c>
      <c r="C157" s="10">
        <f>IFERROR(INDEX('حسابهای دریافتنی'!H:H,MATCH(Table22[[#This Row],[كد تفصيلي]],'حسابهای دریافتنی'!A:A,0)),0)</f>
        <v>3040000</v>
      </c>
      <c r="D157" s="17">
        <f>IFERROR(INDEX('درجریان وصول'!F:F,MATCH(Table22[[#This Row],[كد تفصيلي]],'درجریان وصول'!A:A,0)),0)</f>
        <v>0</v>
      </c>
      <c r="E157" s="17">
        <f>IFERROR(INDEX('چکهای دریافتنی'!F:F,MATCH(Table22[[#This Row],[كد تفصيلي]],'چکهای دریافتنی'!A:A,0)),0)</f>
        <v>0</v>
      </c>
      <c r="F157" s="17">
        <f>Table22[[#This Row],[حسابهای دریافتنی]]+Table22[[#This Row],[چکهای در جریان وصول]]+Table22[[#This Row],[چکهای نزد صندوق]]</f>
        <v>3040000</v>
      </c>
      <c r="G157" s="12">
        <f>IFERROR(INDEX('مانده سوفاله'!F:F,MATCH(Table22[[#This Row],[كد تفصيلي]],'مانده سوفاله'!A:A,0)),0)</f>
        <v>0</v>
      </c>
    </row>
    <row r="158" spans="1:7" ht="18" customHeight="1" x14ac:dyDescent="0.3">
      <c r="A158" s="27">
        <v>10104</v>
      </c>
      <c r="B158" s="25" t="s">
        <v>293</v>
      </c>
      <c r="C158" s="10">
        <f>IFERROR(INDEX('حسابهای دریافتنی'!H:H,MATCH(Table22[[#This Row],[كد تفصيلي]],'حسابهای دریافتنی'!A:A,0)),0)</f>
        <v>0</v>
      </c>
      <c r="D158" s="10">
        <f>IFERROR(INDEX('درجریان وصول'!F:F,MATCH(Table22[[#This Row],[كد تفصيلي]],'درجریان وصول'!A:A,0)),0)</f>
        <v>0</v>
      </c>
      <c r="E158" s="10">
        <f>IFERROR(INDEX('چکهای دریافتنی'!F:F,MATCH(Table22[[#This Row],[كد تفصيلي]],'چکهای دریافتنی'!A:A,0)),0)</f>
        <v>0</v>
      </c>
      <c r="F158" s="10">
        <f>Table22[[#This Row],[حسابهای دریافتنی]]+Table22[[#This Row],[چکهای در جریان وصول]]+Table22[[#This Row],[چکهای نزد صندوق]]</f>
        <v>0</v>
      </c>
      <c r="G158" s="12">
        <f>IFERROR(INDEX('مانده سوفاله'!F:F,MATCH(Table22[[#This Row],[كد تفصيلي]],'مانده سوفاله'!A:A,0)),0)</f>
        <v>4065</v>
      </c>
    </row>
    <row r="159" spans="1:7" ht="18" customHeight="1" x14ac:dyDescent="0.3">
      <c r="A159" s="27">
        <v>30022</v>
      </c>
      <c r="B159" s="25" t="s">
        <v>70</v>
      </c>
      <c r="C159" s="10">
        <f>IFERROR(INDEX('حسابهای دریافتنی'!H:H,MATCH(Table22[[#This Row],[كد تفصيلي]],'حسابهای دریافتنی'!A:A,0)),0)</f>
        <v>2933770530</v>
      </c>
      <c r="D159" s="11">
        <f>IFERROR(INDEX('درجریان وصول'!F:F,MATCH(Table22[[#This Row],[كد تفصيلي]],'درجریان وصول'!A:A,0)),0)</f>
        <v>0</v>
      </c>
      <c r="E159" s="11">
        <f>IFERROR(INDEX('چکهای دریافتنی'!F:F,MATCH(Table22[[#This Row],[كد تفصيلي]],'چکهای دریافتنی'!A:A,0)),0)</f>
        <v>0</v>
      </c>
      <c r="F159" s="11">
        <f>Table22[[#This Row],[حسابهای دریافتنی]]+Table22[[#This Row],[چکهای در جریان وصول]]+Table22[[#This Row],[چکهای نزد صندوق]]</f>
        <v>2933770530</v>
      </c>
      <c r="G159" s="12">
        <f>IFERROR(INDEX('مانده سوفاله'!F:F,MATCH(Table22[[#This Row],[كد تفصيلي]],'مانده سوفاله'!A:A,0)),0)</f>
        <v>-14747</v>
      </c>
    </row>
    <row r="160" spans="1:7" ht="18" customHeight="1" x14ac:dyDescent="0.3">
      <c r="A160" s="26">
        <v>10079</v>
      </c>
      <c r="B160" s="24" t="s">
        <v>174</v>
      </c>
      <c r="C160" s="10">
        <f>IFERROR(INDEX('حسابهای دریافتنی'!H:H,MATCH(Table22[[#This Row],[كد تفصيلي]],'حسابهای دریافتنی'!A:A,0)),0)</f>
        <v>-226593500</v>
      </c>
      <c r="D160" s="10">
        <f>IFERROR(INDEX('درجریان وصول'!F:F,MATCH(Table22[[#This Row],[كد تفصيلي]],'درجریان وصول'!A:A,0)),0)</f>
        <v>0</v>
      </c>
      <c r="E160" s="10">
        <f>IFERROR(INDEX('چکهای دریافتنی'!F:F,MATCH(Table22[[#This Row],[كد تفصيلي]],'چکهای دریافتنی'!A:A,0)),0)</f>
        <v>0</v>
      </c>
      <c r="F160" s="10">
        <f>Table22[[#This Row],[حسابهای دریافتنی]]+Table22[[#This Row],[چکهای در جریان وصول]]+Table22[[#This Row],[چکهای نزد صندوق]]</f>
        <v>-226593500</v>
      </c>
      <c r="G160" s="12">
        <f>IFERROR(INDEX('مانده سوفاله'!F:F,MATCH(Table22[[#This Row],[كد تفصيلي]],'مانده سوفاله'!A:A,0)),0)</f>
        <v>0</v>
      </c>
    </row>
    <row r="161" spans="1:7" ht="18" customHeight="1" x14ac:dyDescent="0.3">
      <c r="A161" s="27">
        <v>30161</v>
      </c>
      <c r="B161" s="25" t="s">
        <v>354</v>
      </c>
      <c r="C161" s="10">
        <f>IFERROR(INDEX('حسابهای دریافتنی'!H:H,MATCH(Table22[[#This Row],[كد تفصيلي]],'حسابهای دریافتنی'!A:A,0)),0)</f>
        <v>0</v>
      </c>
      <c r="D161" s="17">
        <f>IFERROR(INDEX('درجریان وصول'!F:F,MATCH(Table22[[#This Row],[كد تفصيلي]],'درجریان وصول'!A:A,0)),0)</f>
        <v>0</v>
      </c>
      <c r="E161" s="17">
        <f>IFERROR(INDEX('چکهای دریافتنی'!F:F,MATCH(Table22[[#This Row],[كد تفصيلي]],'چکهای دریافتنی'!A:A,0)),0)</f>
        <v>0</v>
      </c>
      <c r="F161" s="17">
        <f>Table22[[#This Row],[حسابهای دریافتنی]]+Table22[[#This Row],[چکهای در جریان وصول]]+Table22[[#This Row],[چکهای نزد صندوق]]</f>
        <v>0</v>
      </c>
      <c r="G161" s="12">
        <f>IFERROR(INDEX('مانده سوفاله'!F:F,MATCH(Table22[[#This Row],[كد تفصيلي]],'مانده سوفاله'!A:A,0)),0)</f>
        <v>0</v>
      </c>
    </row>
    <row r="162" spans="1:7" ht="18" customHeight="1" x14ac:dyDescent="0.3">
      <c r="A162" s="26">
        <v>79120</v>
      </c>
      <c r="B162" s="24" t="s">
        <v>195</v>
      </c>
      <c r="C162" s="10">
        <f>IFERROR(INDEX('حسابهای دریافتنی'!H:H,MATCH(Table22[[#This Row],[كد تفصيلي]],'حسابهای دریافتنی'!A:A,0)),0)</f>
        <v>-15776160000</v>
      </c>
      <c r="D162" s="17">
        <f>IFERROR(INDEX('درجریان وصول'!F:F,MATCH(Table22[[#This Row],[كد تفصيلي]],'درجریان وصول'!A:A,0)),0)</f>
        <v>0</v>
      </c>
      <c r="E162" s="17">
        <f>IFERROR(INDEX('چکهای دریافتنی'!F:F,MATCH(Table22[[#This Row],[كد تفصيلي]],'چکهای دریافتنی'!A:A,0)),0)</f>
        <v>0</v>
      </c>
      <c r="F162" s="17">
        <f>Table22[[#This Row],[حسابهای دریافتنی]]+Table22[[#This Row],[چکهای در جریان وصول]]+Table22[[#This Row],[چکهای نزد صندوق]]</f>
        <v>-15776160000</v>
      </c>
      <c r="G162" s="12">
        <f>IFERROR(INDEX('مانده سوفاله'!F:F,MATCH(Table22[[#This Row],[كد تفصيلي]],'مانده سوفاله'!A:A,0)),0)</f>
        <v>0</v>
      </c>
    </row>
    <row r="163" spans="1:7" ht="18" customHeight="1" x14ac:dyDescent="0.3">
      <c r="A163" s="26">
        <v>10110</v>
      </c>
      <c r="B163" s="24" t="s">
        <v>348</v>
      </c>
      <c r="C163" s="10">
        <f>IFERROR(INDEX('حسابهای دریافتنی'!H:H,MATCH(Table22[[#This Row],[كد تفصيلي]],'حسابهای دریافتنی'!A:A,0)),0)</f>
        <v>-1817500</v>
      </c>
      <c r="D163" s="17">
        <f>IFERROR(INDEX('درجریان وصول'!F:F,MATCH(Table22[[#This Row],[كد تفصيلي]],'درجریان وصول'!A:A,0)),0)</f>
        <v>0</v>
      </c>
      <c r="E163" s="17">
        <f>IFERROR(INDEX('چکهای دریافتنی'!F:F,MATCH(Table22[[#This Row],[كد تفصيلي]],'چکهای دریافتنی'!A:A,0)),0)</f>
        <v>0</v>
      </c>
      <c r="F163" s="17">
        <f>Table22[[#This Row],[حسابهای دریافتنی]]+Table22[[#This Row],[چکهای در جریان وصول]]+Table22[[#This Row],[چکهای نزد صندوق]]</f>
        <v>-1817500</v>
      </c>
      <c r="G163" s="12">
        <f>IFERROR(INDEX('مانده سوفاله'!F:F,MATCH(Table22[[#This Row],[كد تفصيلي]],'مانده سوفاله'!A:A,0)),0)</f>
        <v>7</v>
      </c>
    </row>
    <row r="164" spans="1:7" ht="18" customHeight="1" x14ac:dyDescent="0.3">
      <c r="A164" s="27">
        <v>30143</v>
      </c>
      <c r="B164" s="25" t="s">
        <v>278</v>
      </c>
      <c r="C164" s="10">
        <f>IFERROR(INDEX('حسابهای دریافتنی'!H:H,MATCH(Table22[[#This Row],[كد تفصيلي]],'حسابهای دریافتنی'!A:A,0)),0)</f>
        <v>0</v>
      </c>
      <c r="D164" s="17">
        <f>IFERROR(INDEX('درجریان وصول'!F:F,MATCH(Table22[[#This Row],[كد تفصيلي]],'درجریان وصول'!A:A,0)),0)</f>
        <v>0</v>
      </c>
      <c r="E164" s="17">
        <f>IFERROR(INDEX('چکهای دریافتنی'!F:F,MATCH(Table22[[#This Row],[كد تفصيلي]],'چکهای دریافتنی'!A:A,0)),0)</f>
        <v>0</v>
      </c>
      <c r="F164" s="17">
        <f>Table22[[#This Row],[حسابهای دریافتنی]]+Table22[[#This Row],[چکهای در جریان وصول]]+Table22[[#This Row],[چکهای نزد صندوق]]</f>
        <v>0</v>
      </c>
      <c r="G164" s="12">
        <f>IFERROR(INDEX('مانده سوفاله'!F:F,MATCH(Table22[[#This Row],[كد تفصيلي]],'مانده سوفاله'!A:A,0)),0)</f>
        <v>0</v>
      </c>
    </row>
    <row r="165" spans="1:7" ht="18" customHeight="1" x14ac:dyDescent="0.3">
      <c r="A165" s="27">
        <v>30006</v>
      </c>
      <c r="B165" s="25" t="s">
        <v>56</v>
      </c>
      <c r="C165" s="10">
        <f>IFERROR(INDEX('حسابهای دریافتنی'!H:H,MATCH(Table22[[#This Row],[كد تفصيلي]],'حسابهای دریافتنی'!A:A,0)),0)</f>
        <v>-162677545</v>
      </c>
      <c r="D165" s="11">
        <f>IFERROR(INDEX('درجریان وصول'!F:F,MATCH(Table22[[#This Row],[كد تفصيلي]],'درجریان وصول'!A:A,0)),0)</f>
        <v>0</v>
      </c>
      <c r="E165" s="11">
        <f>IFERROR(INDEX('چکهای دریافتنی'!F:F,MATCH(Table22[[#This Row],[كد تفصيلي]],'چکهای دریافتنی'!A:A,0)),0)</f>
        <v>0</v>
      </c>
      <c r="F165" s="11">
        <f>Table22[[#This Row],[حسابهای دریافتنی]]+Table22[[#This Row],[چکهای در جریان وصول]]+Table22[[#This Row],[چکهای نزد صندوق]]</f>
        <v>-162677545</v>
      </c>
      <c r="G165" s="12">
        <f>IFERROR(INDEX('مانده سوفاله'!F:F,MATCH(Table22[[#This Row],[كد تفصيلي]],'مانده سوفاله'!A:A,0)),0)</f>
        <v>-6</v>
      </c>
    </row>
    <row r="166" spans="1:7" ht="18" customHeight="1" x14ac:dyDescent="0.3">
      <c r="A166" s="27">
        <v>30162</v>
      </c>
      <c r="B166" s="25" t="s">
        <v>355</v>
      </c>
      <c r="C166" s="10">
        <f>IFERROR(INDEX('حسابهای دریافتنی'!H:H,MATCH(Table22[[#This Row],[كد تفصيلي]],'حسابهای دریافتنی'!A:A,0)),0)</f>
        <v>204890235</v>
      </c>
      <c r="D166" s="17">
        <f>IFERROR(INDEX('درجریان وصول'!F:F,MATCH(Table22[[#This Row],[كد تفصيلي]],'درجریان وصول'!A:A,0)),0)</f>
        <v>0</v>
      </c>
      <c r="E166" s="17">
        <f>IFERROR(INDEX('چکهای دریافتنی'!F:F,MATCH(Table22[[#This Row],[كد تفصيلي]],'چکهای دریافتنی'!A:A,0)),0)</f>
        <v>0</v>
      </c>
      <c r="F166" s="17">
        <f>Table22[[#This Row],[حسابهای دریافتنی]]+Table22[[#This Row],[چکهای در جریان وصول]]+Table22[[#This Row],[چکهای نزد صندوق]]</f>
        <v>204890235</v>
      </c>
      <c r="G166" s="12">
        <f>IFERROR(INDEX('مانده سوفاله'!F:F,MATCH(Table22[[#This Row],[كد تفصيلي]],'مانده سوفاله'!A:A,0)),0)</f>
        <v>-251</v>
      </c>
    </row>
    <row r="167" spans="1:7" ht="18" customHeight="1" x14ac:dyDescent="0.3">
      <c r="A167" s="27">
        <v>79043</v>
      </c>
      <c r="B167" s="25" t="s">
        <v>156</v>
      </c>
      <c r="C167" s="10">
        <f>IFERROR(INDEX('حسابهای دریافتنی'!H:H,MATCH(Table22[[#This Row],[كد تفصيلي]],'حسابهای دریافتنی'!A:A,0)),0)</f>
        <v>-16110730000</v>
      </c>
      <c r="D167" s="17">
        <f>IFERROR(INDEX('درجریان وصول'!F:F,MATCH(Table22[[#This Row],[كد تفصيلي]],'درجریان وصول'!A:A,0)),0)</f>
        <v>0</v>
      </c>
      <c r="E167" s="17">
        <f>IFERROR(INDEX('چکهای دریافتنی'!F:F,MATCH(Table22[[#This Row],[كد تفصيلي]],'چکهای دریافتنی'!A:A,0)),0)</f>
        <v>0</v>
      </c>
      <c r="F167" s="17">
        <f>Table22[[#This Row],[حسابهای دریافتنی]]+Table22[[#This Row],[چکهای در جریان وصول]]+Table22[[#This Row],[چکهای نزد صندوق]]</f>
        <v>-16110730000</v>
      </c>
      <c r="G167" s="12">
        <f>IFERROR(INDEX('مانده سوفاله'!F:F,MATCH(Table22[[#This Row],[كد تفصيلي]],'مانده سوفاله'!A:A,0)),0)</f>
        <v>0</v>
      </c>
    </row>
    <row r="168" spans="1:7" ht="18" customHeight="1" x14ac:dyDescent="0.35">
      <c r="A168" s="13"/>
      <c r="B168" s="14"/>
      <c r="C168" s="15">
        <f>SUBTOTAL(109,Table22[حسابهای دریافتنی])</f>
        <v>55655702906</v>
      </c>
      <c r="D168" s="15">
        <f>SUBTOTAL(109,Table22[چکهای در جریان وصول])</f>
        <v>0</v>
      </c>
      <c r="E168" s="15">
        <f>SUBTOTAL(109,Table22[چکهای نزد صندوق])</f>
        <v>54932280475</v>
      </c>
      <c r="F168" s="15"/>
      <c r="G168" s="16">
        <f>SUBTOTAL(109,Table22[مانده سوفاله])</f>
        <v>-125649.5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5" orientation="landscape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2"/>
  <sheetViews>
    <sheetView rightToLeft="1" workbookViewId="0">
      <selection activeCell="E7" sqref="E7"/>
    </sheetView>
  </sheetViews>
  <sheetFormatPr defaultColWidth="9.08984375" defaultRowHeight="15.5" x14ac:dyDescent="0.35"/>
  <cols>
    <col min="1" max="1" width="14.36328125" style="5" customWidth="1"/>
    <col min="2" max="2" width="38" style="5" bestFit="1" customWidth="1"/>
    <col min="3" max="3" width="20.26953125" style="3" customWidth="1"/>
    <col min="4" max="4" width="19.45312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8.5" customHeight="1" thickBot="1" x14ac:dyDescent="0.4">
      <c r="A1" s="97" t="s">
        <v>392</v>
      </c>
      <c r="B1" s="98"/>
      <c r="C1" s="98"/>
      <c r="D1" s="98"/>
      <c r="E1" s="98"/>
      <c r="F1" s="98"/>
      <c r="G1" s="99"/>
    </row>
    <row r="2" spans="1:7" s="2" customFormat="1" ht="41.2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18" customHeight="1" x14ac:dyDescent="0.3">
      <c r="A3" s="28">
        <v>30066</v>
      </c>
      <c r="B3" s="30" t="s">
        <v>111</v>
      </c>
      <c r="C3" s="10">
        <f>IFERROR(INDEX('حسابهای دریافتنی'!H:H,MATCH(Table24[[#This Row],[كد تفصيلي]],'حسابهای دریافتنی'!A:A,0)),0)</f>
        <v>6484147500</v>
      </c>
      <c r="D3" s="10">
        <f>IFERROR(INDEX('درجریان وصول'!F:F,MATCH(Table24[[#This Row],[كد تفصيلي]],'درجریان وصول'!A:A,0)),0)</f>
        <v>0</v>
      </c>
      <c r="E3" s="10">
        <f>IFERROR(INDEX('چکهای دریافتنی'!F:F,MATCH(Table24[[#This Row],[كد تفصيلي]],'چکهای دریافتنی'!A:A,0)),0)</f>
        <v>0</v>
      </c>
      <c r="F3" s="10">
        <f>Table24[[#This Row],[حسابهای دریافتنی]]+Table24[[#This Row],[چکهای در جریان وصول]]+Table24[[#This Row],[چکهای نزد صندوق]]</f>
        <v>6484147500</v>
      </c>
      <c r="G3" s="12">
        <f>IFERROR(INDEX('مانده سوفاله'!F:F,MATCH(Table24[[#This Row],[كد تفصيلي]],'مانده سوفاله'!A:A,0)),0)</f>
        <v>-1320</v>
      </c>
    </row>
    <row r="4" spans="1:7" ht="18" customHeight="1" x14ac:dyDescent="0.3">
      <c r="A4" s="29">
        <v>30127</v>
      </c>
      <c r="B4" s="31" t="s">
        <v>163</v>
      </c>
      <c r="C4" s="10">
        <f>IFERROR(INDEX('حسابهای دریافتنی'!H:H,MATCH(Table24[[#This Row],[كد تفصيلي]],'حسابهای دریافتنی'!A:A,0)),0)</f>
        <v>31800110000</v>
      </c>
      <c r="D4" s="17">
        <f>IFERROR(INDEX('درجریان وصول'!F:F,MATCH(Table24[[#This Row],[كد تفصيلي]],'درجریان وصول'!A:A,0)),0)</f>
        <v>0</v>
      </c>
      <c r="E4" s="17">
        <f>IFERROR(INDEX('چکهای دریافتنی'!F:F,MATCH(Table24[[#This Row],[كد تفصيلي]],'چکهای دریافتنی'!A:A,0)),0)</f>
        <v>0</v>
      </c>
      <c r="F4" s="17">
        <f>Table24[[#This Row],[حسابهای دریافتنی]]+Table24[[#This Row],[چکهای در جریان وصول]]+Table24[[#This Row],[چکهای نزد صندوق]]</f>
        <v>31800110000</v>
      </c>
      <c r="G4" s="12">
        <f>IFERROR(INDEX('مانده سوفاله'!F:F,MATCH(Table24[[#This Row],[كد تفصيلي]],'مانده سوفاله'!A:A,0)),0)</f>
        <v>-18472</v>
      </c>
    </row>
    <row r="5" spans="1:7" ht="18" customHeight="1" x14ac:dyDescent="0.3">
      <c r="A5" s="28">
        <v>10003</v>
      </c>
      <c r="B5" s="30" t="s">
        <v>10</v>
      </c>
      <c r="C5" s="10">
        <f>IFERROR(INDEX('حسابهای دریافتنی'!H:H,MATCH(Table24[[#This Row],[كد تفصيلي]],'حسابهای دریافتنی'!A:A,0)),0)</f>
        <v>10804267992</v>
      </c>
      <c r="D5" s="11">
        <f>IFERROR(INDEX('درجریان وصول'!F:F,MATCH(Table24[[#This Row],[كد تفصيلي]],'درجریان وصول'!A:A,0)),0)</f>
        <v>0</v>
      </c>
      <c r="E5" s="11">
        <f>IFERROR(INDEX('چکهای دریافتنی'!F:F,MATCH(Table24[[#This Row],[كد تفصيلي]],'چکهای دریافتنی'!A:A,0)),0)</f>
        <v>13698001280</v>
      </c>
      <c r="F5" s="11">
        <f>Table24[[#This Row],[حسابهای دریافتنی]]+Table24[[#This Row],[چکهای در جریان وصول]]+Table24[[#This Row],[چکهای نزد صندوق]]</f>
        <v>24502269272</v>
      </c>
      <c r="G5" s="12">
        <f>IFERROR(INDEX('مانده سوفاله'!F:F,MATCH(Table24[[#This Row],[كد تفصيلي]],'مانده سوفاله'!A:A,0)),0)</f>
        <v>-39886</v>
      </c>
    </row>
    <row r="6" spans="1:7" ht="18" customHeight="1" x14ac:dyDescent="0.3">
      <c r="A6" s="28">
        <v>10055</v>
      </c>
      <c r="B6" s="30" t="s">
        <v>162</v>
      </c>
      <c r="C6" s="10">
        <f>IFERROR(INDEX('حسابهای دریافتنی'!H:H,MATCH(Table24[[#This Row],[كد تفصيلي]],'حسابهای دریافتنی'!A:A,0)),0)</f>
        <v>10460111325</v>
      </c>
      <c r="D6" s="10">
        <f>IFERROR(INDEX('درجریان وصول'!F:F,MATCH(Table24[[#This Row],[كد تفصيلي]],'درجریان وصول'!A:A,0)),0)</f>
        <v>0</v>
      </c>
      <c r="E6" s="10">
        <f>IFERROR(INDEX('چکهای دریافتنی'!F:F,MATCH(Table24[[#This Row],[كد تفصيلي]],'چکهای دریافتنی'!A:A,0)),0)</f>
        <v>2783298655</v>
      </c>
      <c r="F6" s="10">
        <f>Table24[[#This Row],[حسابهای دریافتنی]]+Table24[[#This Row],[چکهای در جریان وصول]]+Table24[[#This Row],[چکهای نزد صندوق]]</f>
        <v>13243409980</v>
      </c>
      <c r="G6" s="12">
        <f>IFERROR(INDEX('مانده سوفاله'!F:F,MATCH(Table24[[#This Row],[كد تفصيلي]],'مانده سوفاله'!A:A,0)),0)</f>
        <v>-12714</v>
      </c>
    </row>
    <row r="7" spans="1:7" ht="18" customHeight="1" x14ac:dyDescent="0.3">
      <c r="A7" s="28">
        <v>10027</v>
      </c>
      <c r="B7" s="30" t="s">
        <v>33</v>
      </c>
      <c r="C7" s="10">
        <f>IFERROR(INDEX('حسابهای دریافتنی'!H:H,MATCH(Table24[[#This Row],[كد تفصيلي]],'حسابهای دریافتنی'!A:A,0)),0)</f>
        <v>33078340</v>
      </c>
      <c r="D7" s="10">
        <f>IFERROR(INDEX('درجریان وصول'!F:F,MATCH(Table24[[#This Row],[كد تفصيلي]],'درجریان وصول'!A:A,0)),0)</f>
        <v>0</v>
      </c>
      <c r="E7" s="10">
        <f>IFERROR(INDEX('چکهای دریافتنی'!F:F,MATCH(Table24[[#This Row],[كد تفصيلي]],'چکهای دریافتنی'!A:A,0)),0)</f>
        <v>1588359160</v>
      </c>
      <c r="F7" s="10">
        <f>Table24[[#This Row],[حسابهای دریافتنی]]+Table24[[#This Row],[چکهای در جریان وصول]]+Table24[[#This Row],[چکهای نزد صندوق]]</f>
        <v>1621437500</v>
      </c>
      <c r="G7" s="12">
        <f>IFERROR(INDEX('مانده سوفاله'!F:F,MATCH(Table24[[#This Row],[كد تفصيلي]],'مانده سوفاله'!A:A,0)),0)</f>
        <v>-647</v>
      </c>
    </row>
    <row r="8" spans="1:7" ht="18" customHeight="1" x14ac:dyDescent="0.3">
      <c r="A8" s="28">
        <v>30009</v>
      </c>
      <c r="B8" s="30" t="s">
        <v>164</v>
      </c>
      <c r="C8" s="10">
        <f>IFERROR(INDEX('حسابهای دریافتنی'!H:H,MATCH(Table24[[#This Row],[كد تفصيلي]],'حسابهای دریافتنی'!A:A,0)),0)</f>
        <v>7853844277</v>
      </c>
      <c r="D8" s="11">
        <f>IFERROR(INDEX('درجریان وصول'!F:F,MATCH(Table24[[#This Row],[كد تفصيلي]],'درجریان وصول'!A:A,0)),0)</f>
        <v>0</v>
      </c>
      <c r="E8" s="11">
        <f>IFERROR(INDEX('چکهای دریافتنی'!F:F,MATCH(Table24[[#This Row],[كد تفصيلي]],'چکهای دریافتنی'!A:A,0)),0)</f>
        <v>6474835380</v>
      </c>
      <c r="F8" s="11">
        <f>Table24[[#This Row],[حسابهای دریافتنی]]+Table24[[#This Row],[چکهای در جریان وصول]]+Table24[[#This Row],[چکهای نزد صندوق]]</f>
        <v>14328679657</v>
      </c>
      <c r="G8" s="12">
        <f>IFERROR(INDEX('مانده سوفاله'!F:F,MATCH(Table24[[#This Row],[كد تفصيلي]],'مانده سوفاله'!A:A,0)),0)</f>
        <v>-11452</v>
      </c>
    </row>
    <row r="9" spans="1:7" ht="18" customHeight="1" x14ac:dyDescent="0.3">
      <c r="A9" s="29">
        <v>50016</v>
      </c>
      <c r="B9" s="31" t="s">
        <v>160</v>
      </c>
      <c r="C9" s="10">
        <f>IFERROR(INDEX('حسابهای دریافتنی'!H:H,MATCH(Table24[[#This Row],[كد تفصيلي]],'حسابهای دریافتنی'!A:A,0)),0)</f>
        <v>6344545550</v>
      </c>
      <c r="D9" s="17">
        <f>IFERROR(INDEX('درجریان وصول'!F:F,MATCH(Table24[[#This Row],[كد تفصيلي]],'درجریان وصول'!A:A,0)),0)</f>
        <v>0</v>
      </c>
      <c r="E9" s="17">
        <f>IFERROR(INDEX('چکهای دریافتنی'!F:F,MATCH(Table24[[#This Row],[كد تفصيلي]],'چکهای دریافتنی'!A:A,0)),0)</f>
        <v>0</v>
      </c>
      <c r="F9" s="17">
        <f>Table24[[#This Row],[حسابهای دریافتنی]]+Table24[[#This Row],[چکهای در جریان وصول]]+Table24[[#This Row],[چکهای نزد صندوق]]</f>
        <v>6344545550</v>
      </c>
      <c r="G9" s="12">
        <f>IFERROR(INDEX('مانده سوفاله'!F:F,MATCH(Table24[[#This Row],[كد تفصيلي]],'مانده سوفاله'!A:A,0)),0)</f>
        <v>5508</v>
      </c>
    </row>
    <row r="10" spans="1:7" ht="18" customHeight="1" x14ac:dyDescent="0.3">
      <c r="A10" s="29">
        <v>30004</v>
      </c>
      <c r="B10" s="31" t="s">
        <v>54</v>
      </c>
      <c r="C10" s="10">
        <f>IFERROR(INDEX('حسابهای دریافتنی'!H:H,MATCH(Table24[[#This Row],[كد تفصيلي]],'حسابهای دریافتنی'!A:A,0)),0)</f>
        <v>7598548260</v>
      </c>
      <c r="D10" s="17">
        <f>IFERROR(INDEX('درجریان وصول'!F:F,MATCH(Table24[[#This Row],[كد تفصيلي]],'درجریان وصول'!A:A,0)),0)</f>
        <v>0</v>
      </c>
      <c r="E10" s="17">
        <f>IFERROR(INDEX('چکهای دریافتنی'!F:F,MATCH(Table24[[#This Row],[كد تفصيلي]],'چکهای دریافتنی'!A:A,0)),0)</f>
        <v>11698760000</v>
      </c>
      <c r="F10" s="17">
        <f>Table24[[#This Row],[حسابهای دریافتنی]]+Table24[[#This Row],[چکهای در جریان وصول]]+Table24[[#This Row],[چکهای نزد صندوق]]</f>
        <v>19297308260</v>
      </c>
      <c r="G10" s="12">
        <f>IFERROR(INDEX('مانده سوفاله'!F:F,MATCH(Table24[[#This Row],[كد تفصيلي]],'مانده سوفاله'!A:A,0)),0)</f>
        <v>-4237</v>
      </c>
    </row>
    <row r="11" spans="1:7" ht="18" customHeight="1" x14ac:dyDescent="0.3">
      <c r="A11" s="29">
        <v>30099</v>
      </c>
      <c r="B11" s="31" t="s">
        <v>167</v>
      </c>
      <c r="C11" s="10">
        <f>IFERROR(INDEX('حسابهای دریافتنی'!H:H,MATCH(Table24[[#This Row],[كد تفصيلي]],'حسابهای دریافتنی'!A:A,0)),0)</f>
        <v>1398393484</v>
      </c>
      <c r="D11" s="17">
        <f>IFERROR(INDEX('درجریان وصول'!F:F,MATCH(Table24[[#This Row],[كد تفصيلي]],'درجریان وصول'!A:A,0)),0)</f>
        <v>0</v>
      </c>
      <c r="E11" s="17">
        <f>IFERROR(INDEX('چکهای دریافتنی'!F:F,MATCH(Table24[[#This Row],[كد تفصيلي]],'چکهای دریافتنی'!A:A,0)),0)</f>
        <v>583000000</v>
      </c>
      <c r="F11" s="17">
        <f>Table24[[#This Row],[حسابهای دریافتنی]]+Table24[[#This Row],[چکهای در جریان وصول]]+Table24[[#This Row],[چکهای نزد صندوق]]</f>
        <v>1981393484</v>
      </c>
      <c r="G11" s="12">
        <f>IFERROR(INDEX('مانده سوفاله'!F:F,MATCH(Table24[[#This Row],[كد تفصيلي]],'مانده سوفاله'!A:A,0)),0)</f>
        <v>-332</v>
      </c>
    </row>
    <row r="12" spans="1:7" ht="18" customHeight="1" x14ac:dyDescent="0.3">
      <c r="A12" s="29">
        <v>30081</v>
      </c>
      <c r="B12" s="31" t="s">
        <v>126</v>
      </c>
      <c r="C12" s="10">
        <f>IFERROR(INDEX('حسابهای دریافتنی'!H:H,MATCH(Table24[[#This Row],[كد تفصيلي]],'حسابهای دریافتنی'!A:A,0)),0)</f>
        <v>1148992373</v>
      </c>
      <c r="D12" s="17">
        <f>IFERROR(INDEX('درجریان وصول'!F:F,MATCH(Table24[[#This Row],[كد تفصيلي]],'درجریان وصول'!A:A,0)),0)</f>
        <v>0</v>
      </c>
      <c r="E12" s="17">
        <f>IFERROR(INDEX('چکهای دریافتنی'!F:F,MATCH(Table24[[#This Row],[كد تفصيلي]],'چکهای دریافتنی'!A:A,0)),0)</f>
        <v>0</v>
      </c>
      <c r="F12" s="17">
        <f>Table24[[#This Row],[حسابهای دریافتنی]]+Table24[[#This Row],[چکهای در جریان وصول]]+Table24[[#This Row],[چکهای نزد صندوق]]</f>
        <v>1148992373</v>
      </c>
      <c r="G12" s="12">
        <f>IFERROR(INDEX('مانده سوفاله'!F:F,MATCH(Table24[[#This Row],[كد تفصيلي]],'مانده سوفاله'!A:A,0)),0)</f>
        <v>-6924</v>
      </c>
    </row>
    <row r="13" spans="1:7" ht="18" customHeight="1" x14ac:dyDescent="0.3">
      <c r="A13" s="28">
        <v>30058</v>
      </c>
      <c r="B13" s="30" t="s">
        <v>103</v>
      </c>
      <c r="C13" s="10">
        <f>IFERROR(INDEX('حسابهای دریافتنی'!H:H,MATCH(Table24[[#This Row],[كد تفصيلي]],'حسابهای دریافتنی'!A:A,0)),0)</f>
        <v>1700045560</v>
      </c>
      <c r="D13" s="17">
        <f>IFERROR(INDEX('درجریان وصول'!F:F,MATCH(Table24[[#This Row],[كد تفصيلي]],'درجریان وصول'!A:A,0)),0)</f>
        <v>0</v>
      </c>
      <c r="E13" s="17">
        <f>IFERROR(INDEX('چکهای دریافتنی'!F:F,MATCH(Table24[[#This Row],[كد تفصيلي]],'چکهای دریافتنی'!A:A,0)),0)</f>
        <v>0</v>
      </c>
      <c r="F13" s="17">
        <f>Table24[[#This Row],[حسابهای دریافتنی]]+Table24[[#This Row],[چکهای در جریان وصول]]+Table24[[#This Row],[چکهای نزد صندوق]]</f>
        <v>1700045560</v>
      </c>
      <c r="G13" s="12">
        <f>IFERROR(INDEX('مانده سوفاله'!F:F,MATCH(Table24[[#This Row],[كد تفصيلي]],'مانده سوفاله'!A:A,0)),0)</f>
        <v>-225</v>
      </c>
    </row>
    <row r="14" spans="1:7" ht="18" customHeight="1" x14ac:dyDescent="0.3">
      <c r="A14" s="29">
        <v>10026</v>
      </c>
      <c r="B14" s="31" t="s">
        <v>32</v>
      </c>
      <c r="C14" s="10">
        <f>IFERROR(INDEX('حسابهای دریافتنی'!H:H,MATCH(Table24[[#This Row],[كد تفصيلي]],'حسابهای دریافتنی'!A:A,0)),0)</f>
        <v>3795031844</v>
      </c>
      <c r="D14" s="10">
        <f>IFERROR(INDEX('درجریان وصول'!F:F,MATCH(Table24[[#This Row],[كد تفصيلي]],'درجریان وصول'!A:A,0)),0)</f>
        <v>0</v>
      </c>
      <c r="E14" s="10">
        <f>IFERROR(INDEX('چکهای دریافتنی'!F:F,MATCH(Table24[[#This Row],[كد تفصيلي]],'چکهای دریافتنی'!A:A,0)),0)</f>
        <v>2690000000</v>
      </c>
      <c r="F14" s="10">
        <f>Table24[[#This Row],[حسابهای دریافتنی]]+Table24[[#This Row],[چکهای در جریان وصول]]+Table24[[#This Row],[چکهای نزد صندوق]]</f>
        <v>6485031844</v>
      </c>
      <c r="G14" s="12">
        <f>IFERROR(INDEX('مانده سوفاله'!F:F,MATCH(Table24[[#This Row],[كد تفصيلي]],'مانده سوفاله'!A:A,0)),0)</f>
        <v>-12543</v>
      </c>
    </row>
    <row r="15" spans="1:7" ht="18" customHeight="1" x14ac:dyDescent="0.3">
      <c r="A15" s="28">
        <v>10123</v>
      </c>
      <c r="B15" s="30" t="s">
        <v>376</v>
      </c>
      <c r="C15" s="10">
        <f>IFERROR(INDEX('حسابهای دریافتنی'!H:H,MATCH(Table24[[#This Row],[كد تفصيلي]],'حسابهای دریافتنی'!A:A,0)),0)</f>
        <v>-50813000</v>
      </c>
      <c r="D15" s="10">
        <f>IFERROR(INDEX('درجریان وصول'!F:F,MATCH(Table24[[#This Row],[كد تفصيلي]],'درجریان وصول'!A:A,0)),0)</f>
        <v>0</v>
      </c>
      <c r="E15" s="10">
        <f>IFERROR(INDEX('چکهای دریافتنی'!F:F,MATCH(Table24[[#This Row],[كد تفصيلي]],'چکهای دریافتنی'!A:A,0)),0)</f>
        <v>0</v>
      </c>
      <c r="F15" s="10">
        <f>Table24[[#This Row],[حسابهای دریافتنی]]+Table24[[#This Row],[چکهای در جریان وصول]]+Table24[[#This Row],[چکهای نزد صندوق]]</f>
        <v>-50813000</v>
      </c>
      <c r="G15" s="12">
        <f>IFERROR(INDEX('مانده سوفاله'!F:F,MATCH(Table24[[#This Row],[كد تفصيلي]],'مانده سوفاله'!A:A,0)),0)</f>
        <v>0</v>
      </c>
    </row>
    <row r="16" spans="1:7" ht="18" customHeight="1" x14ac:dyDescent="0.3">
      <c r="A16" s="28">
        <v>30003</v>
      </c>
      <c r="B16" s="30" t="s">
        <v>53</v>
      </c>
      <c r="C16" s="10">
        <f>IFERROR(INDEX('حسابهای دریافتنی'!H:H,MATCH(Table24[[#This Row],[كد تفصيلي]],'حسابهای دریافتنی'!A:A,0)),0)</f>
        <v>754765900</v>
      </c>
      <c r="D16" s="17">
        <f>IFERROR(INDEX('درجریان وصول'!F:F,MATCH(Table24[[#This Row],[كد تفصيلي]],'درجریان وصول'!A:A,0)),0)</f>
        <v>0</v>
      </c>
      <c r="E16" s="17">
        <f>IFERROR(INDEX('چکهای دریافتنی'!F:F,MATCH(Table24[[#This Row],[كد تفصيلي]],'چکهای دریافتنی'!A:A,0)),0)</f>
        <v>571000000</v>
      </c>
      <c r="F16" s="17">
        <f>Table24[[#This Row],[حسابهای دریافتنی]]+Table24[[#This Row],[چکهای در جریان وصول]]+Table24[[#This Row],[چکهای نزد صندوق]]</f>
        <v>1325765900</v>
      </c>
      <c r="G16" s="12">
        <f>IFERROR(INDEX('مانده سوفاله'!F:F,MATCH(Table24[[#This Row],[كد تفصيلي]],'مانده سوفاله'!A:A,0)),0)</f>
        <v>-3538</v>
      </c>
    </row>
    <row r="17" spans="1:7" ht="18" customHeight="1" x14ac:dyDescent="0.3">
      <c r="A17" s="29">
        <v>10056</v>
      </c>
      <c r="B17" s="31" t="s">
        <v>166</v>
      </c>
      <c r="C17" s="10">
        <f>IFERROR(INDEX('حسابهای دریافتنی'!H:H,MATCH(Table24[[#This Row],[كد تفصيلي]],'حسابهای دریافتنی'!A:A,0)),0)</f>
        <v>812653500</v>
      </c>
      <c r="D17" s="11">
        <f>IFERROR(INDEX('درجریان وصول'!F:F,MATCH(Table24[[#This Row],[كد تفصيلي]],'درجریان وصول'!A:A,0)),0)</f>
        <v>0</v>
      </c>
      <c r="E17" s="11">
        <f>IFERROR(INDEX('چکهای دریافتنی'!F:F,MATCH(Table24[[#This Row],[كد تفصيلي]],'چکهای دریافتنی'!A:A,0)),0)</f>
        <v>0</v>
      </c>
      <c r="F17" s="11">
        <f>Table24[[#This Row],[حسابهای دریافتنی]]+Table24[[#This Row],[چکهای در جریان وصول]]+Table24[[#This Row],[چکهای نزد صندوق]]</f>
        <v>812653500</v>
      </c>
      <c r="G17" s="12">
        <f>IFERROR(INDEX('مانده سوفاله'!F:F,MATCH(Table24[[#This Row],[كد تفصيلي]],'مانده سوفاله'!A:A,0)),0)</f>
        <v>0</v>
      </c>
    </row>
    <row r="18" spans="1:7" ht="18" customHeight="1" x14ac:dyDescent="0.3">
      <c r="A18" s="29">
        <v>30006</v>
      </c>
      <c r="B18" s="31" t="s">
        <v>56</v>
      </c>
      <c r="C18" s="10">
        <f>IFERROR(INDEX('حسابهای دریافتنی'!H:H,MATCH(Table24[[#This Row],[كد تفصيلي]],'حسابهای دریافتنی'!A:A,0)),0)</f>
        <v>-162677545</v>
      </c>
      <c r="D18" s="11">
        <f>IFERROR(INDEX('درجریان وصول'!F:F,MATCH(Table24[[#This Row],[كد تفصيلي]],'درجریان وصول'!A:A,0)),0)</f>
        <v>0</v>
      </c>
      <c r="E18" s="11">
        <f>IFERROR(INDEX('چکهای دریافتنی'!F:F,MATCH(Table24[[#This Row],[كد تفصيلي]],'چکهای دریافتنی'!A:A,0)),0)</f>
        <v>0</v>
      </c>
      <c r="F18" s="11">
        <f>Table24[[#This Row],[حسابهای دریافتنی]]+Table24[[#This Row],[چکهای در جریان وصول]]+Table24[[#This Row],[چکهای نزد صندوق]]</f>
        <v>-162677545</v>
      </c>
      <c r="G18" s="12">
        <f>IFERROR(INDEX('مانده سوفاله'!F:F,MATCH(Table24[[#This Row],[كد تفصيلي]],'مانده سوفاله'!A:A,0)),0)</f>
        <v>-6</v>
      </c>
    </row>
    <row r="19" spans="1:7" ht="18" customHeight="1" x14ac:dyDescent="0.3">
      <c r="A19" s="28">
        <v>10029</v>
      </c>
      <c r="B19" s="30" t="s">
        <v>35</v>
      </c>
      <c r="C19" s="10">
        <f>IFERROR(INDEX('حسابهای دریافتنی'!H:H,MATCH(Table24[[#This Row],[كد تفصيلي]],'حسابهای دریافتنی'!A:A,0)),0)</f>
        <v>-1038298620</v>
      </c>
      <c r="D19" s="11">
        <f>IFERROR(INDEX('درجریان وصول'!F:F,MATCH(Table24[[#This Row],[كد تفصيلي]],'درجریان وصول'!A:A,0)),0)</f>
        <v>0</v>
      </c>
      <c r="E19" s="11">
        <f>IFERROR(INDEX('چکهای دریافتنی'!F:F,MATCH(Table24[[#This Row],[كد تفصيلي]],'چکهای دریافتنی'!A:A,0)),0)</f>
        <v>2019000000</v>
      </c>
      <c r="F19" s="11">
        <f>Table24[[#This Row],[حسابهای دریافتنی]]+Table24[[#This Row],[چکهای در جریان وصول]]+Table24[[#This Row],[چکهای نزد صندوق]]</f>
        <v>980701380</v>
      </c>
      <c r="G19" s="12">
        <f>IFERROR(INDEX('مانده سوفاله'!F:F,MATCH(Table24[[#This Row],[كد تفصيلي]],'مانده سوفاله'!A:A,0)),0)</f>
        <v>6603</v>
      </c>
    </row>
    <row r="20" spans="1:7" ht="18" customHeight="1" x14ac:dyDescent="0.3">
      <c r="A20" s="29">
        <v>30014</v>
      </c>
      <c r="B20" s="31" t="s">
        <v>63</v>
      </c>
      <c r="C20" s="10">
        <f>IFERROR(INDEX('حسابهای دریافتنی'!H:H,MATCH(Table24[[#This Row],[كد تفصيلي]],'حسابهای دریافتنی'!A:A,0)),0)</f>
        <v>1762223932</v>
      </c>
      <c r="D20" s="11">
        <f>IFERROR(INDEX('درجریان وصول'!F:F,MATCH(Table24[[#This Row],[كد تفصيلي]],'درجریان وصول'!A:A,0)),0)</f>
        <v>0</v>
      </c>
      <c r="E20" s="11">
        <f>IFERROR(INDEX('چکهای دریافتنی'!F:F,MATCH(Table24[[#This Row],[كد تفصيلي]],'چکهای دریافتنی'!A:A,0)),0)</f>
        <v>0</v>
      </c>
      <c r="F20" s="11">
        <f>Table24[[#This Row],[حسابهای دریافتنی]]+Table24[[#This Row],[چکهای در جریان وصول]]+Table24[[#This Row],[چکهای نزد صندوق]]</f>
        <v>1762223932</v>
      </c>
      <c r="G20" s="12">
        <f>IFERROR(INDEX('مانده سوفاله'!F:F,MATCH(Table24[[#This Row],[كد تفصيلي]],'مانده سوفاله'!A:A,0)),0)</f>
        <v>-1368</v>
      </c>
    </row>
    <row r="21" spans="1:7" ht="18" customHeight="1" x14ac:dyDescent="0.3">
      <c r="A21" s="29">
        <v>30018</v>
      </c>
      <c r="B21" s="31" t="s">
        <v>66</v>
      </c>
      <c r="C21" s="10">
        <f>IFERROR(INDEX('حسابهای دریافتنی'!H:H,MATCH(Table24[[#This Row],[كد تفصيلي]],'حسابهای دریافتنی'!A:A,0)),0)</f>
        <v>1901077182</v>
      </c>
      <c r="D21" s="17">
        <f>IFERROR(INDEX('درجریان وصول'!F:F,MATCH(Table24[[#This Row],[كد تفصيلي]],'درجریان وصول'!A:A,0)),0)</f>
        <v>0</v>
      </c>
      <c r="E21" s="17">
        <f>IFERROR(INDEX('چکهای دریافتنی'!F:F,MATCH(Table24[[#This Row],[كد تفصيلي]],'چکهای دریافتنی'!A:A,0)),0)</f>
        <v>0</v>
      </c>
      <c r="F21" s="17">
        <f>Table24[[#This Row],[حسابهای دریافتنی]]+Table24[[#This Row],[چکهای در جریان وصول]]+Table24[[#This Row],[چکهای نزد صندوق]]</f>
        <v>1901077182</v>
      </c>
      <c r="G21" s="12">
        <f>IFERROR(INDEX('مانده سوفاله'!F:F,MATCH(Table24[[#This Row],[كد تفصيلي]],'مانده سوفاله'!A:A,0)),0)</f>
        <v>-3024</v>
      </c>
    </row>
    <row r="22" spans="1:7" ht="18" customHeight="1" x14ac:dyDescent="0.3">
      <c r="A22" s="29">
        <v>30012</v>
      </c>
      <c r="B22" s="31" t="s">
        <v>61</v>
      </c>
      <c r="C22" s="10">
        <f>IFERROR(INDEX('حسابهای دریافتنی'!H:H,MATCH(Table24[[#This Row],[كد تفصيلي]],'حسابهای دریافتنی'!A:A,0)),0)</f>
        <v>-46099000</v>
      </c>
      <c r="D22" s="17">
        <f>IFERROR(INDEX('درجریان وصول'!F:F,MATCH(Table24[[#This Row],[كد تفصيلي]],'درجریان وصول'!A:A,0)),0)</f>
        <v>0</v>
      </c>
      <c r="E22" s="17">
        <f>IFERROR(INDEX('چکهای دریافتنی'!F:F,MATCH(Table24[[#This Row],[كد تفصيلي]],'چکهای دریافتنی'!A:A,0)),0)</f>
        <v>348650000</v>
      </c>
      <c r="F22" s="17">
        <f>Table24[[#This Row],[حسابهای دریافتنی]]+Table24[[#This Row],[چکهای در جریان وصول]]+Table24[[#This Row],[چکهای نزد صندوق]]</f>
        <v>302551000</v>
      </c>
      <c r="G22" s="12">
        <f>IFERROR(INDEX('مانده سوفاله'!F:F,MATCH(Table24[[#This Row],[كد تفصيلي]],'مانده سوفاله'!A:A,0)),0)</f>
        <v>141</v>
      </c>
    </row>
    <row r="23" spans="1:7" ht="18" customHeight="1" x14ac:dyDescent="0.3">
      <c r="A23" s="28">
        <v>30186</v>
      </c>
      <c r="B23" s="30" t="s">
        <v>389</v>
      </c>
      <c r="C23" s="10">
        <f>IFERROR(INDEX('حسابهای دریافتنی'!H:H,MATCH(Table24[[#This Row],[كد تفصيلي]],'حسابهای دریافتنی'!A:A,0)),0)</f>
        <v>986425000</v>
      </c>
      <c r="D23" s="17">
        <f>IFERROR(INDEX('درجریان وصول'!F:F,MATCH(Table24[[#This Row],[كد تفصيلي]],'درجریان وصول'!A:A,0)),0)</f>
        <v>0</v>
      </c>
      <c r="E23" s="17">
        <f>IFERROR(INDEX('چکهای دریافتنی'!F:F,MATCH(Table24[[#This Row],[كد تفصيلي]],'چکهای دریافتنی'!A:A,0)),0)</f>
        <v>5982430000</v>
      </c>
      <c r="F23" s="17">
        <f>Table24[[#This Row],[حسابهای دریافتنی]]+Table24[[#This Row],[چکهای در جریان وصول]]+Table24[[#This Row],[چکهای نزد صندوق]]</f>
        <v>6968855000</v>
      </c>
      <c r="G23" s="12">
        <f>IFERROR(INDEX('مانده سوفاله'!F:F,MATCH(Table24[[#This Row],[كد تفصيلي]],'مانده سوفاله'!A:A,0)),0)</f>
        <v>-7388</v>
      </c>
    </row>
    <row r="24" spans="1:7" ht="18" customHeight="1" x14ac:dyDescent="0.3">
      <c r="A24" s="29">
        <v>10008</v>
      </c>
      <c r="B24" s="31" t="s">
        <v>15</v>
      </c>
      <c r="C24" s="10">
        <f>IFERROR(INDEX('حسابهای دریافتنی'!H:H,MATCH(Table24[[#This Row],[كد تفصيلي]],'حسابهای دریافتنی'!A:A,0)),0)</f>
        <v>597342000</v>
      </c>
      <c r="D24" s="11">
        <f>IFERROR(INDEX('درجریان وصول'!F:F,MATCH(Table24[[#This Row],[كد تفصيلي]],'درجریان وصول'!A:A,0)),0)</f>
        <v>0</v>
      </c>
      <c r="E24" s="11">
        <f>IFERROR(INDEX('چکهای دریافتنی'!F:F,MATCH(Table24[[#This Row],[كد تفصيلي]],'چکهای دریافتنی'!A:A,0)),0)</f>
        <v>0</v>
      </c>
      <c r="F24" s="11">
        <f>Table24[[#This Row],[حسابهای دریافتنی]]+Table24[[#This Row],[چکهای در جریان وصول]]+Table24[[#This Row],[چکهای نزد صندوق]]</f>
        <v>597342000</v>
      </c>
      <c r="G24" s="12">
        <f>IFERROR(INDEX('مانده سوفاله'!F:F,MATCH(Table24[[#This Row],[كد تفصيلي]],'مانده سوفاله'!A:A,0)),0)</f>
        <v>-578</v>
      </c>
    </row>
    <row r="25" spans="1:7" ht="18" customHeight="1" x14ac:dyDescent="0.3">
      <c r="A25" s="28">
        <v>10057</v>
      </c>
      <c r="B25" s="30" t="s">
        <v>225</v>
      </c>
      <c r="C25" s="10">
        <f>IFERROR(INDEX('حسابهای دریافتنی'!H:H,MATCH(Table24[[#This Row],[كد تفصيلي]],'حسابهای دریافتنی'!A:A,0)),0)</f>
        <v>1390485500</v>
      </c>
      <c r="D25" s="11">
        <f>IFERROR(INDEX('درجریان وصول'!F:F,MATCH(Table24[[#This Row],[كد تفصيلي]],'درجریان وصول'!A:A,0)),0)</f>
        <v>0</v>
      </c>
      <c r="E25" s="11">
        <f>IFERROR(INDEX('چکهای دریافتنی'!F:F,MATCH(Table24[[#This Row],[كد تفصيلي]],'چکهای دریافتنی'!A:A,0)),0)</f>
        <v>0</v>
      </c>
      <c r="F25" s="11">
        <f>Table24[[#This Row],[حسابهای دریافتنی]]+Table24[[#This Row],[چکهای در جریان وصول]]+Table24[[#This Row],[چکهای نزد صندوق]]</f>
        <v>1390485500</v>
      </c>
      <c r="G25" s="12">
        <f>IFERROR(INDEX('مانده سوفاله'!F:F,MATCH(Table24[[#This Row],[كد تفصيلي]],'مانده سوفاله'!A:A,0)),0)</f>
        <v>-2044</v>
      </c>
    </row>
    <row r="26" spans="1:7" ht="18" customHeight="1" x14ac:dyDescent="0.3">
      <c r="A26" s="29">
        <v>10020</v>
      </c>
      <c r="B26" s="31" t="s">
        <v>27</v>
      </c>
      <c r="C26" s="10">
        <f>IFERROR(INDEX('حسابهای دریافتنی'!H:H,MATCH(Table24[[#This Row],[كد تفصيلي]],'حسابهای دریافتنی'!A:A,0)),0)</f>
        <v>57999963</v>
      </c>
      <c r="D26" s="10">
        <f>IFERROR(INDEX('درجریان وصول'!F:F,MATCH(Table24[[#This Row],[كد تفصيلي]],'درجریان وصول'!A:A,0)),0)</f>
        <v>0</v>
      </c>
      <c r="E26" s="10">
        <f>IFERROR(INDEX('چکهای دریافتنی'!F:F,MATCH(Table24[[#This Row],[كد تفصيلي]],'چکهای دریافتنی'!A:A,0)),0)</f>
        <v>728000000</v>
      </c>
      <c r="F26" s="10">
        <f>Table24[[#This Row],[حسابهای دریافتنی]]+Table24[[#This Row],[چکهای در جریان وصول]]+Table24[[#This Row],[چکهای نزد صندوق]]</f>
        <v>785999963</v>
      </c>
      <c r="G26" s="12">
        <f>IFERROR(INDEX('مانده سوفاله'!F:F,MATCH(Table24[[#This Row],[كد تفصيلي]],'مانده سوفاله'!A:A,0)),0)</f>
        <v>-1031</v>
      </c>
    </row>
    <row r="27" spans="1:7" ht="18" customHeight="1" x14ac:dyDescent="0.3">
      <c r="A27" s="28">
        <v>50011</v>
      </c>
      <c r="B27" s="30" t="s">
        <v>147</v>
      </c>
      <c r="C27" s="10">
        <f>IFERROR(INDEX('حسابهای دریافتنی'!H:H,MATCH(Table24[[#This Row],[كد تفصيلي]],'حسابهای دریافتنی'!A:A,0)),0)</f>
        <v>832182413</v>
      </c>
      <c r="D27" s="17">
        <f>IFERROR(INDEX('درجریان وصول'!F:F,MATCH(Table24[[#This Row],[كد تفصيلي]],'درجریان وصول'!A:A,0)),0)</f>
        <v>0</v>
      </c>
      <c r="E27" s="17">
        <f>IFERROR(INDEX('چکهای دریافتنی'!F:F,MATCH(Table24[[#This Row],[كد تفصيلي]],'چکهای دریافتنی'!A:A,0)),0)</f>
        <v>0</v>
      </c>
      <c r="F27" s="17">
        <f>Table24[[#This Row],[حسابهای دریافتنی]]+Table24[[#This Row],[چکهای در جریان وصول]]+Table24[[#This Row],[چکهای نزد صندوق]]</f>
        <v>832182413</v>
      </c>
      <c r="G27" s="12">
        <f>IFERROR(INDEX('مانده سوفاله'!F:F,MATCH(Table24[[#This Row],[كد تفصيلي]],'مانده سوفاله'!A:A,0)),0)</f>
        <v>30</v>
      </c>
    </row>
    <row r="28" spans="1:7" ht="18" customHeight="1" x14ac:dyDescent="0.3">
      <c r="A28" s="29">
        <v>30040</v>
      </c>
      <c r="B28" s="31" t="s">
        <v>87</v>
      </c>
      <c r="C28" s="10">
        <f>IFERROR(INDEX('حسابهای دریافتنی'!H:H,MATCH(Table24[[#This Row],[كد تفصيلي]],'حسابهای دریافتنی'!A:A,0)),0)</f>
        <v>0</v>
      </c>
      <c r="D28" s="11">
        <f>IFERROR(INDEX('درجریان وصول'!F:F,MATCH(Table24[[#This Row],[كد تفصيلي]],'درجریان وصول'!A:A,0)),0)</f>
        <v>0</v>
      </c>
      <c r="E28" s="11">
        <f>IFERROR(INDEX('چکهای دریافتنی'!F:F,MATCH(Table24[[#This Row],[كد تفصيلي]],'چکهای دریافتنی'!A:A,0)),0)</f>
        <v>0</v>
      </c>
      <c r="F28" s="11">
        <f>Table24[[#This Row],[حسابهای دریافتنی]]+Table24[[#This Row],[چکهای در جریان وصول]]+Table24[[#This Row],[چکهای نزد صندوق]]</f>
        <v>0</v>
      </c>
      <c r="G28" s="12">
        <f>IFERROR(INDEX('مانده سوفاله'!F:F,MATCH(Table24[[#This Row],[كد تفصيلي]],'مانده سوفاله'!A:A,0)),0)</f>
        <v>0</v>
      </c>
    </row>
    <row r="29" spans="1:7" ht="18" customHeight="1" x14ac:dyDescent="0.3">
      <c r="A29" s="28">
        <v>30182</v>
      </c>
      <c r="B29" s="30" t="s">
        <v>387</v>
      </c>
      <c r="C29" s="10">
        <f>IFERROR(INDEX('حسابهای دریافتنی'!H:H,MATCH(Table24[[#This Row],[كد تفصيلي]],'حسابهای دریافتنی'!A:A,0)),0)</f>
        <v>-528256400</v>
      </c>
      <c r="D29" s="11">
        <f>IFERROR(INDEX('درجریان وصول'!F:F,MATCH(Table24[[#This Row],[كد تفصيلي]],'درجریان وصول'!A:A,0)),0)</f>
        <v>0</v>
      </c>
      <c r="E29" s="11">
        <f>IFERROR(INDEX('چکهای دریافتنی'!F:F,MATCH(Table24[[#This Row],[كد تفصيلي]],'چکهای دریافتنی'!A:A,0)),0)</f>
        <v>0</v>
      </c>
      <c r="F29" s="11">
        <f>Table24[[#This Row],[حسابهای دریافتنی]]+Table24[[#This Row],[چکهای در جریان وصول]]+Table24[[#This Row],[چکهای نزد صندوق]]</f>
        <v>-528256400</v>
      </c>
      <c r="G29" s="12">
        <f>IFERROR(INDEX('مانده سوفاله'!F:F,MATCH(Table24[[#This Row],[كد تفصيلي]],'مانده سوفاله'!A:A,0)),0)</f>
        <v>0</v>
      </c>
    </row>
    <row r="30" spans="1:7" ht="18" customHeight="1" x14ac:dyDescent="0.3">
      <c r="A30" s="29">
        <v>30069</v>
      </c>
      <c r="B30" s="31" t="s">
        <v>114</v>
      </c>
      <c r="C30" s="10">
        <f>IFERROR(INDEX('حسابهای دریافتنی'!H:H,MATCH(Table24[[#This Row],[كد تفصيلي]],'حسابهای دریافتنی'!A:A,0)),0)</f>
        <v>377909400</v>
      </c>
      <c r="D30" s="17">
        <f>IFERROR(INDEX('درجریان وصول'!F:F,MATCH(Table24[[#This Row],[كد تفصيلي]],'درجریان وصول'!A:A,0)),0)</f>
        <v>0</v>
      </c>
      <c r="E30" s="17">
        <f>IFERROR(INDEX('چکهای دریافتنی'!F:F,MATCH(Table24[[#This Row],[كد تفصيلي]],'چکهای دریافتنی'!A:A,0)),0)</f>
        <v>0</v>
      </c>
      <c r="F30" s="17">
        <f>Table24[[#This Row],[حسابهای دریافتنی]]+Table24[[#This Row],[چکهای در جریان وصول]]+Table24[[#This Row],[چکهای نزد صندوق]]</f>
        <v>377909400</v>
      </c>
      <c r="G30" s="12">
        <f>IFERROR(INDEX('مانده سوفاله'!F:F,MATCH(Table24[[#This Row],[كد تفصيلي]],'مانده سوفاله'!A:A,0)),0)</f>
        <v>66</v>
      </c>
    </row>
    <row r="31" spans="1:7" ht="18" customHeight="1" x14ac:dyDescent="0.3">
      <c r="A31" s="29">
        <v>10070</v>
      </c>
      <c r="B31" s="31" t="s">
        <v>230</v>
      </c>
      <c r="C31" s="10">
        <f>IFERROR(INDEX('حسابهای دریافتنی'!H:H,MATCH(Table24[[#This Row],[كد تفصيلي]],'حسابهای دریافتنی'!A:A,0)),0)</f>
        <v>508152500</v>
      </c>
      <c r="D31" s="11">
        <f>IFERROR(INDEX('درجریان وصول'!F:F,MATCH(Table24[[#This Row],[كد تفصيلي]],'درجریان وصول'!A:A,0)),0)</f>
        <v>0</v>
      </c>
      <c r="E31" s="11">
        <f>IFERROR(INDEX('چکهای دریافتنی'!F:F,MATCH(Table24[[#This Row],[كد تفصيلي]],'چکهای دریافتنی'!A:A,0)),0)</f>
        <v>570000000</v>
      </c>
      <c r="F31" s="11">
        <f>Table24[[#This Row],[حسابهای دریافتنی]]+Table24[[#This Row],[چکهای در جریان وصول]]+Table24[[#This Row],[چکهای نزد صندوق]]</f>
        <v>1078152500</v>
      </c>
      <c r="G31" s="12">
        <f>IFERROR(INDEX('مانده سوفاله'!F:F,MATCH(Table24[[#This Row],[كد تفصيلي]],'مانده سوفاله'!A:A,0)),0)</f>
        <v>-3170</v>
      </c>
    </row>
    <row r="32" spans="1:7" ht="18" customHeight="1" x14ac:dyDescent="0.3">
      <c r="A32" s="29">
        <v>10048</v>
      </c>
      <c r="B32" s="31" t="s">
        <v>191</v>
      </c>
      <c r="C32" s="10">
        <f>IFERROR(INDEX('حسابهای دریافتنی'!H:H,MATCH(Table24[[#This Row],[كد تفصيلي]],'حسابهای دریافتنی'!A:A,0)),0)</f>
        <v>0</v>
      </c>
      <c r="D32" s="10">
        <f>IFERROR(INDEX('درجریان وصول'!F:F,MATCH(Table24[[#This Row],[كد تفصيلي]],'درجریان وصول'!A:A,0)),0)</f>
        <v>0</v>
      </c>
      <c r="E32" s="10">
        <f>IFERROR(INDEX('چکهای دریافتنی'!F:F,MATCH(Table24[[#This Row],[كد تفصيلي]],'چکهای دریافتنی'!A:A,0)),0)</f>
        <v>0</v>
      </c>
      <c r="F32" s="10">
        <f>Table24[[#This Row],[حسابهای دریافتنی]]+Table24[[#This Row],[چکهای در جریان وصول]]+Table24[[#This Row],[چکهای نزد صندوق]]</f>
        <v>0</v>
      </c>
      <c r="G32" s="12">
        <f>IFERROR(INDEX('مانده سوفاله'!F:F,MATCH(Table24[[#This Row],[كد تفصيلي]],'مانده سوفاله'!A:A,0)),0)</f>
        <v>-1097</v>
      </c>
    </row>
    <row r="33" spans="1:7" ht="18" customHeight="1" x14ac:dyDescent="0.3">
      <c r="A33" s="29">
        <v>10092</v>
      </c>
      <c r="B33" s="31" t="s">
        <v>260</v>
      </c>
      <c r="C33" s="10">
        <f>IFERROR(INDEX('حسابهای دریافتنی'!H:H,MATCH(Table24[[#This Row],[كد تفصيلي]],'حسابهای دریافتنی'!A:A,0)),0)</f>
        <v>-1749946500</v>
      </c>
      <c r="D33" s="10">
        <f>IFERROR(INDEX('درجریان وصول'!F:F,MATCH(Table24[[#This Row],[كد تفصيلي]],'درجریان وصول'!A:A,0)),0)</f>
        <v>0</v>
      </c>
      <c r="E33" s="10">
        <f>IFERROR(INDEX('چکهای دریافتنی'!F:F,MATCH(Table24[[#This Row],[كد تفصيلي]],'چکهای دریافتنی'!A:A,0)),0)</f>
        <v>300000000</v>
      </c>
      <c r="F33" s="10">
        <f>Table24[[#This Row],[حسابهای دریافتنی]]+Table24[[#This Row],[چکهای در جریان وصول]]+Table24[[#This Row],[چکهای نزد صندوق]]</f>
        <v>-1449946500</v>
      </c>
      <c r="G33" s="12">
        <f>IFERROR(INDEX('مانده سوفاله'!F:F,MATCH(Table24[[#This Row],[كد تفصيلي]],'مانده سوفاله'!A:A,0)),0)</f>
        <v>0</v>
      </c>
    </row>
    <row r="34" spans="1:7" ht="18" customHeight="1" x14ac:dyDescent="0.3">
      <c r="A34" s="29">
        <v>10084</v>
      </c>
      <c r="B34" s="31" t="s">
        <v>217</v>
      </c>
      <c r="C34" s="10">
        <f>IFERROR(INDEX('حسابهای دریافتنی'!H:H,MATCH(Table24[[#This Row],[كد تفصيلي]],'حسابهای دریافتنی'!A:A,0)),0)</f>
        <v>358092810</v>
      </c>
      <c r="D34" s="10">
        <f>IFERROR(INDEX('درجریان وصول'!F:F,MATCH(Table24[[#This Row],[كد تفصيلي]],'درجریان وصول'!A:A,0)),0)</f>
        <v>0</v>
      </c>
      <c r="E34" s="10">
        <f>IFERROR(INDEX('چکهای دریافتنی'!F:F,MATCH(Table24[[#This Row],[كد تفصيلي]],'چکهای دریافتنی'!A:A,0)),0)</f>
        <v>870000000</v>
      </c>
      <c r="F34" s="10">
        <f>Table24[[#This Row],[حسابهای دریافتنی]]+Table24[[#This Row],[چکهای در جریان وصول]]+Table24[[#This Row],[چکهای نزد صندوق]]</f>
        <v>1228092810</v>
      </c>
      <c r="G34" s="12">
        <f>IFERROR(INDEX('مانده سوفاله'!F:F,MATCH(Table24[[#This Row],[كد تفصيلي]],'مانده سوفاله'!A:A,0)),0)</f>
        <v>-1656</v>
      </c>
    </row>
    <row r="35" spans="1:7" ht="18" customHeight="1" x14ac:dyDescent="0.3">
      <c r="A35" s="28">
        <v>30124</v>
      </c>
      <c r="B35" s="30" t="s">
        <v>246</v>
      </c>
      <c r="C35" s="10">
        <f>IFERROR(INDEX('حسابهای دریافتنی'!H:H,MATCH(Table24[[#This Row],[كد تفصيلي]],'حسابهای دریافتنی'!A:A,0)),0)</f>
        <v>0</v>
      </c>
      <c r="D35" s="17">
        <f>IFERROR(INDEX('درجریان وصول'!F:F,MATCH(Table24[[#This Row],[كد تفصيلي]],'درجریان وصول'!A:A,0)),0)</f>
        <v>0</v>
      </c>
      <c r="E35" s="17">
        <f>IFERROR(INDEX('چکهای دریافتنی'!F:F,MATCH(Table24[[#This Row],[كد تفصيلي]],'چکهای دریافتنی'!A:A,0)),0)</f>
        <v>505676000</v>
      </c>
      <c r="F35" s="17">
        <f>Table24[[#This Row],[حسابهای دریافتنی]]+Table24[[#This Row],[چکهای در جریان وصول]]+Table24[[#This Row],[چکهای نزد صندوق]]</f>
        <v>505676000</v>
      </c>
      <c r="G35" s="12">
        <f>IFERROR(INDEX('مانده سوفاله'!F:F,MATCH(Table24[[#This Row],[كد تفصيلي]],'مانده سوفاله'!A:A,0)),0)</f>
        <v>1498</v>
      </c>
    </row>
    <row r="36" spans="1:7" ht="18" customHeight="1" x14ac:dyDescent="0.3">
      <c r="A36" s="29">
        <v>30030</v>
      </c>
      <c r="B36" s="31" t="s">
        <v>77</v>
      </c>
      <c r="C36" s="10">
        <f>IFERROR(INDEX('حسابهای دریافتنی'!H:H,MATCH(Table24[[#This Row],[كد تفصيلي]],'حسابهای دریافتنی'!A:A,0)),0)</f>
        <v>850500</v>
      </c>
      <c r="D36" s="17">
        <f>IFERROR(INDEX('درجریان وصول'!F:F,MATCH(Table24[[#This Row],[كد تفصيلي]],'درجریان وصول'!A:A,0)),0)</f>
        <v>0</v>
      </c>
      <c r="E36" s="17">
        <f>IFERROR(INDEX('چکهای دریافتنی'!F:F,MATCH(Table24[[#This Row],[كد تفصيلي]],'چکهای دریافتنی'!A:A,0)),0)</f>
        <v>0</v>
      </c>
      <c r="F36" s="17">
        <f>Table24[[#This Row],[حسابهای دریافتنی]]+Table24[[#This Row],[چکهای در جریان وصول]]+Table24[[#This Row],[چکهای نزد صندوق]]</f>
        <v>850500</v>
      </c>
      <c r="G36" s="12">
        <f>IFERROR(INDEX('مانده سوفاله'!F:F,MATCH(Table24[[#This Row],[كد تفصيلي]],'مانده سوفاله'!A:A,0)),0)</f>
        <v>-49</v>
      </c>
    </row>
    <row r="37" spans="1:7" ht="18" customHeight="1" x14ac:dyDescent="0.3">
      <c r="A37" s="28">
        <v>10069</v>
      </c>
      <c r="B37" s="30" t="s">
        <v>204</v>
      </c>
      <c r="C37" s="10">
        <f>IFERROR(INDEX('حسابهای دریافتنی'!H:H,MATCH(Table24[[#This Row],[كد تفصيلي]],'حسابهای دریافتنی'!A:A,0)),0)</f>
        <v>952500</v>
      </c>
      <c r="D37" s="11">
        <f>IFERROR(INDEX('درجریان وصول'!F:F,MATCH(Table24[[#This Row],[كد تفصيلي]],'درجریان وصول'!A:A,0)),0)</f>
        <v>0</v>
      </c>
      <c r="E37" s="11">
        <f>IFERROR(INDEX('چکهای دریافتنی'!F:F,MATCH(Table24[[#This Row],[كد تفصيلي]],'چکهای دریافتنی'!A:A,0)),0)</f>
        <v>73000000</v>
      </c>
      <c r="F37" s="11">
        <f>Table24[[#This Row],[حسابهای دریافتنی]]+Table24[[#This Row],[چکهای در جریان وصول]]+Table24[[#This Row],[چکهای نزد صندوق]]</f>
        <v>73952500</v>
      </c>
      <c r="G37" s="12">
        <f>IFERROR(INDEX('مانده سوفاله'!F:F,MATCH(Table24[[#This Row],[كد تفصيلي]],'مانده سوفاله'!A:A,0)),0)</f>
        <v>339</v>
      </c>
    </row>
    <row r="38" spans="1:7" ht="18" customHeight="1" x14ac:dyDescent="0.3">
      <c r="A38" s="29">
        <v>30055</v>
      </c>
      <c r="B38" s="31" t="s">
        <v>100</v>
      </c>
      <c r="C38" s="10">
        <f>IFERROR(INDEX('حسابهای دریافتنی'!H:H,MATCH(Table24[[#This Row],[كد تفصيلي]],'حسابهای دریافتنی'!A:A,0)),0)</f>
        <v>0</v>
      </c>
      <c r="D38" s="17">
        <f>IFERROR(INDEX('درجریان وصول'!F:F,MATCH(Table24[[#This Row],[كد تفصيلي]],'درجریان وصول'!A:A,0)),0)</f>
        <v>0</v>
      </c>
      <c r="E38" s="17">
        <f>IFERROR(INDEX('چکهای دریافتنی'!F:F,MATCH(Table24[[#This Row],[كد تفصيلي]],'چکهای دریافتنی'!A:A,0)),0)</f>
        <v>0</v>
      </c>
      <c r="F38" s="17">
        <f>Table24[[#This Row],[حسابهای دریافتنی]]+Table24[[#This Row],[چکهای در جریان وصول]]+Table24[[#This Row],[چکهای نزد صندوق]]</f>
        <v>0</v>
      </c>
      <c r="G38" s="12">
        <f>IFERROR(INDEX('مانده سوفاله'!F:F,MATCH(Table24[[#This Row],[كد تفصيلي]],'مانده سوفاله'!A:A,0)),0)</f>
        <v>48</v>
      </c>
    </row>
    <row r="39" spans="1:7" ht="18" customHeight="1" x14ac:dyDescent="0.3">
      <c r="A39" s="28">
        <v>30086</v>
      </c>
      <c r="B39" s="30" t="s">
        <v>131</v>
      </c>
      <c r="C39" s="10">
        <f>IFERROR(INDEX('حسابهای دریافتنی'!H:H,MATCH(Table24[[#This Row],[كد تفصيلي]],'حسابهای دریافتنی'!A:A,0)),0)</f>
        <v>187376603</v>
      </c>
      <c r="D39" s="17">
        <f>IFERROR(INDEX('درجریان وصول'!F:F,MATCH(Table24[[#This Row],[كد تفصيلي]],'درجریان وصول'!A:A,0)),0)</f>
        <v>0</v>
      </c>
      <c r="E39" s="17">
        <f>IFERROR(INDEX('چکهای دریافتنی'!F:F,MATCH(Table24[[#This Row],[كد تفصيلي]],'چکهای دریافتنی'!A:A,0)),0)</f>
        <v>0</v>
      </c>
      <c r="F39" s="17">
        <f>Table24[[#This Row],[حسابهای دریافتنی]]+Table24[[#This Row],[چکهای در جریان وصول]]+Table24[[#This Row],[چکهای نزد صندوق]]</f>
        <v>187376603</v>
      </c>
      <c r="G39" s="12">
        <f>IFERROR(INDEX('مانده سوفاله'!F:F,MATCH(Table24[[#This Row],[كد تفصيلي]],'مانده سوفاله'!A:A,0)),0)</f>
        <v>1549</v>
      </c>
    </row>
    <row r="40" spans="1:7" ht="18" customHeight="1" x14ac:dyDescent="0.3">
      <c r="A40" s="28">
        <v>10015</v>
      </c>
      <c r="B40" s="30" t="s">
        <v>22</v>
      </c>
      <c r="C40" s="10">
        <f>IFERROR(INDEX('حسابهای دریافتنی'!H:H,MATCH(Table24[[#This Row],[كد تفصيلي]],'حسابهای دریافتنی'!A:A,0)),0)</f>
        <v>-4735000</v>
      </c>
      <c r="D40" s="11">
        <f>IFERROR(INDEX('درجریان وصول'!F:F,MATCH(Table24[[#This Row],[كد تفصيلي]],'درجریان وصول'!A:A,0)),0)</f>
        <v>0</v>
      </c>
      <c r="E40" s="11">
        <f>IFERROR(INDEX('چکهای دریافتنی'!F:F,MATCH(Table24[[#This Row],[كد تفصيلي]],'چکهای دریافتنی'!A:A,0)),0)</f>
        <v>0</v>
      </c>
      <c r="F40" s="11">
        <f>Table24[[#This Row],[حسابهای دریافتنی]]+Table24[[#This Row],[چکهای در جریان وصول]]+Table24[[#This Row],[چکهای نزد صندوق]]</f>
        <v>-4735000</v>
      </c>
      <c r="G40" s="12">
        <f>IFERROR(INDEX('مانده سوفاله'!F:F,MATCH(Table24[[#This Row],[كد تفصيلي]],'مانده سوفاله'!A:A,0)),0)</f>
        <v>12</v>
      </c>
    </row>
    <row r="41" spans="1:7" ht="18" customHeight="1" x14ac:dyDescent="0.3">
      <c r="A41" s="29">
        <v>30026</v>
      </c>
      <c r="B41" s="31" t="s">
        <v>74</v>
      </c>
      <c r="C41" s="10">
        <f>IFERROR(INDEX('حسابهای دریافتنی'!H:H,MATCH(Table24[[#This Row],[كد تفصيلي]],'حسابهای دریافتنی'!A:A,0)),0)</f>
        <v>5689439</v>
      </c>
      <c r="D41" s="17">
        <f>IFERROR(INDEX('درجریان وصول'!F:F,MATCH(Table24[[#This Row],[كد تفصيلي]],'درجریان وصول'!A:A,0)),0)</f>
        <v>0</v>
      </c>
      <c r="E41" s="17">
        <f>IFERROR(INDEX('چکهای دریافتنی'!F:F,MATCH(Table24[[#This Row],[كد تفصيلي]],'چکهای دریافتنی'!A:A,0)),0)</f>
        <v>0</v>
      </c>
      <c r="F41" s="17">
        <f>Table24[[#This Row],[حسابهای دریافتنی]]+Table24[[#This Row],[چکهای در جریان وصول]]+Table24[[#This Row],[چکهای نزد صندوق]]</f>
        <v>5689439</v>
      </c>
      <c r="G41" s="12">
        <f>IFERROR(INDEX('مانده سوفاله'!F:F,MATCH(Table24[[#This Row],[كد تفصيلي]],'مانده سوفاله'!A:A,0)),0)</f>
        <v>764</v>
      </c>
    </row>
    <row r="42" spans="1:7" ht="18" customHeight="1" x14ac:dyDescent="0.3">
      <c r="A42" s="28">
        <v>30019</v>
      </c>
      <c r="B42" s="30" t="s">
        <v>67</v>
      </c>
      <c r="C42" s="10">
        <f>IFERROR(INDEX('حسابهای دریافتنی'!H:H,MATCH(Table24[[#This Row],[كد تفصيلي]],'حسابهای دریافتنی'!A:A,0)),0)</f>
        <v>823484840</v>
      </c>
      <c r="D42" s="11">
        <f>IFERROR(INDEX('درجریان وصول'!F:F,MATCH(Table24[[#This Row],[كد تفصيلي]],'درجریان وصول'!A:A,0)),0)</f>
        <v>0</v>
      </c>
      <c r="E42" s="11">
        <f>IFERROR(INDEX('چکهای دریافتنی'!F:F,MATCH(Table24[[#This Row],[كد تفصيلي]],'چکهای دریافتنی'!A:A,0)),0)</f>
        <v>0</v>
      </c>
      <c r="F42" s="11">
        <f>Table24[[#This Row],[حسابهای دریافتنی]]+Table24[[#This Row],[چکهای در جریان وصول]]+Table24[[#This Row],[چکهای نزد صندوق]]</f>
        <v>823484840</v>
      </c>
      <c r="G42" s="12">
        <f>IFERROR(INDEX('مانده سوفاله'!F:F,MATCH(Table24[[#This Row],[كد تفصيلي]],'مانده سوفاله'!A:A,0)),0)</f>
        <v>612</v>
      </c>
    </row>
    <row r="43" spans="1:7" ht="18" customHeight="1" x14ac:dyDescent="0.3">
      <c r="A43" s="29">
        <v>10096</v>
      </c>
      <c r="B43" s="31" t="s">
        <v>271</v>
      </c>
      <c r="C43" s="10">
        <f>IFERROR(INDEX('حسابهای دریافتنی'!H:H,MATCH(Table24[[#This Row],[كد تفصيلي]],'حسابهای دریافتنی'!A:A,0)),0)</f>
        <v>36455500</v>
      </c>
      <c r="D43" s="11">
        <f>IFERROR(INDEX('درجریان وصول'!F:F,MATCH(Table24[[#This Row],[كد تفصيلي]],'درجریان وصول'!A:A,0)),0)</f>
        <v>0</v>
      </c>
      <c r="E43" s="11">
        <f>IFERROR(INDEX('چکهای دریافتنی'!F:F,MATCH(Table24[[#This Row],[كد تفصيلي]],'چکهای دریافتنی'!A:A,0)),0)</f>
        <v>0</v>
      </c>
      <c r="F43" s="11">
        <f>Table24[[#This Row],[حسابهای دریافتنی]]+Table24[[#This Row],[چکهای در جریان وصول]]+Table24[[#This Row],[چکهای نزد صندوق]]</f>
        <v>36455500</v>
      </c>
      <c r="G43" s="12">
        <f>IFERROR(INDEX('مانده سوفاله'!F:F,MATCH(Table24[[#This Row],[كد تفصيلي]],'مانده سوفاله'!A:A,0)),0)</f>
        <v>0</v>
      </c>
    </row>
    <row r="44" spans="1:7" ht="18" customHeight="1" x14ac:dyDescent="0.3">
      <c r="A44" s="28">
        <v>30025</v>
      </c>
      <c r="B44" s="30" t="s">
        <v>73</v>
      </c>
      <c r="C44" s="10">
        <f>IFERROR(INDEX('حسابهای دریافتنی'!H:H,MATCH(Table24[[#This Row],[كد تفصيلي]],'حسابهای دریافتنی'!A:A,0)),0)</f>
        <v>35598920</v>
      </c>
      <c r="D44" s="11">
        <f>IFERROR(INDEX('درجریان وصول'!F:F,MATCH(Table24[[#This Row],[كد تفصيلي]],'درجریان وصول'!A:A,0)),0)</f>
        <v>0</v>
      </c>
      <c r="E44" s="11">
        <f>IFERROR(INDEX('چکهای دریافتنی'!F:F,MATCH(Table24[[#This Row],[كد تفصيلي]],'چکهای دریافتنی'!A:A,0)),0)</f>
        <v>0</v>
      </c>
      <c r="F44" s="11">
        <f>Table24[[#This Row],[حسابهای دریافتنی]]+Table24[[#This Row],[چکهای در جریان وصول]]+Table24[[#This Row],[چکهای نزد صندوق]]</f>
        <v>35598920</v>
      </c>
      <c r="G44" s="12">
        <f>IFERROR(INDEX('مانده سوفاله'!F:F,MATCH(Table24[[#This Row],[كد تفصيلي]],'مانده سوفاله'!A:A,0)),0)</f>
        <v>-165</v>
      </c>
    </row>
    <row r="45" spans="1:7" ht="18" customHeight="1" x14ac:dyDescent="0.3">
      <c r="A45" s="28">
        <v>30005</v>
      </c>
      <c r="B45" s="30" t="s">
        <v>55</v>
      </c>
      <c r="C45" s="10">
        <f>IFERROR(INDEX('حسابهای دریافتنی'!H:H,MATCH(Table24[[#This Row],[كد تفصيلي]],'حسابهای دریافتنی'!A:A,0)),0)</f>
        <v>35368209</v>
      </c>
      <c r="D45" s="17">
        <f>IFERROR(INDEX('درجریان وصول'!F:F,MATCH(Table24[[#This Row],[كد تفصيلي]],'درجریان وصول'!A:A,0)),0)</f>
        <v>0</v>
      </c>
      <c r="E45" s="17">
        <f>IFERROR(INDEX('چکهای دریافتنی'!F:F,MATCH(Table24[[#This Row],[كد تفصيلي]],'چکهای دریافتنی'!A:A,0)),0)</f>
        <v>0</v>
      </c>
      <c r="F45" s="17">
        <f>Table24[[#This Row],[حسابهای دریافتنی]]+Table24[[#This Row],[چکهای در جریان وصول]]+Table24[[#This Row],[چکهای نزد صندوق]]</f>
        <v>35368209</v>
      </c>
      <c r="G45" s="12">
        <f>IFERROR(INDEX('مانده سوفاله'!F:F,MATCH(Table24[[#This Row],[كد تفصيلي]],'مانده سوفاله'!A:A,0)),0)</f>
        <v>61</v>
      </c>
    </row>
    <row r="46" spans="1:7" ht="18" customHeight="1" x14ac:dyDescent="0.3">
      <c r="A46" s="29">
        <v>30160</v>
      </c>
      <c r="B46" s="31" t="s">
        <v>380</v>
      </c>
      <c r="C46" s="10">
        <f>IFERROR(INDEX('حسابهای دریافتنی'!H:H,MATCH(Table24[[#This Row],[كد تفصيلي]],'حسابهای دریافتنی'!A:A,0)),0)</f>
        <v>0</v>
      </c>
      <c r="D46" s="11">
        <f>IFERROR(INDEX('درجریان وصول'!F:F,MATCH(Table24[[#This Row],[كد تفصيلي]],'درجریان وصول'!A:A,0)),0)</f>
        <v>0</v>
      </c>
      <c r="E46" s="11">
        <f>IFERROR(INDEX('چکهای دریافتنی'!F:F,MATCH(Table24[[#This Row],[كد تفصيلي]],'چکهای دریافتنی'!A:A,0)),0)</f>
        <v>0</v>
      </c>
      <c r="F46" s="11">
        <f>Table24[[#This Row],[حسابهای دریافتنی]]+Table24[[#This Row],[چکهای در جریان وصول]]+Table24[[#This Row],[چکهای نزد صندوق]]</f>
        <v>0</v>
      </c>
      <c r="G46" s="12">
        <f>IFERROR(INDEX('مانده سوفاله'!F:F,MATCH(Table24[[#This Row],[كد تفصيلي]],'مانده سوفاله'!A:A,0)),0)</f>
        <v>-425</v>
      </c>
    </row>
    <row r="47" spans="1:7" ht="18" customHeight="1" x14ac:dyDescent="0.3">
      <c r="A47" s="29">
        <v>30093</v>
      </c>
      <c r="B47" s="31" t="s">
        <v>151</v>
      </c>
      <c r="C47" s="10">
        <f>IFERROR(INDEX('حسابهای دریافتنی'!H:H,MATCH(Table24[[#This Row],[كد تفصيلي]],'حسابهای دریافتنی'!A:A,0)),0)</f>
        <v>0</v>
      </c>
      <c r="D47" s="17">
        <f>IFERROR(INDEX('درجریان وصول'!F:F,MATCH(Table24[[#This Row],[كد تفصيلي]],'درجریان وصول'!A:A,0)),0)</f>
        <v>0</v>
      </c>
      <c r="E47" s="17">
        <f>IFERROR(INDEX('چکهای دریافتنی'!F:F,MATCH(Table24[[#This Row],[كد تفصيلي]],'چکهای دریافتنی'!A:A,0)),0)</f>
        <v>0</v>
      </c>
      <c r="F47" s="17">
        <f>Table24[[#This Row],[حسابهای دریافتنی]]+Table24[[#This Row],[چکهای در جریان وصول]]+Table24[[#This Row],[چکهای نزد صندوق]]</f>
        <v>0</v>
      </c>
      <c r="G47" s="12">
        <v>77</v>
      </c>
    </row>
    <row r="48" spans="1:7" ht="18" customHeight="1" x14ac:dyDescent="0.3">
      <c r="A48" s="29">
        <v>30008</v>
      </c>
      <c r="B48" s="31" t="s">
        <v>58</v>
      </c>
      <c r="C48" s="10">
        <f>IFERROR(INDEX('حسابهای دریافتنی'!H:H,MATCH(Table24[[#This Row],[كد تفصيلي]],'حسابهای دریافتنی'!A:A,0)),0)</f>
        <v>15520000</v>
      </c>
      <c r="D48" s="17">
        <f>IFERROR(INDEX('درجریان وصول'!F:F,MATCH(Table24[[#This Row],[كد تفصيلي]],'درجریان وصول'!A:A,0)),0)</f>
        <v>0</v>
      </c>
      <c r="E48" s="17">
        <f>IFERROR(INDEX('چکهای دریافتنی'!F:F,MATCH(Table24[[#This Row],[كد تفصيلي]],'چکهای دریافتنی'!A:A,0)),0)</f>
        <v>0</v>
      </c>
      <c r="F48" s="17">
        <f>Table24[[#This Row],[حسابهای دریافتنی]]+Table24[[#This Row],[چکهای در جریان وصول]]+Table24[[#This Row],[چکهای نزد صندوق]]</f>
        <v>15520000</v>
      </c>
      <c r="G48" s="12">
        <f>IFERROR(INDEX('مانده سوفاله'!F:F,MATCH(Table24[[#This Row],[كد تفصيلي]],'مانده سوفاله'!A:A,0)),0)</f>
        <v>0</v>
      </c>
    </row>
    <row r="49" spans="1:7" ht="18" customHeight="1" x14ac:dyDescent="0.3">
      <c r="A49" s="28">
        <v>10007</v>
      </c>
      <c r="B49" s="30" t="s">
        <v>14</v>
      </c>
      <c r="C49" s="10">
        <f>IFERROR(INDEX('حسابهای دریافتنی'!H:H,MATCH(Table24[[#This Row],[كد تفصيلي]],'حسابهای دریافتنی'!A:A,0)),0)</f>
        <v>12770000</v>
      </c>
      <c r="D49" s="11">
        <f>IFERROR(INDEX('درجریان وصول'!F:F,MATCH(Table24[[#This Row],[كد تفصيلي]],'درجریان وصول'!A:A,0)),0)</f>
        <v>0</v>
      </c>
      <c r="E49" s="11">
        <f>IFERROR(INDEX('چکهای دریافتنی'!F:F,MATCH(Table24[[#This Row],[كد تفصيلي]],'چکهای دریافتنی'!A:A,0)),0)</f>
        <v>0</v>
      </c>
      <c r="F49" s="11">
        <f>Table24[[#This Row],[حسابهای دریافتنی]]+Table24[[#This Row],[چکهای در جریان وصول]]+Table24[[#This Row],[چکهای نزد صندوق]]</f>
        <v>12770000</v>
      </c>
      <c r="G49" s="12">
        <f>IFERROR(INDEX('مانده سوفاله'!F:F,MATCH(Table24[[#This Row],[كد تفصيلي]],'مانده سوفاله'!A:A,0)),0)</f>
        <v>-52.5</v>
      </c>
    </row>
    <row r="50" spans="1:7" ht="18" customHeight="1" x14ac:dyDescent="0.3">
      <c r="A50" s="29">
        <v>30101</v>
      </c>
      <c r="B50" s="31" t="s">
        <v>196</v>
      </c>
      <c r="C50" s="10">
        <f>IFERROR(INDEX('حسابهای دریافتنی'!H:H,MATCH(Table24[[#This Row],[كد تفصيلي]],'حسابهای دریافتنی'!A:A,0)),0)</f>
        <v>203336095</v>
      </c>
      <c r="D50" s="10">
        <f>IFERROR(INDEX('درجریان وصول'!F:F,MATCH(Table24[[#This Row],[كد تفصيلي]],'درجریان وصول'!A:A,0)),0)</f>
        <v>0</v>
      </c>
      <c r="E50" s="10">
        <f>IFERROR(INDEX('چکهای دریافتنی'!F:F,MATCH(Table24[[#This Row],[كد تفصيلي]],'چکهای دریافتنی'!A:A,0)),0)</f>
        <v>0</v>
      </c>
      <c r="F50" s="10">
        <f>Table24[[#This Row],[حسابهای دریافتنی]]+Table24[[#This Row],[چکهای در جریان وصول]]+Table24[[#This Row],[چکهای نزد صندوق]]</f>
        <v>203336095</v>
      </c>
      <c r="G50" s="12">
        <f>IFERROR(INDEX('مانده سوفاله'!F:F,MATCH(Table24[[#This Row],[كد تفصيلي]],'مانده سوفاله'!A:A,0)),0)</f>
        <v>15</v>
      </c>
    </row>
    <row r="51" spans="1:7" ht="18" customHeight="1" x14ac:dyDescent="0.3">
      <c r="A51" s="29">
        <v>30145</v>
      </c>
      <c r="B51" s="31" t="s">
        <v>265</v>
      </c>
      <c r="C51" s="10">
        <f>IFERROR(INDEX('حسابهای دریافتنی'!H:H,MATCH(Table24[[#This Row],[كد تفصيلي]],'حسابهای دریافتنی'!A:A,0)),0)</f>
        <v>6442500</v>
      </c>
      <c r="D51" s="17">
        <f>IFERROR(INDEX('درجریان وصول'!F:F,MATCH(Table24[[#This Row],[كد تفصيلي]],'درجریان وصول'!A:A,0)),0)</f>
        <v>0</v>
      </c>
      <c r="E51" s="17">
        <f>IFERROR(INDEX('چکهای دریافتنی'!F:F,MATCH(Table24[[#This Row],[كد تفصيلي]],'چکهای دریافتنی'!A:A,0)),0)</f>
        <v>0</v>
      </c>
      <c r="F51" s="17">
        <f>Table24[[#This Row],[حسابهای دریافتنی]]+Table24[[#This Row],[چکهای در جریان وصول]]+Table24[[#This Row],[چکهای نزد صندوق]]</f>
        <v>6442500</v>
      </c>
      <c r="G51" s="12">
        <f>IFERROR(INDEX('مانده سوفاله'!F:F,MATCH(Table24[[#This Row],[كد تفصيلي]],'مانده سوفاله'!A:A,0)),0)</f>
        <v>0</v>
      </c>
    </row>
    <row r="52" spans="1:7" ht="18" customHeight="1" x14ac:dyDescent="0.3">
      <c r="A52" s="28">
        <v>30047</v>
      </c>
      <c r="B52" s="30" t="s">
        <v>94</v>
      </c>
      <c r="C52" s="10">
        <f>IFERROR(INDEX('حسابهای دریافتنی'!H:H,MATCH(Table24[[#This Row],[كد تفصيلي]],'حسابهای دریافتنی'!A:A,0)),0)</f>
        <v>5794900</v>
      </c>
      <c r="D52" s="17">
        <f>IFERROR(INDEX('درجریان وصول'!F:F,MATCH(Table24[[#This Row],[كد تفصيلي]],'درجریان وصول'!A:A,0)),0)</f>
        <v>0</v>
      </c>
      <c r="E52" s="17">
        <f>IFERROR(INDEX('چکهای دریافتنی'!F:F,MATCH(Table24[[#This Row],[كد تفصيلي]],'چکهای دریافتنی'!A:A,0)),0)</f>
        <v>0</v>
      </c>
      <c r="F52" s="17">
        <f>Table24[[#This Row],[حسابهای دریافتنی]]+Table24[[#This Row],[چکهای در جریان وصول]]+Table24[[#This Row],[چکهای نزد صندوق]]</f>
        <v>5794900</v>
      </c>
      <c r="G52" s="12">
        <f>IFERROR(INDEX('مانده سوفاله'!F:F,MATCH(Table24[[#This Row],[كد تفصيلي]],'مانده سوفاله'!A:A,0)),0)</f>
        <v>-630</v>
      </c>
    </row>
    <row r="53" spans="1:7" ht="18" customHeight="1" x14ac:dyDescent="0.3">
      <c r="A53" s="28">
        <v>30011</v>
      </c>
      <c r="B53" s="30" t="s">
        <v>60</v>
      </c>
      <c r="C53" s="10">
        <f>IFERROR(INDEX('حسابهای دریافتنی'!H:H,MATCH(Table24[[#This Row],[كد تفصيلي]],'حسابهای دریافتنی'!A:A,0)),0)</f>
        <v>5595200</v>
      </c>
      <c r="D53" s="11">
        <f>IFERROR(INDEX('درجریان وصول'!F:F,MATCH(Table24[[#This Row],[كد تفصيلي]],'درجریان وصول'!A:A,0)),0)</f>
        <v>0</v>
      </c>
      <c r="E53" s="11">
        <f>IFERROR(INDEX('چکهای دریافتنی'!F:F,MATCH(Table24[[#This Row],[كد تفصيلي]],'چکهای دریافتنی'!A:A,0)),0)</f>
        <v>0</v>
      </c>
      <c r="F53" s="11">
        <f>Table24[[#This Row],[حسابهای دریافتنی]]+Table24[[#This Row],[چکهای در جریان وصول]]+Table24[[#This Row],[چکهای نزد صندوق]]</f>
        <v>5595200</v>
      </c>
      <c r="G53" s="12">
        <f>IFERROR(INDEX('مانده سوفاله'!F:F,MATCH(Table24[[#This Row],[كد تفصيلي]],'مانده سوفاله'!A:A,0)),0)</f>
        <v>-5</v>
      </c>
    </row>
    <row r="54" spans="1:7" ht="18" customHeight="1" x14ac:dyDescent="0.3">
      <c r="A54" s="29">
        <v>10080</v>
      </c>
      <c r="B54" s="31" t="s">
        <v>214</v>
      </c>
      <c r="C54" s="10">
        <f>IFERROR(INDEX('حسابهای دریافتنی'!H:H,MATCH(Table24[[#This Row],[كد تفصيلي]],'حسابهای دریافتنی'!A:A,0)),0)</f>
        <v>5395000</v>
      </c>
      <c r="D54" s="11">
        <f>IFERROR(INDEX('درجریان وصول'!F:F,MATCH(Table24[[#This Row],[كد تفصيلي]],'درجریان وصول'!A:A,0)),0)</f>
        <v>0</v>
      </c>
      <c r="E54" s="11">
        <f>IFERROR(INDEX('چکهای دریافتنی'!F:F,MATCH(Table24[[#This Row],[كد تفصيلي]],'چکهای دریافتنی'!A:A,0)),0)</f>
        <v>0</v>
      </c>
      <c r="F54" s="11">
        <f>Table24[[#This Row],[حسابهای دریافتنی]]+Table24[[#This Row],[چکهای در جریان وصول]]+Table24[[#This Row],[چکهای نزد صندوق]]</f>
        <v>5395000</v>
      </c>
      <c r="G54" s="12">
        <f>IFERROR(INDEX('مانده سوفاله'!F:F,MATCH(Table24[[#This Row],[كد تفصيلي]],'مانده سوفاله'!A:A,0)),0)</f>
        <v>0</v>
      </c>
    </row>
    <row r="55" spans="1:7" ht="18" customHeight="1" x14ac:dyDescent="0.3">
      <c r="A55" s="28">
        <v>30114</v>
      </c>
      <c r="B55" s="30" t="s">
        <v>175</v>
      </c>
      <c r="C55" s="10">
        <f>IFERROR(INDEX('حسابهای دریافتنی'!H:H,MATCH(Table24[[#This Row],[كد تفصيلي]],'حسابهای دریافتنی'!A:A,0)),0)</f>
        <v>5385600</v>
      </c>
      <c r="D55" s="11">
        <f>IFERROR(INDEX('درجریان وصول'!F:F,MATCH(Table24[[#This Row],[كد تفصيلي]],'درجریان وصول'!A:A,0)),0)</f>
        <v>0</v>
      </c>
      <c r="E55" s="11">
        <f>IFERROR(INDEX('چکهای دریافتنی'!F:F,MATCH(Table24[[#This Row],[كد تفصيلي]],'چکهای دریافتنی'!A:A,0)),0)</f>
        <v>0</v>
      </c>
      <c r="F55" s="11">
        <f>Table24[[#This Row],[حسابهای دریافتنی]]+Table24[[#This Row],[چکهای در جریان وصول]]+Table24[[#This Row],[چکهای نزد صندوق]]</f>
        <v>5385600</v>
      </c>
      <c r="G55" s="12">
        <f>IFERROR(INDEX('مانده سوفاله'!F:F,MATCH(Table24[[#This Row],[كد تفصيلي]],'مانده سوفاله'!A:A,0)),0)</f>
        <v>0</v>
      </c>
    </row>
    <row r="56" spans="1:7" ht="18" customHeight="1" x14ac:dyDescent="0.3">
      <c r="A56" s="29">
        <v>30123</v>
      </c>
      <c r="B56" s="31" t="s">
        <v>208</v>
      </c>
      <c r="C56" s="10">
        <f>IFERROR(INDEX('حسابهای دریافتنی'!H:H,MATCH(Table24[[#This Row],[كد تفصيلي]],'حسابهای دریافتنی'!A:A,0)),0)</f>
        <v>4138250</v>
      </c>
      <c r="D56" s="17">
        <f>IFERROR(INDEX('درجریان وصول'!F:F,MATCH(Table24[[#This Row],[كد تفصيلي]],'درجریان وصول'!A:A,0)),0)</f>
        <v>0</v>
      </c>
      <c r="E56" s="17">
        <f>IFERROR(INDEX('چکهای دریافتنی'!F:F,MATCH(Table24[[#This Row],[كد تفصيلي]],'چکهای دریافتنی'!A:A,0)),0)</f>
        <v>0</v>
      </c>
      <c r="F56" s="17">
        <f>Table24[[#This Row],[حسابهای دریافتنی]]+Table24[[#This Row],[چکهای در جریان وصول]]+Table24[[#This Row],[چکهای نزد صندوق]]</f>
        <v>4138250</v>
      </c>
      <c r="G56" s="12">
        <f>IFERROR(INDEX('مانده سوفاله'!F:F,MATCH(Table24[[#This Row],[كد تفصيلي]],'مانده سوفاله'!A:A,0)),0)</f>
        <v>-20</v>
      </c>
    </row>
    <row r="57" spans="1:7" ht="18" customHeight="1" x14ac:dyDescent="0.3">
      <c r="A57" s="28">
        <v>10116</v>
      </c>
      <c r="B57" s="30" t="s">
        <v>349</v>
      </c>
      <c r="C57" s="10">
        <f>IFERROR(INDEX('حسابهای دریافتنی'!H:H,MATCH(Table24[[#This Row],[كد تفصيلي]],'حسابهای دریافتنی'!A:A,0)),0)</f>
        <v>3892500</v>
      </c>
      <c r="D57" s="11">
        <f>IFERROR(INDEX('درجریان وصول'!F:F,MATCH(Table24[[#This Row],[كد تفصيلي]],'درجریان وصول'!A:A,0)),0)</f>
        <v>0</v>
      </c>
      <c r="E57" s="11">
        <f>IFERROR(INDEX('چکهای دریافتنی'!F:F,MATCH(Table24[[#This Row],[كد تفصيلي]],'چکهای دریافتنی'!A:A,0)),0)</f>
        <v>0</v>
      </c>
      <c r="F57" s="11">
        <f>Table24[[#This Row],[حسابهای دریافتنی]]+Table24[[#This Row],[چکهای در جریان وصول]]+Table24[[#This Row],[چکهای نزد صندوق]]</f>
        <v>3892500</v>
      </c>
      <c r="G57" s="12">
        <f>IFERROR(INDEX('مانده سوفاله'!F:F,MATCH(Table24[[#This Row],[كد تفصيلي]],'مانده سوفاله'!A:A,0)),0)</f>
        <v>0</v>
      </c>
    </row>
    <row r="58" spans="1:7" ht="18" customHeight="1" x14ac:dyDescent="0.3">
      <c r="A58" s="29">
        <v>10030</v>
      </c>
      <c r="B58" s="31" t="s">
        <v>36</v>
      </c>
      <c r="C58" s="10">
        <f>IFERROR(INDEX('حسابهای دریافتنی'!H:H,MATCH(Table24[[#This Row],[كد تفصيلي]],'حسابهای دریافتنی'!A:A,0)),0)</f>
        <v>3272000</v>
      </c>
      <c r="D58" s="10">
        <f>IFERROR(INDEX('درجریان وصول'!F:F,MATCH(Table24[[#This Row],[كد تفصيلي]],'درجریان وصول'!A:A,0)),0)</f>
        <v>0</v>
      </c>
      <c r="E58" s="10">
        <f>IFERROR(INDEX('چکهای دریافتنی'!F:F,MATCH(Table24[[#This Row],[كد تفصيلي]],'چکهای دریافتنی'!A:A,0)),0)</f>
        <v>0</v>
      </c>
      <c r="F58" s="10">
        <f>Table24[[#This Row],[حسابهای دریافتنی]]+Table24[[#This Row],[چکهای در جریان وصول]]+Table24[[#This Row],[چکهای نزد صندوق]]</f>
        <v>3272000</v>
      </c>
      <c r="G58" s="12">
        <f>IFERROR(INDEX('مانده سوفاله'!F:F,MATCH(Table24[[#This Row],[كد تفصيلي]],'مانده سوفاله'!A:A,0)),0)</f>
        <v>-222</v>
      </c>
    </row>
    <row r="59" spans="1:7" ht="18" customHeight="1" x14ac:dyDescent="0.3">
      <c r="A59" s="28">
        <v>30001</v>
      </c>
      <c r="B59" s="30" t="s">
        <v>190</v>
      </c>
      <c r="C59" s="10">
        <f>IFERROR(INDEX('حسابهای دریافتنی'!H:H,MATCH(Table24[[#This Row],[كد تفصيلي]],'حسابهای دریافتنی'!A:A,0)),0)</f>
        <v>119647176</v>
      </c>
      <c r="D59" s="17">
        <f>IFERROR(INDEX('درجریان وصول'!F:F,MATCH(Table24[[#This Row],[كد تفصيلي]],'درجریان وصول'!A:A,0)),0)</f>
        <v>0</v>
      </c>
      <c r="E59" s="17">
        <f>IFERROR(INDEX('چکهای دریافتنی'!F:F,MATCH(Table24[[#This Row],[كد تفصيلي]],'چکهای دریافتنی'!A:A,0)),0)</f>
        <v>0</v>
      </c>
      <c r="F59" s="17">
        <f>Table24[[#This Row],[حسابهای دریافتنی]]+Table24[[#This Row],[چکهای در جریان وصول]]+Table24[[#This Row],[چکهای نزد صندوق]]</f>
        <v>119647176</v>
      </c>
      <c r="G59" s="12">
        <f>IFERROR(INDEX('مانده سوفاله'!F:F,MATCH(Table24[[#This Row],[كد تفصيلي]],'مانده سوفاله'!A:A,0)),0)</f>
        <v>123</v>
      </c>
    </row>
    <row r="60" spans="1:7" ht="18" customHeight="1" x14ac:dyDescent="0.3">
      <c r="A60" s="29">
        <v>30178</v>
      </c>
      <c r="B60" s="31" t="s">
        <v>386</v>
      </c>
      <c r="C60" s="10">
        <f>IFERROR(INDEX('حسابهای دریافتنی'!H:H,MATCH(Table24[[#This Row],[كد تفصيلي]],'حسابهای دریافتنی'!A:A,0)),0)</f>
        <v>3040000</v>
      </c>
      <c r="D60" s="17">
        <f>IFERROR(INDEX('درجریان وصول'!F:F,MATCH(Table24[[#This Row],[كد تفصيلي]],'درجریان وصول'!A:A,0)),0)</f>
        <v>0</v>
      </c>
      <c r="E60" s="17">
        <f>IFERROR(INDEX('چکهای دریافتنی'!F:F,MATCH(Table24[[#This Row],[كد تفصيلي]],'چکهای دریافتنی'!A:A,0)),0)</f>
        <v>0</v>
      </c>
      <c r="F60" s="17">
        <f>Table24[[#This Row],[حسابهای دریافتنی]]+Table24[[#This Row],[چکهای در جریان وصول]]+Table24[[#This Row],[چکهای نزد صندوق]]</f>
        <v>3040000</v>
      </c>
      <c r="G60" s="12">
        <f>IFERROR(INDEX('مانده سوفاله'!F:F,MATCH(Table24[[#This Row],[كد تفصيلي]],'مانده سوفاله'!A:A,0)),0)</f>
        <v>0</v>
      </c>
    </row>
    <row r="61" spans="1:7" ht="18" customHeight="1" x14ac:dyDescent="0.3">
      <c r="A61" s="28">
        <v>30138</v>
      </c>
      <c r="B61" s="30" t="s">
        <v>252</v>
      </c>
      <c r="C61" s="10">
        <f>IFERROR(INDEX('حسابهای دریافتنی'!H:H,MATCH(Table24[[#This Row],[كد تفصيلي]],'حسابهای دریافتنی'!A:A,0)),0)</f>
        <v>0</v>
      </c>
      <c r="D61" s="17">
        <f>IFERROR(INDEX('درجریان وصول'!F:F,MATCH(Table24[[#This Row],[كد تفصيلي]],'درجریان وصول'!A:A,0)),0)</f>
        <v>0</v>
      </c>
      <c r="E61" s="17">
        <f>IFERROR(INDEX('چکهای دریافتنی'!F:F,MATCH(Table24[[#This Row],[كد تفصيلي]],'چکهای دریافتنی'!A:A,0)),0)</f>
        <v>0</v>
      </c>
      <c r="F61" s="17">
        <f>Table24[[#This Row],[حسابهای دریافتنی]]+Table24[[#This Row],[چکهای در جریان وصول]]+Table24[[#This Row],[چکهای نزد صندوق]]</f>
        <v>0</v>
      </c>
      <c r="G61" s="12">
        <f>IFERROR(INDEX('مانده سوفاله'!F:F,MATCH(Table24[[#This Row],[كد تفصيلي]],'مانده سوفاله'!A:A,0)),0)</f>
        <v>0</v>
      </c>
    </row>
    <row r="62" spans="1:7" ht="18" customHeight="1" x14ac:dyDescent="0.3">
      <c r="A62" s="29">
        <v>10032</v>
      </c>
      <c r="B62" s="31" t="s">
        <v>38</v>
      </c>
      <c r="C62" s="10">
        <f>IFERROR(INDEX('حسابهای دریافتنی'!H:H,MATCH(Table24[[#This Row],[كد تفصيلي]],'حسابهای دریافتنی'!A:A,0)),0)</f>
        <v>0</v>
      </c>
      <c r="D62" s="10">
        <f>IFERROR(INDEX('درجریان وصول'!F:F,MATCH(Table24[[#This Row],[كد تفصيلي]],'درجریان وصول'!A:A,0)),0)</f>
        <v>0</v>
      </c>
      <c r="E62" s="10">
        <f>IFERROR(INDEX('چکهای دریافتنی'!F:F,MATCH(Table24[[#This Row],[كد تفصيلي]],'چکهای دریافتنی'!A:A,0)),0)</f>
        <v>0</v>
      </c>
      <c r="F62" s="10">
        <f>Table24[[#This Row],[حسابهای دریافتنی]]+Table24[[#This Row],[چکهای در جریان وصول]]+Table24[[#This Row],[چکهای نزد صندوق]]</f>
        <v>0</v>
      </c>
      <c r="G62" s="12">
        <f>IFERROR(INDEX('مانده سوفاله'!F:F,MATCH(Table24[[#This Row],[كد تفصيلي]],'مانده سوفاله'!A:A,0)),0)</f>
        <v>0</v>
      </c>
    </row>
    <row r="63" spans="1:7" ht="18" customHeight="1" x14ac:dyDescent="0.3">
      <c r="A63" s="28">
        <v>30084</v>
      </c>
      <c r="B63" s="30" t="s">
        <v>129</v>
      </c>
      <c r="C63" s="10">
        <f>IFERROR(INDEX('حسابهای دریافتنی'!H:H,MATCH(Table24[[#This Row],[كد تفصيلي]],'حسابهای دریافتنی'!A:A,0)),0)</f>
        <v>1220000</v>
      </c>
      <c r="D63" s="11">
        <f>IFERROR(INDEX('درجریان وصول'!F:F,MATCH(Table24[[#This Row],[كد تفصيلي]],'درجریان وصول'!A:A,0)),0)</f>
        <v>0</v>
      </c>
      <c r="E63" s="11">
        <f>IFERROR(INDEX('چکهای دریافتنی'!F:F,MATCH(Table24[[#This Row],[كد تفصيلي]],'چکهای دریافتنی'!A:A,0)),0)</f>
        <v>0</v>
      </c>
      <c r="F63" s="11">
        <f>Table24[[#This Row],[حسابهای دریافتنی]]+Table24[[#This Row],[چکهای در جریان وصول]]+Table24[[#This Row],[چکهای نزد صندوق]]</f>
        <v>1220000</v>
      </c>
      <c r="G63" s="12">
        <f>IFERROR(INDEX('مانده سوفاله'!F:F,MATCH(Table24[[#This Row],[كد تفصيلي]],'مانده سوفاله'!A:A,0)),0)</f>
        <v>0</v>
      </c>
    </row>
    <row r="64" spans="1:7" ht="18" customHeight="1" x14ac:dyDescent="0.3">
      <c r="A64" s="29">
        <v>10076</v>
      </c>
      <c r="B64" s="31" t="s">
        <v>182</v>
      </c>
      <c r="C64" s="10">
        <f>IFERROR(INDEX('حسابهای دریافتنی'!H:H,MATCH(Table24[[#This Row],[كد تفصيلي]],'حسابهای دریافتنی'!A:A,0)),0)</f>
        <v>0</v>
      </c>
      <c r="D64" s="11">
        <f>IFERROR(INDEX('درجریان وصول'!F:F,MATCH(Table24[[#This Row],[كد تفصيلي]],'درجریان وصول'!A:A,0)),0)</f>
        <v>0</v>
      </c>
      <c r="E64" s="11">
        <f>IFERROR(INDEX('چکهای دریافتنی'!F:F,MATCH(Table24[[#This Row],[كد تفصيلي]],'چکهای دریافتنی'!A:A,0)),0)</f>
        <v>0</v>
      </c>
      <c r="F64" s="11">
        <f>Table24[[#This Row],[حسابهای دریافتنی]]+Table24[[#This Row],[چکهای در جریان وصول]]+Table24[[#This Row],[چکهای نزد صندوق]]</f>
        <v>0</v>
      </c>
      <c r="G64" s="12">
        <f>IFERROR(INDEX('مانده سوفاله'!F:F,MATCH(Table24[[#This Row],[كد تفصيلي]],'مانده سوفاله'!A:A,0)),0)</f>
        <v>-13</v>
      </c>
    </row>
    <row r="65" spans="1:7" ht="18" customHeight="1" x14ac:dyDescent="0.3">
      <c r="A65" s="29">
        <v>79055</v>
      </c>
      <c r="B65" s="31" t="s">
        <v>297</v>
      </c>
      <c r="C65" s="10">
        <f>IFERROR(INDEX('حسابهای دریافتنی'!H:H,MATCH(Table24[[#This Row],[كد تفصيلي]],'حسابهای دریافتنی'!A:A,0)),0)</f>
        <v>896500</v>
      </c>
      <c r="D65" s="17">
        <f>IFERROR(INDEX('درجریان وصول'!F:F,MATCH(Table24[[#This Row],[كد تفصيلي]],'درجریان وصول'!A:A,0)),0)</f>
        <v>0</v>
      </c>
      <c r="E65" s="17">
        <f>IFERROR(INDEX('چکهای دریافتنی'!F:F,MATCH(Table24[[#This Row],[كد تفصيلي]],'چکهای دریافتنی'!A:A,0)),0)</f>
        <v>0</v>
      </c>
      <c r="F65" s="17">
        <f>Table24[[#This Row],[حسابهای دریافتنی]]+Table24[[#This Row],[چکهای در جریان وصول]]+Table24[[#This Row],[چکهای نزد صندوق]]</f>
        <v>896500</v>
      </c>
      <c r="G65" s="12">
        <f>IFERROR(INDEX('مانده سوفاله'!F:F,MATCH(Table24[[#This Row],[كد تفصيلي]],'مانده سوفاله'!A:A,0)),0)</f>
        <v>0</v>
      </c>
    </row>
    <row r="66" spans="1:7" ht="18" customHeight="1" x14ac:dyDescent="0.3">
      <c r="A66" s="29">
        <v>30129</v>
      </c>
      <c r="B66" s="31" t="s">
        <v>178</v>
      </c>
      <c r="C66" s="10">
        <f>IFERROR(INDEX('حسابهای دریافتنی'!H:H,MATCH(Table24[[#This Row],[كد تفصيلي]],'حسابهای دریافتنی'!A:A,0)),0)</f>
        <v>783000</v>
      </c>
      <c r="D66" s="17">
        <f>IFERROR(INDEX('درجریان وصول'!F:F,MATCH(Table24[[#This Row],[كد تفصيلي]],'درجریان وصول'!A:A,0)),0)</f>
        <v>0</v>
      </c>
      <c r="E66" s="17">
        <f>IFERROR(INDEX('چکهای دریافتنی'!F:F,MATCH(Table24[[#This Row],[كد تفصيلي]],'چکهای دریافتنی'!A:A,0)),0)</f>
        <v>0</v>
      </c>
      <c r="F66" s="17">
        <f>Table24[[#This Row],[حسابهای دریافتنی]]+Table24[[#This Row],[چکهای در جریان وصول]]+Table24[[#This Row],[چکهای نزد صندوق]]</f>
        <v>783000</v>
      </c>
      <c r="G66" s="12">
        <f>IFERROR(INDEX('مانده سوفاله'!F:F,MATCH(Table24[[#This Row],[كد تفصيلي]],'مانده سوفاله'!A:A,0)),0)</f>
        <v>0</v>
      </c>
    </row>
    <row r="67" spans="1:7" ht="18" customHeight="1" x14ac:dyDescent="0.3">
      <c r="A67" s="28">
        <v>30090</v>
      </c>
      <c r="B67" s="30" t="s">
        <v>144</v>
      </c>
      <c r="C67" s="10">
        <f>IFERROR(INDEX('حسابهای دریافتنی'!H:H,MATCH(Table24[[#This Row],[كد تفصيلي]],'حسابهای دریافتنی'!A:A,0)),0)</f>
        <v>640100</v>
      </c>
      <c r="D67" s="10">
        <f>IFERROR(INDEX('درجریان وصول'!F:F,MATCH(Table24[[#This Row],[كد تفصيلي]],'درجریان وصول'!A:A,0)),0)</f>
        <v>0</v>
      </c>
      <c r="E67" s="10">
        <f>IFERROR(INDEX('چکهای دریافتنی'!F:F,MATCH(Table24[[#This Row],[كد تفصيلي]],'چکهای دریافتنی'!A:A,0)),0)</f>
        <v>0</v>
      </c>
      <c r="F67" s="10">
        <f>Table24[[#This Row],[حسابهای دریافتنی]]+Table24[[#This Row],[چکهای در جریان وصول]]+Table24[[#This Row],[چکهای نزد صندوق]]</f>
        <v>640100</v>
      </c>
      <c r="G67" s="12">
        <f>IFERROR(INDEX('مانده سوفاله'!F:F,MATCH(Table24[[#This Row],[كد تفصيلي]],'مانده سوفاله'!A:A,0)),0)</f>
        <v>0</v>
      </c>
    </row>
    <row r="68" spans="1:7" ht="18" customHeight="1" x14ac:dyDescent="0.3">
      <c r="A68" s="29">
        <v>30109</v>
      </c>
      <c r="B68" s="31" t="s">
        <v>165</v>
      </c>
      <c r="C68" s="10">
        <f>IFERROR(INDEX('حسابهای دریافتنی'!H:H,MATCH(Table24[[#This Row],[كد تفصيلي]],'حسابهای دریافتنی'!A:A,0)),0)</f>
        <v>607300</v>
      </c>
      <c r="D68" s="17">
        <f>IFERROR(INDEX('درجریان وصول'!F:F,MATCH(Table24[[#This Row],[كد تفصيلي]],'درجریان وصول'!A:A,0)),0)</f>
        <v>0</v>
      </c>
      <c r="E68" s="17">
        <f>IFERROR(INDEX('چکهای دریافتنی'!F:F,MATCH(Table24[[#This Row],[كد تفصيلي]],'چکهای دریافتنی'!A:A,0)),0)</f>
        <v>0</v>
      </c>
      <c r="F68" s="17">
        <f>Table24[[#This Row],[حسابهای دریافتنی]]+Table24[[#This Row],[چکهای در جریان وصول]]+Table24[[#This Row],[چکهای نزد صندوق]]</f>
        <v>607300</v>
      </c>
      <c r="G68" s="12">
        <f>IFERROR(INDEX('مانده سوفاله'!F:F,MATCH(Table24[[#This Row],[كد تفصيلي]],'مانده سوفاله'!A:A,0)),0)</f>
        <v>0</v>
      </c>
    </row>
    <row r="69" spans="1:7" ht="18" customHeight="1" x14ac:dyDescent="0.3">
      <c r="A69" s="28">
        <v>10097</v>
      </c>
      <c r="B69" s="30" t="s">
        <v>270</v>
      </c>
      <c r="C69" s="10">
        <f>IFERROR(INDEX('حسابهای دریافتنی'!H:H,MATCH(Table24[[#This Row],[كد تفصيلي]],'حسابهای دریافتنی'!A:A,0)),0)</f>
        <v>270642500</v>
      </c>
      <c r="D69" s="10">
        <f>IFERROR(INDEX('درجریان وصول'!F:F,MATCH(Table24[[#This Row],[كد تفصيلي]],'درجریان وصول'!A:A,0)),0)</f>
        <v>0</v>
      </c>
      <c r="E69" s="10">
        <f>IFERROR(INDEX('چکهای دریافتنی'!F:F,MATCH(Table24[[#This Row],[كد تفصيلي]],'چکهای دریافتنی'!A:A,0)),0)</f>
        <v>287000000</v>
      </c>
      <c r="F69" s="10">
        <f>Table24[[#This Row],[حسابهای دریافتنی]]+Table24[[#This Row],[چکهای در جریان وصول]]+Table24[[#This Row],[چکهای نزد صندوق]]</f>
        <v>557642500</v>
      </c>
      <c r="G69" s="12">
        <f>IFERROR(INDEX('مانده سوفاله'!F:F,MATCH(Table24[[#This Row],[كد تفصيلي]],'مانده سوفاله'!A:A,0)),0)</f>
        <v>0</v>
      </c>
    </row>
    <row r="70" spans="1:7" ht="18" customHeight="1" x14ac:dyDescent="0.3">
      <c r="A70" s="29">
        <v>30010</v>
      </c>
      <c r="B70" s="31" t="s">
        <v>59</v>
      </c>
      <c r="C70" s="10">
        <f>IFERROR(INDEX('حسابهای دریافتنی'!H:H,MATCH(Table24[[#This Row],[كد تفصيلي]],'حسابهای دریافتنی'!A:A,0)),0)</f>
        <v>366215</v>
      </c>
      <c r="D70" s="17">
        <f>IFERROR(INDEX('درجریان وصول'!F:F,MATCH(Table24[[#This Row],[كد تفصيلي]],'درجریان وصول'!A:A,0)),0)</f>
        <v>0</v>
      </c>
      <c r="E70" s="17">
        <f>IFERROR(INDEX('چکهای دریافتنی'!F:F,MATCH(Table24[[#This Row],[كد تفصيلي]],'چکهای دریافتنی'!A:A,0)),0)</f>
        <v>0</v>
      </c>
      <c r="F70" s="17">
        <f>Table24[[#This Row],[حسابهای دریافتنی]]+Table24[[#This Row],[چکهای در جریان وصول]]+Table24[[#This Row],[چکهای نزد صندوق]]</f>
        <v>366215</v>
      </c>
      <c r="G70" s="12">
        <f>IFERROR(INDEX('مانده سوفاله'!F:F,MATCH(Table24[[#This Row],[كد تفصيلي]],'مانده سوفاله'!A:A,0)),0)</f>
        <v>8</v>
      </c>
    </row>
    <row r="71" spans="1:7" ht="18" customHeight="1" x14ac:dyDescent="0.3">
      <c r="A71" s="28">
        <v>30027</v>
      </c>
      <c r="B71" s="30" t="s">
        <v>75</v>
      </c>
      <c r="C71" s="10">
        <f>IFERROR(INDEX('حسابهای دریافتنی'!H:H,MATCH(Table24[[#This Row],[كد تفصيلي]],'حسابهای دریافتنی'!A:A,0)),0)</f>
        <v>326950</v>
      </c>
      <c r="D71" s="11">
        <f>IFERROR(INDEX('درجریان وصول'!F:F,MATCH(Table24[[#This Row],[كد تفصيلي]],'درجریان وصول'!A:A,0)),0)</f>
        <v>0</v>
      </c>
      <c r="E71" s="11">
        <f>IFERROR(INDEX('چکهای دریافتنی'!F:F,MATCH(Table24[[#This Row],[كد تفصيلي]],'چکهای دریافتنی'!A:A,0)),0)</f>
        <v>0</v>
      </c>
      <c r="F71" s="11">
        <f>Table24[[#This Row],[حسابهای دریافتنی]]+Table24[[#This Row],[چکهای در جریان وصول]]+Table24[[#This Row],[چکهای نزد صندوق]]</f>
        <v>326950</v>
      </c>
      <c r="G71" s="12">
        <f>IFERROR(INDEX('مانده سوفاله'!F:F,MATCH(Table24[[#This Row],[كد تفصيلي]],'مانده سوفاله'!A:A,0)),0)</f>
        <v>0</v>
      </c>
    </row>
    <row r="72" spans="1:7" ht="18" customHeight="1" x14ac:dyDescent="0.3">
      <c r="A72" s="28">
        <v>10091</v>
      </c>
      <c r="B72" s="30" t="s">
        <v>258</v>
      </c>
      <c r="C72" s="10">
        <f>IFERROR(INDEX('حسابهای دریافتنی'!H:H,MATCH(Table24[[#This Row],[كد تفصيلي]],'حسابهای دریافتنی'!A:A,0)),0)</f>
        <v>59321500</v>
      </c>
      <c r="D72" s="11">
        <f>IFERROR(INDEX('درجریان وصول'!F:F,MATCH(Table24[[#This Row],[كد تفصيلي]],'درجریان وصول'!A:A,0)),0)</f>
        <v>0</v>
      </c>
      <c r="E72" s="11">
        <f>IFERROR(INDEX('چکهای دریافتنی'!F:F,MATCH(Table24[[#This Row],[كد تفصيلي]],'چکهای دریافتنی'!A:A,0)),0)</f>
        <v>0</v>
      </c>
      <c r="F72" s="11">
        <f>Table24[[#This Row],[حسابهای دریافتنی]]+Table24[[#This Row],[چکهای در جریان وصول]]+Table24[[#This Row],[چکهای نزد صندوق]]</f>
        <v>59321500</v>
      </c>
      <c r="G72" s="12">
        <f>IFERROR(INDEX('مانده سوفاله'!F:F,MATCH(Table24[[#This Row],[كد تفصيلي]],'مانده سوفاله'!A:A,0)),0)</f>
        <v>0</v>
      </c>
    </row>
    <row r="73" spans="1:7" ht="18" customHeight="1" x14ac:dyDescent="0.3">
      <c r="A73" s="28">
        <v>10063</v>
      </c>
      <c r="B73" s="30" t="s">
        <v>180</v>
      </c>
      <c r="C73" s="10">
        <f>IFERROR(INDEX('حسابهای دریافتنی'!H:H,MATCH(Table24[[#This Row],[كد تفصيلي]],'حسابهای دریافتنی'!A:A,0)),0)</f>
        <v>0</v>
      </c>
      <c r="D73" s="10">
        <f>IFERROR(INDEX('درجریان وصول'!F:F,MATCH(Table24[[#This Row],[كد تفصيلي]],'درجریان وصول'!A:A,0)),0)</f>
        <v>0</v>
      </c>
      <c r="E73" s="10">
        <f>IFERROR(INDEX('چکهای دریافتنی'!F:F,MATCH(Table24[[#This Row],[كد تفصيلي]],'چکهای دریافتنی'!A:A,0)),0)</f>
        <v>0</v>
      </c>
      <c r="F73" s="10">
        <f>Table24[[#This Row],[حسابهای دریافتنی]]+Table24[[#This Row],[چکهای در جریان وصول]]+Table24[[#This Row],[چکهای نزد صندوق]]</f>
        <v>0</v>
      </c>
      <c r="G73" s="12">
        <f>IFERROR(INDEX('مانده سوفاله'!F:F,MATCH(Table24[[#This Row],[كد تفصيلي]],'مانده سوفاله'!A:A,0)),0)</f>
        <v>0</v>
      </c>
    </row>
    <row r="74" spans="1:7" ht="18" customHeight="1" x14ac:dyDescent="0.3">
      <c r="A74" s="29">
        <v>10064</v>
      </c>
      <c r="B74" s="31" t="s">
        <v>181</v>
      </c>
      <c r="C74" s="10">
        <f>IFERROR(INDEX('حسابهای دریافتنی'!H:H,MATCH(Table24[[#This Row],[كد تفصيلي]],'حسابهای دریافتنی'!A:A,0)),0)</f>
        <v>0</v>
      </c>
      <c r="D74" s="11">
        <f>IFERROR(INDEX('درجریان وصول'!F:F,MATCH(Table24[[#This Row],[كد تفصيلي]],'درجریان وصول'!A:A,0)),0)</f>
        <v>0</v>
      </c>
      <c r="E74" s="11">
        <f>IFERROR(INDEX('چکهای دریافتنی'!F:F,MATCH(Table24[[#This Row],[كد تفصيلي]],'چکهای دریافتنی'!A:A,0)),0)</f>
        <v>0</v>
      </c>
      <c r="F74" s="11">
        <f>Table24[[#This Row],[حسابهای دریافتنی]]+Table24[[#This Row],[چکهای در جریان وصول]]+Table24[[#This Row],[چکهای نزد صندوق]]</f>
        <v>0</v>
      </c>
      <c r="G74" s="12">
        <f>IFERROR(INDEX('مانده سوفاله'!F:F,MATCH(Table24[[#This Row],[كد تفصيلي]],'مانده سوفاله'!A:A,0)),0)</f>
        <v>0</v>
      </c>
    </row>
    <row r="75" spans="1:7" ht="18" customHeight="1" x14ac:dyDescent="0.3">
      <c r="A75" s="29">
        <v>30135</v>
      </c>
      <c r="B75" s="31" t="s">
        <v>179</v>
      </c>
      <c r="C75" s="10">
        <f>IFERROR(INDEX('حسابهای دریافتنی'!H:H,MATCH(Table24[[#This Row],[كد تفصيلي]],'حسابهای دریافتنی'!A:A,0)),0)</f>
        <v>195000</v>
      </c>
      <c r="D75" s="17">
        <f>IFERROR(INDEX('درجریان وصول'!F:F,MATCH(Table24[[#This Row],[كد تفصيلي]],'درجریان وصول'!A:A,0)),0)</f>
        <v>0</v>
      </c>
      <c r="E75" s="17">
        <f>IFERROR(INDEX('چکهای دریافتنی'!F:F,MATCH(Table24[[#This Row],[كد تفصيلي]],'چکهای دریافتنی'!A:A,0)),0)</f>
        <v>0</v>
      </c>
      <c r="F75" s="17">
        <f>Table24[[#This Row],[حسابهای دریافتنی]]+Table24[[#This Row],[چکهای در جریان وصول]]+Table24[[#This Row],[چکهای نزد صندوق]]</f>
        <v>195000</v>
      </c>
      <c r="G75" s="12">
        <f>IFERROR(INDEX('مانده سوفاله'!F:F,MATCH(Table24[[#This Row],[كد تفصيلي]],'مانده سوفاله'!A:A,0)),0)</f>
        <v>-5</v>
      </c>
    </row>
    <row r="76" spans="1:7" ht="18" customHeight="1" x14ac:dyDescent="0.3">
      <c r="A76" s="28">
        <v>10043</v>
      </c>
      <c r="B76" s="30" t="s">
        <v>48</v>
      </c>
      <c r="C76" s="10">
        <f>IFERROR(INDEX('حسابهای دریافتنی'!H:H,MATCH(Table24[[#This Row],[كد تفصيلي]],'حسابهای دریافتنی'!A:A,0)),0)</f>
        <v>0</v>
      </c>
      <c r="D76" s="11">
        <f>IFERROR(INDEX('درجریان وصول'!F:F,MATCH(Table24[[#This Row],[كد تفصيلي]],'درجریان وصول'!A:A,0)),0)</f>
        <v>0</v>
      </c>
      <c r="E76" s="11">
        <f>IFERROR(INDEX('چکهای دریافتنی'!F:F,MATCH(Table24[[#This Row],[كد تفصيلي]],'چکهای دریافتنی'!A:A,0)),0)</f>
        <v>0</v>
      </c>
      <c r="F76" s="11">
        <f>Table24[[#This Row],[حسابهای دریافتنی]]+Table24[[#This Row],[چکهای در جریان وصول]]+Table24[[#This Row],[چکهای نزد صندوق]]</f>
        <v>0</v>
      </c>
      <c r="G76" s="12">
        <f>IFERROR(INDEX('مانده سوفاله'!F:F,MATCH(Table24[[#This Row],[كد تفصيلي]],'مانده سوفاله'!A:A,0)),0)</f>
        <v>0</v>
      </c>
    </row>
    <row r="77" spans="1:7" ht="18" customHeight="1" x14ac:dyDescent="0.3">
      <c r="A77" s="29">
        <v>30163</v>
      </c>
      <c r="B77" s="31" t="s">
        <v>356</v>
      </c>
      <c r="C77" s="10">
        <f>IFERROR(INDEX('حسابهای دریافتنی'!H:H,MATCH(Table24[[#This Row],[كد تفصيلي]],'حسابهای دریافتنی'!A:A,0)),0)</f>
        <v>0</v>
      </c>
      <c r="D77" s="10">
        <f>IFERROR(INDEX('درجریان وصول'!F:F,MATCH(Table24[[#This Row],[كد تفصيلي]],'درجریان وصول'!A:A,0)),0)</f>
        <v>0</v>
      </c>
      <c r="E77" s="10">
        <f>IFERROR(INDEX('چکهای دریافتنی'!F:F,MATCH(Table24[[#This Row],[كد تفصيلي]],'چکهای دریافتنی'!A:A,0)),0)</f>
        <v>0</v>
      </c>
      <c r="F77" s="10">
        <f>Table24[[#This Row],[حسابهای دریافتنی]]+Table24[[#This Row],[چکهای در جریان وصول]]+Table24[[#This Row],[چکهای نزد صندوق]]</f>
        <v>0</v>
      </c>
      <c r="G77" s="12">
        <f>IFERROR(INDEX('مانده سوفاله'!F:F,MATCH(Table24[[#This Row],[كد تفصيلي]],'مانده سوفاله'!A:A,0)),0)</f>
        <v>0</v>
      </c>
    </row>
    <row r="78" spans="1:7" ht="18" customHeight="1" x14ac:dyDescent="0.3">
      <c r="A78" s="28">
        <v>10075</v>
      </c>
      <c r="B78" s="30" t="s">
        <v>169</v>
      </c>
      <c r="C78" s="10">
        <f>IFERROR(INDEX('حسابهای دریافتنی'!H:H,MATCH(Table24[[#This Row],[كد تفصيلي]],'حسابهای دریافتنی'!A:A,0)),0)</f>
        <v>0</v>
      </c>
      <c r="D78" s="11">
        <f>IFERROR(INDEX('درجریان وصول'!F:F,MATCH(Table24[[#This Row],[كد تفصيلي]],'درجریان وصول'!A:A,0)),0)</f>
        <v>0</v>
      </c>
      <c r="E78" s="11">
        <f>IFERROR(INDEX('چکهای دریافتنی'!F:F,MATCH(Table24[[#This Row],[كد تفصيلي]],'چکهای دریافتنی'!A:A,0)),0)</f>
        <v>0</v>
      </c>
      <c r="F78" s="11">
        <f>Table24[[#This Row],[حسابهای دریافتنی]]+Table24[[#This Row],[چکهای در جریان وصول]]+Table24[[#This Row],[چکهای نزد صندوق]]</f>
        <v>0</v>
      </c>
      <c r="G78" s="12">
        <f>IFERROR(INDEX('مانده سوفاله'!F:F,MATCH(Table24[[#This Row],[كد تفصيلي]],'مانده سوفاله'!A:A,0)),0)</f>
        <v>0</v>
      </c>
    </row>
    <row r="79" spans="1:7" ht="18" customHeight="1" x14ac:dyDescent="0.3">
      <c r="A79" s="29">
        <v>30020</v>
      </c>
      <c r="B79" s="31" t="s">
        <v>68</v>
      </c>
      <c r="C79" s="10">
        <f>IFERROR(INDEX('حسابهای دریافتنی'!H:H,MATCH(Table24[[#This Row],[كد تفصيلي]],'حسابهای دریافتنی'!A:A,0)),0)</f>
        <v>2253500</v>
      </c>
      <c r="D79" s="17">
        <f>IFERROR(INDEX('درجریان وصول'!F:F,MATCH(Table24[[#This Row],[كد تفصيلي]],'درجریان وصول'!A:A,0)),0)</f>
        <v>0</v>
      </c>
      <c r="E79" s="17">
        <f>IFERROR(INDEX('چکهای دریافتنی'!F:F,MATCH(Table24[[#This Row],[كد تفصيلي]],'چکهای دریافتنی'!A:A,0)),0)</f>
        <v>0</v>
      </c>
      <c r="F79" s="17">
        <f>Table24[[#This Row],[حسابهای دریافتنی]]+Table24[[#This Row],[چکهای در جریان وصول]]+Table24[[#This Row],[چکهای نزد صندوق]]</f>
        <v>2253500</v>
      </c>
      <c r="G79" s="12">
        <f>IFERROR(INDEX('مانده سوفاله'!F:F,MATCH(Table24[[#This Row],[كد تفصيلي]],'مانده سوفاله'!A:A,0)),0)</f>
        <v>4</v>
      </c>
    </row>
    <row r="80" spans="1:7" ht="18" customHeight="1" x14ac:dyDescent="0.3">
      <c r="A80" s="29">
        <v>10010</v>
      </c>
      <c r="B80" s="31" t="s">
        <v>17</v>
      </c>
      <c r="C80" s="10">
        <f>IFERROR(INDEX('حسابهای دریافتنی'!H:H,MATCH(Table24[[#This Row],[كد تفصيلي]],'حسابهای دریافتنی'!A:A,0)),0)</f>
        <v>0</v>
      </c>
      <c r="D80" s="11">
        <f>IFERROR(INDEX('درجریان وصول'!F:F,MATCH(Table24[[#This Row],[كد تفصيلي]],'درجریان وصول'!A:A,0)),0)</f>
        <v>0</v>
      </c>
      <c r="E80" s="11">
        <f>IFERROR(INDEX('چکهای دریافتنی'!F:F,MATCH(Table24[[#This Row],[كد تفصيلي]],'چکهای دریافتنی'!A:A,0)),0)</f>
        <v>0</v>
      </c>
      <c r="F80" s="11">
        <f>Table24[[#This Row],[حسابهای دریافتنی]]+Table24[[#This Row],[چکهای در جریان وصول]]+Table24[[#This Row],[چکهای نزد صندوق]]</f>
        <v>0</v>
      </c>
      <c r="G80" s="12">
        <f>IFERROR(INDEX('مانده سوفاله'!F:F,MATCH(Table24[[#This Row],[كد تفصيلي]],'مانده سوفاله'!A:A,0)),0)</f>
        <v>8</v>
      </c>
    </row>
    <row r="81" spans="1:7" ht="18" customHeight="1" x14ac:dyDescent="0.3">
      <c r="A81" s="28">
        <v>10023</v>
      </c>
      <c r="B81" s="30" t="s">
        <v>155</v>
      </c>
      <c r="C81" s="10">
        <f>IFERROR(INDEX('حسابهای دریافتنی'!H:H,MATCH(Table24[[#This Row],[كد تفصيلي]],'حسابهای دریافتنی'!A:A,0)),0)</f>
        <v>0</v>
      </c>
      <c r="D81" s="10">
        <f>IFERROR(INDEX('درجریان وصول'!F:F,MATCH(Table24[[#This Row],[كد تفصيلي]],'درجریان وصول'!A:A,0)),0)</f>
        <v>0</v>
      </c>
      <c r="E81" s="10">
        <f>IFERROR(INDEX('چکهای دریافتنی'!F:F,MATCH(Table24[[#This Row],[كد تفصيلي]],'چکهای دریافتنی'!A:A,0)),0)</f>
        <v>0</v>
      </c>
      <c r="F81" s="10">
        <f>Table24[[#This Row],[حسابهای دریافتنی]]+Table24[[#This Row],[چکهای در جریان وصول]]+Table24[[#This Row],[چکهای نزد صندوق]]</f>
        <v>0</v>
      </c>
      <c r="G81" s="12">
        <f>IFERROR(INDEX('مانده سوفاله'!F:F,MATCH(Table24[[#This Row],[كد تفصيلي]],'مانده سوفاله'!A:A,0)),0)</f>
        <v>6</v>
      </c>
    </row>
    <row r="82" spans="1:7" ht="18" customHeight="1" x14ac:dyDescent="0.3">
      <c r="A82" s="28">
        <v>10039</v>
      </c>
      <c r="B82" s="30" t="s">
        <v>45</v>
      </c>
      <c r="C82" s="10">
        <f>IFERROR(INDEX('حسابهای دریافتنی'!H:H,MATCH(Table24[[#This Row],[كد تفصيلي]],'حسابهای دریافتنی'!A:A,0)),0)</f>
        <v>0</v>
      </c>
      <c r="D82" s="11">
        <f>IFERROR(INDEX('درجریان وصول'!F:F,MATCH(Table24[[#This Row],[كد تفصيلي]],'درجریان وصول'!A:A,0)),0)</f>
        <v>0</v>
      </c>
      <c r="E82" s="11">
        <f>IFERROR(INDEX('چکهای دریافتنی'!F:F,MATCH(Table24[[#This Row],[كد تفصيلي]],'چکهای دریافتنی'!A:A,0)),0)</f>
        <v>0</v>
      </c>
      <c r="F82" s="11">
        <f>Table24[[#This Row],[حسابهای دریافتنی]]+Table24[[#This Row],[چکهای در جریان وصول]]+Table24[[#This Row],[چکهای نزد صندوق]]</f>
        <v>0</v>
      </c>
      <c r="G82" s="12">
        <f>IFERROR(INDEX('مانده سوفاله'!F:F,MATCH(Table24[[#This Row],[كد تفصيلي]],'مانده سوفاله'!A:A,0)),0)</f>
        <v>4</v>
      </c>
    </row>
    <row r="83" spans="1:7" ht="18" customHeight="1" x14ac:dyDescent="0.3">
      <c r="A83" s="29">
        <v>10046</v>
      </c>
      <c r="B83" s="31" t="s">
        <v>51</v>
      </c>
      <c r="C83" s="10">
        <f>IFERROR(INDEX('حسابهای دریافتنی'!H:H,MATCH(Table24[[#This Row],[كد تفصيلي]],'حسابهای دریافتنی'!A:A,0)),0)</f>
        <v>0</v>
      </c>
      <c r="D83" s="11">
        <f>IFERROR(INDEX('درجریان وصول'!F:F,MATCH(Table24[[#This Row],[كد تفصيلي]],'درجریان وصول'!A:A,0)),0)</f>
        <v>0</v>
      </c>
      <c r="E83" s="11">
        <f>IFERROR(INDEX('چکهای دریافتنی'!F:F,MATCH(Table24[[#This Row],[كد تفصيلي]],'چکهای دریافتنی'!A:A,0)),0)</f>
        <v>0</v>
      </c>
      <c r="F83" s="11">
        <f>Table24[[#This Row],[حسابهای دریافتنی]]+Table24[[#This Row],[چکهای در جریان وصول]]+Table24[[#This Row],[چکهای نزد صندوق]]</f>
        <v>0</v>
      </c>
      <c r="G83" s="12">
        <f>IFERROR(INDEX('مانده سوفاله'!F:F,MATCH(Table24[[#This Row],[كد تفصيلي]],'مانده سوفاله'!A:A,0)),0)</f>
        <v>118</v>
      </c>
    </row>
    <row r="84" spans="1:7" ht="18" customHeight="1" x14ac:dyDescent="0.3">
      <c r="A84" s="28">
        <v>10065</v>
      </c>
      <c r="B84" s="30" t="s">
        <v>228</v>
      </c>
      <c r="C84" s="10">
        <f>IFERROR(INDEX('حسابهای دریافتنی'!H:H,MATCH(Table24[[#This Row],[كد تفصيلي]],'حسابهای دریافتنی'!A:A,0)),0)</f>
        <v>0</v>
      </c>
      <c r="D84" s="11">
        <f>IFERROR(INDEX('درجریان وصول'!F:F,MATCH(Table24[[#This Row],[كد تفصيلي]],'درجریان وصول'!A:A,0)),0)</f>
        <v>0</v>
      </c>
      <c r="E84" s="11">
        <f>IFERROR(INDEX('چکهای دریافتنی'!F:F,MATCH(Table24[[#This Row],[كد تفصيلي]],'چکهای دریافتنی'!A:A,0)),0)</f>
        <v>0</v>
      </c>
      <c r="F84" s="11">
        <f>Table24[[#This Row],[حسابهای دریافتنی]]+Table24[[#This Row],[چکهای در جریان وصول]]+Table24[[#This Row],[چکهای نزد صندوق]]</f>
        <v>0</v>
      </c>
      <c r="G84" s="12">
        <f>IFERROR(INDEX('مانده سوفاله'!F:F,MATCH(Table24[[#This Row],[كد تفصيلي]],'مانده سوفاله'!A:A,0)),0)</f>
        <v>127</v>
      </c>
    </row>
    <row r="85" spans="1:7" ht="18" customHeight="1" x14ac:dyDescent="0.3">
      <c r="A85" s="28">
        <v>30031</v>
      </c>
      <c r="B85" s="30" t="s">
        <v>78</v>
      </c>
      <c r="C85" s="10">
        <f>IFERROR(INDEX('حسابهای دریافتنی'!H:H,MATCH(Table24[[#This Row],[كد تفصيلي]],'حسابهای دریافتنی'!A:A,0)),0)</f>
        <v>0</v>
      </c>
      <c r="D85" s="17">
        <f>IFERROR(INDEX('درجریان وصول'!F:F,MATCH(Table24[[#This Row],[كد تفصيلي]],'درجریان وصول'!A:A,0)),0)</f>
        <v>0</v>
      </c>
      <c r="E85" s="17">
        <f>IFERROR(INDEX('چکهای دریافتنی'!F:F,MATCH(Table24[[#This Row],[كد تفصيلي]],'چکهای دریافتنی'!A:A,0)),0)</f>
        <v>0</v>
      </c>
      <c r="F85" s="17">
        <f>Table24[[#This Row],[حسابهای دریافتنی]]+Table24[[#This Row],[چکهای در جریان وصول]]+Table24[[#This Row],[چکهای نزد صندوق]]</f>
        <v>0</v>
      </c>
      <c r="G85" s="12">
        <f>IFERROR(INDEX('مانده سوفاله'!F:F,MATCH(Table24[[#This Row],[كد تفصيلي]],'مانده سوفاله'!A:A,0)),0)</f>
        <v>-1</v>
      </c>
    </row>
    <row r="86" spans="1:7" ht="18" customHeight="1" x14ac:dyDescent="0.3">
      <c r="A86" s="28">
        <v>30062</v>
      </c>
      <c r="B86" s="30" t="s">
        <v>107</v>
      </c>
      <c r="C86" s="10">
        <f>IFERROR(INDEX('حسابهای دریافتنی'!H:H,MATCH(Table24[[#This Row],[كد تفصيلي]],'حسابهای دریافتنی'!A:A,0)),0)</f>
        <v>0</v>
      </c>
      <c r="D86" s="17">
        <f>IFERROR(INDEX('درجریان وصول'!F:F,MATCH(Table24[[#This Row],[كد تفصيلي]],'درجریان وصول'!A:A,0)),0)</f>
        <v>0</v>
      </c>
      <c r="E86" s="17">
        <f>IFERROR(INDEX('چکهای دریافتنی'!F:F,MATCH(Table24[[#This Row],[كد تفصيلي]],'چکهای دریافتنی'!A:A,0)),0)</f>
        <v>0</v>
      </c>
      <c r="F86" s="17">
        <f>Table24[[#This Row],[حسابهای دریافتنی]]+Table24[[#This Row],[چکهای در جریان وصول]]+Table24[[#This Row],[چکهای نزد صندوق]]</f>
        <v>0</v>
      </c>
      <c r="G86" s="12">
        <f>IFERROR(INDEX('مانده سوفاله'!F:F,MATCH(Table24[[#This Row],[كد تفصيلي]],'مانده سوفاله'!A:A,0)),0)</f>
        <v>1</v>
      </c>
    </row>
    <row r="87" spans="1:7" ht="18" customHeight="1" x14ac:dyDescent="0.3">
      <c r="A87" s="28">
        <v>30064</v>
      </c>
      <c r="B87" s="30" t="s">
        <v>109</v>
      </c>
      <c r="C87" s="10">
        <f>IFERROR(INDEX('حسابهای دریافتنی'!H:H,MATCH(Table24[[#This Row],[كد تفصيلي]],'حسابهای دریافتنی'!A:A,0)),0)</f>
        <v>-49679500</v>
      </c>
      <c r="D87" s="17">
        <f>IFERROR(INDEX('درجریان وصول'!F:F,MATCH(Table24[[#This Row],[كد تفصيلي]],'درجریان وصول'!A:A,0)),0)</f>
        <v>0</v>
      </c>
      <c r="E87" s="17">
        <f>IFERROR(INDEX('چکهای دریافتنی'!F:F,MATCH(Table24[[#This Row],[كد تفصيلي]],'چکهای دریافتنی'!A:A,0)),0)</f>
        <v>0</v>
      </c>
      <c r="F87" s="17">
        <f>Table24[[#This Row],[حسابهای دریافتنی]]+Table24[[#This Row],[چکهای در جریان وصول]]+Table24[[#This Row],[چکهای نزد صندوق]]</f>
        <v>-49679500</v>
      </c>
      <c r="G87" s="12">
        <f>IFERROR(INDEX('مانده سوفاله'!F:F,MATCH(Table24[[#This Row],[كد تفصيلي]],'مانده سوفاله'!A:A,0)),0)</f>
        <v>0</v>
      </c>
    </row>
    <row r="88" spans="1:7" ht="18" customHeight="1" x14ac:dyDescent="0.3">
      <c r="A88" s="29">
        <v>30065</v>
      </c>
      <c r="B88" s="31" t="s">
        <v>110</v>
      </c>
      <c r="C88" s="10">
        <f>IFERROR(INDEX('حسابهای دریافتنی'!H:H,MATCH(Table24[[#This Row],[كد تفصيلي]],'حسابهای دریافتنی'!A:A,0)),0)</f>
        <v>0</v>
      </c>
      <c r="D88" s="17">
        <f>IFERROR(INDEX('درجریان وصول'!F:F,MATCH(Table24[[#This Row],[كد تفصيلي]],'درجریان وصول'!A:A,0)),0)</f>
        <v>0</v>
      </c>
      <c r="E88" s="17">
        <f>IFERROR(INDEX('چکهای دریافتنی'!F:F,MATCH(Table24[[#This Row],[كد تفصيلي]],'چکهای دریافتنی'!A:A,0)),0)</f>
        <v>0</v>
      </c>
      <c r="F88" s="17">
        <f>Table24[[#This Row],[حسابهای دریافتنی]]+Table24[[#This Row],[چکهای در جریان وصول]]+Table24[[#This Row],[چکهای نزد صندوق]]</f>
        <v>0</v>
      </c>
      <c r="G88" s="12">
        <f>IFERROR(INDEX('مانده سوفاله'!F:F,MATCH(Table24[[#This Row],[كد تفصيلي]],'مانده سوفاله'!A:A,0)),0)</f>
        <v>33</v>
      </c>
    </row>
    <row r="89" spans="1:7" ht="18" customHeight="1" x14ac:dyDescent="0.3">
      <c r="A89" s="29">
        <v>30071</v>
      </c>
      <c r="B89" s="31" t="s">
        <v>116</v>
      </c>
      <c r="C89" s="10">
        <f>IFERROR(INDEX('حسابهای دریافتنی'!H:H,MATCH(Table24[[#This Row],[كد تفصيلي]],'حسابهای دریافتنی'!A:A,0)),0)</f>
        <v>0</v>
      </c>
      <c r="D89" s="17">
        <f>IFERROR(INDEX('درجریان وصول'!F:F,MATCH(Table24[[#This Row],[كد تفصيلي]],'درجریان وصول'!A:A,0)),0)</f>
        <v>0</v>
      </c>
      <c r="E89" s="17">
        <f>IFERROR(INDEX('چکهای دریافتنی'!F:F,MATCH(Table24[[#This Row],[كد تفصيلي]],'چکهای دریافتنی'!A:A,0)),0)</f>
        <v>0</v>
      </c>
      <c r="F89" s="17">
        <f>Table24[[#This Row],[حسابهای دریافتنی]]+Table24[[#This Row],[چکهای در جریان وصول]]+Table24[[#This Row],[چکهای نزد صندوق]]</f>
        <v>0</v>
      </c>
      <c r="G89" s="12">
        <f>IFERROR(INDEX('مانده سوفاله'!F:F,MATCH(Table24[[#This Row],[كد تفصيلي]],'مانده سوفاله'!A:A,0)),0)</f>
        <v>3</v>
      </c>
    </row>
    <row r="90" spans="1:7" ht="18" customHeight="1" x14ac:dyDescent="0.3">
      <c r="A90" s="29">
        <v>30077</v>
      </c>
      <c r="B90" s="31" t="s">
        <v>122</v>
      </c>
      <c r="C90" s="10">
        <f>IFERROR(INDEX('حسابهای دریافتنی'!H:H,MATCH(Table24[[#This Row],[كد تفصيلي]],'حسابهای دریافتنی'!A:A,0)),0)</f>
        <v>360000</v>
      </c>
      <c r="D90" s="10">
        <f>IFERROR(INDEX('درجریان وصول'!F:F,MATCH(Table24[[#This Row],[كد تفصيلي]],'درجریان وصول'!A:A,0)),0)</f>
        <v>0</v>
      </c>
      <c r="E90" s="10">
        <f>IFERROR(INDEX('چکهای دریافتنی'!F:F,MATCH(Table24[[#This Row],[كد تفصيلي]],'چکهای دریافتنی'!A:A,0)),0)</f>
        <v>0</v>
      </c>
      <c r="F90" s="10">
        <f>Table24[[#This Row],[حسابهای دریافتنی]]+Table24[[#This Row],[چکهای در جریان وصول]]+Table24[[#This Row],[چکهای نزد صندوق]]</f>
        <v>360000</v>
      </c>
      <c r="G90" s="12">
        <f>IFERROR(INDEX('مانده سوفاله'!F:F,MATCH(Table24[[#This Row],[كد تفصيلي]],'مانده سوفاله'!A:A,0)),0)</f>
        <v>-32</v>
      </c>
    </row>
    <row r="91" spans="1:7" ht="18" customHeight="1" x14ac:dyDescent="0.3">
      <c r="A91" s="29">
        <v>30079</v>
      </c>
      <c r="B91" s="31" t="s">
        <v>124</v>
      </c>
      <c r="C91" s="10">
        <f>IFERROR(INDEX('حسابهای دریافتنی'!H:H,MATCH(Table24[[#This Row],[كد تفصيلي]],'حسابهای دریافتنی'!A:A,0)),0)</f>
        <v>0</v>
      </c>
      <c r="D91" s="17">
        <f>IFERROR(INDEX('درجریان وصول'!F:F,MATCH(Table24[[#This Row],[كد تفصيلي]],'درجریان وصول'!A:A,0)),0)</f>
        <v>0</v>
      </c>
      <c r="E91" s="17">
        <f>IFERROR(INDEX('چکهای دریافتنی'!F:F,MATCH(Table24[[#This Row],[كد تفصيلي]],'چکهای دریافتنی'!A:A,0)),0)</f>
        <v>0</v>
      </c>
      <c r="F91" s="17">
        <f>Table24[[#This Row],[حسابهای دریافتنی]]+Table24[[#This Row],[چکهای در جریان وصول]]+Table24[[#This Row],[چکهای نزد صندوق]]</f>
        <v>0</v>
      </c>
      <c r="G91" s="12">
        <f>IFERROR(INDEX('مانده سوفاله'!F:F,MATCH(Table24[[#This Row],[كد تفصيلي]],'مانده سوفاله'!A:A,0)),0)</f>
        <v>-85</v>
      </c>
    </row>
    <row r="92" spans="1:7" ht="18" customHeight="1" x14ac:dyDescent="0.3">
      <c r="A92" s="29">
        <v>30097</v>
      </c>
      <c r="B92" s="31" t="s">
        <v>188</v>
      </c>
      <c r="C92" s="10">
        <f>IFERROR(INDEX('حسابهای دریافتنی'!H:H,MATCH(Table24[[#This Row],[كد تفصيلي]],'حسابهای دریافتنی'!A:A,0)),0)</f>
        <v>0</v>
      </c>
      <c r="D92" s="17">
        <f>IFERROR(INDEX('درجریان وصول'!F:F,MATCH(Table24[[#This Row],[كد تفصيلي]],'درجریان وصول'!A:A,0)),0)</f>
        <v>0</v>
      </c>
      <c r="E92" s="17">
        <f>IFERROR(INDEX('چکهای دریافتنی'!F:F,MATCH(Table24[[#This Row],[كد تفصيلي]],'چکهای دریافتنی'!A:A,0)),0)</f>
        <v>0</v>
      </c>
      <c r="F92" s="17">
        <f>Table24[[#This Row],[حسابهای دریافتنی]]+Table24[[#This Row],[چکهای در جریان وصول]]+Table24[[#This Row],[چکهای نزد صندوق]]</f>
        <v>0</v>
      </c>
      <c r="G92" s="12">
        <f>IFERROR(INDEX('مانده سوفاله'!F:F,MATCH(Table24[[#This Row],[كد تفصيلي]],'مانده سوفاله'!A:A,0)),0)</f>
        <v>-82</v>
      </c>
    </row>
    <row r="93" spans="1:7" ht="18" customHeight="1" x14ac:dyDescent="0.3">
      <c r="A93" s="29">
        <v>30113</v>
      </c>
      <c r="B93" s="31" t="s">
        <v>202</v>
      </c>
      <c r="C93" s="10">
        <f>IFERROR(INDEX('حسابهای دریافتنی'!H:H,MATCH(Table24[[#This Row],[كد تفصيلي]],'حسابهای دریافتنی'!A:A,0)),0)</f>
        <v>0</v>
      </c>
      <c r="D93" s="17">
        <f>IFERROR(INDEX('درجریان وصول'!F:F,MATCH(Table24[[#This Row],[كد تفصيلي]],'درجریان وصول'!A:A,0)),0)</f>
        <v>0</v>
      </c>
      <c r="E93" s="17">
        <f>IFERROR(INDEX('چکهای دریافتنی'!F:F,MATCH(Table24[[#This Row],[كد تفصيلي]],'چکهای دریافتنی'!A:A,0)),0)</f>
        <v>0</v>
      </c>
      <c r="F93" s="17">
        <f>Table24[[#This Row],[حسابهای دریافتنی]]+Table24[[#This Row],[چکهای در جریان وصول]]+Table24[[#This Row],[چکهای نزد صندوق]]</f>
        <v>0</v>
      </c>
      <c r="G93" s="12">
        <f>IFERROR(INDEX('مانده سوفاله'!F:F,MATCH(Table24[[#This Row],[كد تفصيلي]],'مانده سوفاله'!A:A,0)),0)</f>
        <v>0</v>
      </c>
    </row>
    <row r="94" spans="1:7" ht="18" customHeight="1" x14ac:dyDescent="0.3">
      <c r="A94" s="28">
        <v>30118</v>
      </c>
      <c r="B94" s="30" t="s">
        <v>205</v>
      </c>
      <c r="C94" s="10">
        <f>IFERROR(INDEX('حسابهای دریافتنی'!H:H,MATCH(Table24[[#This Row],[كد تفصيلي]],'حسابهای دریافتنی'!A:A,0)),0)</f>
        <v>0</v>
      </c>
      <c r="D94" s="11">
        <f>IFERROR(INDEX('درجریان وصول'!F:F,MATCH(Table24[[#This Row],[كد تفصيلي]],'درجریان وصول'!A:A,0)),0)</f>
        <v>0</v>
      </c>
      <c r="E94" s="11">
        <f>IFERROR(INDEX('چکهای دریافتنی'!F:F,MATCH(Table24[[#This Row],[كد تفصيلي]],'چکهای دریافتنی'!A:A,0)),0)</f>
        <v>0</v>
      </c>
      <c r="F94" s="11">
        <f>Table24[[#This Row],[حسابهای دریافتنی]]+Table24[[#This Row],[چکهای در جریان وصول]]+Table24[[#This Row],[چکهای نزد صندوق]]</f>
        <v>0</v>
      </c>
      <c r="G94" s="12">
        <f>IFERROR(INDEX('مانده سوفاله'!F:F,MATCH(Table24[[#This Row],[كد تفصيلي]],'مانده سوفاله'!A:A,0)),0)</f>
        <v>-20</v>
      </c>
    </row>
    <row r="95" spans="1:7" ht="18" customHeight="1" x14ac:dyDescent="0.3">
      <c r="A95" s="29">
        <v>30131</v>
      </c>
      <c r="B95" s="31" t="s">
        <v>213</v>
      </c>
      <c r="C95" s="10">
        <f>IFERROR(INDEX('حسابهای دریافتنی'!H:H,MATCH(Table24[[#This Row],[كد تفصيلي]],'حسابهای دریافتنی'!A:A,0)),0)</f>
        <v>-6228486500</v>
      </c>
      <c r="D95" s="17">
        <f>IFERROR(INDEX('درجریان وصول'!F:F,MATCH(Table24[[#This Row],[كد تفصيلي]],'درجریان وصول'!A:A,0)),0)</f>
        <v>0</v>
      </c>
      <c r="E95" s="17">
        <f>IFERROR(INDEX('چکهای دریافتنی'!F:F,MATCH(Table24[[#This Row],[كد تفصيلي]],'چکهای دریافتنی'!A:A,0)),0)</f>
        <v>0</v>
      </c>
      <c r="F95" s="17">
        <f>Table24[[#This Row],[حسابهای دریافتنی]]+Table24[[#This Row],[چکهای در جریان وصول]]+Table24[[#This Row],[چکهای نزد صندوق]]</f>
        <v>-6228486500</v>
      </c>
      <c r="G95" s="12">
        <f>IFERROR(INDEX('مانده سوفاله'!F:F,MATCH(Table24[[#This Row],[كد تفصيلي]],'مانده سوفاله'!A:A,0)),0)</f>
        <v>222</v>
      </c>
    </row>
    <row r="96" spans="1:7" ht="18" customHeight="1" x14ac:dyDescent="0.3">
      <c r="A96" s="29">
        <v>30137</v>
      </c>
      <c r="B96" s="31" t="s">
        <v>218</v>
      </c>
      <c r="C96" s="10">
        <f>IFERROR(INDEX('حسابهای دریافتنی'!H:H,MATCH(Table24[[#This Row],[كد تفصيلي]],'حسابهای دریافتنی'!A:A,0)),0)</f>
        <v>0</v>
      </c>
      <c r="D96" s="17">
        <f>IFERROR(INDEX('درجریان وصول'!F:F,MATCH(Table24[[#This Row],[كد تفصيلي]],'درجریان وصول'!A:A,0)),0)</f>
        <v>0</v>
      </c>
      <c r="E96" s="17">
        <f>IFERROR(INDEX('چکهای دریافتنی'!F:F,MATCH(Table24[[#This Row],[كد تفصيلي]],'چکهای دریافتنی'!A:A,0)),0)</f>
        <v>213182200</v>
      </c>
      <c r="F96" s="17">
        <f>Table24[[#This Row],[حسابهای دریافتنی]]+Table24[[#This Row],[چکهای در جریان وصول]]+Table24[[#This Row],[چکهای نزد صندوق]]</f>
        <v>213182200</v>
      </c>
      <c r="G96" s="12">
        <f>IFERROR(INDEX('مانده سوفاله'!F:F,MATCH(Table24[[#This Row],[كد تفصيلي]],'مانده سوفاله'!A:A,0)),0)</f>
        <v>0</v>
      </c>
    </row>
    <row r="97" spans="1:7" ht="18" customHeight="1" x14ac:dyDescent="0.3">
      <c r="A97" s="29">
        <v>30141</v>
      </c>
      <c r="B97" s="31" t="s">
        <v>261</v>
      </c>
      <c r="C97" s="10">
        <f>IFERROR(INDEX('حسابهای دریافتنی'!H:H,MATCH(Table24[[#This Row],[كد تفصيلي]],'حسابهای دریافتنی'!A:A,0)),0)</f>
        <v>0</v>
      </c>
      <c r="D97" s="17">
        <f>IFERROR(INDEX('درجریان وصول'!F:F,MATCH(Table24[[#This Row],[كد تفصيلي]],'درجریان وصول'!A:A,0)),0)</f>
        <v>0</v>
      </c>
      <c r="E97" s="17">
        <f>IFERROR(INDEX('چکهای دریافتنی'!F:F,MATCH(Table24[[#This Row],[كد تفصيلي]],'چکهای دریافتنی'!A:A,0)),0)</f>
        <v>0</v>
      </c>
      <c r="F97" s="17">
        <f>Table24[[#This Row],[حسابهای دریافتنی]]+Table24[[#This Row],[چکهای در جریان وصول]]+Table24[[#This Row],[چکهای نزد صندوق]]</f>
        <v>0</v>
      </c>
      <c r="G97" s="12">
        <f>IFERROR(INDEX('مانده سوفاله'!F:F,MATCH(Table24[[#This Row],[كد تفصيلي]],'مانده سوفاله'!A:A,0)),0)</f>
        <v>-42</v>
      </c>
    </row>
    <row r="98" spans="1:7" ht="18" customHeight="1" x14ac:dyDescent="0.3">
      <c r="A98" s="28">
        <v>30142</v>
      </c>
      <c r="B98" s="30" t="s">
        <v>263</v>
      </c>
      <c r="C98" s="10">
        <f>IFERROR(INDEX('حسابهای دریافتنی'!H:H,MATCH(Table24[[#This Row],[كد تفصيلي]],'حسابهای دریافتنی'!A:A,0)),0)</f>
        <v>0</v>
      </c>
      <c r="D98" s="10">
        <f>IFERROR(INDEX('درجریان وصول'!F:F,MATCH(Table24[[#This Row],[كد تفصيلي]],'درجریان وصول'!A:A,0)),0)</f>
        <v>0</v>
      </c>
      <c r="E98" s="10">
        <f>IFERROR(INDEX('چکهای دریافتنی'!F:F,MATCH(Table24[[#This Row],[كد تفصيلي]],'چکهای دریافتنی'!A:A,0)),0)</f>
        <v>0</v>
      </c>
      <c r="F98" s="10">
        <f>Table24[[#This Row],[حسابهای دریافتنی]]+Table24[[#This Row],[چکهای در جریان وصول]]+Table24[[#This Row],[چکهای نزد صندوق]]</f>
        <v>0</v>
      </c>
      <c r="G98" s="12">
        <f>IFERROR(INDEX('مانده سوفاله'!F:F,MATCH(Table24[[#This Row],[كد تفصيلي]],'مانده سوفاله'!A:A,0)),0)</f>
        <v>13</v>
      </c>
    </row>
    <row r="99" spans="1:7" ht="18" customHeight="1" x14ac:dyDescent="0.3">
      <c r="A99" s="29">
        <v>50006</v>
      </c>
      <c r="B99" s="31" t="s">
        <v>168</v>
      </c>
      <c r="C99" s="10">
        <f>IFERROR(INDEX('حسابهای دریافتنی'!H:H,MATCH(Table24[[#This Row],[كد تفصيلي]],'حسابهای دریافتنی'!A:A,0)),0)</f>
        <v>0</v>
      </c>
      <c r="D99" s="17">
        <f>IFERROR(INDEX('درجریان وصول'!F:F,MATCH(Table24[[#This Row],[كد تفصيلي]],'درجریان وصول'!A:A,0)),0)</f>
        <v>0</v>
      </c>
      <c r="E99" s="17">
        <f>IFERROR(INDEX('چکهای دریافتنی'!F:F,MATCH(Table24[[#This Row],[كد تفصيلي]],'چکهای دریافتنی'!A:A,0)),0)</f>
        <v>0</v>
      </c>
      <c r="F99" s="17">
        <f>Table24[[#This Row],[حسابهای دریافتنی]]+Table24[[#This Row],[چکهای در جریان وصول]]+Table24[[#This Row],[چکهای نزد صندوق]]</f>
        <v>0</v>
      </c>
      <c r="G99" s="12">
        <f>IFERROR(INDEX('مانده سوفاله'!F:F,MATCH(Table24[[#This Row],[كد تفصيلي]],'مانده سوفاله'!A:A,0)),0)</f>
        <v>-7581</v>
      </c>
    </row>
    <row r="100" spans="1:7" ht="18" customHeight="1" x14ac:dyDescent="0.3">
      <c r="A100" s="29">
        <v>79010</v>
      </c>
      <c r="B100" s="31" t="s">
        <v>176</v>
      </c>
      <c r="C100" s="10">
        <f>IFERROR(INDEX('حسابهای دریافتنی'!H:H,MATCH(Table24[[#This Row],[كد تفصيلي]],'حسابهای دریافتنی'!A:A,0)),0)</f>
        <v>0</v>
      </c>
      <c r="D100" s="10">
        <f>IFERROR(INDEX('درجریان وصول'!F:F,MATCH(Table24[[#This Row],[كد تفصيلي]],'درجریان وصول'!A:A,0)),0)</f>
        <v>0</v>
      </c>
      <c r="E100" s="10">
        <f>IFERROR(INDEX('چکهای دریافتنی'!F:F,MATCH(Table24[[#This Row],[كد تفصيلي]],'چکهای دریافتنی'!A:A,0)),0)</f>
        <v>0</v>
      </c>
      <c r="F100" s="10">
        <f>Table24[[#This Row],[حسابهای دریافتنی]]+Table24[[#This Row],[چکهای در جریان وصول]]+Table24[[#This Row],[چکهای نزد صندوق]]</f>
        <v>0</v>
      </c>
      <c r="G100" s="12">
        <f>IFERROR(INDEX('مانده سوفاله'!F:F,MATCH(Table24[[#This Row],[كد تفصيلي]],'مانده سوفاله'!A:A,0)),0)</f>
        <v>-110</v>
      </c>
    </row>
    <row r="101" spans="1:7" ht="18" customHeight="1" x14ac:dyDescent="0.3">
      <c r="A101" s="28">
        <v>30140</v>
      </c>
      <c r="B101" s="30" t="s">
        <v>259</v>
      </c>
      <c r="C101" s="10">
        <f>IFERROR(INDEX('حسابهای دریافتنی'!H:H,MATCH(Table24[[#This Row],[كد تفصيلي]],'حسابهای دریافتنی'!A:A,0)),0)</f>
        <v>553728200</v>
      </c>
      <c r="D101" s="17">
        <f>IFERROR(INDEX('درجریان وصول'!F:F,MATCH(Table24[[#This Row],[كد تفصيلي]],'درجریان وصول'!A:A,0)),0)</f>
        <v>0</v>
      </c>
      <c r="E101" s="17">
        <f>IFERROR(INDEX('چکهای دریافتنی'!F:F,MATCH(Table24[[#This Row],[كد تفصيلي]],'چکهای دریافتنی'!A:A,0)),0)</f>
        <v>1030000000</v>
      </c>
      <c r="F101" s="17">
        <f>Table24[[#This Row],[حسابهای دریافتنی]]+Table24[[#This Row],[چکهای در جریان وصول]]+Table24[[#This Row],[چکهای نزد صندوق]]</f>
        <v>1583728200</v>
      </c>
      <c r="G101" s="12">
        <f>IFERROR(INDEX('مانده سوفاله'!F:F,MATCH(Table24[[#This Row],[كد تفصيلي]],'مانده سوفاله'!A:A,0)),0)</f>
        <v>-12630</v>
      </c>
    </row>
    <row r="102" spans="1:7" ht="18" customHeight="1" x14ac:dyDescent="0.3">
      <c r="A102" s="29">
        <v>30164</v>
      </c>
      <c r="B102" s="31" t="s">
        <v>382</v>
      </c>
      <c r="C102" s="10">
        <f>IFERROR(INDEX('حسابهای دریافتنی'!H:H,MATCH(Table24[[#This Row],[كد تفصيلي]],'حسابهای دریافتنی'!A:A,0)),0)</f>
        <v>184944000</v>
      </c>
      <c r="D102" s="10">
        <f>IFERROR(INDEX('درجریان وصول'!F:F,MATCH(Table24[[#This Row],[كد تفصيلي]],'درجریان وصول'!A:A,0)),0)</f>
        <v>0</v>
      </c>
      <c r="E102" s="10">
        <f>IFERROR(INDEX('چکهای دریافتنی'!F:F,MATCH(Table24[[#This Row],[كد تفصيلي]],'چکهای دریافتنی'!A:A,0)),0)</f>
        <v>0</v>
      </c>
      <c r="F102" s="10">
        <f>Table24[[#This Row],[حسابهای دریافتنی]]+Table24[[#This Row],[چکهای در جریان وصول]]+Table24[[#This Row],[چکهای نزد صندوق]]</f>
        <v>184944000</v>
      </c>
      <c r="G102" s="12">
        <f>IFERROR(INDEX('مانده سوفاله'!F:F,MATCH(Table24[[#This Row],[كد تفصيلي]],'مانده سوفاله'!A:A,0)),0)</f>
        <v>561</v>
      </c>
    </row>
    <row r="103" spans="1:7" ht="18" customHeight="1" x14ac:dyDescent="0.3">
      <c r="A103" s="29">
        <v>10109</v>
      </c>
      <c r="B103" s="31" t="s">
        <v>347</v>
      </c>
      <c r="C103" s="10">
        <f>IFERROR(INDEX('حسابهای دریافتنی'!H:H,MATCH(Table24[[#This Row],[كد تفصيلي]],'حسابهای دریافتنی'!A:A,0)),0)</f>
        <v>-1124737000</v>
      </c>
      <c r="D103" s="11">
        <f>IFERROR(INDEX('درجریان وصول'!F:F,MATCH(Table24[[#This Row],[كد تفصيلي]],'درجریان وصول'!A:A,0)),0)</f>
        <v>0</v>
      </c>
      <c r="E103" s="11">
        <f>IFERROR(INDEX('چکهای دریافتنی'!F:F,MATCH(Table24[[#This Row],[كد تفصيلي]],'چکهای دریافتنی'!A:A,0)),0)</f>
        <v>0</v>
      </c>
      <c r="F103" s="11">
        <f>Table24[[#This Row],[حسابهای دریافتنی]]+Table24[[#This Row],[چکهای در جریان وصول]]+Table24[[#This Row],[چکهای نزد صندوق]]</f>
        <v>-1124737000</v>
      </c>
      <c r="G103" s="12">
        <f>IFERROR(INDEX('مانده سوفاله'!F:F,MATCH(Table24[[#This Row],[كد تفصيلي]],'مانده سوفاله'!A:A,0)),0)</f>
        <v>-241</v>
      </c>
    </row>
    <row r="104" spans="1:7" ht="18" customHeight="1" x14ac:dyDescent="0.3">
      <c r="A104" s="28">
        <v>30021</v>
      </c>
      <c r="B104" s="30" t="s">
        <v>69</v>
      </c>
      <c r="C104" s="10">
        <f>IFERROR(INDEX('حسابهای دریافتنی'!H:H,MATCH(Table24[[#This Row],[كد تفصيلي]],'حسابهای دریافتنی'!A:A,0)),0)</f>
        <v>-122000</v>
      </c>
      <c r="D104" s="17">
        <f>IFERROR(INDEX('درجریان وصول'!F:F,MATCH(Table24[[#This Row],[كد تفصيلي]],'درجریان وصول'!A:A,0)),0)</f>
        <v>0</v>
      </c>
      <c r="E104" s="17">
        <f>IFERROR(INDEX('چکهای دریافتنی'!F:F,MATCH(Table24[[#This Row],[كد تفصيلي]],'چکهای دریافتنی'!A:A,0)),0)</f>
        <v>0</v>
      </c>
      <c r="F104" s="17">
        <f>Table24[[#This Row],[حسابهای دریافتنی]]+Table24[[#This Row],[چکهای در جریان وصول]]+Table24[[#This Row],[چکهای نزد صندوق]]</f>
        <v>-122000</v>
      </c>
      <c r="G104" s="12">
        <f>IFERROR(INDEX('مانده سوفاله'!F:F,MATCH(Table24[[#This Row],[كد تفصيلي]],'مانده سوفاله'!A:A,0)),0)</f>
        <v>0</v>
      </c>
    </row>
    <row r="105" spans="1:7" ht="18" customHeight="1" x14ac:dyDescent="0.3">
      <c r="A105" s="29">
        <v>10066</v>
      </c>
      <c r="B105" s="31" t="s">
        <v>262</v>
      </c>
      <c r="C105" s="10">
        <f>IFERROR(INDEX('حسابهای دریافتنی'!H:H,MATCH(Table24[[#This Row],[كد تفصيلي]],'حسابهای دریافتنی'!A:A,0)),0)</f>
        <v>-191500</v>
      </c>
      <c r="D105" s="11">
        <f>IFERROR(INDEX('درجریان وصول'!F:F,MATCH(Table24[[#This Row],[كد تفصيلي]],'درجریان وصول'!A:A,0)),0)</f>
        <v>0</v>
      </c>
      <c r="E105" s="11">
        <f>IFERROR(INDEX('چکهای دریافتنی'!F:F,MATCH(Table24[[#This Row],[كد تفصيلي]],'چکهای دریافتنی'!A:A,0)),0)</f>
        <v>0</v>
      </c>
      <c r="F105" s="11">
        <f>Table24[[#This Row],[حسابهای دریافتنی]]+Table24[[#This Row],[چکهای در جریان وصول]]+Table24[[#This Row],[چکهای نزد صندوق]]</f>
        <v>-191500</v>
      </c>
      <c r="G105" s="12">
        <f>IFERROR(INDEX('مانده سوفاله'!F:F,MATCH(Table24[[#This Row],[كد تفصيلي]],'مانده سوفاله'!A:A,0)),0)</f>
        <v>2</v>
      </c>
    </row>
    <row r="106" spans="1:7" ht="18" customHeight="1" x14ac:dyDescent="0.3">
      <c r="A106" s="28">
        <v>30167</v>
      </c>
      <c r="B106" s="30" t="s">
        <v>383</v>
      </c>
      <c r="C106" s="10">
        <f>IFERROR(INDEX('حسابهای دریافتنی'!H:H,MATCH(Table24[[#This Row],[كد تفصيلي]],'حسابهای دریافتنی'!A:A,0)),0)</f>
        <v>-221000</v>
      </c>
      <c r="D106" s="10">
        <f>IFERROR(INDEX('درجریان وصول'!F:F,MATCH(Table24[[#This Row],[كد تفصيلي]],'درجریان وصول'!A:A,0)),0)</f>
        <v>0</v>
      </c>
      <c r="E106" s="10">
        <f>IFERROR(INDEX('چکهای دریافتنی'!F:F,MATCH(Table24[[#This Row],[كد تفصيلي]],'چکهای دریافتنی'!A:A,0)),0)</f>
        <v>0</v>
      </c>
      <c r="F106" s="10">
        <f>Table24[[#This Row],[حسابهای دریافتنی]]+Table24[[#This Row],[چکهای در جریان وصول]]+Table24[[#This Row],[چکهای نزد صندوق]]</f>
        <v>-221000</v>
      </c>
      <c r="G106" s="12">
        <f>IFERROR(INDEX('مانده سوفاله'!F:F,MATCH(Table24[[#This Row],[كد تفصيلي]],'مانده سوفاله'!A:A,0)),0)</f>
        <v>6</v>
      </c>
    </row>
    <row r="107" spans="1:7" ht="18" customHeight="1" x14ac:dyDescent="0.3">
      <c r="A107" s="28">
        <v>10077</v>
      </c>
      <c r="B107" s="30" t="s">
        <v>210</v>
      </c>
      <c r="C107" s="10">
        <f>IFERROR(INDEX('حسابهای دریافتنی'!H:H,MATCH(Table24[[#This Row],[كد تفصيلي]],'حسابهای دریافتنی'!A:A,0)),0)</f>
        <v>-238500</v>
      </c>
      <c r="D107" s="11">
        <f>IFERROR(INDEX('درجریان وصول'!F:F,MATCH(Table24[[#This Row],[كد تفصيلي]],'درجریان وصول'!A:A,0)),0)</f>
        <v>0</v>
      </c>
      <c r="E107" s="11">
        <f>IFERROR(INDEX('چکهای دریافتنی'!F:F,MATCH(Table24[[#This Row],[كد تفصيلي]],'چکهای دریافتنی'!A:A,0)),0)</f>
        <v>0</v>
      </c>
      <c r="F107" s="11">
        <f>Table24[[#This Row],[حسابهای دریافتنی]]+Table24[[#This Row],[چکهای در جریان وصول]]+Table24[[#This Row],[چکهای نزد صندوق]]</f>
        <v>-238500</v>
      </c>
      <c r="G107" s="12">
        <f>IFERROR(INDEX('مانده سوفاله'!F:F,MATCH(Table24[[#This Row],[كد تفصيلي]],'مانده سوفاله'!A:A,0)),0)</f>
        <v>0</v>
      </c>
    </row>
    <row r="108" spans="1:7" ht="18" customHeight="1" x14ac:dyDescent="0.3">
      <c r="A108" s="29">
        <v>10012</v>
      </c>
      <c r="B108" s="31" t="s">
        <v>19</v>
      </c>
      <c r="C108" s="10">
        <f>IFERROR(INDEX('حسابهای دریافتنی'!H:H,MATCH(Table24[[#This Row],[كد تفصيلي]],'حسابهای دریافتنی'!A:A,0)),0)</f>
        <v>-244000</v>
      </c>
      <c r="D108" s="11">
        <f>IFERROR(INDEX('درجریان وصول'!F:F,MATCH(Table24[[#This Row],[كد تفصيلي]],'درجریان وصول'!A:A,0)),0)</f>
        <v>0</v>
      </c>
      <c r="E108" s="11">
        <f>IFERROR(INDEX('چکهای دریافتنی'!F:F,MATCH(Table24[[#This Row],[كد تفصيلي]],'چکهای دریافتنی'!A:A,0)),0)</f>
        <v>0</v>
      </c>
      <c r="F108" s="11">
        <f>Table24[[#This Row],[حسابهای دریافتنی]]+Table24[[#This Row],[چکهای در جریان وصول]]+Table24[[#This Row],[چکهای نزد صندوق]]</f>
        <v>-244000</v>
      </c>
      <c r="G108" s="12">
        <f>IFERROR(INDEX('مانده سوفاله'!F:F,MATCH(Table24[[#This Row],[كد تفصيلي]],'مانده سوفاله'!A:A,0)),0)</f>
        <v>0</v>
      </c>
    </row>
    <row r="109" spans="1:7" ht="18" customHeight="1" x14ac:dyDescent="0.3">
      <c r="A109" s="28">
        <v>30088</v>
      </c>
      <c r="B109" s="30" t="s">
        <v>142</v>
      </c>
      <c r="C109" s="10">
        <f>IFERROR(INDEX('حسابهای دریافتنی'!H:H,MATCH(Table24[[#This Row],[كد تفصيلي]],'حسابهای دریافتنی'!A:A,0)),0)</f>
        <v>-252000</v>
      </c>
      <c r="D109" s="17">
        <f>IFERROR(INDEX('درجریان وصول'!F:F,MATCH(Table24[[#This Row],[كد تفصيلي]],'درجریان وصول'!A:A,0)),0)</f>
        <v>0</v>
      </c>
      <c r="E109" s="17">
        <f>IFERROR(INDEX('چکهای دریافتنی'!F:F,MATCH(Table24[[#This Row],[كد تفصيلي]],'چکهای دریافتنی'!A:A,0)),0)</f>
        <v>0</v>
      </c>
      <c r="F109" s="17">
        <f>Table24[[#This Row],[حسابهای دریافتنی]]+Table24[[#This Row],[چکهای در جریان وصول]]+Table24[[#This Row],[چکهای نزد صندوق]]</f>
        <v>-252000</v>
      </c>
      <c r="G109" s="12">
        <f>IFERROR(INDEX('مانده سوفاله'!F:F,MATCH(Table24[[#This Row],[كد تفصيلي]],'مانده سوفاله'!A:A,0)),0)</f>
        <v>0</v>
      </c>
    </row>
    <row r="110" spans="1:7" ht="18" customHeight="1" x14ac:dyDescent="0.3">
      <c r="A110" s="29">
        <v>10052</v>
      </c>
      <c r="B110" s="31" t="s">
        <v>192</v>
      </c>
      <c r="C110" s="10">
        <f>IFERROR(INDEX('حسابهای دریافتنی'!H:H,MATCH(Table24[[#This Row],[كد تفصيلي]],'حسابهای دریافتنی'!A:A,0)),0)</f>
        <v>0</v>
      </c>
      <c r="D110" s="10">
        <f>IFERROR(INDEX('درجریان وصول'!F:F,MATCH(Table24[[#This Row],[كد تفصيلي]],'درجریان وصول'!A:A,0)),0)</f>
        <v>0</v>
      </c>
      <c r="E110" s="10">
        <v>0</v>
      </c>
      <c r="F110" s="10">
        <f>Table24[[#This Row],[حسابهای دریافتنی]]+Table24[[#This Row],[چکهای در جریان وصول]]+Table24[[#This Row],[چکهای نزد صندوق]]</f>
        <v>0</v>
      </c>
      <c r="G110" s="12">
        <f>IFERROR(INDEX('مانده سوفاله'!F:F,MATCH(Table24[[#This Row],[كد تفصيلي]],'مانده سوفاله'!A:A,0)),0)</f>
        <v>0</v>
      </c>
    </row>
    <row r="111" spans="1:7" ht="18" customHeight="1" x14ac:dyDescent="0.3">
      <c r="A111" s="28">
        <v>10045</v>
      </c>
      <c r="B111" s="30" t="s">
        <v>50</v>
      </c>
      <c r="C111" s="10">
        <f>IFERROR(INDEX('حسابهای دریافتنی'!H:H,MATCH(Table24[[#This Row],[كد تفصيلي]],'حسابهای دریافتنی'!A:A,0)),0)</f>
        <v>-383000</v>
      </c>
      <c r="D111" s="10">
        <f>IFERROR(INDEX('درجریان وصول'!F:F,MATCH(Table24[[#This Row],[كد تفصيلي]],'درجریان وصول'!A:A,0)),0)</f>
        <v>0</v>
      </c>
      <c r="E111" s="10">
        <f>IFERROR(INDEX('چکهای دریافتنی'!F:F,MATCH(Table24[[#This Row],[كد تفصيلي]],'چکهای دریافتنی'!A:A,0)),0)</f>
        <v>0</v>
      </c>
      <c r="F111" s="10">
        <f>Table24[[#This Row],[حسابهای دریافتنی]]+Table24[[#This Row],[چکهای در جریان وصول]]+Table24[[#This Row],[چکهای نزد صندوق]]</f>
        <v>-383000</v>
      </c>
      <c r="G111" s="12">
        <f>IFERROR(INDEX('مانده سوفاله'!F:F,MATCH(Table24[[#This Row],[كد تفصيلي]],'مانده سوفاله'!A:A,0)),0)</f>
        <v>-30</v>
      </c>
    </row>
    <row r="112" spans="1:7" ht="18" customHeight="1" x14ac:dyDescent="0.3">
      <c r="A112" s="28">
        <v>30051</v>
      </c>
      <c r="B112" s="30" t="s">
        <v>98</v>
      </c>
      <c r="C112" s="10">
        <f>IFERROR(INDEX('حسابهای دریافتنی'!H:H,MATCH(Table24[[#This Row],[كد تفصيلي]],'حسابهای دریافتنی'!A:A,0)),0)</f>
        <v>-384000</v>
      </c>
      <c r="D112" s="17">
        <f>IFERROR(INDEX('درجریان وصول'!F:F,MATCH(Table24[[#This Row],[كد تفصيلي]],'درجریان وصول'!A:A,0)),0)</f>
        <v>0</v>
      </c>
      <c r="E112" s="17">
        <f>IFERROR(INDEX('چکهای دریافتنی'!F:F,MATCH(Table24[[#This Row],[كد تفصيلي]],'چکهای دریافتنی'!A:A,0)),0)</f>
        <v>0</v>
      </c>
      <c r="F112" s="17">
        <f>Table24[[#This Row],[حسابهای دریافتنی]]+Table24[[#This Row],[چکهای در جریان وصول]]+Table24[[#This Row],[چکهای نزد صندوق]]</f>
        <v>-384000</v>
      </c>
      <c r="G112" s="12">
        <f>IFERROR(INDEX('مانده سوفاله'!F:F,MATCH(Table24[[#This Row],[كد تفصيلي]],'مانده سوفاله'!A:A,0)),0)</f>
        <v>0</v>
      </c>
    </row>
    <row r="113" spans="1:7" ht="18" customHeight="1" x14ac:dyDescent="0.3">
      <c r="A113" s="29">
        <v>30044</v>
      </c>
      <c r="B113" s="31" t="s">
        <v>91</v>
      </c>
      <c r="C113" s="10">
        <f>IFERROR(INDEX('حسابهای دریافتنی'!H:H,MATCH(Table24[[#This Row],[كد تفصيلي]],'حسابهای دریافتنی'!A:A,0)),0)</f>
        <v>-492500</v>
      </c>
      <c r="D113" s="17">
        <f>IFERROR(INDEX('درجریان وصول'!F:F,MATCH(Table24[[#This Row],[كد تفصيلي]],'درجریان وصول'!A:A,0)),0)</f>
        <v>0</v>
      </c>
      <c r="E113" s="17">
        <f>IFERROR(INDEX('چکهای دریافتنی'!F:F,MATCH(Table24[[#This Row],[كد تفصيلي]],'چکهای دریافتنی'!A:A,0)),0)</f>
        <v>0</v>
      </c>
      <c r="F113" s="17">
        <f>Table24[[#This Row],[حسابهای دریافتنی]]+Table24[[#This Row],[چکهای در جریان وصول]]+Table24[[#This Row],[چکهای نزد صندوق]]</f>
        <v>-492500</v>
      </c>
      <c r="G113" s="12">
        <f>IFERROR(INDEX('مانده سوفاله'!F:F,MATCH(Table24[[#This Row],[كد تفصيلي]],'مانده سوفاله'!A:A,0)),0)</f>
        <v>2</v>
      </c>
    </row>
    <row r="114" spans="1:7" ht="18" customHeight="1" x14ac:dyDescent="0.3">
      <c r="A114" s="28">
        <v>10095</v>
      </c>
      <c r="B114" s="30" t="s">
        <v>268</v>
      </c>
      <c r="C114" s="10">
        <f>IFERROR(INDEX('حسابهای دریافتنی'!H:H,MATCH(Table24[[#This Row],[كد تفصيلي]],'حسابهای دریافتنی'!A:A,0)),0)</f>
        <v>-496500</v>
      </c>
      <c r="D114" s="10">
        <f>IFERROR(INDEX('درجریان وصول'!F:F,MATCH(Table24[[#This Row],[كد تفصيلي]],'درجریان وصول'!A:A,0)),0)</f>
        <v>0</v>
      </c>
      <c r="E114" s="10">
        <f>IFERROR(INDEX('چکهای دریافتنی'!F:F,MATCH(Table24[[#This Row],[كد تفصيلي]],'چکهای دریافتنی'!A:A,0)),0)</f>
        <v>0</v>
      </c>
      <c r="F114" s="10">
        <f>Table24[[#This Row],[حسابهای دریافتنی]]+Table24[[#This Row],[چکهای در جریان وصول]]+Table24[[#This Row],[چکهای نزد صندوق]]</f>
        <v>-496500</v>
      </c>
      <c r="G114" s="12">
        <f>IFERROR(INDEX('مانده سوفاله'!F:F,MATCH(Table24[[#This Row],[كد تفصيلي]],'مانده سوفاله'!A:A,0)),0)</f>
        <v>0</v>
      </c>
    </row>
    <row r="115" spans="1:7" ht="18" customHeight="1" x14ac:dyDescent="0.3">
      <c r="A115" s="29">
        <v>30052</v>
      </c>
      <c r="B115" s="31" t="s">
        <v>149</v>
      </c>
      <c r="C115" s="10">
        <f>IFERROR(INDEX('حسابهای دریافتنی'!H:H,MATCH(Table24[[#This Row],[كد تفصيلي]],'حسابهای دریافتنی'!A:A,0)),0)</f>
        <v>-539000</v>
      </c>
      <c r="D115" s="10">
        <f>IFERROR(INDEX('درجریان وصول'!F:F,MATCH(Table24[[#This Row],[كد تفصيلي]],'درجریان وصول'!A:A,0)),0)</f>
        <v>0</v>
      </c>
      <c r="E115" s="10">
        <f>IFERROR(INDEX('چکهای دریافتنی'!F:F,MATCH(Table24[[#This Row],[كد تفصيلي]],'چکهای دریافتنی'!A:A,0)),0)</f>
        <v>0</v>
      </c>
      <c r="F115" s="10">
        <f>Table24[[#This Row],[حسابهای دریافتنی]]+Table24[[#This Row],[چکهای در جریان وصول]]+Table24[[#This Row],[چکهای نزد صندوق]]</f>
        <v>-539000</v>
      </c>
      <c r="G115" s="12">
        <f>IFERROR(INDEX('مانده سوفاله'!F:F,MATCH(Table24[[#This Row],[كد تفصيلي]],'مانده سوفاله'!A:A,0)),0)</f>
        <v>0</v>
      </c>
    </row>
    <row r="116" spans="1:7" ht="18" customHeight="1" x14ac:dyDescent="0.3">
      <c r="A116" s="28">
        <v>10061</v>
      </c>
      <c r="B116" s="30" t="s">
        <v>194</v>
      </c>
      <c r="C116" s="10">
        <f>IFERROR(INDEX('حسابهای دریافتنی'!H:H,MATCH(Table24[[#This Row],[كد تفصيلي]],'حسابهای دریافتنی'!A:A,0)),0)</f>
        <v>-565500</v>
      </c>
      <c r="D116" s="11">
        <f>IFERROR(INDEX('درجریان وصول'!F:F,MATCH(Table24[[#This Row],[كد تفصيلي]],'درجریان وصول'!A:A,0)),0)</f>
        <v>0</v>
      </c>
      <c r="E116" s="11">
        <f>IFERROR(INDEX('چکهای دریافتنی'!F:F,MATCH(Table24[[#This Row],[كد تفصيلي]],'چکهای دریافتنی'!A:A,0)),0)</f>
        <v>0</v>
      </c>
      <c r="F116" s="11">
        <f>Table24[[#This Row],[حسابهای دریافتنی]]+Table24[[#This Row],[چکهای در جریان وصول]]+Table24[[#This Row],[چکهای نزد صندوق]]</f>
        <v>-565500</v>
      </c>
      <c r="G116" s="12">
        <f>IFERROR(INDEX('مانده سوفاله'!F:F,MATCH(Table24[[#This Row],[كد تفصيلي]],'مانده سوفاله'!A:A,0)),0)</f>
        <v>0</v>
      </c>
    </row>
    <row r="117" spans="1:7" ht="18" customHeight="1" x14ac:dyDescent="0.3">
      <c r="A117" s="29">
        <v>10118</v>
      </c>
      <c r="B117" s="31" t="s">
        <v>350</v>
      </c>
      <c r="C117" s="10">
        <f>IFERROR(INDEX('حسابهای دریافتنی'!H:H,MATCH(Table24[[#This Row],[كد تفصيلي]],'حسابهای دریافتنی'!A:A,0)),0)</f>
        <v>-587500</v>
      </c>
      <c r="D117" s="11">
        <f>IFERROR(INDEX('درجریان وصول'!F:F,MATCH(Table24[[#This Row],[كد تفصيلي]],'درجریان وصول'!A:A,0)),0)</f>
        <v>0</v>
      </c>
      <c r="E117" s="11">
        <f>IFERROR(INDEX('چکهای دریافتنی'!F:F,MATCH(Table24[[#This Row],[كد تفصيلي]],'چکهای دریافتنی'!A:A,0)),0)</f>
        <v>0</v>
      </c>
      <c r="F117" s="11">
        <f>Table24[[#This Row],[حسابهای دریافتنی]]+Table24[[#This Row],[چکهای در جریان وصول]]+Table24[[#This Row],[چکهای نزد صندوق]]</f>
        <v>-587500</v>
      </c>
      <c r="G117" s="12">
        <f>IFERROR(INDEX('مانده سوفاله'!F:F,MATCH(Table24[[#This Row],[كد تفصيلي]],'مانده سوفاله'!A:A,0)),0)</f>
        <v>0</v>
      </c>
    </row>
    <row r="118" spans="1:7" ht="18" customHeight="1" x14ac:dyDescent="0.3">
      <c r="A118" s="28">
        <v>30184</v>
      </c>
      <c r="B118" s="30" t="s">
        <v>388</v>
      </c>
      <c r="C118" s="10">
        <f>IFERROR(INDEX('حسابهای دریافتنی'!H:H,MATCH(Table24[[#This Row],[كد تفصيلي]],'حسابهای دریافتنی'!A:A,0)),0)</f>
        <v>904890480</v>
      </c>
      <c r="D118" s="17">
        <f>IFERROR(INDEX('درجریان وصول'!F:F,MATCH(Table24[[#This Row],[كد تفصيلي]],'درجریان وصول'!A:A,0)),0)</f>
        <v>0</v>
      </c>
      <c r="E118" s="17">
        <f>IFERROR(INDEX('چکهای دریافتنی'!F:F,MATCH(Table24[[#This Row],[كد تفصيلي]],'چکهای دریافتنی'!A:A,0)),0)</f>
        <v>0</v>
      </c>
      <c r="F118" s="17">
        <f>Table24[[#This Row],[حسابهای دریافتنی]]+Table24[[#This Row],[چکهای در جریان وصول]]+Table24[[#This Row],[چکهای نزد صندوق]]</f>
        <v>904890480</v>
      </c>
      <c r="G118" s="12">
        <f>IFERROR(INDEX('مانده سوفاله'!F:F,MATCH(Table24[[#This Row],[كد تفصيلي]],'مانده سوفاله'!A:A,0)),0)</f>
        <v>-100</v>
      </c>
    </row>
    <row r="119" spans="1:7" ht="18" customHeight="1" x14ac:dyDescent="0.3">
      <c r="A119" s="29">
        <v>10018</v>
      </c>
      <c r="B119" s="31" t="s">
        <v>25</v>
      </c>
      <c r="C119" s="10">
        <f>IFERROR(INDEX('حسابهای دریافتنی'!H:H,MATCH(Table24[[#This Row],[كد تفصيلي]],'حسابهای دریافتنی'!A:A,0)),0)</f>
        <v>95282000</v>
      </c>
      <c r="D119" s="11">
        <f>IFERROR(INDEX('درجریان وصول'!F:F,MATCH(Table24[[#This Row],[كد تفصيلي]],'درجریان وصول'!A:A,0)),0)</f>
        <v>0</v>
      </c>
      <c r="E119" s="11">
        <f>IFERROR(INDEX('چکهای دریافتنی'!F:F,MATCH(Table24[[#This Row],[كد تفصيلي]],'چکهای دریافتنی'!A:A,0)),0)</f>
        <v>0</v>
      </c>
      <c r="F119" s="11">
        <f>Table24[[#This Row],[حسابهای دریافتنی]]+Table24[[#This Row],[چکهای در جریان وصول]]+Table24[[#This Row],[چکهای نزد صندوق]]</f>
        <v>95282000</v>
      </c>
      <c r="G119" s="12">
        <f>IFERROR(INDEX('مانده سوفاله'!F:F,MATCH(Table24[[#This Row],[كد تفصيلي]],'مانده سوفاله'!A:A,0)),0)</f>
        <v>-32</v>
      </c>
    </row>
    <row r="120" spans="1:7" ht="18" customHeight="1" x14ac:dyDescent="0.3">
      <c r="A120" s="28">
        <v>30112</v>
      </c>
      <c r="B120" s="30" t="s">
        <v>201</v>
      </c>
      <c r="C120" s="10">
        <f>IFERROR(INDEX('حسابهای دریافتنی'!H:H,MATCH(Table24[[#This Row],[كد تفصيلي]],'حسابهای دریافتنی'!A:A,0)),0)</f>
        <v>-720500</v>
      </c>
      <c r="D120" s="17">
        <f>IFERROR(INDEX('درجریان وصول'!F:F,MATCH(Table24[[#This Row],[كد تفصيلي]],'درجریان وصول'!A:A,0)),0)</f>
        <v>0</v>
      </c>
      <c r="E120" s="17">
        <f>IFERROR(INDEX('چکهای دریافتنی'!F:F,MATCH(Table24[[#This Row],[كد تفصيلي]],'چکهای دریافتنی'!A:A,0)),0)</f>
        <v>0</v>
      </c>
      <c r="F120" s="17">
        <f>Table24[[#This Row],[حسابهای دریافتنی]]+Table24[[#This Row],[چکهای در جریان وصول]]+Table24[[#This Row],[چکهای نزد صندوق]]</f>
        <v>-720500</v>
      </c>
      <c r="G120" s="12">
        <f>IFERROR(INDEX('مانده سوفاله'!F:F,MATCH(Table24[[#This Row],[كد تفصيلي]],'مانده سوفاله'!A:A,0)),0)</f>
        <v>36</v>
      </c>
    </row>
    <row r="121" spans="1:7" ht="18" customHeight="1" x14ac:dyDescent="0.3">
      <c r="A121" s="28">
        <v>30017</v>
      </c>
      <c r="B121" s="30" t="s">
        <v>65</v>
      </c>
      <c r="C121" s="10">
        <f>IFERROR(INDEX('حسابهای دریافتنی'!H:H,MATCH(Table24[[#This Row],[كد تفصيلي]],'حسابهای دریافتنی'!A:A,0)),0)</f>
        <v>905000830</v>
      </c>
      <c r="D121" s="17">
        <f>IFERROR(INDEX('درجریان وصول'!F:F,MATCH(Table24[[#This Row],[كد تفصيلي]],'درجریان وصول'!A:A,0)),0)</f>
        <v>0</v>
      </c>
      <c r="E121" s="17">
        <f>IFERROR(INDEX('چکهای دریافتنی'!F:F,MATCH(Table24[[#This Row],[كد تفصيلي]],'چکهای دریافتنی'!A:A,0)),0)</f>
        <v>0</v>
      </c>
      <c r="F121" s="17">
        <f>Table24[[#This Row],[حسابهای دریافتنی]]+Table24[[#This Row],[چکهای در جریان وصول]]+Table24[[#This Row],[چکهای نزد صندوق]]</f>
        <v>905000830</v>
      </c>
      <c r="G121" s="12">
        <f>IFERROR(INDEX('مانده سوفاله'!F:F,MATCH(Table24[[#This Row],[كد تفصيلي]],'مانده سوفاله'!A:A,0)),0)</f>
        <v>-2186</v>
      </c>
    </row>
    <row r="122" spans="1:7" ht="18" customHeight="1" x14ac:dyDescent="0.3">
      <c r="A122" s="28">
        <v>10013</v>
      </c>
      <c r="B122" s="30" t="s">
        <v>20</v>
      </c>
      <c r="C122" s="10">
        <f>IFERROR(INDEX('حسابهای دریافتنی'!H:H,MATCH(Table24[[#This Row],[كد تفصيلي]],'حسابهای دریافتنی'!A:A,0)),0)</f>
        <v>-915000</v>
      </c>
      <c r="D122" s="10">
        <f>IFERROR(INDEX('درجریان وصول'!F:F,MATCH(Table24[[#This Row],[كد تفصيلي]],'درجریان وصول'!A:A,0)),0)</f>
        <v>0</v>
      </c>
      <c r="E122" s="10">
        <v>0</v>
      </c>
      <c r="F122" s="10">
        <f>Table24[[#This Row],[حسابهای دریافتنی]]+Table24[[#This Row],[چکهای در جریان وصول]]+Table24[[#This Row],[چکهای نزد صندوق]]</f>
        <v>-915000</v>
      </c>
      <c r="G122" s="12">
        <f>IFERROR(INDEX('مانده سوفاله'!F:F,MATCH(Table24[[#This Row],[كد تفصيلي]],'مانده سوفاله'!A:A,0)),0)</f>
        <v>0</v>
      </c>
    </row>
    <row r="123" spans="1:7" ht="18" customHeight="1" x14ac:dyDescent="0.3">
      <c r="A123" s="29">
        <v>10042</v>
      </c>
      <c r="B123" s="31" t="s">
        <v>47</v>
      </c>
      <c r="C123" s="10">
        <f>IFERROR(INDEX('حسابهای دریافتنی'!H:H,MATCH(Table24[[#This Row],[كد تفصيلي]],'حسابهای دریافتنی'!A:A,0)),0)</f>
        <v>-1120000</v>
      </c>
      <c r="D123" s="11">
        <f>IFERROR(INDEX('درجریان وصول'!F:F,MATCH(Table24[[#This Row],[كد تفصيلي]],'درجریان وصول'!A:A,0)),0)</f>
        <v>0</v>
      </c>
      <c r="E123" s="11">
        <f>IFERROR(INDEX('چکهای دریافتنی'!F:F,MATCH(Table24[[#This Row],[كد تفصيلي]],'چکهای دریافتنی'!A:A,0)),0)</f>
        <v>0</v>
      </c>
      <c r="F123" s="11">
        <f>Table24[[#This Row],[حسابهای دریافتنی]]+Table24[[#This Row],[چکهای در جریان وصول]]+Table24[[#This Row],[چکهای نزد صندوق]]</f>
        <v>-1120000</v>
      </c>
      <c r="G123" s="12">
        <f>IFERROR(INDEX('مانده سوفاله'!F:F,MATCH(Table24[[#This Row],[كد تفصيلي]],'مانده سوفاله'!A:A,0)),0)</f>
        <v>2</v>
      </c>
    </row>
    <row r="124" spans="1:7" ht="18" customHeight="1" x14ac:dyDescent="0.3">
      <c r="A124" s="29">
        <v>30032</v>
      </c>
      <c r="B124" s="31" t="s">
        <v>79</v>
      </c>
      <c r="C124" s="10">
        <f>IFERROR(INDEX('حسابهای دریافتنی'!H:H,MATCH(Table24[[#This Row],[كد تفصيلي]],'حسابهای دریافتنی'!A:A,0)),0)</f>
        <v>-1347000</v>
      </c>
      <c r="D124" s="10">
        <f>IFERROR(INDEX('درجریان وصول'!F:F,MATCH(Table24[[#This Row],[كد تفصيلي]],'درجریان وصول'!A:A,0)),0)</f>
        <v>0</v>
      </c>
      <c r="E124" s="10">
        <f>IFERROR(INDEX('چکهای دریافتنی'!F:F,MATCH(Table24[[#This Row],[كد تفصيلي]],'چکهای دریافتنی'!A:A,0)),0)</f>
        <v>0</v>
      </c>
      <c r="F124" s="10">
        <f>Table24[[#This Row],[حسابهای دریافتنی]]+Table24[[#This Row],[چکهای در جریان وصول]]+Table24[[#This Row],[چکهای نزد صندوق]]</f>
        <v>-1347000</v>
      </c>
      <c r="G124" s="12">
        <f>IFERROR(INDEX('مانده سوفاله'!F:F,MATCH(Table24[[#This Row],[كد تفصيلي]],'مانده سوفاله'!A:A,0)),0)</f>
        <v>0</v>
      </c>
    </row>
    <row r="125" spans="1:7" ht="18" customHeight="1" x14ac:dyDescent="0.3">
      <c r="A125" s="29">
        <v>30171</v>
      </c>
      <c r="B125" s="31" t="s">
        <v>360</v>
      </c>
      <c r="C125" s="10">
        <f>IFERROR(INDEX('حسابهای دریافتنی'!H:H,MATCH(Table24[[#This Row],[كد تفصيلي]],'حسابهای دریافتنی'!A:A,0)),0)</f>
        <v>-1500000</v>
      </c>
      <c r="D125" s="17">
        <f>IFERROR(INDEX('درجریان وصول'!F:F,MATCH(Table24[[#This Row],[كد تفصيلي]],'درجریان وصول'!A:A,0)),0)</f>
        <v>0</v>
      </c>
      <c r="E125" s="17">
        <f>IFERROR(INDEX('چکهای دریافتنی'!F:F,MATCH(Table24[[#This Row],[كد تفصيلي]],'چکهای دریافتنی'!A:A,0)),0)</f>
        <v>0</v>
      </c>
      <c r="F125" s="17">
        <f>Table24[[#This Row],[حسابهای دریافتنی]]+Table24[[#This Row],[چکهای در جریان وصول]]+Table24[[#This Row],[چکهای نزد صندوق]]</f>
        <v>-1500000</v>
      </c>
      <c r="G125" s="12">
        <f>IFERROR(INDEX('مانده سوفاله'!F:F,MATCH(Table24[[#This Row],[كد تفصيلي]],'مانده سوفاله'!A:A,0)),0)</f>
        <v>0</v>
      </c>
    </row>
    <row r="126" spans="1:7" ht="18" customHeight="1" x14ac:dyDescent="0.3">
      <c r="A126" s="28">
        <v>10103</v>
      </c>
      <c r="B126" s="30" t="s">
        <v>283</v>
      </c>
      <c r="C126" s="10">
        <f>IFERROR(INDEX('حسابهای دریافتنی'!H:H,MATCH(Table24[[#This Row],[كد تفصيلي]],'حسابهای دریافتنی'!A:A,0)),0)</f>
        <v>-1580000</v>
      </c>
      <c r="D126" s="10">
        <f>IFERROR(INDEX('درجریان وصول'!F:F,MATCH(Table24[[#This Row],[كد تفصيلي]],'درجریان وصول'!A:A,0)),0)</f>
        <v>0</v>
      </c>
      <c r="E126" s="10">
        <f>IFERROR(INDEX('چکهای دریافتنی'!F:F,MATCH(Table24[[#This Row],[كد تفصيلي]],'چکهای دریافتنی'!A:A,0)),0)</f>
        <v>0</v>
      </c>
      <c r="F126" s="10">
        <f>Table24[[#This Row],[حسابهای دریافتنی]]+Table24[[#This Row],[چکهای در جریان وصول]]+Table24[[#This Row],[چکهای نزد صندوق]]</f>
        <v>-1580000</v>
      </c>
      <c r="G126" s="12">
        <f>IFERROR(INDEX('مانده سوفاله'!F:F,MATCH(Table24[[#This Row],[كد تفصيلي]],'مانده سوفاله'!A:A,0)),0)</f>
        <v>0</v>
      </c>
    </row>
    <row r="127" spans="1:7" ht="18" customHeight="1" x14ac:dyDescent="0.3">
      <c r="A127" s="29">
        <v>30155</v>
      </c>
      <c r="B127" s="31" t="s">
        <v>289</v>
      </c>
      <c r="C127" s="10">
        <f>IFERROR(INDEX('حسابهای دریافتنی'!H:H,MATCH(Table24[[#This Row],[كد تفصيلي]],'حسابهای دریافتنی'!A:A,0)),0)</f>
        <v>-454985417</v>
      </c>
      <c r="D127" s="17">
        <f>IFERROR(INDEX('درجریان وصول'!F:F,MATCH(Table24[[#This Row],[كد تفصيلي]],'درجریان وصول'!A:A,0)),0)</f>
        <v>0</v>
      </c>
      <c r="E127" s="17">
        <f>IFERROR(INDEX('چکهای دریافتنی'!F:F,MATCH(Table24[[#This Row],[كد تفصيلي]],'چکهای دریافتنی'!A:A,0)),0)</f>
        <v>1379936267</v>
      </c>
      <c r="F127" s="17">
        <f>Table24[[#This Row],[حسابهای دریافتنی]]+Table24[[#This Row],[چکهای در جریان وصول]]+Table24[[#This Row],[چکهای نزد صندوق]]</f>
        <v>924950850</v>
      </c>
      <c r="G127" s="12">
        <f>IFERROR(INDEX('مانده سوفاله'!F:F,MATCH(Table24[[#This Row],[كد تفصيلي]],'مانده سوفاله'!A:A,0)),0)</f>
        <v>0</v>
      </c>
    </row>
    <row r="128" spans="1:7" ht="18" customHeight="1" x14ac:dyDescent="0.3">
      <c r="A128" s="29">
        <v>10125</v>
      </c>
      <c r="B128" s="31" t="s">
        <v>377</v>
      </c>
      <c r="C128" s="10">
        <f>IFERROR(INDEX('حسابهای دریافتنی'!H:H,MATCH(Table24[[#This Row],[كد تفصيلي]],'حسابهای دریافتنی'!A:A,0)),0)</f>
        <v>-1650000</v>
      </c>
      <c r="D128" s="10">
        <f>IFERROR(INDEX('درجریان وصول'!F:F,MATCH(Table24[[#This Row],[كد تفصيلي]],'درجریان وصول'!A:A,0)),0)</f>
        <v>0</v>
      </c>
      <c r="E128" s="10">
        <f>IFERROR(INDEX('چکهای دریافتنی'!F:F,MATCH(Table24[[#This Row],[كد تفصيلي]],'چکهای دریافتنی'!A:A,0)),0)</f>
        <v>0</v>
      </c>
      <c r="F128" s="10">
        <f>Table24[[#This Row],[حسابهای دریافتنی]]+Table24[[#This Row],[چکهای در جریان وصول]]+Table24[[#This Row],[چکهای نزد صندوق]]</f>
        <v>-1650000</v>
      </c>
      <c r="G128" s="12">
        <f>IFERROR(INDEX('مانده سوفاله'!F:F,MATCH(Table24[[#This Row],[كد تفصيلي]],'مانده سوفاله'!A:A,0)),0)</f>
        <v>0</v>
      </c>
    </row>
    <row r="129" spans="1:7" ht="18" customHeight="1" x14ac:dyDescent="0.3">
      <c r="A129" s="29">
        <v>30103</v>
      </c>
      <c r="B129" s="31" t="s">
        <v>240</v>
      </c>
      <c r="C129" s="10">
        <f>IFERROR(INDEX('حسابهای دریافتنی'!H:H,MATCH(Table24[[#This Row],[كد تفصيلي]],'حسابهای دریافتنی'!A:A,0)),0)</f>
        <v>-1820000</v>
      </c>
      <c r="D129" s="10">
        <f>IFERROR(INDEX('درجریان وصول'!F:F,MATCH(Table24[[#This Row],[كد تفصيلي]],'درجریان وصول'!A:A,0)),0)</f>
        <v>0</v>
      </c>
      <c r="E129" s="10">
        <f>IFERROR(INDEX('چکهای دریافتنی'!F:F,MATCH(Table24[[#This Row],[كد تفصيلي]],'چکهای دریافتنی'!A:A,0)),0)</f>
        <v>0</v>
      </c>
      <c r="F129" s="10">
        <f>Table24[[#This Row],[حسابهای دریافتنی]]+Table24[[#This Row],[چکهای در جریان وصول]]+Table24[[#This Row],[چکهای نزد صندوق]]</f>
        <v>-1820000</v>
      </c>
      <c r="G129" s="12">
        <f>IFERROR(INDEX('مانده سوفاله'!F:F,MATCH(Table24[[#This Row],[كد تفصيلي]],'مانده سوفاله'!A:A,0)),0)</f>
        <v>0</v>
      </c>
    </row>
    <row r="130" spans="1:7" ht="18" customHeight="1" x14ac:dyDescent="0.3">
      <c r="A130" s="28">
        <v>30128</v>
      </c>
      <c r="B130" s="30" t="s">
        <v>212</v>
      </c>
      <c r="C130" s="10">
        <f>IFERROR(INDEX('حسابهای دریافتنی'!H:H,MATCH(Table24[[#This Row],[كد تفصيلي]],'حسابهای دریافتنی'!A:A,0)),0)</f>
        <v>-2451320</v>
      </c>
      <c r="D130" s="10">
        <f>IFERROR(INDEX('درجریان وصول'!F:F,MATCH(Table24[[#This Row],[كد تفصيلي]],'درجریان وصول'!A:A,0)),0)</f>
        <v>0</v>
      </c>
      <c r="E130" s="10">
        <f>IFERROR(INDEX('چکهای دریافتنی'!F:F,MATCH(Table24[[#This Row],[كد تفصيلي]],'چکهای دریافتنی'!A:A,0)),0)</f>
        <v>0</v>
      </c>
      <c r="F130" s="10">
        <f>Table24[[#This Row],[حسابهای دریافتنی]]+Table24[[#This Row],[چکهای در جریان وصول]]+Table24[[#This Row],[چکهای نزد صندوق]]</f>
        <v>-2451320</v>
      </c>
      <c r="G130" s="12">
        <f>IFERROR(INDEX('مانده سوفاله'!F:F,MATCH(Table24[[#This Row],[كد تفصيلي]],'مانده سوفاله'!A:A,0)),0)</f>
        <v>0</v>
      </c>
    </row>
    <row r="131" spans="1:7" ht="18" customHeight="1" x14ac:dyDescent="0.3">
      <c r="A131" s="28">
        <v>30015</v>
      </c>
      <c r="B131" s="30" t="s">
        <v>64</v>
      </c>
      <c r="C131" s="10">
        <f>IFERROR(INDEX('حسابهای دریافتنی'!H:H,MATCH(Table24[[#This Row],[كد تفصيلي]],'حسابهای دریافتنی'!A:A,0)),0)</f>
        <v>-3105895</v>
      </c>
      <c r="D131" s="17">
        <f>IFERROR(INDEX('درجریان وصول'!F:F,MATCH(Table24[[#This Row],[كد تفصيلي]],'درجریان وصول'!A:A,0)),0)</f>
        <v>0</v>
      </c>
      <c r="E131" s="17">
        <f>IFERROR(INDEX('چکهای دریافتنی'!F:F,MATCH(Table24[[#This Row],[كد تفصيلي]],'چکهای دریافتنی'!A:A,0)),0)</f>
        <v>0</v>
      </c>
      <c r="F131" s="17">
        <f>Table24[[#This Row],[حسابهای دریافتنی]]+Table24[[#This Row],[چکهای در جریان وصول]]+Table24[[#This Row],[چکهای نزد صندوق]]</f>
        <v>-3105895</v>
      </c>
      <c r="G131" s="12">
        <f>IFERROR(INDEX('مانده سوفاله'!F:F,MATCH(Table24[[#This Row],[كد تفصيلي]],'مانده سوفاله'!A:A,0)),0)</f>
        <v>0</v>
      </c>
    </row>
    <row r="132" spans="1:7" ht="18" customHeight="1" x14ac:dyDescent="0.3">
      <c r="A132" s="28">
        <v>30110</v>
      </c>
      <c r="B132" s="30" t="s">
        <v>200</v>
      </c>
      <c r="C132" s="10">
        <f>IFERROR(INDEX('حسابهای دریافتنی'!H:H,MATCH(Table24[[#This Row],[كد تفصيلي]],'حسابهای دریافتنی'!A:A,0)),0)</f>
        <v>-3492360</v>
      </c>
      <c r="D132" s="17">
        <f>IFERROR(INDEX('درجریان وصول'!F:F,MATCH(Table24[[#This Row],[كد تفصيلي]],'درجریان وصول'!A:A,0)),0)</f>
        <v>0</v>
      </c>
      <c r="E132" s="17">
        <f>IFERROR(INDEX('چکهای دریافتنی'!F:F,MATCH(Table24[[#This Row],[كد تفصيلي]],'چکهای دریافتنی'!A:A,0)),0)</f>
        <v>0</v>
      </c>
      <c r="F132" s="17">
        <f>Table24[[#This Row],[حسابهای دریافتنی]]+Table24[[#This Row],[چکهای در جریان وصول]]+Table24[[#This Row],[چکهای نزد صندوق]]</f>
        <v>-3492360</v>
      </c>
      <c r="G132" s="12">
        <f>IFERROR(INDEX('مانده سوفاله'!F:F,MATCH(Table24[[#This Row],[كد تفصيلي]],'مانده سوفاله'!A:A,0)),0)</f>
        <v>0</v>
      </c>
    </row>
    <row r="133" spans="1:7" ht="18" customHeight="1" x14ac:dyDescent="0.3">
      <c r="A133" s="28">
        <v>10049</v>
      </c>
      <c r="B133" s="30" t="s">
        <v>157</v>
      </c>
      <c r="C133" s="10">
        <f>IFERROR(INDEX('حسابهای دریافتنی'!H:H,MATCH(Table24[[#This Row],[كد تفصيلي]],'حسابهای دریافتنی'!A:A,0)),0)</f>
        <v>-32909500</v>
      </c>
      <c r="D133" s="11">
        <f>IFERROR(INDEX('درجریان وصول'!F:F,MATCH(Table24[[#This Row],[كد تفصيلي]],'درجریان وصول'!A:A,0)),0)</f>
        <v>0</v>
      </c>
      <c r="E133" s="11">
        <f>IFERROR(INDEX('چکهای دریافتنی'!F:F,MATCH(Table24[[#This Row],[كد تفصيلي]],'چکهای دریافتنی'!A:A,0)),0)</f>
        <v>0</v>
      </c>
      <c r="F133" s="11">
        <f>Table24[[#This Row],[حسابهای دریافتنی]]+Table24[[#This Row],[چکهای در جریان وصول]]+Table24[[#This Row],[چکهای نزد صندوق]]</f>
        <v>-32909500</v>
      </c>
      <c r="G133" s="12">
        <f>IFERROR(INDEX('مانده سوفاله'!F:F,MATCH(Table24[[#This Row],[كد تفصيلي]],'مانده سوفاله'!A:A,0)),0)</f>
        <v>0</v>
      </c>
    </row>
    <row r="134" spans="1:7" ht="18" customHeight="1" x14ac:dyDescent="0.3">
      <c r="A134" s="28">
        <v>30023</v>
      </c>
      <c r="B134" s="30" t="s">
        <v>71</v>
      </c>
      <c r="C134" s="10">
        <f>IFERROR(INDEX('حسابهای دریافتنی'!H:H,MATCH(Table24[[#This Row],[كد تفصيلي]],'حسابهای دریافتنی'!A:A,0)),0)</f>
        <v>-5793600</v>
      </c>
      <c r="D134" s="17">
        <f>IFERROR(INDEX('درجریان وصول'!F:F,MATCH(Table24[[#This Row],[كد تفصيلي]],'درجریان وصول'!A:A,0)),0)</f>
        <v>0</v>
      </c>
      <c r="E134" s="17">
        <f>IFERROR(INDEX('چکهای دریافتنی'!F:F,MATCH(Table24[[#This Row],[كد تفصيلي]],'چکهای دریافتنی'!A:A,0)),0)</f>
        <v>0</v>
      </c>
      <c r="F134" s="17">
        <f>Table24[[#This Row],[حسابهای دریافتنی]]+Table24[[#This Row],[چکهای در جریان وصول]]+Table24[[#This Row],[چکهای نزد صندوق]]</f>
        <v>-5793600</v>
      </c>
      <c r="G134" s="12">
        <f>IFERROR(INDEX('مانده سوفاله'!F:F,MATCH(Table24[[#This Row],[كد تفصيلي]],'مانده سوفاله'!A:A,0)),0)</f>
        <v>0</v>
      </c>
    </row>
    <row r="135" spans="1:7" ht="18" customHeight="1" x14ac:dyDescent="0.3">
      <c r="A135" s="28">
        <v>30176</v>
      </c>
      <c r="B135" s="30" t="s">
        <v>362</v>
      </c>
      <c r="C135" s="10">
        <f>IFERROR(INDEX('حسابهای دریافتنی'!H:H,MATCH(Table24[[#This Row],[كد تفصيلي]],'حسابهای دریافتنی'!A:A,0)),0)</f>
        <v>-7540075</v>
      </c>
      <c r="D135" s="17">
        <f>IFERROR(INDEX('درجریان وصول'!F:F,MATCH(Table24[[#This Row],[كد تفصيلي]],'درجریان وصول'!A:A,0)),0)</f>
        <v>0</v>
      </c>
      <c r="E135" s="17">
        <f>IFERROR(INDEX('چکهای دریافتنی'!F:F,MATCH(Table24[[#This Row],[كد تفصيلي]],'چکهای دریافتنی'!A:A,0)),0)</f>
        <v>0</v>
      </c>
      <c r="F135" s="17">
        <f>Table24[[#This Row],[حسابهای دریافتنی]]+Table24[[#This Row],[چکهای در جریان وصول]]+Table24[[#This Row],[چکهای نزد صندوق]]</f>
        <v>-7540075</v>
      </c>
      <c r="G135" s="12">
        <f>IFERROR(INDEX('مانده سوفاله'!F:F,MATCH(Table24[[#This Row],[كد تفصيلي]],'مانده سوفاله'!A:A,0)),0)</f>
        <v>0</v>
      </c>
    </row>
    <row r="136" spans="1:7" ht="18" customHeight="1" x14ac:dyDescent="0.3">
      <c r="A136" s="28">
        <v>10106</v>
      </c>
      <c r="B136" s="30" t="s">
        <v>375</v>
      </c>
      <c r="C136" s="10">
        <f>IFERROR(INDEX('حسابهای دریافتنی'!H:H,MATCH(Table24[[#This Row],[كد تفصيلي]],'حسابهای دریافتنی'!A:A,0)),0)</f>
        <v>-9134000</v>
      </c>
      <c r="D136" s="11">
        <f>IFERROR(INDEX('درجریان وصول'!F:F,MATCH(Table24[[#This Row],[كد تفصيلي]],'درجریان وصول'!A:A,0)),0)</f>
        <v>0</v>
      </c>
      <c r="E136" s="11">
        <f>IFERROR(INDEX('چکهای دریافتنی'!F:F,MATCH(Table24[[#This Row],[كد تفصيلي]],'چکهای دریافتنی'!A:A,0)),0)</f>
        <v>0</v>
      </c>
      <c r="F136" s="11">
        <f>Table24[[#This Row],[حسابهای دریافتنی]]+Table24[[#This Row],[چکهای در جریان وصول]]+Table24[[#This Row],[چکهای نزد صندوق]]</f>
        <v>-9134000</v>
      </c>
      <c r="G136" s="12">
        <f>IFERROR(INDEX('مانده سوفاله'!F:F,MATCH(Table24[[#This Row],[كد تفصيلي]],'مانده سوفاله'!A:A,0)),0)</f>
        <v>0</v>
      </c>
    </row>
    <row r="137" spans="1:7" ht="18" customHeight="1" x14ac:dyDescent="0.3">
      <c r="A137" s="29">
        <v>10102</v>
      </c>
      <c r="B137" s="31" t="s">
        <v>282</v>
      </c>
      <c r="C137" s="10">
        <f>IFERROR(INDEX('حسابهای دریافتنی'!H:H,MATCH(Table24[[#This Row],[كد تفصيلي]],'حسابهای دریافتنی'!A:A,0)),0)</f>
        <v>-10374000</v>
      </c>
      <c r="D137" s="10">
        <f>IFERROR(INDEX('درجریان وصول'!F:F,MATCH(Table24[[#This Row],[كد تفصيلي]],'درجریان وصول'!A:A,0)),0)</f>
        <v>0</v>
      </c>
      <c r="E137" s="10">
        <f>IFERROR(INDEX('چکهای دریافتنی'!F:F,MATCH(Table24[[#This Row],[كد تفصيلي]],'چکهای دریافتنی'!A:A,0)),0)</f>
        <v>0</v>
      </c>
      <c r="F137" s="10">
        <f>Table24[[#This Row],[حسابهای دریافتنی]]+Table24[[#This Row],[چکهای در جریان وصول]]+Table24[[#This Row],[چکهای نزد صندوق]]</f>
        <v>-10374000</v>
      </c>
      <c r="G137" s="12">
        <f>IFERROR(INDEX('مانده سوفاله'!F:F,MATCH(Table24[[#This Row],[كد تفصيلي]],'مانده سوفاله'!A:A,0)),0)</f>
        <v>0</v>
      </c>
    </row>
    <row r="138" spans="1:7" ht="18" customHeight="1" x14ac:dyDescent="0.3">
      <c r="A138" s="29">
        <v>10058</v>
      </c>
      <c r="B138" s="31" t="s">
        <v>173</v>
      </c>
      <c r="C138" s="10">
        <f>IFERROR(INDEX('حسابهای دریافتنی'!H:H,MATCH(Table24[[#This Row],[كد تفصيلي]],'حسابهای دریافتنی'!A:A,0)),0)</f>
        <v>-13650000</v>
      </c>
      <c r="D138" s="11">
        <f>IFERROR(INDEX('درجریان وصول'!F:F,MATCH(Table24[[#This Row],[كد تفصيلي]],'درجریان وصول'!A:A,0)),0)</f>
        <v>0</v>
      </c>
      <c r="E138" s="11">
        <f>IFERROR(INDEX('چکهای دریافتنی'!F:F,MATCH(Table24[[#This Row],[كد تفصيلي]],'چکهای دریافتنی'!A:A,0)),0)</f>
        <v>0</v>
      </c>
      <c r="F138" s="11">
        <f>Table24[[#This Row],[حسابهای دریافتنی]]+Table24[[#This Row],[چکهای در جریان وصول]]+Table24[[#This Row],[چکهای نزد صندوق]]</f>
        <v>-13650000</v>
      </c>
      <c r="G138" s="12">
        <f>IFERROR(INDEX('مانده سوفاله'!F:F,MATCH(Table24[[#This Row],[كد تفصيلي]],'مانده سوفاله'!A:A,0)),0)</f>
        <v>0</v>
      </c>
    </row>
    <row r="139" spans="1:7" ht="18" customHeight="1" x14ac:dyDescent="0.3">
      <c r="A139" s="28">
        <v>30070</v>
      </c>
      <c r="B139" s="30" t="s">
        <v>115</v>
      </c>
      <c r="C139" s="10">
        <f>IFERROR(INDEX('حسابهای دریافتنی'!H:H,MATCH(Table24[[#This Row],[كد تفصيلي]],'حسابهای دریافتنی'!A:A,0)),0)</f>
        <v>2651728820</v>
      </c>
      <c r="D139" s="17">
        <f>IFERROR(INDEX('درجریان وصول'!F:F,MATCH(Table24[[#This Row],[كد تفصيلي]],'درجریان وصول'!A:A,0)),0)</f>
        <v>0</v>
      </c>
      <c r="E139" s="17">
        <f>IFERROR(INDEX('چکهای دریافتنی'!F:F,MATCH(Table24[[#This Row],[كد تفصيلي]],'چکهای دریافتنی'!A:A,0)),0)</f>
        <v>3660000000</v>
      </c>
      <c r="F139" s="17">
        <f>Table24[[#This Row],[حسابهای دریافتنی]]+Table24[[#This Row],[چکهای در جریان وصول]]+Table24[[#This Row],[چکهای نزد صندوق]]</f>
        <v>6311728820</v>
      </c>
      <c r="G139" s="12">
        <f>IFERROR(INDEX('مانده سوفاله'!F:F,MATCH(Table24[[#This Row],[كد تفصيلي]],'مانده سوفاله'!A:A,0)),0)</f>
        <v>4378</v>
      </c>
    </row>
    <row r="140" spans="1:7" ht="18" customHeight="1" x14ac:dyDescent="0.3">
      <c r="A140" s="28">
        <v>10126</v>
      </c>
      <c r="B140" s="30" t="s">
        <v>378</v>
      </c>
      <c r="C140" s="10">
        <f>IFERROR(INDEX('حسابهای دریافتنی'!H:H,MATCH(Table24[[#This Row],[كد تفصيلي]],'حسابهای دریافتنی'!A:A,0)),0)</f>
        <v>12165000</v>
      </c>
      <c r="D140" s="11">
        <f>IFERROR(INDEX('درجریان وصول'!F:F,MATCH(Table24[[#This Row],[كد تفصيلي]],'درجریان وصول'!A:A,0)),0)</f>
        <v>0</v>
      </c>
      <c r="E140" s="11">
        <f>IFERROR(INDEX('چکهای دریافتنی'!F:F,MATCH(Table24[[#This Row],[كد تفصيلي]],'چکهای دریافتنی'!A:A,0)),0)</f>
        <v>0</v>
      </c>
      <c r="F140" s="11">
        <f>Table24[[#This Row],[حسابهای دریافتنی]]+Table24[[#This Row],[چکهای در جریان وصول]]+Table24[[#This Row],[چکهای نزد صندوق]]</f>
        <v>12165000</v>
      </c>
      <c r="G140" s="12">
        <f>IFERROR(INDEX('مانده سوفاله'!F:F,MATCH(Table24[[#This Row],[كد تفصيلي]],'مانده سوفاله'!A:A,0)),0)</f>
        <v>0</v>
      </c>
    </row>
    <row r="141" spans="1:7" ht="18" customHeight="1" x14ac:dyDescent="0.3">
      <c r="A141" s="28">
        <v>30082</v>
      </c>
      <c r="B141" s="30" t="s">
        <v>127</v>
      </c>
      <c r="C141" s="10">
        <f>IFERROR(INDEX('حسابهای دریافتنی'!H:H,MATCH(Table24[[#This Row],[كد تفصيلي]],'حسابهای دریافتنی'!A:A,0)),0)</f>
        <v>-15037000</v>
      </c>
      <c r="D141" s="11">
        <f>IFERROR(INDEX('درجریان وصول'!F:F,MATCH(Table24[[#This Row],[كد تفصيلي]],'درجریان وصول'!A:A,0)),0)</f>
        <v>0</v>
      </c>
      <c r="E141" s="11">
        <f>IFERROR(INDEX('چکهای دریافتنی'!F:F,MATCH(Table24[[#This Row],[كد تفصيلي]],'چکهای دریافتنی'!A:A,0)),0)</f>
        <v>0</v>
      </c>
      <c r="F141" s="11">
        <f>Table24[[#This Row],[حسابهای دریافتنی]]+Table24[[#This Row],[چکهای در جریان وصول]]+Table24[[#This Row],[چکهای نزد صندوق]]</f>
        <v>-15037000</v>
      </c>
      <c r="G141" s="12">
        <f>IFERROR(INDEX('مانده سوفاله'!F:F,MATCH(Table24[[#This Row],[كد تفصيلي]],'مانده سوفاله'!A:A,0)),0)</f>
        <v>-16</v>
      </c>
    </row>
    <row r="142" spans="1:7" ht="18" customHeight="1" x14ac:dyDescent="0.3">
      <c r="A142" s="29">
        <v>30034</v>
      </c>
      <c r="B142" s="31" t="s">
        <v>81</v>
      </c>
      <c r="C142" s="10">
        <f>IFERROR(INDEX('حسابهای دریافتنی'!H:H,MATCH(Table24[[#This Row],[كد تفصيلي]],'حسابهای دریافتنی'!A:A,0)),0)</f>
        <v>388329200</v>
      </c>
      <c r="D142" s="11">
        <f>IFERROR(INDEX('درجریان وصول'!F:F,MATCH(Table24[[#This Row],[كد تفصيلي]],'درجریان وصول'!A:A,0)),0)</f>
        <v>0</v>
      </c>
      <c r="E142" s="11">
        <f>IFERROR(INDEX('چکهای دریافتنی'!F:F,MATCH(Table24[[#This Row],[كد تفصيلي]],'چکهای دریافتنی'!A:A,0)),0)</f>
        <v>0</v>
      </c>
      <c r="F142" s="11">
        <f>Table24[[#This Row],[حسابهای دریافتنی]]+Table24[[#This Row],[چکهای در جریان وصول]]+Table24[[#This Row],[چکهای نزد صندوق]]</f>
        <v>388329200</v>
      </c>
      <c r="G142" s="12">
        <f>IFERROR(INDEX('مانده سوفاله'!F:F,MATCH(Table24[[#This Row],[كد تفصيلي]],'مانده سوفاله'!A:A,0)),0)</f>
        <v>2886</v>
      </c>
    </row>
    <row r="143" spans="1:7" ht="18" customHeight="1" x14ac:dyDescent="0.3">
      <c r="A143" s="29">
        <v>30042</v>
      </c>
      <c r="B143" s="31" t="s">
        <v>89</v>
      </c>
      <c r="C143" s="10">
        <f>IFERROR(INDEX('حسابهای دریافتنی'!H:H,MATCH(Table24[[#This Row],[كد تفصيلي]],'حسابهای دریافتنی'!A:A,0)),0)</f>
        <v>-18303540</v>
      </c>
      <c r="D143" s="17">
        <f>IFERROR(INDEX('درجریان وصول'!F:F,MATCH(Table24[[#This Row],[كد تفصيلي]],'درجریان وصول'!A:A,0)),0)</f>
        <v>0</v>
      </c>
      <c r="E143" s="17">
        <f>IFERROR(INDEX('چکهای دریافتنی'!F:F,MATCH(Table24[[#This Row],[كد تفصيلي]],'چکهای دریافتنی'!A:A,0)),0)</f>
        <v>0</v>
      </c>
      <c r="F143" s="17">
        <f>Table24[[#This Row],[حسابهای دریافتنی]]+Table24[[#This Row],[چکهای در جریان وصول]]+Table24[[#This Row],[چکهای نزد صندوق]]</f>
        <v>-18303540</v>
      </c>
      <c r="G143" s="12">
        <f>IFERROR(INDEX('مانده سوفاله'!F:F,MATCH(Table24[[#This Row],[كد تفصيلي]],'مانده سوفاله'!A:A,0)),0)</f>
        <v>0</v>
      </c>
    </row>
    <row r="144" spans="1:7" ht="18" customHeight="1" x14ac:dyDescent="0.3">
      <c r="A144" s="29">
        <v>30028</v>
      </c>
      <c r="B144" s="31" t="s">
        <v>76</v>
      </c>
      <c r="C144" s="10">
        <f>IFERROR(INDEX('حسابهای دریافتنی'!H:H,MATCH(Table24[[#This Row],[كد تفصيلي]],'حسابهای دریافتنی'!A:A,0)),0)</f>
        <v>-23665000</v>
      </c>
      <c r="D144" s="17">
        <f>IFERROR(INDEX('درجریان وصول'!F:F,MATCH(Table24[[#This Row],[كد تفصيلي]],'درجریان وصول'!A:A,0)),0)</f>
        <v>0</v>
      </c>
      <c r="E144" s="17">
        <f>IFERROR(INDEX('چکهای دریافتنی'!F:F,MATCH(Table24[[#This Row],[كد تفصيلي]],'چکهای دریافتنی'!A:A,0)),0)</f>
        <v>0</v>
      </c>
      <c r="F144" s="17">
        <f>Table24[[#This Row],[حسابهای دریافتنی]]+Table24[[#This Row],[چکهای در جریان وصول]]+Table24[[#This Row],[چکهای نزد صندوق]]</f>
        <v>-23665000</v>
      </c>
      <c r="G144" s="12">
        <f>IFERROR(INDEX('مانده سوفاله'!F:F,MATCH(Table24[[#This Row],[كد تفصيلي]],'مانده سوفاله'!A:A,0)),0)</f>
        <v>0</v>
      </c>
    </row>
    <row r="145" spans="1:7" ht="18" customHeight="1" x14ac:dyDescent="0.3">
      <c r="A145" s="29">
        <v>30024</v>
      </c>
      <c r="B145" s="31" t="s">
        <v>72</v>
      </c>
      <c r="C145" s="10">
        <f>IFERROR(INDEX('حسابهای دریافتنی'!H:H,MATCH(Table24[[#This Row],[كد تفصيلي]],'حسابهای دریافتنی'!A:A,0)),0)</f>
        <v>16135000</v>
      </c>
      <c r="D145" s="17">
        <f>IFERROR(INDEX('درجریان وصول'!F:F,MATCH(Table24[[#This Row],[كد تفصيلي]],'درجریان وصول'!A:A,0)),0)</f>
        <v>0</v>
      </c>
      <c r="E145" s="17">
        <f>IFERROR(INDEX('چکهای دریافتنی'!F:F,MATCH(Table24[[#This Row],[كد تفصيلي]],'چکهای دریافتنی'!A:A,0)),0)</f>
        <v>0</v>
      </c>
      <c r="F145" s="17">
        <f>Table24[[#This Row],[حسابهای دریافتنی]]+Table24[[#This Row],[چکهای در جریان وصول]]+Table24[[#This Row],[چکهای نزد صندوق]]</f>
        <v>16135000</v>
      </c>
      <c r="G145" s="12">
        <f>IFERROR(INDEX('مانده سوفاله'!F:F,MATCH(Table24[[#This Row],[كد تفصيلي]],'مانده سوفاله'!A:A,0)),0)</f>
        <v>0</v>
      </c>
    </row>
    <row r="146" spans="1:7" ht="18" customHeight="1" x14ac:dyDescent="0.3">
      <c r="A146" s="28">
        <v>30174</v>
      </c>
      <c r="B146" s="30" t="s">
        <v>385</v>
      </c>
      <c r="C146" s="10">
        <f>IFERROR(INDEX('حسابهای دریافتنی'!H:H,MATCH(Table24[[#This Row],[كد تفصيلي]],'حسابهای دریافتنی'!A:A,0)),0)</f>
        <v>-5000</v>
      </c>
      <c r="D146" s="17">
        <f>IFERROR(INDEX('درجریان وصول'!F:F,MATCH(Table24[[#This Row],[كد تفصيلي]],'درجریان وصول'!A:A,0)),0)</f>
        <v>0</v>
      </c>
      <c r="E146" s="17">
        <f>IFERROR(INDEX('چکهای دریافتنی'!F:F,MATCH(Table24[[#This Row],[كد تفصيلي]],'چکهای دریافتنی'!A:A,0)),0)</f>
        <v>0</v>
      </c>
      <c r="F146" s="17">
        <f>Table24[[#This Row],[حسابهای دریافتنی]]+Table24[[#This Row],[چکهای در جریان وصول]]+Table24[[#This Row],[چکهای نزد صندوق]]</f>
        <v>-5000</v>
      </c>
      <c r="G146" s="12">
        <f>IFERROR(INDEX('مانده سوفاله'!F:F,MATCH(Table24[[#This Row],[كد تفصيلي]],'مانده سوفاله'!A:A,0)),0)</f>
        <v>0</v>
      </c>
    </row>
    <row r="147" spans="1:7" ht="18" customHeight="1" x14ac:dyDescent="0.3">
      <c r="A147" s="28">
        <v>30072</v>
      </c>
      <c r="B147" s="30" t="s">
        <v>117</v>
      </c>
      <c r="C147" s="10">
        <f>IFERROR(INDEX('حسابهای دریافتنی'!H:H,MATCH(Table24[[#This Row],[كد تفصيلي]],'حسابهای دریافتنی'!A:A,0)),0)</f>
        <v>-30178900</v>
      </c>
      <c r="D147" s="17">
        <f>IFERROR(INDEX('درجریان وصول'!F:F,MATCH(Table24[[#This Row],[كد تفصيلي]],'درجریان وصول'!A:A,0)),0)</f>
        <v>0</v>
      </c>
      <c r="E147" s="17">
        <f>IFERROR(INDEX('چکهای دریافتنی'!F:F,MATCH(Table24[[#This Row],[كد تفصيلي]],'چکهای دریافتنی'!A:A,0)),0)</f>
        <v>0</v>
      </c>
      <c r="F147" s="17">
        <f>Table24[[#This Row],[حسابهای دریافتنی]]+Table24[[#This Row],[چکهای در جریان وصول]]+Table24[[#This Row],[چکهای نزد صندوق]]</f>
        <v>-30178900</v>
      </c>
      <c r="G147" s="12">
        <f>IFERROR(INDEX('مانده سوفاله'!F:F,MATCH(Table24[[#This Row],[كد تفصيلي]],'مانده سوفاله'!A:A,0)),0)</f>
        <v>-79</v>
      </c>
    </row>
    <row r="148" spans="1:7" ht="18" customHeight="1" x14ac:dyDescent="0.3">
      <c r="A148" s="29">
        <v>30183</v>
      </c>
      <c r="B148" s="31" t="s">
        <v>364</v>
      </c>
      <c r="C148" s="10">
        <f>IFERROR(INDEX('حسابهای دریافتنی'!H:H,MATCH(Table24[[#This Row],[كد تفصيلي]],'حسابهای دریافتنی'!A:A,0)),0)</f>
        <v>-5000</v>
      </c>
      <c r="D148" s="17">
        <f>IFERROR(INDEX('درجریان وصول'!F:F,MATCH(Table24[[#This Row],[كد تفصيلي]],'درجریان وصول'!A:A,0)),0)</f>
        <v>0</v>
      </c>
      <c r="E148" s="17">
        <f>IFERROR(INDEX('چکهای دریافتنی'!F:F,MATCH(Table24[[#This Row],[كد تفصيلي]],'چکهای دریافتنی'!A:A,0)),0)</f>
        <v>0</v>
      </c>
      <c r="F148" s="17">
        <f>Table24[[#This Row],[حسابهای دریافتنی]]+Table24[[#This Row],[چکهای در جریان وصول]]+Table24[[#This Row],[چکهای نزد صندوق]]</f>
        <v>-5000</v>
      </c>
      <c r="G148" s="12">
        <f>IFERROR(INDEX('مانده سوفاله'!F:F,MATCH(Table24[[#This Row],[كد تفصيلي]],'مانده سوفاله'!A:A,0)),0)</f>
        <v>0</v>
      </c>
    </row>
    <row r="149" spans="1:7" ht="18" customHeight="1" x14ac:dyDescent="0.3">
      <c r="A149" s="29">
        <v>10004</v>
      </c>
      <c r="B149" s="31" t="s">
        <v>11</v>
      </c>
      <c r="C149" s="10">
        <f>IFERROR(INDEX('حسابهای دریافتنی'!H:H,MATCH(Table24[[#This Row],[كد تفصيلي]],'حسابهای دریافتنی'!A:A,0)),0)</f>
        <v>853000</v>
      </c>
      <c r="D149" s="11">
        <f>IFERROR(INDEX('درجریان وصول'!F:F,MATCH(Table24[[#This Row],[كد تفصيلي]],'درجریان وصول'!A:A,0)),0)</f>
        <v>0</v>
      </c>
      <c r="E149" s="11">
        <f>IFERROR(INDEX('چکهای دریافتنی'!F:F,MATCH(Table24[[#This Row],[كد تفصيلي]],'چکهای دریافتنی'!A:A,0)),0)</f>
        <v>341000000</v>
      </c>
      <c r="F149" s="11">
        <f>Table24[[#This Row],[حسابهای دریافتنی]]+Table24[[#This Row],[چکهای در جریان وصول]]+Table24[[#This Row],[چکهای نزد صندوق]]</f>
        <v>341853000</v>
      </c>
      <c r="G149" s="12">
        <f>IFERROR(INDEX('مانده سوفاله'!F:F,MATCH(Table24[[#This Row],[كد تفصيلي]],'مانده سوفاله'!A:A,0)),0)</f>
        <v>-12</v>
      </c>
    </row>
    <row r="150" spans="1:7" ht="18" customHeight="1" x14ac:dyDescent="0.3">
      <c r="A150" s="29">
        <v>30000</v>
      </c>
      <c r="B150" s="31" t="s">
        <v>189</v>
      </c>
      <c r="C150" s="10">
        <f>IFERROR(INDEX('حسابهای دریافتنی'!H:H,MATCH(Table24[[#This Row],[كد تفصيلي]],'حسابهای دریافتنی'!A:A,0)),0)</f>
        <v>-55440000</v>
      </c>
      <c r="D150" s="17">
        <f>IFERROR(INDEX('درجریان وصول'!F:F,MATCH(Table24[[#This Row],[كد تفصيلي]],'درجریان وصول'!A:A,0)),0)</f>
        <v>0</v>
      </c>
      <c r="E150" s="17">
        <f>IFERROR(INDEX('چکهای دریافتنی'!F:F,MATCH(Table24[[#This Row],[كد تفصيلي]],'چکهای دریافتنی'!A:A,0)),0)</f>
        <v>0</v>
      </c>
      <c r="F150" s="17">
        <f>Table24[[#This Row],[حسابهای دریافتنی]]+Table24[[#This Row],[چکهای در جریان وصول]]+Table24[[#This Row],[چکهای نزد صندوق]]</f>
        <v>-55440000</v>
      </c>
      <c r="G150" s="12">
        <f>IFERROR(INDEX('مانده سوفاله'!F:F,MATCH(Table24[[#This Row],[كد تفصيلي]],'مانده سوفاله'!A:A,0)),0)</f>
        <v>0</v>
      </c>
    </row>
    <row r="151" spans="1:7" ht="18" customHeight="1" x14ac:dyDescent="0.3">
      <c r="A151" s="29">
        <v>30133</v>
      </c>
      <c r="B151" s="31" t="s">
        <v>251</v>
      </c>
      <c r="C151" s="10">
        <f>IFERROR(INDEX('حسابهای دریافتنی'!H:H,MATCH(Table24[[#This Row],[كد تفصيلي]],'حسابهای دریافتنی'!A:A,0)),0)</f>
        <v>-66889500</v>
      </c>
      <c r="D151" s="17">
        <f>IFERROR(INDEX('درجریان وصول'!F:F,MATCH(Table24[[#This Row],[كد تفصيلي]],'درجریان وصول'!A:A,0)),0)</f>
        <v>0</v>
      </c>
      <c r="E151" s="17">
        <f>IFERROR(INDEX('چکهای دریافتنی'!F:F,MATCH(Table24[[#This Row],[كد تفصيلي]],'چکهای دریافتنی'!A:A,0)),0)</f>
        <v>0</v>
      </c>
      <c r="F151" s="17">
        <f>Table24[[#This Row],[حسابهای دریافتنی]]+Table24[[#This Row],[چکهای در جریان وصول]]+Table24[[#This Row],[چکهای نزد صندوق]]</f>
        <v>-66889500</v>
      </c>
      <c r="G151" s="12">
        <f>IFERROR(INDEX('مانده سوفاله'!F:F,MATCH(Table24[[#This Row],[كد تفصيلي]],'مانده سوفاله'!A:A,0)),0)</f>
        <v>0</v>
      </c>
    </row>
    <row r="152" spans="1:7" ht="18" customHeight="1" x14ac:dyDescent="0.3">
      <c r="A152" s="29">
        <v>10072</v>
      </c>
      <c r="B152" s="31" t="s">
        <v>177</v>
      </c>
      <c r="C152" s="10">
        <f>IFERROR(INDEX('حسابهای دریافتنی'!H:H,MATCH(Table24[[#This Row],[كد تفصيلي]],'حسابهای دریافتنی'!A:A,0)),0)</f>
        <v>55880</v>
      </c>
      <c r="D152" s="11">
        <f>IFERROR(INDEX('درجریان وصول'!F:F,MATCH(Table24[[#This Row],[كد تفصيلي]],'درجریان وصول'!A:A,0)),0)</f>
        <v>0</v>
      </c>
      <c r="E152" s="11">
        <f>IFERROR(INDEX('چکهای دریافتنی'!F:F,MATCH(Table24[[#This Row],[كد تفصيلي]],'چکهای دریافتنی'!A:A,0)),0)</f>
        <v>427700000</v>
      </c>
      <c r="F152" s="11">
        <f>Table24[[#This Row],[حسابهای دریافتنی]]+Table24[[#This Row],[چکهای در جریان وصول]]+Table24[[#This Row],[چکهای نزد صندوق]]</f>
        <v>427755880</v>
      </c>
      <c r="G152" s="12">
        <f>IFERROR(INDEX('مانده سوفاله'!F:F,MATCH(Table24[[#This Row],[كد تفصيلي]],'مانده سوفاله'!A:A,0)),0)</f>
        <v>0</v>
      </c>
    </row>
    <row r="153" spans="1:7" ht="18" customHeight="1" x14ac:dyDescent="0.3">
      <c r="A153" s="28">
        <v>10009</v>
      </c>
      <c r="B153" s="30" t="s">
        <v>16</v>
      </c>
      <c r="C153" s="10">
        <f>IFERROR(INDEX('حسابهای دریافتنی'!H:H,MATCH(Table24[[#This Row],[كد تفصيلي]],'حسابهای دریافتنی'!A:A,0)),0)</f>
        <v>-4260580000</v>
      </c>
      <c r="D153" s="11">
        <f>IFERROR(INDEX('درجریان وصول'!F:F,MATCH(Table24[[#This Row],[كد تفصيلي]],'درجریان وصول'!A:A,0)),0)</f>
        <v>0</v>
      </c>
      <c r="E153" s="11">
        <f>IFERROR(INDEX('چکهای دریافتنی'!F:F,MATCH(Table24[[#This Row],[كد تفصيلي]],'چکهای دریافتنی'!A:A,0)),0)</f>
        <v>1600000000</v>
      </c>
      <c r="F153" s="11">
        <f>Table24[[#This Row],[حسابهای دریافتنی]]+Table24[[#This Row],[چکهای در جریان وصول]]+Table24[[#This Row],[چکهای نزد صندوق]]</f>
        <v>-2660580000</v>
      </c>
      <c r="G153" s="12">
        <f>IFERROR(INDEX('مانده سوفاله'!F:F,MATCH(Table24[[#This Row],[كد تفصيلي]],'مانده سوفاله'!A:A,0)),0)</f>
        <v>9952</v>
      </c>
    </row>
    <row r="154" spans="1:7" ht="18" customHeight="1" x14ac:dyDescent="0.3">
      <c r="A154" s="29">
        <v>30016</v>
      </c>
      <c r="B154" s="31" t="s">
        <v>253</v>
      </c>
      <c r="C154" s="10">
        <f>IFERROR(INDEX('حسابهای دریافتنی'!H:H,MATCH(Table24[[#This Row],[كد تفصيلي]],'حسابهای دریافتنی'!A:A,0)),0)</f>
        <v>0</v>
      </c>
      <c r="D154" s="11">
        <f>IFERROR(INDEX('درجریان وصول'!F:F,MATCH(Table24[[#This Row],[كد تفصيلي]],'درجریان وصول'!A:A,0)),0)</f>
        <v>0</v>
      </c>
      <c r="E154" s="11">
        <f>IFERROR(INDEX('چکهای دریافتنی'!F:F,MATCH(Table24[[#This Row],[كد تفصيلي]],'چکهای دریافتنی'!A:A,0)),0)</f>
        <v>0</v>
      </c>
      <c r="F154" s="11">
        <f>Table24[[#This Row],[حسابهای دریافتنی]]+Table24[[#This Row],[چکهای در جریان وصول]]+Table24[[#This Row],[چکهای نزد صندوق]]</f>
        <v>0</v>
      </c>
      <c r="G154" s="12">
        <f>IFERROR(INDEX('مانده سوفاله'!F:F,MATCH(Table24[[#This Row],[كد تفصيلي]],'مانده سوفاله'!A:A,0)),0)</f>
        <v>0</v>
      </c>
    </row>
    <row r="155" spans="1:7" ht="18" customHeight="1" x14ac:dyDescent="0.3">
      <c r="A155" s="29">
        <v>30169</v>
      </c>
      <c r="B155" s="31" t="s">
        <v>384</v>
      </c>
      <c r="C155" s="10">
        <f>IFERROR(INDEX('حسابهای دریافتنی'!H:H,MATCH(Table24[[#This Row],[كد تفصيلي]],'حسابهای دریافتنی'!A:A,0)),0)</f>
        <v>-658993316</v>
      </c>
      <c r="D155" s="10">
        <f>IFERROR(INDEX('درجریان وصول'!F:F,MATCH(Table24[[#This Row],[كد تفصيلي]],'درجریان وصول'!A:A,0)),0)</f>
        <v>0</v>
      </c>
      <c r="E155" s="10">
        <f>IFERROR(INDEX('چکهای دریافتنی'!F:F,MATCH(Table24[[#This Row],[كد تفصيلي]],'چکهای دریافتنی'!A:A,0)),0)</f>
        <v>2085000000</v>
      </c>
      <c r="F155" s="10">
        <f>Table24[[#This Row],[حسابهای دریافتنی]]+Table24[[#This Row],[چکهای در جریان وصول]]+Table24[[#This Row],[چکهای نزد صندوق]]</f>
        <v>1426006684</v>
      </c>
      <c r="G155" s="12">
        <f>IFERROR(INDEX('مانده سوفاله'!F:F,MATCH(Table24[[#This Row],[كد تفصيلي]],'مانده سوفاله'!A:A,0)),0)</f>
        <v>0</v>
      </c>
    </row>
    <row r="156" spans="1:7" ht="18" customHeight="1" x14ac:dyDescent="0.3">
      <c r="A156" s="28">
        <v>79120</v>
      </c>
      <c r="B156" s="30" t="s">
        <v>195</v>
      </c>
      <c r="C156" s="10">
        <f>IFERROR(INDEX('حسابهای دریافتنی'!H:H,MATCH(Table24[[#This Row],[كد تفصيلي]],'حسابهای دریافتنی'!A:A,0)),0)</f>
        <v>-15776160000</v>
      </c>
      <c r="D156" s="17">
        <f>IFERROR(INDEX('درجریان وصول'!F:F,MATCH(Table24[[#This Row],[كد تفصيلي]],'درجریان وصول'!A:A,0)),0)</f>
        <v>0</v>
      </c>
      <c r="E156" s="17">
        <f>IFERROR(INDEX('چکهای دریافتنی'!F:F,MATCH(Table24[[#This Row],[كد تفصيلي]],'چکهای دریافتنی'!A:A,0)),0)</f>
        <v>0</v>
      </c>
      <c r="F156" s="17">
        <f>Table24[[#This Row],[حسابهای دریافتنی]]+Table24[[#This Row],[چکهای در جریان وصول]]+Table24[[#This Row],[چکهای نزد صندوق]]</f>
        <v>-15776160000</v>
      </c>
      <c r="G156" s="12">
        <f>IFERROR(INDEX('مانده سوفاله'!F:F,MATCH(Table24[[#This Row],[كد تفصيلي]],'مانده سوفاله'!A:A,0)),0)</f>
        <v>0</v>
      </c>
    </row>
    <row r="157" spans="1:7" ht="18" customHeight="1" x14ac:dyDescent="0.3">
      <c r="A157" s="28">
        <v>30156</v>
      </c>
      <c r="B157" s="30" t="s">
        <v>290</v>
      </c>
      <c r="C157" s="10">
        <f>IFERROR(INDEX('حسابهای دریافتنی'!H:H,MATCH(Table24[[#This Row],[كد تفصيلي]],'حسابهای دریافتنی'!A:A,0)),0)</f>
        <v>-180917500</v>
      </c>
      <c r="D157" s="11">
        <f>IFERROR(INDEX('درجریان وصول'!F:F,MATCH(Table24[[#This Row],[كد تفصيلي]],'درجریان وصول'!A:A,0)),0)</f>
        <v>0</v>
      </c>
      <c r="E157" s="11">
        <f>IFERROR(INDEX('چکهای دریافتنی'!F:F,MATCH(Table24[[#This Row],[كد تفصيلي]],'چکهای دریافتنی'!A:A,0)),0)</f>
        <v>0</v>
      </c>
      <c r="F157" s="11">
        <f>Table24[[#This Row],[حسابهای دریافتنی]]+Table24[[#This Row],[چکهای در جریان وصول]]+Table24[[#This Row],[چکهای نزد صندوق]]</f>
        <v>-180917500</v>
      </c>
      <c r="G157" s="12">
        <f>IFERROR(INDEX('مانده سوفاله'!F:F,MATCH(Table24[[#This Row],[كد تفصيلي]],'مانده سوفاله'!A:A,0)),0)</f>
        <v>0</v>
      </c>
    </row>
    <row r="158" spans="1:7" ht="18" customHeight="1" x14ac:dyDescent="0.3">
      <c r="A158" s="28">
        <v>10110</v>
      </c>
      <c r="B158" s="30" t="s">
        <v>348</v>
      </c>
      <c r="C158" s="10">
        <f>IFERROR(INDEX('حسابهای دریافتنی'!H:H,MATCH(Table24[[#This Row],[كد تفصيلي]],'حسابهای دریافتنی'!A:A,0)),0)</f>
        <v>-1817500</v>
      </c>
      <c r="D158" s="11">
        <f>IFERROR(INDEX('درجریان وصول'!F:F,MATCH(Table24[[#This Row],[كد تفصيلي]],'درجریان وصول'!A:A,0)),0)</f>
        <v>0</v>
      </c>
      <c r="E158" s="11">
        <f>IFERROR(INDEX('چکهای دریافتنی'!F:F,MATCH(Table24[[#This Row],[كد تفصيلي]],'چکهای دریافتنی'!A:A,0)),0)</f>
        <v>0</v>
      </c>
      <c r="F158" s="11">
        <f>Table24[[#This Row],[حسابهای دریافتنی]]+Table24[[#This Row],[چکهای در جریان وصول]]+Table24[[#This Row],[چکهای نزد صندوق]]</f>
        <v>-1817500</v>
      </c>
      <c r="G158" s="12">
        <f>IFERROR(INDEX('مانده سوفاله'!F:F,MATCH(Table24[[#This Row],[كد تفصيلي]],'مانده سوفاله'!A:A,0)),0)</f>
        <v>7</v>
      </c>
    </row>
    <row r="159" spans="1:7" ht="18" customHeight="1" x14ac:dyDescent="0.3">
      <c r="A159" s="28">
        <v>10128</v>
      </c>
      <c r="B159" s="30" t="s">
        <v>379</v>
      </c>
      <c r="C159" s="10">
        <f>IFERROR(INDEX('حسابهای دریافتنی'!H:H,MATCH(Table24[[#This Row],[كد تفصيلي]],'حسابهای دریافتنی'!A:A,0)),0)</f>
        <v>-45000</v>
      </c>
      <c r="D159" s="10">
        <f>IFERROR(INDEX('درجریان وصول'!F:F,MATCH(Table24[[#This Row],[كد تفصيلي]],'درجریان وصول'!A:A,0)),0)</f>
        <v>0</v>
      </c>
      <c r="E159" s="10">
        <f>IFERROR(INDEX('چکهای دریافتنی'!F:F,MATCH(Table24[[#This Row],[كد تفصيلي]],'چکهای دریافتنی'!A:A,0)),0)</f>
        <v>0</v>
      </c>
      <c r="F159" s="10">
        <f>Table24[[#This Row],[حسابهای دریافتنی]]+Table24[[#This Row],[چکهای در جریان وصول]]+Table24[[#This Row],[چکهای نزد صندوق]]</f>
        <v>-45000</v>
      </c>
      <c r="G159" s="12">
        <f>IFERROR(INDEX('مانده سوفاله'!F:F,MATCH(Table24[[#This Row],[كد تفصيلي]],'مانده سوفاله'!A:A,0)),0)</f>
        <v>6</v>
      </c>
    </row>
    <row r="160" spans="1:7" ht="18" customHeight="1" x14ac:dyDescent="0.3">
      <c r="A160" s="29">
        <v>10119</v>
      </c>
      <c r="B160" s="31" t="s">
        <v>351</v>
      </c>
      <c r="C160" s="10">
        <f>IFERROR(INDEX('حسابهای دریافتنی'!H:H,MATCH(Table24[[#This Row],[كد تفصيلي]],'حسابهای دریافتنی'!A:A,0)),0)</f>
        <v>-2592000</v>
      </c>
      <c r="D160" s="10">
        <f>IFERROR(INDEX('درجریان وصول'!F:F,MATCH(Table24[[#This Row],[كد تفصيلي]],'درجریان وصول'!A:A,0)),0)</f>
        <v>0</v>
      </c>
      <c r="E160" s="10">
        <f>IFERROR(INDEX('چکهای دریافتنی'!F:F,MATCH(Table24[[#This Row],[كد تفصيلي]],'چکهای دریافتنی'!A:A,0)),0)</f>
        <v>0</v>
      </c>
      <c r="F160" s="10">
        <f>Table24[[#This Row],[حسابهای دریافتنی]]+Table24[[#This Row],[چکهای در جریان وصول]]+Table24[[#This Row],[چکهای نزد صندوق]]</f>
        <v>-2592000</v>
      </c>
      <c r="G160" s="12">
        <f>IFERROR(INDEX('مانده سوفاله'!F:F,MATCH(Table24[[#This Row],[كد تفصيلي]],'مانده سوفاله'!A:A,0)),0)</f>
        <v>353</v>
      </c>
    </row>
    <row r="161" spans="1:7" ht="18" customHeight="1" x14ac:dyDescent="0.3">
      <c r="A161" s="28">
        <v>10089</v>
      </c>
      <c r="B161" s="30" t="s">
        <v>255</v>
      </c>
      <c r="C161" s="10">
        <f>IFERROR(INDEX('حسابهای دریافتنی'!H:H,MATCH(Table24[[#This Row],[كد تفصيلي]],'حسابهای دریافتنی'!A:A,0)),0)</f>
        <v>-143944000</v>
      </c>
      <c r="D161" s="10">
        <f>IFERROR(INDEX('درجریان وصول'!F:F,MATCH(Table24[[#This Row],[كد تفصيلي]],'درجریان وصول'!A:A,0)),0)</f>
        <v>0</v>
      </c>
      <c r="E161" s="10">
        <f>IFERROR(INDEX('چکهای دریافتنی'!F:F,MATCH(Table24[[#This Row],[كد تفصيلي]],'چکهای دریافتنی'!A:A,0)),0)</f>
        <v>0</v>
      </c>
      <c r="F161" s="10">
        <f>Table24[[#This Row],[حسابهای دریافتنی]]+Table24[[#This Row],[چکهای در جریان وصول]]+Table24[[#This Row],[چکهای نزد صندوق]]</f>
        <v>-143944000</v>
      </c>
      <c r="G161" s="12">
        <f>IFERROR(INDEX('مانده سوفاله'!F:F,MATCH(Table24[[#This Row],[كد تفصيلي]],'مانده سوفاله'!A:A,0)),0)</f>
        <v>-948</v>
      </c>
    </row>
    <row r="162" spans="1:7" ht="18" customHeight="1" x14ac:dyDescent="0.3">
      <c r="A162" s="28">
        <v>10105</v>
      </c>
      <c r="B162" s="30" t="s">
        <v>294</v>
      </c>
      <c r="C162" s="10">
        <f>IFERROR(INDEX('حسابهای دریافتنی'!H:H,MATCH(Table24[[#This Row],[كد تفصيلي]],'حسابهای دریافتنی'!A:A,0)),0)</f>
        <v>7630000</v>
      </c>
      <c r="D162" s="10">
        <f>IFERROR(INDEX('درجریان وصول'!F:F,MATCH(Table24[[#This Row],[كد تفصيلي]],'درجریان وصول'!A:A,0)),0)</f>
        <v>0</v>
      </c>
      <c r="E162" s="10">
        <f>IFERROR(INDEX('چکهای دریافتنی'!F:F,MATCH(Table24[[#This Row],[كد تفصيلي]],'چکهای دریافتنی'!A:A,0)),0)</f>
        <v>0</v>
      </c>
      <c r="F162" s="10">
        <f>Table24[[#This Row],[حسابهای دریافتنی]]+Table24[[#This Row],[چکهای در جریان وصول]]+Table24[[#This Row],[چکهای نزد صندوق]]</f>
        <v>7630000</v>
      </c>
      <c r="G162" s="12">
        <f>IFERROR(INDEX('مانده سوفاله'!F:F,MATCH(Table24[[#This Row],[كد تفصيلي]],'مانده سوفاله'!A:A,0)),0)</f>
        <v>0</v>
      </c>
    </row>
    <row r="163" spans="1:7" ht="18" customHeight="1" x14ac:dyDescent="0.3">
      <c r="A163" s="28">
        <v>30146</v>
      </c>
      <c r="B163" s="30" t="s">
        <v>266</v>
      </c>
      <c r="C163" s="10">
        <f>IFERROR(INDEX('حسابهای دریافتنی'!H:H,MATCH(Table24[[#This Row],[كد تفصيلي]],'حسابهای دریافتنی'!A:A,0)),0)</f>
        <v>-4146512500</v>
      </c>
      <c r="D163" s="10">
        <f>IFERROR(INDEX('درجریان وصول'!F:F,MATCH(Table24[[#This Row],[كد تفصيلي]],'درجریان وصول'!A:A,0)),0)</f>
        <v>0</v>
      </c>
      <c r="E163" s="10">
        <f>IFERROR(INDEX('چکهای دریافتنی'!F:F,MATCH(Table24[[#This Row],[كد تفصيلي]],'چکهای دریافتنی'!A:A,0)),0)</f>
        <v>0</v>
      </c>
      <c r="F163" s="10">
        <f>Table24[[#This Row],[حسابهای دریافتنی]]+Table24[[#This Row],[چکهای در جریان وصول]]+Table24[[#This Row],[چکهای نزد صندوق]]</f>
        <v>-4146512500</v>
      </c>
      <c r="G163" s="12">
        <f>IFERROR(INDEX('مانده سوفاله'!F:F,MATCH(Table24[[#This Row],[كد تفصيلي]],'مانده سوفاله'!A:A,0)),0)</f>
        <v>2823</v>
      </c>
    </row>
    <row r="164" spans="1:7" ht="18" customHeight="1" x14ac:dyDescent="0.3">
      <c r="A164" s="29">
        <v>30162</v>
      </c>
      <c r="B164" s="31" t="s">
        <v>355</v>
      </c>
      <c r="C164" s="10">
        <f>IFERROR(INDEX('حسابهای دریافتنی'!H:H,MATCH(Table24[[#This Row],[كد تفصيلي]],'حسابهای دریافتنی'!A:A,0)),0)</f>
        <v>204890235</v>
      </c>
      <c r="D164" s="11">
        <f>IFERROR(INDEX('درجریان وصول'!F:F,MATCH(Table24[[#This Row],[كد تفصيلي]],'درجریان وصول'!A:A,0)),0)</f>
        <v>0</v>
      </c>
      <c r="E164" s="11">
        <f>IFERROR(INDEX('چکهای دریافتنی'!F:F,MATCH(Table24[[#This Row],[كد تفصيلي]],'چکهای دریافتنی'!A:A,0)),0)</f>
        <v>0</v>
      </c>
      <c r="F164" s="11">
        <f>Table24[[#This Row],[حسابهای دریافتنی]]+Table24[[#This Row],[چکهای در جریان وصول]]+Table24[[#This Row],[چکهای نزد صندوق]]</f>
        <v>204890235</v>
      </c>
      <c r="G164" s="12">
        <f>IFERROR(INDEX('مانده سوفاله'!F:F,MATCH(Table24[[#This Row],[كد تفصيلي]],'مانده سوفاله'!A:A,0)),0)</f>
        <v>-251</v>
      </c>
    </row>
    <row r="165" spans="1:7" ht="18" customHeight="1" x14ac:dyDescent="0.3">
      <c r="A165" s="29">
        <v>10104</v>
      </c>
      <c r="B165" s="31" t="s">
        <v>293</v>
      </c>
      <c r="C165" s="10">
        <f>IFERROR(INDEX('حسابهای دریافتنی'!H:H,MATCH(Table24[[#This Row],[كد تفصيلي]],'حسابهای دریافتنی'!A:A,0)),0)</f>
        <v>0</v>
      </c>
      <c r="D165" s="10">
        <f>IFERROR(INDEX('درجریان وصول'!F:F,MATCH(Table24[[#This Row],[كد تفصيلي]],'درجریان وصول'!A:A,0)),0)</f>
        <v>0</v>
      </c>
      <c r="E165" s="10">
        <f>IFERROR(INDEX('چکهای دریافتنی'!F:F,MATCH(Table24[[#This Row],[كد تفصيلي]],'چکهای دریافتنی'!A:A,0)),0)</f>
        <v>0</v>
      </c>
      <c r="F165" s="10">
        <f>Table24[[#This Row],[حسابهای دریافتنی]]+Table24[[#This Row],[چکهای در جریان وصول]]+Table24[[#This Row],[چکهای نزد صندوق]]</f>
        <v>0</v>
      </c>
      <c r="G165" s="12">
        <f>IFERROR(INDEX('مانده سوفاله'!F:F,MATCH(Table24[[#This Row],[كد تفصيلي]],'مانده سوفاله'!A:A,0)),0)</f>
        <v>4065</v>
      </c>
    </row>
    <row r="166" spans="1:7" ht="18" customHeight="1" x14ac:dyDescent="0.3">
      <c r="A166" s="28">
        <v>10079</v>
      </c>
      <c r="B166" s="30" t="s">
        <v>174</v>
      </c>
      <c r="C166" s="10">
        <f>IFERROR(INDEX('حسابهای دریافتنی'!H:H,MATCH(Table24[[#This Row],[كد تفصيلي]],'حسابهای دریافتنی'!A:A,0)),0)</f>
        <v>-226593500</v>
      </c>
      <c r="D166" s="10">
        <f>IFERROR(INDEX('درجریان وصول'!F:F,MATCH(Table24[[#This Row],[كد تفصيلي]],'درجریان وصول'!A:A,0)),0)</f>
        <v>0</v>
      </c>
      <c r="E166" s="10">
        <f>IFERROR(INDEX('چکهای دریافتنی'!F:F,MATCH(Table24[[#This Row],[كد تفصيلي]],'چکهای دریافتنی'!A:A,0)),0)</f>
        <v>0</v>
      </c>
      <c r="F166" s="10">
        <f>Table24[[#This Row],[حسابهای دریافتنی]]+Table24[[#This Row],[چکهای در جریان وصول]]+Table24[[#This Row],[چکهای نزد صندوق]]</f>
        <v>-226593500</v>
      </c>
      <c r="G166" s="12">
        <f>IFERROR(INDEX('مانده سوفاله'!F:F,MATCH(Table24[[#This Row],[كد تفصيلي]],'مانده سوفاله'!A:A,0)),0)</f>
        <v>0</v>
      </c>
    </row>
    <row r="167" spans="1:7" ht="18" customHeight="1" x14ac:dyDescent="0.3">
      <c r="A167" s="28">
        <v>30161</v>
      </c>
      <c r="B167" s="30" t="s">
        <v>381</v>
      </c>
      <c r="C167" s="10">
        <f>IFERROR(INDEX('حسابهای دریافتنی'!H:H,MATCH(Table24[[#This Row],[كد تفصيلي]],'حسابهای دریافتنی'!A:A,0)),0)</f>
        <v>0</v>
      </c>
      <c r="D167" s="10">
        <f>IFERROR(INDEX('درجریان وصول'!F:F,MATCH(Table24[[#This Row],[كد تفصيلي]],'درجریان وصول'!A:A,0)),0)</f>
        <v>0</v>
      </c>
      <c r="E167" s="10">
        <f>IFERROR(INDEX('چکهای دریافتنی'!F:F,MATCH(Table24[[#This Row],[كد تفصيلي]],'چکهای دریافتنی'!A:A,0)),0)</f>
        <v>0</v>
      </c>
      <c r="F167" s="10">
        <f>Table24[[#This Row],[حسابهای دریافتنی]]+Table24[[#This Row],[چکهای در جریان وصول]]+Table24[[#This Row],[چکهای نزد صندوق]]</f>
        <v>0</v>
      </c>
      <c r="G167" s="12">
        <f>IFERROR(INDEX('مانده سوفاله'!F:F,MATCH(Table24[[#This Row],[كد تفصيلي]],'مانده سوفاله'!A:A,0)),0)</f>
        <v>0</v>
      </c>
    </row>
    <row r="168" spans="1:7" ht="18" customHeight="1" x14ac:dyDescent="0.3">
      <c r="A168" s="28">
        <v>30187</v>
      </c>
      <c r="B168" s="30" t="s">
        <v>390</v>
      </c>
      <c r="C168" s="10">
        <f>IFERROR(INDEX('حسابهای دریافتنی'!H:H,MATCH(Table24[[#This Row],[كد تفصيلي]],'حسابهای دریافتنی'!A:A,0)),0)</f>
        <v>337825500</v>
      </c>
      <c r="D168" s="10">
        <f>IFERROR(INDEX('درجریان وصول'!F:F,MATCH(Table24[[#This Row],[كد تفصيلي]],'درجریان وصول'!A:A,0)),0)</f>
        <v>0</v>
      </c>
      <c r="E168" s="10">
        <f>IFERROR(INDEX('چکهای دریافتنی'!F:F,MATCH(Table24[[#This Row],[كد تفصيلي]],'چکهای دریافتنی'!A:A,0)),0)</f>
        <v>0</v>
      </c>
      <c r="F168" s="10">
        <f>Table24[[#This Row],[حسابهای دریافتنی]]+Table24[[#This Row],[چکهای در جریان وصول]]+Table24[[#This Row],[چکهای نزد صندوق]]</f>
        <v>337825500</v>
      </c>
      <c r="G168" s="12">
        <f>IFERROR(INDEX('مانده سوفاله'!F:F,MATCH(Table24[[#This Row],[كد تفصيلي]],'مانده سوفاله'!A:A,0)),0)</f>
        <v>-108</v>
      </c>
    </row>
    <row r="169" spans="1:7" ht="18" customHeight="1" x14ac:dyDescent="0.3">
      <c r="A169" s="29">
        <v>30143</v>
      </c>
      <c r="B169" s="31" t="s">
        <v>278</v>
      </c>
      <c r="C169" s="10">
        <f>IFERROR(INDEX('حسابهای دریافتنی'!H:H,MATCH(Table24[[#This Row],[كد تفصيلي]],'حسابهای دریافتنی'!A:A,0)),0)</f>
        <v>0</v>
      </c>
      <c r="D169" s="17">
        <f>IFERROR(INDEX('درجریان وصول'!F:F,MATCH(Table24[[#This Row],[كد تفصيلي]],'درجریان وصول'!A:A,0)),0)</f>
        <v>0</v>
      </c>
      <c r="E169" s="17">
        <f>IFERROR(INDEX('چکهای دریافتنی'!F:F,MATCH(Table24[[#This Row],[كد تفصيلي]],'چکهای دریافتنی'!A:A,0)),0)</f>
        <v>0</v>
      </c>
      <c r="F169" s="17">
        <f>Table24[[#This Row],[حسابهای دریافتنی]]+Table24[[#This Row],[چکهای در جریان وصول]]+Table24[[#This Row],[چکهای نزد صندوق]]</f>
        <v>0</v>
      </c>
      <c r="G169" s="12">
        <f>IFERROR(INDEX('مانده سوفاله'!F:F,MATCH(Table24[[#This Row],[كد تفصيلي]],'مانده سوفاله'!A:A,0)),0)</f>
        <v>0</v>
      </c>
    </row>
    <row r="170" spans="1:7" ht="18" customHeight="1" x14ac:dyDescent="0.3">
      <c r="A170" s="29">
        <v>30022</v>
      </c>
      <c r="B170" s="31" t="s">
        <v>70</v>
      </c>
      <c r="C170" s="10">
        <f>IFERROR(INDEX('حسابهای دریافتنی'!H:H,MATCH(Table24[[#This Row],[كد تفصيلي]],'حسابهای دریافتنی'!A:A,0)),0)</f>
        <v>2933770530</v>
      </c>
      <c r="D170" s="11">
        <f>IFERROR(INDEX('درجریان وصول'!F:F,MATCH(Table24[[#This Row],[كد تفصيلي]],'درجریان وصول'!A:A,0)),0)</f>
        <v>0</v>
      </c>
      <c r="E170" s="11">
        <f>IFERROR(INDEX('چکهای دریافتنی'!F:F,MATCH(Table24[[#This Row],[كد تفصيلي]],'چکهای دریافتنی'!A:A,0)),0)</f>
        <v>0</v>
      </c>
      <c r="F170" s="11">
        <f>Table24[[#This Row],[حسابهای دریافتنی]]+Table24[[#This Row],[چکهای در جریان وصول]]+Table24[[#This Row],[چکهای نزد صندوق]]</f>
        <v>2933770530</v>
      </c>
      <c r="G170" s="12">
        <f>IFERROR(INDEX('مانده سوفاله'!F:F,MATCH(Table24[[#This Row],[كد تفصيلي]],'مانده سوفاله'!A:A,0)),0)</f>
        <v>-14747</v>
      </c>
    </row>
    <row r="171" spans="1:7" ht="18" customHeight="1" x14ac:dyDescent="0.3">
      <c r="A171" s="29">
        <v>79043</v>
      </c>
      <c r="B171" s="31" t="s">
        <v>156</v>
      </c>
      <c r="C171" s="10">
        <f>IFERROR(INDEX('حسابهای دریافتنی'!H:H,MATCH(Table24[[#This Row],[كد تفصيلي]],'حسابهای دریافتنی'!A:A,0)),0)</f>
        <v>-16110730000</v>
      </c>
      <c r="D171" s="17">
        <f>IFERROR(INDEX('درجریان وصول'!F:F,MATCH(Table24[[#This Row],[كد تفصيلي]],'درجریان وصول'!A:A,0)),0)</f>
        <v>0</v>
      </c>
      <c r="E171" s="17">
        <f>IFERROR(INDEX('چکهای دریافتنی'!F:F,MATCH(Table24[[#This Row],[كد تفصيلي]],'چکهای دریافتنی'!A:A,0)),0)</f>
        <v>0</v>
      </c>
      <c r="F171" s="17">
        <f>Table24[[#This Row],[حسابهای دریافتنی]]+Table24[[#This Row],[چکهای در جریان وصول]]+Table24[[#This Row],[چکهای نزد صندوق]]</f>
        <v>-16110730000</v>
      </c>
      <c r="G171" s="12">
        <f>IFERROR(INDEX('مانده سوفاله'!F:F,MATCH(Table24[[#This Row],[كد تفصيلي]],'مانده سوفاله'!A:A,0)),0)</f>
        <v>0</v>
      </c>
    </row>
    <row r="172" spans="1:7" ht="18" customHeight="1" x14ac:dyDescent="0.35">
      <c r="A172" s="13"/>
      <c r="B172" s="14"/>
      <c r="C172" s="15">
        <f>SUBTOTAL(109,Table24[حسابهای دریافتنی])</f>
        <v>57554329589</v>
      </c>
      <c r="D172" s="15">
        <f>SUBTOTAL(109,Table24[چکهای در جریان وصول])</f>
        <v>0</v>
      </c>
      <c r="E172" s="15">
        <f>SUBTOTAL(109,Table24[چکهای نزد صندوق])</f>
        <v>62507828942</v>
      </c>
      <c r="F172" s="15"/>
      <c r="G172" s="16">
        <f>SUBTOTAL(109,Table24[مانده سوفاله])</f>
        <v>-131499.5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rightToLeft="1" topLeftCell="A157" workbookViewId="0">
      <selection activeCell="A15" sqref="A15:XFD15"/>
    </sheetView>
  </sheetViews>
  <sheetFormatPr defaultColWidth="9.08984375" defaultRowHeight="15.5" x14ac:dyDescent="0.35"/>
  <cols>
    <col min="1" max="1" width="14.36328125" style="5" customWidth="1"/>
    <col min="2" max="2" width="32.7265625" style="5" customWidth="1"/>
    <col min="3" max="3" width="20.26953125" style="3" customWidth="1"/>
    <col min="4" max="4" width="18.08984375" style="3" customWidth="1"/>
    <col min="5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7" ht="58.5" customHeight="1" thickBot="1" x14ac:dyDescent="0.4">
      <c r="A1" s="97" t="s">
        <v>393</v>
      </c>
      <c r="B1" s="98"/>
      <c r="C1" s="98"/>
      <c r="D1" s="98"/>
      <c r="E1" s="98"/>
      <c r="F1" s="98"/>
      <c r="G1" s="99"/>
    </row>
    <row r="2" spans="1:7" s="2" customFormat="1" ht="41.25" customHeight="1" x14ac:dyDescent="0.35">
      <c r="A2" s="6" t="s">
        <v>4</v>
      </c>
      <c r="B2" s="7" t="s">
        <v>5</v>
      </c>
      <c r="C2" s="8" t="s">
        <v>139</v>
      </c>
      <c r="D2" s="8" t="s">
        <v>140</v>
      </c>
      <c r="E2" s="8" t="s">
        <v>141</v>
      </c>
      <c r="F2" s="8" t="s">
        <v>158</v>
      </c>
      <c r="G2" s="9" t="s">
        <v>145</v>
      </c>
    </row>
    <row r="3" spans="1:7" ht="18" customHeight="1" x14ac:dyDescent="0.3">
      <c r="A3" s="28">
        <v>10003</v>
      </c>
      <c r="B3" s="24" t="s">
        <v>10</v>
      </c>
      <c r="C3" s="10">
        <f>IFERROR(INDEX('حسابهای دریافتنی'!H:H,MATCH(Table25[[#This Row],[كد تفصيلي]],'حسابهای دریافتنی'!A:A,0)),0)</f>
        <v>10804267992</v>
      </c>
      <c r="D3" s="11">
        <f>IFERROR(INDEX('درجریان وصول'!F:F,MATCH(Table25[[#This Row],[كد تفصيلي]],'درجریان وصول'!A:A,0)),0)</f>
        <v>0</v>
      </c>
      <c r="E3" s="11">
        <f>IFERROR(INDEX('چکهای دریافتنی'!F:F,MATCH(Table25[[#This Row],[كد تفصيلي]],'چکهای دریافتنی'!A:A,0)),0)</f>
        <v>13698001280</v>
      </c>
      <c r="F3" s="11">
        <f>Table25[[#This Row],[حسابهای دریافتنی]]+Table25[[#This Row],[چکهای در جریان وصول]]+Table25[[#This Row],[چکهای نزد صندوق]]</f>
        <v>24502269272</v>
      </c>
      <c r="G3" s="12">
        <f>IFERROR(INDEX('مانده سوفاله'!F:F,MATCH(Table25[[#This Row],[كد تفصيلي]],'مانده سوفاله'!A:A,0)),0)</f>
        <v>-39886</v>
      </c>
    </row>
    <row r="4" spans="1:7" ht="18" customHeight="1" x14ac:dyDescent="0.3">
      <c r="A4" s="29">
        <v>30127</v>
      </c>
      <c r="B4" s="25" t="s">
        <v>163</v>
      </c>
      <c r="C4" s="10">
        <f>IFERROR(INDEX('حسابهای دریافتنی'!H:H,MATCH(Table25[[#This Row],[كد تفصيلي]],'حسابهای دریافتنی'!A:A,0)),0)</f>
        <v>31800110000</v>
      </c>
      <c r="D4" s="17">
        <f>IFERROR(INDEX('درجریان وصول'!F:F,MATCH(Table25[[#This Row],[كد تفصيلي]],'درجریان وصول'!A:A,0)),0)</f>
        <v>0</v>
      </c>
      <c r="E4" s="17">
        <f>IFERROR(INDEX('چکهای دریافتنی'!F:F,MATCH(Table25[[#This Row],[كد تفصيلي]],'چکهای دریافتنی'!A:A,0)),0)</f>
        <v>0</v>
      </c>
      <c r="F4" s="17">
        <f>Table25[[#This Row],[حسابهای دریافتنی]]+Table25[[#This Row],[چکهای در جریان وصول]]+Table25[[#This Row],[چکهای نزد صندوق]]</f>
        <v>31800110000</v>
      </c>
      <c r="G4" s="12">
        <f>IFERROR(INDEX('مانده سوفاله'!F:F,MATCH(Table25[[#This Row],[كد تفصيلي]],'مانده سوفاله'!A:A,0)),0)</f>
        <v>-18472</v>
      </c>
    </row>
    <row r="5" spans="1:7" ht="18" customHeight="1" x14ac:dyDescent="0.3">
      <c r="A5" s="28">
        <v>30066</v>
      </c>
      <c r="B5" s="24" t="s">
        <v>111</v>
      </c>
      <c r="C5" s="10">
        <f>IFERROR(INDEX('حسابهای دریافتنی'!H:H,MATCH(Table25[[#This Row],[كد تفصيلي]],'حسابهای دریافتنی'!A:A,0)),0)</f>
        <v>6484147500</v>
      </c>
      <c r="D5" s="10">
        <f>IFERROR(INDEX('درجریان وصول'!F:F,MATCH(Table25[[#This Row],[كد تفصيلي]],'درجریان وصول'!A:A,0)),0)</f>
        <v>0</v>
      </c>
      <c r="E5" s="10">
        <f>IFERROR(INDEX('چکهای دریافتنی'!F:F,MATCH(Table25[[#This Row],[كد تفصيلي]],'چکهای دریافتنی'!A:A,0)),0)</f>
        <v>0</v>
      </c>
      <c r="F5" s="10">
        <f>Table25[[#This Row],[حسابهای دریافتنی]]+Table25[[#This Row],[چکهای در جریان وصول]]+Table25[[#This Row],[چکهای نزد صندوق]]</f>
        <v>6484147500</v>
      </c>
      <c r="G5" s="12">
        <f>IFERROR(INDEX('مانده سوفاله'!F:F,MATCH(Table25[[#This Row],[كد تفصيلي]],'مانده سوفاله'!A:A,0)),0)</f>
        <v>-1320</v>
      </c>
    </row>
    <row r="6" spans="1:7" ht="18" customHeight="1" x14ac:dyDescent="0.3">
      <c r="A6" s="28">
        <v>10055</v>
      </c>
      <c r="B6" s="24" t="s">
        <v>162</v>
      </c>
      <c r="C6" s="10">
        <f>IFERROR(INDEX('حسابهای دریافتنی'!H:H,MATCH(Table25[[#This Row],[كد تفصيلي]],'حسابهای دریافتنی'!A:A,0)),0)</f>
        <v>10460111325</v>
      </c>
      <c r="D6" s="10">
        <f>IFERROR(INDEX('درجریان وصول'!F:F,MATCH(Table25[[#This Row],[كد تفصيلي]],'درجریان وصول'!A:A,0)),0)</f>
        <v>0</v>
      </c>
      <c r="E6" s="10">
        <f>IFERROR(INDEX('چکهای دریافتنی'!F:F,MATCH(Table25[[#This Row],[كد تفصيلي]],'چکهای دریافتنی'!A:A,0)),0)</f>
        <v>2783298655</v>
      </c>
      <c r="F6" s="10">
        <f>Table25[[#This Row],[حسابهای دریافتنی]]+Table25[[#This Row],[چکهای در جریان وصول]]+Table25[[#This Row],[چکهای نزد صندوق]]</f>
        <v>13243409980</v>
      </c>
      <c r="G6" s="12">
        <f>IFERROR(INDEX('مانده سوفاله'!F:F,MATCH(Table25[[#This Row],[كد تفصيلي]],'مانده سوفاله'!A:A,0)),0)</f>
        <v>-12714</v>
      </c>
    </row>
    <row r="7" spans="1:7" ht="18" customHeight="1" x14ac:dyDescent="0.3">
      <c r="A7" s="29">
        <v>30004</v>
      </c>
      <c r="B7" s="25" t="s">
        <v>54</v>
      </c>
      <c r="C7" s="10">
        <f>IFERROR(INDEX('حسابهای دریافتنی'!H:H,MATCH(Table25[[#This Row],[كد تفصيلي]],'حسابهای دریافتنی'!A:A,0)),0)</f>
        <v>7598548260</v>
      </c>
      <c r="D7" s="17">
        <f>IFERROR(INDEX('درجریان وصول'!F:F,MATCH(Table25[[#This Row],[كد تفصيلي]],'درجریان وصول'!A:A,0)),0)</f>
        <v>0</v>
      </c>
      <c r="E7" s="17">
        <f>IFERROR(INDEX('چکهای دریافتنی'!F:F,MATCH(Table25[[#This Row],[كد تفصيلي]],'چکهای دریافتنی'!A:A,0)),0)</f>
        <v>11698760000</v>
      </c>
      <c r="F7" s="17">
        <f>Table25[[#This Row],[حسابهای دریافتنی]]+Table25[[#This Row],[چکهای در جریان وصول]]+Table25[[#This Row],[چکهای نزد صندوق]]</f>
        <v>19297308260</v>
      </c>
      <c r="G7" s="12">
        <f>IFERROR(INDEX('مانده سوفاله'!F:F,MATCH(Table25[[#This Row],[كد تفصيلي]],'مانده سوفاله'!A:A,0)),0)</f>
        <v>-4237</v>
      </c>
    </row>
    <row r="8" spans="1:7" ht="18" customHeight="1" x14ac:dyDescent="0.3">
      <c r="A8" s="28">
        <v>30009</v>
      </c>
      <c r="B8" s="24" t="s">
        <v>164</v>
      </c>
      <c r="C8" s="10">
        <f>IFERROR(INDEX('حسابهای دریافتنی'!H:H,MATCH(Table25[[#This Row],[كد تفصيلي]],'حسابهای دریافتنی'!A:A,0)),0)</f>
        <v>7853844277</v>
      </c>
      <c r="D8" s="11">
        <f>IFERROR(INDEX('درجریان وصول'!F:F,MATCH(Table25[[#This Row],[كد تفصيلي]],'درجریان وصول'!A:A,0)),0)</f>
        <v>0</v>
      </c>
      <c r="E8" s="11">
        <f>IFERROR(INDEX('چکهای دریافتنی'!F:F,MATCH(Table25[[#This Row],[كد تفصيلي]],'چکهای دریافتنی'!A:A,0)),0)</f>
        <v>6474835380</v>
      </c>
      <c r="F8" s="11">
        <f>Table25[[#This Row],[حسابهای دریافتنی]]+Table25[[#This Row],[چکهای در جریان وصول]]+Table25[[#This Row],[چکهای نزد صندوق]]</f>
        <v>14328679657</v>
      </c>
      <c r="G8" s="12">
        <f>IFERROR(INDEX('مانده سوفاله'!F:F,MATCH(Table25[[#This Row],[كد تفصيلي]],'مانده سوفاله'!A:A,0)),0)</f>
        <v>-11452</v>
      </c>
    </row>
    <row r="9" spans="1:7" ht="18" customHeight="1" x14ac:dyDescent="0.3">
      <c r="A9" s="28">
        <v>10027</v>
      </c>
      <c r="B9" s="24" t="s">
        <v>33</v>
      </c>
      <c r="C9" s="10">
        <f>IFERROR(INDEX('حسابهای دریافتنی'!H:H,MATCH(Table25[[#This Row],[كد تفصيلي]],'حسابهای دریافتنی'!A:A,0)),0)</f>
        <v>33078340</v>
      </c>
      <c r="D9" s="10">
        <f>IFERROR(INDEX('درجریان وصول'!F:F,MATCH(Table25[[#This Row],[كد تفصيلي]],'درجریان وصول'!A:A,0)),0)</f>
        <v>0</v>
      </c>
      <c r="E9" s="10">
        <f>IFERROR(INDEX('چکهای دریافتنی'!F:F,MATCH(Table25[[#This Row],[كد تفصيلي]],'چکهای دریافتنی'!A:A,0)),0)</f>
        <v>1588359160</v>
      </c>
      <c r="F9" s="10">
        <f>Table25[[#This Row],[حسابهای دریافتنی]]+Table25[[#This Row],[چکهای در جریان وصول]]+Table25[[#This Row],[چکهای نزد صندوق]]</f>
        <v>1621437500</v>
      </c>
      <c r="G9" s="12">
        <f>IFERROR(INDEX('مانده سوفاله'!F:F,MATCH(Table25[[#This Row],[كد تفصيلي]],'مانده سوفاله'!A:A,0)),0)</f>
        <v>-647</v>
      </c>
    </row>
    <row r="10" spans="1:7" ht="18" customHeight="1" x14ac:dyDescent="0.3">
      <c r="A10" s="29">
        <v>50016</v>
      </c>
      <c r="B10" s="25" t="s">
        <v>160</v>
      </c>
      <c r="C10" s="10">
        <f>IFERROR(INDEX('حسابهای دریافتنی'!H:H,MATCH(Table25[[#This Row],[كد تفصيلي]],'حسابهای دریافتنی'!A:A,0)),0)</f>
        <v>6344545550</v>
      </c>
      <c r="D10" s="17">
        <f>IFERROR(INDEX('درجریان وصول'!F:F,MATCH(Table25[[#This Row],[كد تفصيلي]],'درجریان وصول'!A:A,0)),0)</f>
        <v>0</v>
      </c>
      <c r="E10" s="17">
        <f>IFERROR(INDEX('چکهای دریافتنی'!F:F,MATCH(Table25[[#This Row],[كد تفصيلي]],'چکهای دریافتنی'!A:A,0)),0)</f>
        <v>0</v>
      </c>
      <c r="F10" s="17">
        <f>Table25[[#This Row],[حسابهای دریافتنی]]+Table25[[#This Row],[چکهای در جریان وصول]]+Table25[[#This Row],[چکهای نزد صندوق]]</f>
        <v>6344545550</v>
      </c>
      <c r="G10" s="12">
        <f>IFERROR(INDEX('مانده سوفاله'!F:F,MATCH(Table25[[#This Row],[كد تفصيلي]],'مانده سوفاله'!A:A,0)),0)</f>
        <v>5508</v>
      </c>
    </row>
    <row r="11" spans="1:7" ht="18" customHeight="1" x14ac:dyDescent="0.3">
      <c r="A11" s="29">
        <v>30081</v>
      </c>
      <c r="B11" s="25" t="s">
        <v>126</v>
      </c>
      <c r="C11" s="10">
        <f>IFERROR(INDEX('حسابهای دریافتنی'!H:H,MATCH(Table25[[#This Row],[كد تفصيلي]],'حسابهای دریافتنی'!A:A,0)),0)</f>
        <v>1148992373</v>
      </c>
      <c r="D11" s="17">
        <f>IFERROR(INDEX('درجریان وصول'!F:F,MATCH(Table25[[#This Row],[كد تفصيلي]],'درجریان وصول'!A:A,0)),0)</f>
        <v>0</v>
      </c>
      <c r="E11" s="17">
        <f>IFERROR(INDEX('چکهای دریافتنی'!F:F,MATCH(Table25[[#This Row],[كد تفصيلي]],'چکهای دریافتنی'!A:A,0)),0)</f>
        <v>0</v>
      </c>
      <c r="F11" s="17">
        <f>Table25[[#This Row],[حسابهای دریافتنی]]+Table25[[#This Row],[چکهای در جریان وصول]]+Table25[[#This Row],[چکهای نزد صندوق]]</f>
        <v>1148992373</v>
      </c>
      <c r="G11" s="12">
        <f>IFERROR(INDEX('مانده سوفاله'!F:F,MATCH(Table25[[#This Row],[كد تفصيلي]],'مانده سوفاله'!A:A,0)),0)</f>
        <v>-6924</v>
      </c>
    </row>
    <row r="12" spans="1:7" ht="18" customHeight="1" x14ac:dyDescent="0.3">
      <c r="A12" s="28">
        <v>30058</v>
      </c>
      <c r="B12" s="24" t="s">
        <v>103</v>
      </c>
      <c r="C12" s="10">
        <f>IFERROR(INDEX('حسابهای دریافتنی'!H:H,MATCH(Table25[[#This Row],[كد تفصيلي]],'حسابهای دریافتنی'!A:A,0)),0)</f>
        <v>1700045560</v>
      </c>
      <c r="D12" s="17">
        <f>IFERROR(INDEX('درجریان وصول'!F:F,MATCH(Table25[[#This Row],[كد تفصيلي]],'درجریان وصول'!A:A,0)),0)</f>
        <v>0</v>
      </c>
      <c r="E12" s="17">
        <f>IFERROR(INDEX('چکهای دریافتنی'!F:F,MATCH(Table25[[#This Row],[كد تفصيلي]],'چکهای دریافتنی'!A:A,0)),0)</f>
        <v>0</v>
      </c>
      <c r="F12" s="17">
        <f>Table25[[#This Row],[حسابهای دریافتنی]]+Table25[[#This Row],[چکهای در جریان وصول]]+Table25[[#This Row],[چکهای نزد صندوق]]</f>
        <v>1700045560</v>
      </c>
      <c r="G12" s="12">
        <f>IFERROR(INDEX('مانده سوفاله'!F:F,MATCH(Table25[[#This Row],[كد تفصيلي]],'مانده سوفاله'!A:A,0)),0)</f>
        <v>-225</v>
      </c>
    </row>
    <row r="13" spans="1:7" ht="18" customHeight="1" x14ac:dyDescent="0.3">
      <c r="A13" s="29">
        <v>30099</v>
      </c>
      <c r="B13" s="25" t="s">
        <v>167</v>
      </c>
      <c r="C13" s="10">
        <f>IFERROR(INDEX('حسابهای دریافتنی'!H:H,MATCH(Table25[[#This Row],[كد تفصيلي]],'حسابهای دریافتنی'!A:A,0)),0)</f>
        <v>1398393484</v>
      </c>
      <c r="D13" s="17">
        <f>IFERROR(INDEX('درجریان وصول'!F:F,MATCH(Table25[[#This Row],[كد تفصيلي]],'درجریان وصول'!A:A,0)),0)</f>
        <v>0</v>
      </c>
      <c r="E13" s="17">
        <f>IFERROR(INDEX('چکهای دریافتنی'!F:F,MATCH(Table25[[#This Row],[كد تفصيلي]],'چکهای دریافتنی'!A:A,0)),0)</f>
        <v>583000000</v>
      </c>
      <c r="F13" s="17">
        <f>Table25[[#This Row],[حسابهای دریافتنی]]+Table25[[#This Row],[چکهای در جریان وصول]]+Table25[[#This Row],[چکهای نزد صندوق]]</f>
        <v>1981393484</v>
      </c>
      <c r="G13" s="12">
        <f>IFERROR(INDEX('مانده سوفاله'!F:F,MATCH(Table25[[#This Row],[كد تفصيلي]],'مانده سوفاله'!A:A,0)),0)</f>
        <v>-332</v>
      </c>
    </row>
    <row r="14" spans="1:7" ht="18" customHeight="1" x14ac:dyDescent="0.3">
      <c r="A14" s="29">
        <v>10026</v>
      </c>
      <c r="B14" s="25" t="s">
        <v>32</v>
      </c>
      <c r="C14" s="10">
        <f>IFERROR(INDEX('حسابهای دریافتنی'!H:H,MATCH(Table25[[#This Row],[كد تفصيلي]],'حسابهای دریافتنی'!A:A,0)),0)</f>
        <v>3795031844</v>
      </c>
      <c r="D14" s="10">
        <f>IFERROR(INDEX('درجریان وصول'!F:F,MATCH(Table25[[#This Row],[كد تفصيلي]],'درجریان وصول'!A:A,0)),0)</f>
        <v>0</v>
      </c>
      <c r="E14" s="10">
        <f>IFERROR(INDEX('چکهای دریافتنی'!F:F,MATCH(Table25[[#This Row],[كد تفصيلي]],'چکهای دریافتنی'!A:A,0)),0)</f>
        <v>2690000000</v>
      </c>
      <c r="F14" s="10">
        <f>Table25[[#This Row],[حسابهای دریافتنی]]+Table25[[#This Row],[چکهای در جریان وصول]]+Table25[[#This Row],[چکهای نزد صندوق]]</f>
        <v>6485031844</v>
      </c>
      <c r="G14" s="12">
        <f>IFERROR(INDEX('مانده سوفاله'!F:F,MATCH(Table25[[#This Row],[كد تفصيلي]],'مانده سوفاله'!A:A,0)),0)</f>
        <v>-12543</v>
      </c>
    </row>
    <row r="15" spans="1:7" ht="18" customHeight="1" x14ac:dyDescent="0.3">
      <c r="A15" s="28">
        <v>10123</v>
      </c>
      <c r="B15" s="24" t="s">
        <v>395</v>
      </c>
      <c r="C15" s="10">
        <f>IFERROR(INDEX('حسابهای دریافتنی'!H:H,MATCH(Table25[[#This Row],[كد تفصيلي]],'حسابهای دریافتنی'!A:A,0)),0)</f>
        <v>-50813000</v>
      </c>
      <c r="D15" s="10">
        <f>IFERROR(INDEX('درجریان وصول'!F:F,MATCH(Table25[[#This Row],[كد تفصيلي]],'درجریان وصول'!A:A,0)),0)</f>
        <v>0</v>
      </c>
      <c r="E15" s="10">
        <f>IFERROR(INDEX('چکهای دریافتنی'!F:F,MATCH(Table25[[#This Row],[كد تفصيلي]],'چکهای دریافتنی'!A:A,0)),0)</f>
        <v>0</v>
      </c>
      <c r="F15" s="10">
        <f>Table25[[#This Row],[حسابهای دریافتنی]]+Table25[[#This Row],[چکهای در جریان وصول]]+Table25[[#This Row],[چکهای نزد صندوق]]</f>
        <v>-50813000</v>
      </c>
      <c r="G15" s="12">
        <f>IFERROR(INDEX('مانده سوفاله'!F:F,MATCH(Table25[[#This Row],[كد تفصيلي]],'مانده سوفاله'!A:A,0)),0)</f>
        <v>0</v>
      </c>
    </row>
    <row r="16" spans="1:7" ht="18" customHeight="1" x14ac:dyDescent="0.3">
      <c r="A16" s="28">
        <v>30003</v>
      </c>
      <c r="B16" s="24" t="s">
        <v>53</v>
      </c>
      <c r="C16" s="10">
        <f>IFERROR(INDEX('حسابهای دریافتنی'!H:H,MATCH(Table25[[#This Row],[كد تفصيلي]],'حسابهای دریافتنی'!A:A,0)),0)</f>
        <v>754765900</v>
      </c>
      <c r="D16" s="17">
        <f>IFERROR(INDEX('درجریان وصول'!F:F,MATCH(Table25[[#This Row],[كد تفصيلي]],'درجریان وصول'!A:A,0)),0)</f>
        <v>0</v>
      </c>
      <c r="E16" s="17">
        <f>IFERROR(INDEX('چکهای دریافتنی'!F:F,MATCH(Table25[[#This Row],[كد تفصيلي]],'چکهای دریافتنی'!A:A,0)),0)</f>
        <v>571000000</v>
      </c>
      <c r="F16" s="17">
        <f>Table25[[#This Row],[حسابهای دریافتنی]]+Table25[[#This Row],[چکهای در جریان وصول]]+Table25[[#This Row],[چکهای نزد صندوق]]</f>
        <v>1325765900</v>
      </c>
      <c r="G16" s="12">
        <f>IFERROR(INDEX('مانده سوفاله'!F:F,MATCH(Table25[[#This Row],[كد تفصيلي]],'مانده سوفاله'!A:A,0)),0)</f>
        <v>-3538</v>
      </c>
    </row>
    <row r="17" spans="1:7" ht="18" customHeight="1" x14ac:dyDescent="0.3">
      <c r="A17" s="29">
        <v>30006</v>
      </c>
      <c r="B17" s="25" t="s">
        <v>56</v>
      </c>
      <c r="C17" s="10">
        <f>IFERROR(INDEX('حسابهای دریافتنی'!H:H,MATCH(Table25[[#This Row],[كد تفصيلي]],'حسابهای دریافتنی'!A:A,0)),0)</f>
        <v>-162677545</v>
      </c>
      <c r="D17" s="11">
        <f>IFERROR(INDEX('درجریان وصول'!F:F,MATCH(Table25[[#This Row],[كد تفصيلي]],'درجریان وصول'!A:A,0)),0)</f>
        <v>0</v>
      </c>
      <c r="E17" s="11">
        <f>IFERROR(INDEX('چکهای دریافتنی'!F:F,MATCH(Table25[[#This Row],[كد تفصيلي]],'چکهای دریافتنی'!A:A,0)),0)</f>
        <v>0</v>
      </c>
      <c r="F17" s="11">
        <f>Table25[[#This Row],[حسابهای دریافتنی]]+Table25[[#This Row],[چکهای در جریان وصول]]+Table25[[#This Row],[چکهای نزد صندوق]]</f>
        <v>-162677545</v>
      </c>
      <c r="G17" s="12">
        <f>IFERROR(INDEX('مانده سوفاله'!F:F,MATCH(Table25[[#This Row],[كد تفصيلي]],'مانده سوفاله'!A:A,0)),0)</f>
        <v>-6</v>
      </c>
    </row>
    <row r="18" spans="1:7" ht="18" customHeight="1" x14ac:dyDescent="0.3">
      <c r="A18" s="29">
        <v>30018</v>
      </c>
      <c r="B18" s="25" t="s">
        <v>66</v>
      </c>
      <c r="C18" s="10">
        <f>IFERROR(INDEX('حسابهای دریافتنی'!H:H,MATCH(Table25[[#This Row],[كد تفصيلي]],'حسابهای دریافتنی'!A:A,0)),0)</f>
        <v>1901077182</v>
      </c>
      <c r="D18" s="17">
        <f>IFERROR(INDEX('درجریان وصول'!F:F,MATCH(Table25[[#This Row],[كد تفصيلي]],'درجریان وصول'!A:A,0)),0)</f>
        <v>0</v>
      </c>
      <c r="E18" s="17">
        <f>IFERROR(INDEX('چکهای دریافتنی'!F:F,MATCH(Table25[[#This Row],[كد تفصيلي]],'چکهای دریافتنی'!A:A,0)),0)</f>
        <v>0</v>
      </c>
      <c r="F18" s="17">
        <f>Table25[[#This Row],[حسابهای دریافتنی]]+Table25[[#This Row],[چکهای در جریان وصول]]+Table25[[#This Row],[چکهای نزد صندوق]]</f>
        <v>1901077182</v>
      </c>
      <c r="G18" s="12">
        <f>IFERROR(INDEX('مانده سوفاله'!F:F,MATCH(Table25[[#This Row],[كد تفصيلي]],'مانده سوفاله'!A:A,0)),0)</f>
        <v>-3024</v>
      </c>
    </row>
    <row r="19" spans="1:7" ht="18" customHeight="1" x14ac:dyDescent="0.3">
      <c r="A19" s="28">
        <v>10029</v>
      </c>
      <c r="B19" s="24" t="s">
        <v>35</v>
      </c>
      <c r="C19" s="10">
        <f>IFERROR(INDEX('حسابهای دریافتنی'!H:H,MATCH(Table25[[#This Row],[كد تفصيلي]],'حسابهای دریافتنی'!A:A,0)),0)</f>
        <v>-1038298620</v>
      </c>
      <c r="D19" s="11">
        <f>IFERROR(INDEX('درجریان وصول'!F:F,MATCH(Table25[[#This Row],[كد تفصيلي]],'درجریان وصول'!A:A,0)),0)</f>
        <v>0</v>
      </c>
      <c r="E19" s="11">
        <f>IFERROR(INDEX('چکهای دریافتنی'!F:F,MATCH(Table25[[#This Row],[كد تفصيلي]],'چکهای دریافتنی'!A:A,0)),0)</f>
        <v>2019000000</v>
      </c>
      <c r="F19" s="11">
        <f>Table25[[#This Row],[حسابهای دریافتنی]]+Table25[[#This Row],[چکهای در جریان وصول]]+Table25[[#This Row],[چکهای نزد صندوق]]</f>
        <v>980701380</v>
      </c>
      <c r="G19" s="12">
        <f>IFERROR(INDEX('مانده سوفاله'!F:F,MATCH(Table25[[#This Row],[كد تفصيلي]],'مانده سوفاله'!A:A,0)),0)</f>
        <v>6603</v>
      </c>
    </row>
    <row r="20" spans="1:7" ht="18" customHeight="1" x14ac:dyDescent="0.3">
      <c r="A20" s="29">
        <v>10056</v>
      </c>
      <c r="B20" s="25" t="s">
        <v>166</v>
      </c>
      <c r="C20" s="10">
        <f>IFERROR(INDEX('حسابهای دریافتنی'!H:H,MATCH(Table25[[#This Row],[كد تفصيلي]],'حسابهای دریافتنی'!A:A,0)),0)</f>
        <v>812653500</v>
      </c>
      <c r="D20" s="11">
        <f>IFERROR(INDEX('درجریان وصول'!F:F,MATCH(Table25[[#This Row],[كد تفصيلي]],'درجریان وصول'!A:A,0)),0)</f>
        <v>0</v>
      </c>
      <c r="E20" s="11">
        <f>IFERROR(INDEX('چکهای دریافتنی'!F:F,MATCH(Table25[[#This Row],[كد تفصيلي]],'چکهای دریافتنی'!A:A,0)),0)</f>
        <v>0</v>
      </c>
      <c r="F20" s="11">
        <f>Table25[[#This Row],[حسابهای دریافتنی]]+Table25[[#This Row],[چکهای در جریان وصول]]+Table25[[#This Row],[چکهای نزد صندوق]]</f>
        <v>812653500</v>
      </c>
      <c r="G20" s="12">
        <f>IFERROR(INDEX('مانده سوفاله'!F:F,MATCH(Table25[[#This Row],[كد تفصيلي]],'مانده سوفاله'!A:A,0)),0)</f>
        <v>0</v>
      </c>
    </row>
    <row r="21" spans="1:7" ht="18" customHeight="1" x14ac:dyDescent="0.3">
      <c r="A21" s="29">
        <v>30014</v>
      </c>
      <c r="B21" s="25" t="s">
        <v>63</v>
      </c>
      <c r="C21" s="10">
        <f>IFERROR(INDEX('حسابهای دریافتنی'!H:H,MATCH(Table25[[#This Row],[كد تفصيلي]],'حسابهای دریافتنی'!A:A,0)),0)</f>
        <v>1762223932</v>
      </c>
      <c r="D21" s="11">
        <f>IFERROR(INDEX('درجریان وصول'!F:F,MATCH(Table25[[#This Row],[كد تفصيلي]],'درجریان وصول'!A:A,0)),0)</f>
        <v>0</v>
      </c>
      <c r="E21" s="11">
        <f>IFERROR(INDEX('چکهای دریافتنی'!F:F,MATCH(Table25[[#This Row],[كد تفصيلي]],'چکهای دریافتنی'!A:A,0)),0)</f>
        <v>0</v>
      </c>
      <c r="F21" s="11">
        <f>Table25[[#This Row],[حسابهای دریافتنی]]+Table25[[#This Row],[چکهای در جریان وصول]]+Table25[[#This Row],[چکهای نزد صندوق]]</f>
        <v>1762223932</v>
      </c>
      <c r="G21" s="12">
        <f>IFERROR(INDEX('مانده سوفاله'!F:F,MATCH(Table25[[#This Row],[كد تفصيلي]],'مانده سوفاله'!A:A,0)),0)</f>
        <v>-1368</v>
      </c>
    </row>
    <row r="22" spans="1:7" ht="18" customHeight="1" x14ac:dyDescent="0.3">
      <c r="A22" s="29">
        <v>30012</v>
      </c>
      <c r="B22" s="25" t="s">
        <v>61</v>
      </c>
      <c r="C22" s="10">
        <f>IFERROR(INDEX('حسابهای دریافتنی'!H:H,MATCH(Table25[[#This Row],[كد تفصيلي]],'حسابهای دریافتنی'!A:A,0)),0)</f>
        <v>-46099000</v>
      </c>
      <c r="D22" s="17">
        <f>IFERROR(INDEX('درجریان وصول'!F:F,MATCH(Table25[[#This Row],[كد تفصيلي]],'درجریان وصول'!A:A,0)),0)</f>
        <v>0</v>
      </c>
      <c r="E22" s="17">
        <f>IFERROR(INDEX('چکهای دریافتنی'!F:F,MATCH(Table25[[#This Row],[كد تفصيلي]],'چکهای دریافتنی'!A:A,0)),0)</f>
        <v>348650000</v>
      </c>
      <c r="F22" s="17">
        <f>Table25[[#This Row],[حسابهای دریافتنی]]+Table25[[#This Row],[چکهای در جریان وصول]]+Table25[[#This Row],[چکهای نزد صندوق]]</f>
        <v>302551000</v>
      </c>
      <c r="G22" s="12">
        <f>IFERROR(INDEX('مانده سوفاله'!F:F,MATCH(Table25[[#This Row],[كد تفصيلي]],'مانده سوفاله'!A:A,0)),0)</f>
        <v>141</v>
      </c>
    </row>
    <row r="23" spans="1:7" ht="18" customHeight="1" x14ac:dyDescent="0.3">
      <c r="A23" s="28">
        <v>30186</v>
      </c>
      <c r="B23" s="24" t="s">
        <v>389</v>
      </c>
      <c r="C23" s="10">
        <f>IFERROR(INDEX('حسابهای دریافتنی'!H:H,MATCH(Table25[[#This Row],[كد تفصيلي]],'حسابهای دریافتنی'!A:A,0)),0)</f>
        <v>986425000</v>
      </c>
      <c r="D23" s="17">
        <f>IFERROR(INDEX('درجریان وصول'!F:F,MATCH(Table25[[#This Row],[كد تفصيلي]],'درجریان وصول'!A:A,0)),0)</f>
        <v>0</v>
      </c>
      <c r="E23" s="17">
        <f>IFERROR(INDEX('چکهای دریافتنی'!F:F,MATCH(Table25[[#This Row],[كد تفصيلي]],'چکهای دریافتنی'!A:A,0)),0)</f>
        <v>5982430000</v>
      </c>
      <c r="F23" s="17">
        <f>Table25[[#This Row],[حسابهای دریافتنی]]+Table25[[#This Row],[چکهای در جریان وصول]]+Table25[[#This Row],[چکهای نزد صندوق]]</f>
        <v>6968855000</v>
      </c>
      <c r="G23" s="12">
        <f>IFERROR(INDEX('مانده سوفاله'!F:F,MATCH(Table25[[#This Row],[كد تفصيلي]],'مانده سوفاله'!A:A,0)),0)</f>
        <v>-7388</v>
      </c>
    </row>
    <row r="24" spans="1:7" ht="18" customHeight="1" x14ac:dyDescent="0.3">
      <c r="A24" s="28">
        <v>30017</v>
      </c>
      <c r="B24" s="24" t="s">
        <v>65</v>
      </c>
      <c r="C24" s="10">
        <f>IFERROR(INDEX('حسابهای دریافتنی'!H:H,MATCH(Table25[[#This Row],[كد تفصيلي]],'حسابهای دریافتنی'!A:A,0)),0)</f>
        <v>905000830</v>
      </c>
      <c r="D24" s="17">
        <f>IFERROR(INDEX('درجریان وصول'!F:F,MATCH(Table25[[#This Row],[كد تفصيلي]],'درجریان وصول'!A:A,0)),0)</f>
        <v>0</v>
      </c>
      <c r="E24" s="17">
        <f>IFERROR(INDEX('چکهای دریافتنی'!F:F,MATCH(Table25[[#This Row],[كد تفصيلي]],'چکهای دریافتنی'!A:A,0)),0)</f>
        <v>0</v>
      </c>
      <c r="F24" s="17">
        <f>Table25[[#This Row],[حسابهای دریافتنی]]+Table25[[#This Row],[چکهای در جریان وصول]]+Table25[[#This Row],[چکهای نزد صندوق]]</f>
        <v>905000830</v>
      </c>
      <c r="G24" s="12">
        <f>IFERROR(INDEX('مانده سوفاله'!F:F,MATCH(Table25[[#This Row],[كد تفصيلي]],'مانده سوفاله'!A:A,0)),0)</f>
        <v>-2186</v>
      </c>
    </row>
    <row r="25" spans="1:7" ht="18" customHeight="1" x14ac:dyDescent="0.3">
      <c r="A25" s="29">
        <v>10008</v>
      </c>
      <c r="B25" s="25" t="s">
        <v>15</v>
      </c>
      <c r="C25" s="10">
        <f>IFERROR(INDEX('حسابهای دریافتنی'!H:H,MATCH(Table25[[#This Row],[كد تفصيلي]],'حسابهای دریافتنی'!A:A,0)),0)</f>
        <v>597342000</v>
      </c>
      <c r="D25" s="11">
        <f>IFERROR(INDEX('درجریان وصول'!F:F,MATCH(Table25[[#This Row],[كد تفصيلي]],'درجریان وصول'!A:A,0)),0)</f>
        <v>0</v>
      </c>
      <c r="E25" s="11">
        <f>IFERROR(INDEX('چکهای دریافتنی'!F:F,MATCH(Table25[[#This Row],[كد تفصيلي]],'چکهای دریافتنی'!A:A,0)),0)</f>
        <v>0</v>
      </c>
      <c r="F25" s="11">
        <f>Table25[[#This Row],[حسابهای دریافتنی]]+Table25[[#This Row],[چکهای در جریان وصول]]+Table25[[#This Row],[چکهای نزد صندوق]]</f>
        <v>597342000</v>
      </c>
      <c r="G25" s="12">
        <f>IFERROR(INDEX('مانده سوفاله'!F:F,MATCH(Table25[[#This Row],[كد تفصيلي]],'مانده سوفاله'!A:A,0)),0)</f>
        <v>-578</v>
      </c>
    </row>
    <row r="26" spans="1:7" ht="18" customHeight="1" x14ac:dyDescent="0.3">
      <c r="A26" s="28">
        <v>10057</v>
      </c>
      <c r="B26" s="24" t="s">
        <v>225</v>
      </c>
      <c r="C26" s="10">
        <f>IFERROR(INDEX('حسابهای دریافتنی'!H:H,MATCH(Table25[[#This Row],[كد تفصيلي]],'حسابهای دریافتنی'!A:A,0)),0)</f>
        <v>1390485500</v>
      </c>
      <c r="D26" s="11">
        <f>IFERROR(INDEX('درجریان وصول'!F:F,MATCH(Table25[[#This Row],[كد تفصيلي]],'درجریان وصول'!A:A,0)),0)</f>
        <v>0</v>
      </c>
      <c r="E26" s="11">
        <f>IFERROR(INDEX('چکهای دریافتنی'!F:F,MATCH(Table25[[#This Row],[كد تفصيلي]],'چکهای دریافتنی'!A:A,0)),0)</f>
        <v>0</v>
      </c>
      <c r="F26" s="11">
        <f>Table25[[#This Row],[حسابهای دریافتنی]]+Table25[[#This Row],[چکهای در جریان وصول]]+Table25[[#This Row],[چکهای نزد صندوق]]</f>
        <v>1390485500</v>
      </c>
      <c r="G26" s="12">
        <f>IFERROR(INDEX('مانده سوفاله'!F:F,MATCH(Table25[[#This Row],[كد تفصيلي]],'مانده سوفاله'!A:A,0)),0)</f>
        <v>-2044</v>
      </c>
    </row>
    <row r="27" spans="1:7" ht="18" customHeight="1" x14ac:dyDescent="0.3">
      <c r="A27" s="29">
        <v>10020</v>
      </c>
      <c r="B27" s="25" t="s">
        <v>27</v>
      </c>
      <c r="C27" s="10">
        <f>IFERROR(INDEX('حسابهای دریافتنی'!H:H,MATCH(Table25[[#This Row],[كد تفصيلي]],'حسابهای دریافتنی'!A:A,0)),0)</f>
        <v>57999963</v>
      </c>
      <c r="D27" s="10">
        <f>IFERROR(INDEX('درجریان وصول'!F:F,MATCH(Table25[[#This Row],[كد تفصيلي]],'درجریان وصول'!A:A,0)),0)</f>
        <v>0</v>
      </c>
      <c r="E27" s="10">
        <f>IFERROR(INDEX('چکهای دریافتنی'!F:F,MATCH(Table25[[#This Row],[كد تفصيلي]],'چکهای دریافتنی'!A:A,0)),0)</f>
        <v>728000000</v>
      </c>
      <c r="F27" s="10">
        <f>Table25[[#This Row],[حسابهای دریافتنی]]+Table25[[#This Row],[چکهای در جریان وصول]]+Table25[[#This Row],[چکهای نزد صندوق]]</f>
        <v>785999963</v>
      </c>
      <c r="G27" s="12">
        <f>IFERROR(INDEX('مانده سوفاله'!F:F,MATCH(Table25[[#This Row],[كد تفصيلي]],'مانده سوفاله'!A:A,0)),0)</f>
        <v>-1031</v>
      </c>
    </row>
    <row r="28" spans="1:7" ht="18" customHeight="1" x14ac:dyDescent="0.3">
      <c r="A28" s="28">
        <v>50011</v>
      </c>
      <c r="B28" s="24" t="s">
        <v>147</v>
      </c>
      <c r="C28" s="10">
        <f>IFERROR(INDEX('حسابهای دریافتنی'!H:H,MATCH(Table25[[#This Row],[كد تفصيلي]],'حسابهای دریافتنی'!A:A,0)),0)</f>
        <v>832182413</v>
      </c>
      <c r="D28" s="17">
        <f>IFERROR(INDEX('درجریان وصول'!F:F,MATCH(Table25[[#This Row],[كد تفصيلي]],'درجریان وصول'!A:A,0)),0)</f>
        <v>0</v>
      </c>
      <c r="E28" s="17">
        <f>IFERROR(INDEX('چکهای دریافتنی'!F:F,MATCH(Table25[[#This Row],[كد تفصيلي]],'چکهای دریافتنی'!A:A,0)),0)</f>
        <v>0</v>
      </c>
      <c r="F28" s="17">
        <f>Table25[[#This Row],[حسابهای دریافتنی]]+Table25[[#This Row],[چکهای در جریان وصول]]+Table25[[#This Row],[چکهای نزد صندوق]]</f>
        <v>832182413</v>
      </c>
      <c r="G28" s="12">
        <f>IFERROR(INDEX('مانده سوفاله'!F:F,MATCH(Table25[[#This Row],[كد تفصيلي]],'مانده سوفاله'!A:A,0)),0)</f>
        <v>30</v>
      </c>
    </row>
    <row r="29" spans="1:7" ht="18" customHeight="1" x14ac:dyDescent="0.3">
      <c r="A29" s="29">
        <v>30040</v>
      </c>
      <c r="B29" s="25" t="s">
        <v>87</v>
      </c>
      <c r="C29" s="10">
        <f>IFERROR(INDEX('حسابهای دریافتنی'!H:H,MATCH(Table25[[#This Row],[كد تفصيلي]],'حسابهای دریافتنی'!A:A,0)),0)</f>
        <v>0</v>
      </c>
      <c r="D29" s="11">
        <f>IFERROR(INDEX('درجریان وصول'!F:F,MATCH(Table25[[#This Row],[كد تفصيلي]],'درجریان وصول'!A:A,0)),0)</f>
        <v>0</v>
      </c>
      <c r="E29" s="11">
        <f>IFERROR(INDEX('چکهای دریافتنی'!F:F,MATCH(Table25[[#This Row],[كد تفصيلي]],'چکهای دریافتنی'!A:A,0)),0)</f>
        <v>0</v>
      </c>
      <c r="F29" s="11">
        <f>Table25[[#This Row],[حسابهای دریافتنی]]+Table25[[#This Row],[چکهای در جریان وصول]]+Table25[[#This Row],[چکهای نزد صندوق]]</f>
        <v>0</v>
      </c>
      <c r="G29" s="12">
        <f>IFERROR(INDEX('مانده سوفاله'!F:F,MATCH(Table25[[#This Row],[كد تفصيلي]],'مانده سوفاله'!A:A,0)),0)</f>
        <v>0</v>
      </c>
    </row>
    <row r="30" spans="1:7" ht="18" customHeight="1" x14ac:dyDescent="0.3">
      <c r="A30" s="28">
        <v>30070</v>
      </c>
      <c r="B30" s="24" t="s">
        <v>115</v>
      </c>
      <c r="C30" s="10">
        <f>IFERROR(INDEX('حسابهای دریافتنی'!H:H,MATCH(Table25[[#This Row],[كد تفصيلي]],'حسابهای دریافتنی'!A:A,0)),0)</f>
        <v>2651728820</v>
      </c>
      <c r="D30" s="17">
        <f>IFERROR(INDEX('درجریان وصول'!F:F,MATCH(Table25[[#This Row],[كد تفصيلي]],'درجریان وصول'!A:A,0)),0)</f>
        <v>0</v>
      </c>
      <c r="E30" s="17">
        <f>IFERROR(INDEX('چکهای دریافتنی'!F:F,MATCH(Table25[[#This Row],[كد تفصيلي]],'چکهای دریافتنی'!A:A,0)),0)</f>
        <v>3660000000</v>
      </c>
      <c r="F30" s="17">
        <f>Table25[[#This Row],[حسابهای دریافتنی]]+Table25[[#This Row],[چکهای در جریان وصول]]+Table25[[#This Row],[چکهای نزد صندوق]]</f>
        <v>6311728820</v>
      </c>
      <c r="G30" s="12">
        <f>IFERROR(INDEX('مانده سوفاله'!F:F,MATCH(Table25[[#This Row],[كد تفصيلي]],'مانده سوفاله'!A:A,0)),0)</f>
        <v>4378</v>
      </c>
    </row>
    <row r="31" spans="1:7" ht="18" customHeight="1" x14ac:dyDescent="0.3">
      <c r="A31" s="28">
        <v>30182</v>
      </c>
      <c r="B31" s="24" t="s">
        <v>387</v>
      </c>
      <c r="C31" s="10">
        <f>IFERROR(INDEX('حسابهای دریافتنی'!H:H,MATCH(Table25[[#This Row],[كد تفصيلي]],'حسابهای دریافتنی'!A:A,0)),0)</f>
        <v>-528256400</v>
      </c>
      <c r="D31" s="17">
        <f>IFERROR(INDEX('درجریان وصول'!F:F,MATCH(Table25[[#This Row],[كد تفصيلي]],'درجریان وصول'!A:A,0)),0)</f>
        <v>0</v>
      </c>
      <c r="E31" s="17">
        <f>IFERROR(INDEX('چکهای دریافتنی'!F:F,MATCH(Table25[[#This Row],[كد تفصيلي]],'چکهای دریافتنی'!A:A,0)),0)</f>
        <v>0</v>
      </c>
      <c r="F31" s="17">
        <f>Table25[[#This Row],[حسابهای دریافتنی]]+Table25[[#This Row],[چکهای در جریان وصول]]+Table25[[#This Row],[چکهای نزد صندوق]]</f>
        <v>-528256400</v>
      </c>
      <c r="G31" s="12">
        <f>IFERROR(INDEX('مانده سوفاله'!F:F,MATCH(Table25[[#This Row],[كد تفصيلي]],'مانده سوفاله'!A:A,0)),0)</f>
        <v>0</v>
      </c>
    </row>
    <row r="32" spans="1:7" ht="18" customHeight="1" x14ac:dyDescent="0.3">
      <c r="A32" s="29">
        <v>30069</v>
      </c>
      <c r="B32" s="25" t="s">
        <v>114</v>
      </c>
      <c r="C32" s="10">
        <f>IFERROR(INDEX('حسابهای دریافتنی'!H:H,MATCH(Table25[[#This Row],[كد تفصيلي]],'حسابهای دریافتنی'!A:A,0)),0)</f>
        <v>377909400</v>
      </c>
      <c r="D32" s="17">
        <f>IFERROR(INDEX('درجریان وصول'!F:F,MATCH(Table25[[#This Row],[كد تفصيلي]],'درجریان وصول'!A:A,0)),0)</f>
        <v>0</v>
      </c>
      <c r="E32" s="17">
        <f>IFERROR(INDEX('چکهای دریافتنی'!F:F,MATCH(Table25[[#This Row],[كد تفصيلي]],'چکهای دریافتنی'!A:A,0)),0)</f>
        <v>0</v>
      </c>
      <c r="F32" s="17">
        <f>Table25[[#This Row],[حسابهای دریافتنی]]+Table25[[#This Row],[چکهای در جریان وصول]]+Table25[[#This Row],[چکهای نزد صندوق]]</f>
        <v>377909400</v>
      </c>
      <c r="G32" s="12">
        <f>IFERROR(INDEX('مانده سوفاله'!F:F,MATCH(Table25[[#This Row],[كد تفصيلي]],'مانده سوفاله'!A:A,0)),0)</f>
        <v>66</v>
      </c>
    </row>
    <row r="33" spans="1:7" ht="18" customHeight="1" x14ac:dyDescent="0.3">
      <c r="A33" s="29">
        <v>10070</v>
      </c>
      <c r="B33" s="25" t="s">
        <v>230</v>
      </c>
      <c r="C33" s="10">
        <f>IFERROR(INDEX('حسابهای دریافتنی'!H:H,MATCH(Table25[[#This Row],[كد تفصيلي]],'حسابهای دریافتنی'!A:A,0)),0)</f>
        <v>508152500</v>
      </c>
      <c r="D33" s="11">
        <f>IFERROR(INDEX('درجریان وصول'!F:F,MATCH(Table25[[#This Row],[كد تفصيلي]],'درجریان وصول'!A:A,0)),0)</f>
        <v>0</v>
      </c>
      <c r="E33" s="11">
        <f>IFERROR(INDEX('چکهای دریافتنی'!F:F,MATCH(Table25[[#This Row],[كد تفصيلي]],'چکهای دریافتنی'!A:A,0)),0)</f>
        <v>570000000</v>
      </c>
      <c r="F33" s="11">
        <f>Table25[[#This Row],[حسابهای دریافتنی]]+Table25[[#This Row],[چکهای در جریان وصول]]+Table25[[#This Row],[چکهای نزد صندوق]]</f>
        <v>1078152500</v>
      </c>
      <c r="G33" s="12">
        <f>IFERROR(INDEX('مانده سوفاله'!F:F,MATCH(Table25[[#This Row],[كد تفصيلي]],'مانده سوفاله'!A:A,0)),0)</f>
        <v>-3170</v>
      </c>
    </row>
    <row r="34" spans="1:7" ht="18" customHeight="1" x14ac:dyDescent="0.3">
      <c r="A34" s="29">
        <v>10084</v>
      </c>
      <c r="B34" s="25" t="s">
        <v>217</v>
      </c>
      <c r="C34" s="10">
        <f>IFERROR(INDEX('حسابهای دریافتنی'!H:H,MATCH(Table25[[#This Row],[كد تفصيلي]],'حسابهای دریافتنی'!A:A,0)),0)</f>
        <v>358092810</v>
      </c>
      <c r="D34" s="10">
        <f>IFERROR(INDEX('درجریان وصول'!F:F,MATCH(Table25[[#This Row],[كد تفصيلي]],'درجریان وصول'!A:A,0)),0)</f>
        <v>0</v>
      </c>
      <c r="E34" s="10">
        <f>IFERROR(INDEX('چکهای دریافتنی'!F:F,MATCH(Table25[[#This Row],[كد تفصيلي]],'چکهای دریافتنی'!A:A,0)),0)</f>
        <v>870000000</v>
      </c>
      <c r="F34" s="10">
        <f>Table25[[#This Row],[حسابهای دریافتنی]]+Table25[[#This Row],[چکهای در جریان وصول]]+Table25[[#This Row],[چکهای نزد صندوق]]</f>
        <v>1228092810</v>
      </c>
      <c r="G34" s="12">
        <f>IFERROR(INDEX('مانده سوفاله'!F:F,MATCH(Table25[[#This Row],[كد تفصيلي]],'مانده سوفاله'!A:A,0)),0)</f>
        <v>-1656</v>
      </c>
    </row>
    <row r="35" spans="1:7" ht="18" customHeight="1" x14ac:dyDescent="0.3">
      <c r="A35" s="28">
        <v>30124</v>
      </c>
      <c r="B35" s="24" t="s">
        <v>246</v>
      </c>
      <c r="C35" s="10">
        <f>IFERROR(INDEX('حسابهای دریافتنی'!H:H,MATCH(Table25[[#This Row],[كد تفصيلي]],'حسابهای دریافتنی'!A:A,0)),0)</f>
        <v>0</v>
      </c>
      <c r="D35" s="17">
        <f>IFERROR(INDEX('درجریان وصول'!F:F,MATCH(Table25[[#This Row],[كد تفصيلي]],'درجریان وصول'!A:A,0)),0)</f>
        <v>0</v>
      </c>
      <c r="E35" s="17">
        <f>IFERROR(INDEX('چکهای دریافتنی'!F:F,MATCH(Table25[[#This Row],[كد تفصيلي]],'چکهای دریافتنی'!A:A,0)),0)</f>
        <v>505676000</v>
      </c>
      <c r="F35" s="17">
        <f>Table25[[#This Row],[حسابهای دریافتنی]]+Table25[[#This Row],[چکهای در جریان وصول]]+Table25[[#This Row],[چکهای نزد صندوق]]</f>
        <v>505676000</v>
      </c>
      <c r="G35" s="12">
        <f>IFERROR(INDEX('مانده سوفاله'!F:F,MATCH(Table25[[#This Row],[كد تفصيلي]],'مانده سوفاله'!A:A,0)),0)</f>
        <v>1498</v>
      </c>
    </row>
    <row r="36" spans="1:7" ht="18" customHeight="1" x14ac:dyDescent="0.3">
      <c r="A36" s="29">
        <v>30030</v>
      </c>
      <c r="B36" s="25" t="s">
        <v>77</v>
      </c>
      <c r="C36" s="10">
        <f>IFERROR(INDEX('حسابهای دریافتنی'!H:H,MATCH(Table25[[#This Row],[كد تفصيلي]],'حسابهای دریافتنی'!A:A,0)),0)</f>
        <v>850500</v>
      </c>
      <c r="D36" s="17">
        <f>IFERROR(INDEX('درجریان وصول'!F:F,MATCH(Table25[[#This Row],[كد تفصيلي]],'درجریان وصول'!A:A,0)),0)</f>
        <v>0</v>
      </c>
      <c r="E36" s="17">
        <f>IFERROR(INDEX('چکهای دریافتنی'!F:F,MATCH(Table25[[#This Row],[كد تفصيلي]],'چکهای دریافتنی'!A:A,0)),0)</f>
        <v>0</v>
      </c>
      <c r="F36" s="17">
        <f>Table25[[#This Row],[حسابهای دریافتنی]]+Table25[[#This Row],[چکهای در جریان وصول]]+Table25[[#This Row],[چکهای نزد صندوق]]</f>
        <v>850500</v>
      </c>
      <c r="G36" s="12">
        <f>IFERROR(INDEX('مانده سوفاله'!F:F,MATCH(Table25[[#This Row],[كد تفصيلي]],'مانده سوفاله'!A:A,0)),0)</f>
        <v>-49</v>
      </c>
    </row>
    <row r="37" spans="1:7" ht="18" customHeight="1" x14ac:dyDescent="0.3">
      <c r="A37" s="28">
        <v>10069</v>
      </c>
      <c r="B37" s="24" t="s">
        <v>204</v>
      </c>
      <c r="C37" s="10">
        <f>IFERROR(INDEX('حسابهای دریافتنی'!H:H,MATCH(Table25[[#This Row],[كد تفصيلي]],'حسابهای دریافتنی'!A:A,0)),0)</f>
        <v>952500</v>
      </c>
      <c r="D37" s="11">
        <f>IFERROR(INDEX('درجریان وصول'!F:F,MATCH(Table25[[#This Row],[كد تفصيلي]],'درجریان وصول'!A:A,0)),0)</f>
        <v>0</v>
      </c>
      <c r="E37" s="11">
        <f>IFERROR(INDEX('چکهای دریافتنی'!F:F,MATCH(Table25[[#This Row],[كد تفصيلي]],'چکهای دریافتنی'!A:A,0)),0)</f>
        <v>73000000</v>
      </c>
      <c r="F37" s="11">
        <f>Table25[[#This Row],[حسابهای دریافتنی]]+Table25[[#This Row],[چکهای در جریان وصول]]+Table25[[#This Row],[چکهای نزد صندوق]]</f>
        <v>73952500</v>
      </c>
      <c r="G37" s="12">
        <f>IFERROR(INDEX('مانده سوفاله'!F:F,MATCH(Table25[[#This Row],[كد تفصيلي]],'مانده سوفاله'!A:A,0)),0)</f>
        <v>339</v>
      </c>
    </row>
    <row r="38" spans="1:7" ht="18" customHeight="1" x14ac:dyDescent="0.3">
      <c r="A38" s="29">
        <v>30055</v>
      </c>
      <c r="B38" s="25" t="s">
        <v>100</v>
      </c>
      <c r="C38" s="10">
        <f>IFERROR(INDEX('حسابهای دریافتنی'!H:H,MATCH(Table25[[#This Row],[كد تفصيلي]],'حسابهای دریافتنی'!A:A,0)),0)</f>
        <v>0</v>
      </c>
      <c r="D38" s="17">
        <f>IFERROR(INDEX('درجریان وصول'!F:F,MATCH(Table25[[#This Row],[كد تفصيلي]],'درجریان وصول'!A:A,0)),0)</f>
        <v>0</v>
      </c>
      <c r="E38" s="17">
        <f>IFERROR(INDEX('چکهای دریافتنی'!F:F,MATCH(Table25[[#This Row],[كد تفصيلي]],'چکهای دریافتنی'!A:A,0)),0)</f>
        <v>0</v>
      </c>
      <c r="F38" s="17">
        <f>Table25[[#This Row],[حسابهای دریافتنی]]+Table25[[#This Row],[چکهای در جریان وصول]]+Table25[[#This Row],[چکهای نزد صندوق]]</f>
        <v>0</v>
      </c>
      <c r="G38" s="12">
        <f>IFERROR(INDEX('مانده سوفاله'!F:F,MATCH(Table25[[#This Row],[كد تفصيلي]],'مانده سوفاله'!A:A,0)),0)</f>
        <v>48</v>
      </c>
    </row>
    <row r="39" spans="1:7" ht="18" customHeight="1" x14ac:dyDescent="0.3">
      <c r="A39" s="28">
        <v>30140</v>
      </c>
      <c r="B39" s="24" t="s">
        <v>259</v>
      </c>
      <c r="C39" s="10">
        <f>IFERROR(INDEX('حسابهای دریافتنی'!H:H,MATCH(Table25[[#This Row],[كد تفصيلي]],'حسابهای دریافتنی'!A:A,0)),0)</f>
        <v>553728200</v>
      </c>
      <c r="D39" s="17">
        <f>IFERROR(INDEX('درجریان وصول'!F:F,MATCH(Table25[[#This Row],[كد تفصيلي]],'درجریان وصول'!A:A,0)),0)</f>
        <v>0</v>
      </c>
      <c r="E39" s="17">
        <f>IFERROR(INDEX('چکهای دریافتنی'!F:F,MATCH(Table25[[#This Row],[كد تفصيلي]],'چکهای دریافتنی'!A:A,0)),0)</f>
        <v>1030000000</v>
      </c>
      <c r="F39" s="17">
        <f>Table25[[#This Row],[حسابهای دریافتنی]]+Table25[[#This Row],[چکهای در جریان وصول]]+Table25[[#This Row],[چکهای نزد صندوق]]</f>
        <v>1583728200</v>
      </c>
      <c r="G39" s="12">
        <f>IFERROR(INDEX('مانده سوفاله'!F:F,MATCH(Table25[[#This Row],[كد تفصيلي]],'مانده سوفاله'!A:A,0)),0)</f>
        <v>-12630</v>
      </c>
    </row>
    <row r="40" spans="1:7" ht="18" customHeight="1" x14ac:dyDescent="0.3">
      <c r="A40" s="28">
        <v>30086</v>
      </c>
      <c r="B40" s="24" t="s">
        <v>131</v>
      </c>
      <c r="C40" s="10">
        <f>IFERROR(INDEX('حسابهای دریافتنی'!H:H,MATCH(Table25[[#This Row],[كد تفصيلي]],'حسابهای دریافتنی'!A:A,0)),0)</f>
        <v>187376603</v>
      </c>
      <c r="D40" s="17">
        <f>IFERROR(INDEX('درجریان وصول'!F:F,MATCH(Table25[[#This Row],[كد تفصيلي]],'درجریان وصول'!A:A,0)),0)</f>
        <v>0</v>
      </c>
      <c r="E40" s="17">
        <f>IFERROR(INDEX('چکهای دریافتنی'!F:F,MATCH(Table25[[#This Row],[كد تفصيلي]],'چکهای دریافتنی'!A:A,0)),0)</f>
        <v>0</v>
      </c>
      <c r="F40" s="17">
        <f>Table25[[#This Row],[حسابهای دریافتنی]]+Table25[[#This Row],[چکهای در جریان وصول]]+Table25[[#This Row],[چکهای نزد صندوق]]</f>
        <v>187376603</v>
      </c>
      <c r="G40" s="12">
        <f>IFERROR(INDEX('مانده سوفاله'!F:F,MATCH(Table25[[#This Row],[كد تفصيلي]],'مانده سوفاله'!A:A,0)),0)</f>
        <v>1549</v>
      </c>
    </row>
    <row r="41" spans="1:7" ht="18" customHeight="1" x14ac:dyDescent="0.3">
      <c r="A41" s="28">
        <v>10015</v>
      </c>
      <c r="B41" s="24" t="s">
        <v>22</v>
      </c>
      <c r="C41" s="10">
        <f>IFERROR(INDEX('حسابهای دریافتنی'!H:H,MATCH(Table25[[#This Row],[كد تفصيلي]],'حسابهای دریافتنی'!A:A,0)),0)</f>
        <v>-4735000</v>
      </c>
      <c r="D41" s="11">
        <f>IFERROR(INDEX('درجریان وصول'!F:F,MATCH(Table25[[#This Row],[كد تفصيلي]],'درجریان وصول'!A:A,0)),0)</f>
        <v>0</v>
      </c>
      <c r="E41" s="11">
        <f>IFERROR(INDEX('چکهای دریافتنی'!F:F,MATCH(Table25[[#This Row],[كد تفصيلي]],'چکهای دریافتنی'!A:A,0)),0)</f>
        <v>0</v>
      </c>
      <c r="F41" s="11">
        <f>Table25[[#This Row],[حسابهای دریافتنی]]+Table25[[#This Row],[چکهای در جریان وصول]]+Table25[[#This Row],[چکهای نزد صندوق]]</f>
        <v>-4735000</v>
      </c>
      <c r="G41" s="12">
        <f>IFERROR(INDEX('مانده سوفاله'!F:F,MATCH(Table25[[#This Row],[كد تفصيلي]],'مانده سوفاله'!A:A,0)),0)</f>
        <v>12</v>
      </c>
    </row>
    <row r="42" spans="1:7" ht="18" customHeight="1" x14ac:dyDescent="0.3">
      <c r="A42" s="29">
        <v>10028</v>
      </c>
      <c r="B42" s="25" t="s">
        <v>34</v>
      </c>
      <c r="C42" s="10">
        <f>IFERROR(INDEX('حسابهای دریافتنی'!H:H,MATCH(Table25[[#This Row],[كد تفصيلي]],'حسابهای دریافتنی'!A:A,0)),0)</f>
        <v>0</v>
      </c>
      <c r="D42" s="11">
        <f>IFERROR(INDEX('درجریان وصول'!F:F,MATCH(Table25[[#This Row],[كد تفصيلي]],'درجریان وصول'!A:A,0)),0)</f>
        <v>0</v>
      </c>
      <c r="E42" s="11">
        <f>IFERROR(INDEX('چکهای دریافتنی'!F:F,MATCH(Table25[[#This Row],[كد تفصيلي]],'چکهای دریافتنی'!A:A,0)),0)</f>
        <v>0</v>
      </c>
      <c r="F42" s="11">
        <f>Table25[[#This Row],[حسابهای دریافتنی]]+Table25[[#This Row],[چکهای در جریان وصول]]+Table25[[#This Row],[چکهای نزد صندوق]]</f>
        <v>0</v>
      </c>
      <c r="G42" s="12">
        <f>IFERROR(INDEX('مانده سوفاله'!F:F,MATCH(Table25[[#This Row],[كد تفصيلي]],'مانده سوفاله'!A:A,0)),0)</f>
        <v>-398</v>
      </c>
    </row>
    <row r="43" spans="1:7" ht="18" customHeight="1" x14ac:dyDescent="0.3">
      <c r="A43" s="29">
        <v>10072</v>
      </c>
      <c r="B43" s="25" t="s">
        <v>177</v>
      </c>
      <c r="C43" s="10">
        <f>IFERROR(INDEX('حسابهای دریافتنی'!H:H,MATCH(Table25[[#This Row],[كد تفصيلي]],'حسابهای دریافتنی'!A:A,0)),0)</f>
        <v>55880</v>
      </c>
      <c r="D43" s="11">
        <f>IFERROR(INDEX('درجریان وصول'!F:F,MATCH(Table25[[#This Row],[كد تفصيلي]],'درجریان وصول'!A:A,0)),0)</f>
        <v>0</v>
      </c>
      <c r="E43" s="11">
        <f>IFERROR(INDEX('چکهای دریافتنی'!F:F,MATCH(Table25[[#This Row],[كد تفصيلي]],'چکهای دریافتنی'!A:A,0)),0)</f>
        <v>427700000</v>
      </c>
      <c r="F43" s="11">
        <f>Table25[[#This Row],[حسابهای دریافتنی]]+Table25[[#This Row],[چکهای در جریان وصول]]+Table25[[#This Row],[چکهای نزد صندوق]]</f>
        <v>427755880</v>
      </c>
      <c r="G43" s="12">
        <f>IFERROR(INDEX('مانده سوفاله'!F:F,MATCH(Table25[[#This Row],[كد تفصيلي]],'مانده سوفاله'!A:A,0)),0)</f>
        <v>0</v>
      </c>
    </row>
    <row r="44" spans="1:7" ht="18" customHeight="1" x14ac:dyDescent="0.3">
      <c r="A44" s="29">
        <v>30026</v>
      </c>
      <c r="B44" s="25" t="s">
        <v>74</v>
      </c>
      <c r="C44" s="10">
        <f>IFERROR(INDEX('حسابهای دریافتنی'!H:H,MATCH(Table25[[#This Row],[كد تفصيلي]],'حسابهای دریافتنی'!A:A,0)),0)</f>
        <v>5689439</v>
      </c>
      <c r="D44" s="17">
        <f>IFERROR(INDEX('درجریان وصول'!F:F,MATCH(Table25[[#This Row],[كد تفصيلي]],'درجریان وصول'!A:A,0)),0)</f>
        <v>0</v>
      </c>
      <c r="E44" s="17">
        <f>IFERROR(INDEX('چکهای دریافتنی'!F:F,MATCH(Table25[[#This Row],[كد تفصيلي]],'چکهای دریافتنی'!A:A,0)),0)</f>
        <v>0</v>
      </c>
      <c r="F44" s="17">
        <f>Table25[[#This Row],[حسابهای دریافتنی]]+Table25[[#This Row],[چکهای در جریان وصول]]+Table25[[#This Row],[چکهای نزد صندوق]]</f>
        <v>5689439</v>
      </c>
      <c r="G44" s="12">
        <f>IFERROR(INDEX('مانده سوفاله'!F:F,MATCH(Table25[[#This Row],[كد تفصيلي]],'مانده سوفاله'!A:A,0)),0)</f>
        <v>764</v>
      </c>
    </row>
    <row r="45" spans="1:7" ht="18" customHeight="1" x14ac:dyDescent="0.3">
      <c r="A45" s="28">
        <v>30019</v>
      </c>
      <c r="B45" s="24" t="s">
        <v>67</v>
      </c>
      <c r="C45" s="10">
        <f>IFERROR(INDEX('حسابهای دریافتنی'!H:H,MATCH(Table25[[#This Row],[كد تفصيلي]],'حسابهای دریافتنی'!A:A,0)),0)</f>
        <v>823484840</v>
      </c>
      <c r="D45" s="11">
        <f>IFERROR(INDEX('درجریان وصول'!F:F,MATCH(Table25[[#This Row],[كد تفصيلي]],'درجریان وصول'!A:A,0)),0)</f>
        <v>0</v>
      </c>
      <c r="E45" s="11">
        <f>IFERROR(INDEX('چکهای دریافتنی'!F:F,MATCH(Table25[[#This Row],[كد تفصيلي]],'چکهای دریافتنی'!A:A,0)),0)</f>
        <v>0</v>
      </c>
      <c r="F45" s="11">
        <f>Table25[[#This Row],[حسابهای دریافتنی]]+Table25[[#This Row],[چکهای در جریان وصول]]+Table25[[#This Row],[چکهای نزد صندوق]]</f>
        <v>823484840</v>
      </c>
      <c r="G45" s="12">
        <f>IFERROR(INDEX('مانده سوفاله'!F:F,MATCH(Table25[[#This Row],[كد تفصيلي]],'مانده سوفاله'!A:A,0)),0)</f>
        <v>612</v>
      </c>
    </row>
    <row r="46" spans="1:7" ht="18" customHeight="1" x14ac:dyDescent="0.3">
      <c r="A46" s="29">
        <v>10092</v>
      </c>
      <c r="B46" s="25" t="s">
        <v>260</v>
      </c>
      <c r="C46" s="10">
        <f>IFERROR(INDEX('حسابهای دریافتنی'!H:H,MATCH(Table25[[#This Row],[كد تفصيلي]],'حسابهای دریافتنی'!A:A,0)),0)</f>
        <v>-1749946500</v>
      </c>
      <c r="D46" s="10">
        <f>IFERROR(INDEX('درجریان وصول'!F:F,MATCH(Table25[[#This Row],[كد تفصيلي]],'درجریان وصول'!A:A,0)),0)</f>
        <v>0</v>
      </c>
      <c r="E46" s="10">
        <f>IFERROR(INDEX('چکهای دریافتنی'!F:F,MATCH(Table25[[#This Row],[كد تفصيلي]],'چکهای دریافتنی'!A:A,0)),0)</f>
        <v>300000000</v>
      </c>
      <c r="F46" s="10">
        <f>Table25[[#This Row],[حسابهای دریافتنی]]+Table25[[#This Row],[چکهای در جریان وصول]]+Table25[[#This Row],[چکهای نزد صندوق]]</f>
        <v>-1449946500</v>
      </c>
      <c r="G46" s="12">
        <f>IFERROR(INDEX('مانده سوفاله'!F:F,MATCH(Table25[[#This Row],[كد تفصيلي]],'مانده سوفاله'!A:A,0)),0)</f>
        <v>0</v>
      </c>
    </row>
    <row r="47" spans="1:7" ht="18" customHeight="1" x14ac:dyDescent="0.3">
      <c r="A47" s="29">
        <v>10096</v>
      </c>
      <c r="B47" s="25" t="s">
        <v>271</v>
      </c>
      <c r="C47" s="10">
        <f>IFERROR(INDEX('حسابهای دریافتنی'!H:H,MATCH(Table25[[#This Row],[كد تفصيلي]],'حسابهای دریافتنی'!A:A,0)),0)</f>
        <v>36455500</v>
      </c>
      <c r="D47" s="11">
        <f>IFERROR(INDEX('درجریان وصول'!F:F,MATCH(Table25[[#This Row],[كد تفصيلي]],'درجریان وصول'!A:A,0)),0)</f>
        <v>0</v>
      </c>
      <c r="E47" s="11">
        <f>IFERROR(INDEX('چکهای دریافتنی'!F:F,MATCH(Table25[[#This Row],[كد تفصيلي]],'چکهای دریافتنی'!A:A,0)),0)</f>
        <v>0</v>
      </c>
      <c r="F47" s="11">
        <f>Table25[[#This Row],[حسابهای دریافتنی]]+Table25[[#This Row],[چکهای در جریان وصول]]+Table25[[#This Row],[چکهای نزد صندوق]]</f>
        <v>36455500</v>
      </c>
      <c r="G47" s="12">
        <f>IFERROR(INDEX('مانده سوفاله'!F:F,MATCH(Table25[[#This Row],[كد تفصيلي]],'مانده سوفاله'!A:A,0)),0)</f>
        <v>0</v>
      </c>
    </row>
    <row r="48" spans="1:7" ht="18" customHeight="1" x14ac:dyDescent="0.3">
      <c r="A48" s="28">
        <v>30025</v>
      </c>
      <c r="B48" s="24" t="s">
        <v>73</v>
      </c>
      <c r="C48" s="10">
        <f>IFERROR(INDEX('حسابهای دریافتنی'!H:H,MATCH(Table25[[#This Row],[كد تفصيلي]],'حسابهای دریافتنی'!A:A,0)),0)</f>
        <v>35598920</v>
      </c>
      <c r="D48" s="11">
        <f>IFERROR(INDEX('درجریان وصول'!F:F,MATCH(Table25[[#This Row],[كد تفصيلي]],'درجریان وصول'!A:A,0)),0)</f>
        <v>0</v>
      </c>
      <c r="E48" s="11">
        <f>IFERROR(INDEX('چکهای دریافتنی'!F:F,MATCH(Table25[[#This Row],[كد تفصيلي]],'چکهای دریافتنی'!A:A,0)),0)</f>
        <v>0</v>
      </c>
      <c r="F48" s="11">
        <f>Table25[[#This Row],[حسابهای دریافتنی]]+Table25[[#This Row],[چکهای در جریان وصول]]+Table25[[#This Row],[چکهای نزد صندوق]]</f>
        <v>35598920</v>
      </c>
      <c r="G48" s="12">
        <f>IFERROR(INDEX('مانده سوفاله'!F:F,MATCH(Table25[[#This Row],[كد تفصيلي]],'مانده سوفاله'!A:A,0)),0)</f>
        <v>-165</v>
      </c>
    </row>
    <row r="49" spans="1:7" ht="18" customHeight="1" x14ac:dyDescent="0.3">
      <c r="A49" s="28">
        <v>30005</v>
      </c>
      <c r="B49" s="24" t="s">
        <v>55</v>
      </c>
      <c r="C49" s="10">
        <f>IFERROR(INDEX('حسابهای دریافتنی'!H:H,MATCH(Table25[[#This Row],[كد تفصيلي]],'حسابهای دریافتنی'!A:A,0)),0)</f>
        <v>35368209</v>
      </c>
      <c r="D49" s="17">
        <f>IFERROR(INDEX('درجریان وصول'!F:F,MATCH(Table25[[#This Row],[كد تفصيلي]],'درجریان وصول'!A:A,0)),0)</f>
        <v>0</v>
      </c>
      <c r="E49" s="17">
        <f>IFERROR(INDEX('چکهای دریافتنی'!F:F,MATCH(Table25[[#This Row],[كد تفصيلي]],'چکهای دریافتنی'!A:A,0)),0)</f>
        <v>0</v>
      </c>
      <c r="F49" s="17">
        <f>Table25[[#This Row],[حسابهای دریافتنی]]+Table25[[#This Row],[چکهای در جریان وصول]]+Table25[[#This Row],[چکهای نزد صندوق]]</f>
        <v>35368209</v>
      </c>
      <c r="G49" s="12">
        <f>IFERROR(INDEX('مانده سوفاله'!F:F,MATCH(Table25[[#This Row],[كد تفصيلي]],'مانده سوفاله'!A:A,0)),0)</f>
        <v>61</v>
      </c>
    </row>
    <row r="50" spans="1:7" ht="18" customHeight="1" x14ac:dyDescent="0.3">
      <c r="A50" s="28">
        <v>30160</v>
      </c>
      <c r="B50" s="24" t="s">
        <v>296</v>
      </c>
      <c r="C50" s="10">
        <f>IFERROR(INDEX('حسابهای دریافتنی'!H:H,MATCH(Table25[[#This Row],[كد تفصيلي]],'حسابهای دریافتنی'!A:A,0)),0)</f>
        <v>0</v>
      </c>
      <c r="D50" s="17">
        <f>IFERROR(INDEX('درجریان وصول'!F:F,MATCH(Table25[[#This Row],[كد تفصيلي]],'درجریان وصول'!A:A,0)),0)</f>
        <v>0</v>
      </c>
      <c r="E50" s="17">
        <f>IFERROR(INDEX('چکهای دریافتنی'!F:F,MATCH(Table25[[#This Row],[كد تفصيلي]],'چکهای دریافتنی'!A:A,0)),0)</f>
        <v>0</v>
      </c>
      <c r="F50" s="17">
        <f>Table25[[#This Row],[حسابهای دریافتنی]]+Table25[[#This Row],[چکهای در جریان وصول]]+Table25[[#This Row],[چکهای نزد صندوق]]</f>
        <v>0</v>
      </c>
      <c r="G50" s="12">
        <f>IFERROR(INDEX('مانده سوفاله'!F:F,MATCH(Table25[[#This Row],[كد تفصيلي]],'مانده سوفاله'!A:A,0)),0)</f>
        <v>-425</v>
      </c>
    </row>
    <row r="51" spans="1:7" ht="18" customHeight="1" x14ac:dyDescent="0.3">
      <c r="A51" s="29">
        <v>30093</v>
      </c>
      <c r="B51" s="25" t="s">
        <v>151</v>
      </c>
      <c r="C51" s="10">
        <f>IFERROR(INDEX('حسابهای دریافتنی'!H:H,MATCH(Table25[[#This Row],[كد تفصيلي]],'حسابهای دریافتنی'!A:A,0)),0)</f>
        <v>0</v>
      </c>
      <c r="D51" s="17">
        <f>IFERROR(INDEX('درجریان وصول'!F:F,MATCH(Table25[[#This Row],[كد تفصيلي]],'درجریان وصول'!A:A,0)),0)</f>
        <v>0</v>
      </c>
      <c r="E51" s="17">
        <f>IFERROR(INDEX('چکهای دریافتنی'!F:F,MATCH(Table25[[#This Row],[كد تفصيلي]],'چکهای دریافتنی'!A:A,0)),0)</f>
        <v>0</v>
      </c>
      <c r="F51" s="17">
        <f>Table25[[#This Row],[حسابهای دریافتنی]]+Table25[[#This Row],[چکهای در جریان وصول]]+Table25[[#This Row],[چکهای نزد صندوق]]</f>
        <v>0</v>
      </c>
      <c r="G51" s="12">
        <v>77</v>
      </c>
    </row>
    <row r="52" spans="1:7" ht="18" customHeight="1" x14ac:dyDescent="0.3">
      <c r="A52" s="29">
        <v>30008</v>
      </c>
      <c r="B52" s="25" t="s">
        <v>58</v>
      </c>
      <c r="C52" s="10">
        <f>IFERROR(INDEX('حسابهای دریافتنی'!H:H,MATCH(Table25[[#This Row],[كد تفصيلي]],'حسابهای دریافتنی'!A:A,0)),0)</f>
        <v>15520000</v>
      </c>
      <c r="D52" s="17">
        <f>IFERROR(INDEX('درجریان وصول'!F:F,MATCH(Table25[[#This Row],[كد تفصيلي]],'درجریان وصول'!A:A,0)),0)</f>
        <v>0</v>
      </c>
      <c r="E52" s="17">
        <f>IFERROR(INDEX('چکهای دریافتنی'!F:F,MATCH(Table25[[#This Row],[كد تفصيلي]],'چکهای دریافتنی'!A:A,0)),0)</f>
        <v>0</v>
      </c>
      <c r="F52" s="17">
        <f>Table25[[#This Row],[حسابهای دریافتنی]]+Table25[[#This Row],[چکهای در جریان وصول]]+Table25[[#This Row],[چکهای نزد صندوق]]</f>
        <v>15520000</v>
      </c>
      <c r="G52" s="12">
        <f>IFERROR(INDEX('مانده سوفاله'!F:F,MATCH(Table25[[#This Row],[كد تفصيلي]],'مانده سوفاله'!A:A,0)),0)</f>
        <v>0</v>
      </c>
    </row>
    <row r="53" spans="1:7" ht="18" customHeight="1" x14ac:dyDescent="0.3">
      <c r="A53" s="28">
        <v>10007</v>
      </c>
      <c r="B53" s="24" t="s">
        <v>14</v>
      </c>
      <c r="C53" s="10">
        <f>IFERROR(INDEX('حسابهای دریافتنی'!H:H,MATCH(Table25[[#This Row],[كد تفصيلي]],'حسابهای دریافتنی'!A:A,0)),0)</f>
        <v>12770000</v>
      </c>
      <c r="D53" s="11">
        <f>IFERROR(INDEX('درجریان وصول'!F:F,MATCH(Table25[[#This Row],[كد تفصيلي]],'درجریان وصول'!A:A,0)),0)</f>
        <v>0</v>
      </c>
      <c r="E53" s="11">
        <f>IFERROR(INDEX('چکهای دریافتنی'!F:F,MATCH(Table25[[#This Row],[كد تفصيلي]],'چکهای دریافتنی'!A:A,0)),0)</f>
        <v>0</v>
      </c>
      <c r="F53" s="11">
        <f>Table25[[#This Row],[حسابهای دریافتنی]]+Table25[[#This Row],[چکهای در جریان وصول]]+Table25[[#This Row],[چکهای نزد صندوق]]</f>
        <v>12770000</v>
      </c>
      <c r="G53" s="12">
        <f>IFERROR(INDEX('مانده سوفاله'!F:F,MATCH(Table25[[#This Row],[كد تفصيلي]],'مانده سوفاله'!A:A,0)),0)</f>
        <v>-52.5</v>
      </c>
    </row>
    <row r="54" spans="1:7" ht="18" customHeight="1" x14ac:dyDescent="0.3">
      <c r="A54" s="29">
        <v>30101</v>
      </c>
      <c r="B54" s="25" t="s">
        <v>196</v>
      </c>
      <c r="C54" s="10">
        <f>IFERROR(INDEX('حسابهای دریافتنی'!H:H,MATCH(Table25[[#This Row],[كد تفصيلي]],'حسابهای دریافتنی'!A:A,0)),0)</f>
        <v>203336095</v>
      </c>
      <c r="D54" s="10">
        <f>IFERROR(INDEX('درجریان وصول'!F:F,MATCH(Table25[[#This Row],[كد تفصيلي]],'درجریان وصول'!A:A,0)),0)</f>
        <v>0</v>
      </c>
      <c r="E54" s="10">
        <f>IFERROR(INDEX('چکهای دریافتنی'!F:F,MATCH(Table25[[#This Row],[كد تفصيلي]],'چکهای دریافتنی'!A:A,0)),0)</f>
        <v>0</v>
      </c>
      <c r="F54" s="10">
        <f>Table25[[#This Row],[حسابهای دریافتنی]]+Table25[[#This Row],[چکهای در جریان وصول]]+Table25[[#This Row],[چکهای نزد صندوق]]</f>
        <v>203336095</v>
      </c>
      <c r="G54" s="12">
        <f>IFERROR(INDEX('مانده سوفاله'!F:F,MATCH(Table25[[#This Row],[كد تفصيلي]],'مانده سوفاله'!A:A,0)),0)</f>
        <v>15</v>
      </c>
    </row>
    <row r="55" spans="1:7" ht="18" customHeight="1" x14ac:dyDescent="0.3">
      <c r="A55" s="29">
        <v>30145</v>
      </c>
      <c r="B55" s="25" t="s">
        <v>265</v>
      </c>
      <c r="C55" s="10">
        <f>IFERROR(INDEX('حسابهای دریافتنی'!H:H,MATCH(Table25[[#This Row],[كد تفصيلي]],'حسابهای دریافتنی'!A:A,0)),0)</f>
        <v>6442500</v>
      </c>
      <c r="D55" s="17">
        <f>IFERROR(INDEX('درجریان وصول'!F:F,MATCH(Table25[[#This Row],[كد تفصيلي]],'درجریان وصول'!A:A,0)),0)</f>
        <v>0</v>
      </c>
      <c r="E55" s="17">
        <f>IFERROR(INDEX('چکهای دریافتنی'!F:F,MATCH(Table25[[#This Row],[كد تفصيلي]],'چکهای دریافتنی'!A:A,0)),0)</f>
        <v>0</v>
      </c>
      <c r="F55" s="17">
        <f>Table25[[#This Row],[حسابهای دریافتنی]]+Table25[[#This Row],[چکهای در جریان وصول]]+Table25[[#This Row],[چکهای نزد صندوق]]</f>
        <v>6442500</v>
      </c>
      <c r="G55" s="12">
        <f>IFERROR(INDEX('مانده سوفاله'!F:F,MATCH(Table25[[#This Row],[كد تفصيلي]],'مانده سوفاله'!A:A,0)),0)</f>
        <v>0</v>
      </c>
    </row>
    <row r="56" spans="1:7" ht="18" customHeight="1" x14ac:dyDescent="0.3">
      <c r="A56" s="28">
        <v>30047</v>
      </c>
      <c r="B56" s="24" t="s">
        <v>94</v>
      </c>
      <c r="C56" s="10">
        <f>IFERROR(INDEX('حسابهای دریافتنی'!H:H,MATCH(Table25[[#This Row],[كد تفصيلي]],'حسابهای دریافتنی'!A:A,0)),0)</f>
        <v>5794900</v>
      </c>
      <c r="D56" s="17">
        <f>IFERROR(INDEX('درجریان وصول'!F:F,MATCH(Table25[[#This Row],[كد تفصيلي]],'درجریان وصول'!A:A,0)),0)</f>
        <v>0</v>
      </c>
      <c r="E56" s="17">
        <f>IFERROR(INDEX('چکهای دریافتنی'!F:F,MATCH(Table25[[#This Row],[كد تفصيلي]],'چکهای دریافتنی'!A:A,0)),0)</f>
        <v>0</v>
      </c>
      <c r="F56" s="17">
        <f>Table25[[#This Row],[حسابهای دریافتنی]]+Table25[[#This Row],[چکهای در جریان وصول]]+Table25[[#This Row],[چکهای نزد صندوق]]</f>
        <v>5794900</v>
      </c>
      <c r="G56" s="12">
        <f>IFERROR(INDEX('مانده سوفاله'!F:F,MATCH(Table25[[#This Row],[كد تفصيلي]],'مانده سوفاله'!A:A,0)),0)</f>
        <v>-630</v>
      </c>
    </row>
    <row r="57" spans="1:7" ht="18" customHeight="1" x14ac:dyDescent="0.3">
      <c r="A57" s="28">
        <v>30011</v>
      </c>
      <c r="B57" s="24" t="s">
        <v>60</v>
      </c>
      <c r="C57" s="10">
        <f>IFERROR(INDEX('حسابهای دریافتنی'!H:H,MATCH(Table25[[#This Row],[كد تفصيلي]],'حسابهای دریافتنی'!A:A,0)),0)</f>
        <v>5595200</v>
      </c>
      <c r="D57" s="11">
        <f>IFERROR(INDEX('درجریان وصول'!F:F,MATCH(Table25[[#This Row],[كد تفصيلي]],'درجریان وصول'!A:A,0)),0)</f>
        <v>0</v>
      </c>
      <c r="E57" s="11">
        <f>IFERROR(INDEX('چکهای دریافتنی'!F:F,MATCH(Table25[[#This Row],[كد تفصيلي]],'چکهای دریافتنی'!A:A,0)),0)</f>
        <v>0</v>
      </c>
      <c r="F57" s="11">
        <f>Table25[[#This Row],[حسابهای دریافتنی]]+Table25[[#This Row],[چکهای در جریان وصول]]+Table25[[#This Row],[چکهای نزد صندوق]]</f>
        <v>5595200</v>
      </c>
      <c r="G57" s="12">
        <f>IFERROR(INDEX('مانده سوفاله'!F:F,MATCH(Table25[[#This Row],[كد تفصيلي]],'مانده سوفاله'!A:A,0)),0)</f>
        <v>-5</v>
      </c>
    </row>
    <row r="58" spans="1:7" ht="18" customHeight="1" x14ac:dyDescent="0.3">
      <c r="A58" s="29">
        <v>10080</v>
      </c>
      <c r="B58" s="25" t="s">
        <v>214</v>
      </c>
      <c r="C58" s="10">
        <f>IFERROR(INDEX('حسابهای دریافتنی'!H:H,MATCH(Table25[[#This Row],[كد تفصيلي]],'حسابهای دریافتنی'!A:A,0)),0)</f>
        <v>5395000</v>
      </c>
      <c r="D58" s="11">
        <f>IFERROR(INDEX('درجریان وصول'!F:F,MATCH(Table25[[#This Row],[كد تفصيلي]],'درجریان وصول'!A:A,0)),0)</f>
        <v>0</v>
      </c>
      <c r="E58" s="11">
        <f>IFERROR(INDEX('چکهای دریافتنی'!F:F,MATCH(Table25[[#This Row],[كد تفصيلي]],'چکهای دریافتنی'!A:A,0)),0)</f>
        <v>0</v>
      </c>
      <c r="F58" s="11">
        <f>Table25[[#This Row],[حسابهای دریافتنی]]+Table25[[#This Row],[چکهای در جریان وصول]]+Table25[[#This Row],[چکهای نزد صندوق]]</f>
        <v>5395000</v>
      </c>
      <c r="G58" s="12">
        <f>IFERROR(INDEX('مانده سوفاله'!F:F,MATCH(Table25[[#This Row],[كد تفصيلي]],'مانده سوفاله'!A:A,0)),0)</f>
        <v>0</v>
      </c>
    </row>
    <row r="59" spans="1:7" ht="18" customHeight="1" x14ac:dyDescent="0.3">
      <c r="A59" s="28">
        <v>30114</v>
      </c>
      <c r="B59" s="24" t="s">
        <v>175</v>
      </c>
      <c r="C59" s="10">
        <f>IFERROR(INDEX('حسابهای دریافتنی'!H:H,MATCH(Table25[[#This Row],[كد تفصيلي]],'حسابهای دریافتنی'!A:A,0)),0)</f>
        <v>5385600</v>
      </c>
      <c r="D59" s="11">
        <f>IFERROR(INDEX('درجریان وصول'!F:F,MATCH(Table25[[#This Row],[كد تفصيلي]],'درجریان وصول'!A:A,0)),0)</f>
        <v>0</v>
      </c>
      <c r="E59" s="11">
        <f>IFERROR(INDEX('چکهای دریافتنی'!F:F,MATCH(Table25[[#This Row],[كد تفصيلي]],'چکهای دریافتنی'!A:A,0)),0)</f>
        <v>0</v>
      </c>
      <c r="F59" s="11">
        <f>Table25[[#This Row],[حسابهای دریافتنی]]+Table25[[#This Row],[چکهای در جریان وصول]]+Table25[[#This Row],[چکهای نزد صندوق]]</f>
        <v>5385600</v>
      </c>
      <c r="G59" s="12">
        <f>IFERROR(INDEX('مانده سوفاله'!F:F,MATCH(Table25[[#This Row],[كد تفصيلي]],'مانده سوفاله'!A:A,0)),0)</f>
        <v>0</v>
      </c>
    </row>
    <row r="60" spans="1:7" ht="18" customHeight="1" x14ac:dyDescent="0.3">
      <c r="A60" s="29">
        <v>30123</v>
      </c>
      <c r="B60" s="25" t="s">
        <v>208</v>
      </c>
      <c r="C60" s="10">
        <f>IFERROR(INDEX('حسابهای دریافتنی'!H:H,MATCH(Table25[[#This Row],[كد تفصيلي]],'حسابهای دریافتنی'!A:A,0)),0)</f>
        <v>4138250</v>
      </c>
      <c r="D60" s="17">
        <f>IFERROR(INDEX('درجریان وصول'!F:F,MATCH(Table25[[#This Row],[كد تفصيلي]],'درجریان وصول'!A:A,0)),0)</f>
        <v>0</v>
      </c>
      <c r="E60" s="17">
        <f>IFERROR(INDEX('چکهای دریافتنی'!F:F,MATCH(Table25[[#This Row],[كد تفصيلي]],'چکهای دریافتنی'!A:A,0)),0)</f>
        <v>0</v>
      </c>
      <c r="F60" s="17">
        <f>Table25[[#This Row],[حسابهای دریافتنی]]+Table25[[#This Row],[چکهای در جریان وصول]]+Table25[[#This Row],[چکهای نزد صندوق]]</f>
        <v>4138250</v>
      </c>
      <c r="G60" s="12">
        <f>IFERROR(INDEX('مانده سوفاله'!F:F,MATCH(Table25[[#This Row],[كد تفصيلي]],'مانده سوفاله'!A:A,0)),0)</f>
        <v>-20</v>
      </c>
    </row>
    <row r="61" spans="1:7" ht="18" customHeight="1" x14ac:dyDescent="0.3">
      <c r="A61" s="28">
        <v>10116</v>
      </c>
      <c r="B61" s="24" t="s">
        <v>349</v>
      </c>
      <c r="C61" s="10">
        <f>IFERROR(INDEX('حسابهای دریافتنی'!H:H,MATCH(Table25[[#This Row],[كد تفصيلي]],'حسابهای دریافتنی'!A:A,0)),0)</f>
        <v>3892500</v>
      </c>
      <c r="D61" s="11">
        <f>IFERROR(INDEX('درجریان وصول'!F:F,MATCH(Table25[[#This Row],[كد تفصيلي]],'درجریان وصول'!A:A,0)),0)</f>
        <v>0</v>
      </c>
      <c r="E61" s="11">
        <f>IFERROR(INDEX('چکهای دریافتنی'!F:F,MATCH(Table25[[#This Row],[كد تفصيلي]],'چکهای دریافتنی'!A:A,0)),0)</f>
        <v>0</v>
      </c>
      <c r="F61" s="11">
        <f>Table25[[#This Row],[حسابهای دریافتنی]]+Table25[[#This Row],[چکهای در جریان وصول]]+Table25[[#This Row],[چکهای نزد صندوق]]</f>
        <v>3892500</v>
      </c>
      <c r="G61" s="12">
        <f>IFERROR(INDEX('مانده سوفاله'!F:F,MATCH(Table25[[#This Row],[كد تفصيلي]],'مانده سوفاله'!A:A,0)),0)</f>
        <v>0</v>
      </c>
    </row>
    <row r="62" spans="1:7" ht="18" customHeight="1" x14ac:dyDescent="0.3">
      <c r="A62" s="29">
        <v>10030</v>
      </c>
      <c r="B62" s="25" t="s">
        <v>36</v>
      </c>
      <c r="C62" s="10">
        <f>IFERROR(INDEX('حسابهای دریافتنی'!H:H,MATCH(Table25[[#This Row],[كد تفصيلي]],'حسابهای دریافتنی'!A:A,0)),0)</f>
        <v>3272000</v>
      </c>
      <c r="D62" s="10">
        <f>IFERROR(INDEX('درجریان وصول'!F:F,MATCH(Table25[[#This Row],[كد تفصيلي]],'درجریان وصول'!A:A,0)),0)</f>
        <v>0</v>
      </c>
      <c r="E62" s="10">
        <f>IFERROR(INDEX('چکهای دریافتنی'!F:F,MATCH(Table25[[#This Row],[كد تفصيلي]],'چکهای دریافتنی'!A:A,0)),0)</f>
        <v>0</v>
      </c>
      <c r="F62" s="10">
        <f>Table25[[#This Row],[حسابهای دریافتنی]]+Table25[[#This Row],[چکهای در جریان وصول]]+Table25[[#This Row],[چکهای نزد صندوق]]</f>
        <v>3272000</v>
      </c>
      <c r="G62" s="12">
        <f>IFERROR(INDEX('مانده سوفاله'!F:F,MATCH(Table25[[#This Row],[كد تفصيلي]],'مانده سوفاله'!A:A,0)),0)</f>
        <v>-222</v>
      </c>
    </row>
    <row r="63" spans="1:7" ht="18" customHeight="1" x14ac:dyDescent="0.3">
      <c r="A63" s="28">
        <v>30001</v>
      </c>
      <c r="B63" s="24" t="s">
        <v>190</v>
      </c>
      <c r="C63" s="10">
        <f>IFERROR(INDEX('حسابهای دریافتنی'!H:H,MATCH(Table25[[#This Row],[كد تفصيلي]],'حسابهای دریافتنی'!A:A,0)),0)</f>
        <v>119647176</v>
      </c>
      <c r="D63" s="17">
        <f>IFERROR(INDEX('درجریان وصول'!F:F,MATCH(Table25[[#This Row],[كد تفصيلي]],'درجریان وصول'!A:A,0)),0)</f>
        <v>0</v>
      </c>
      <c r="E63" s="17">
        <f>IFERROR(INDEX('چکهای دریافتنی'!F:F,MATCH(Table25[[#This Row],[كد تفصيلي]],'چکهای دریافتنی'!A:A,0)),0)</f>
        <v>0</v>
      </c>
      <c r="F63" s="17">
        <f>Table25[[#This Row],[حسابهای دریافتنی]]+Table25[[#This Row],[چکهای در جریان وصول]]+Table25[[#This Row],[چکهای نزد صندوق]]</f>
        <v>119647176</v>
      </c>
      <c r="G63" s="12">
        <f>IFERROR(INDEX('مانده سوفاله'!F:F,MATCH(Table25[[#This Row],[كد تفصيلي]],'مانده سوفاله'!A:A,0)),0)</f>
        <v>123</v>
      </c>
    </row>
    <row r="64" spans="1:7" ht="18" customHeight="1" x14ac:dyDescent="0.3">
      <c r="A64" s="29">
        <v>30178</v>
      </c>
      <c r="B64" s="25" t="s">
        <v>386</v>
      </c>
      <c r="C64" s="10">
        <f>IFERROR(INDEX('حسابهای دریافتنی'!H:H,MATCH(Table25[[#This Row],[كد تفصيلي]],'حسابهای دریافتنی'!A:A,0)),0)</f>
        <v>3040000</v>
      </c>
      <c r="D64" s="17">
        <f>IFERROR(INDEX('درجریان وصول'!F:F,MATCH(Table25[[#This Row],[كد تفصيلي]],'درجریان وصول'!A:A,0)),0)</f>
        <v>0</v>
      </c>
      <c r="E64" s="17">
        <f>IFERROR(INDEX('چکهای دریافتنی'!F:F,MATCH(Table25[[#This Row],[كد تفصيلي]],'چکهای دریافتنی'!A:A,0)),0)</f>
        <v>0</v>
      </c>
      <c r="F64" s="17">
        <f>Table25[[#This Row],[حسابهای دریافتنی]]+Table25[[#This Row],[چکهای در جریان وصول]]+Table25[[#This Row],[چکهای نزد صندوق]]</f>
        <v>3040000</v>
      </c>
      <c r="G64" s="12">
        <f>IFERROR(INDEX('مانده سوفاله'!F:F,MATCH(Table25[[#This Row],[كد تفصيلي]],'مانده سوفاله'!A:A,0)),0)</f>
        <v>0</v>
      </c>
    </row>
    <row r="65" spans="1:7" ht="18" customHeight="1" x14ac:dyDescent="0.3">
      <c r="A65" s="28">
        <v>30138</v>
      </c>
      <c r="B65" s="24" t="s">
        <v>252</v>
      </c>
      <c r="C65" s="10">
        <f>IFERROR(INDEX('حسابهای دریافتنی'!H:H,MATCH(Table25[[#This Row],[كد تفصيلي]],'حسابهای دریافتنی'!A:A,0)),0)</f>
        <v>0</v>
      </c>
      <c r="D65" s="17">
        <f>IFERROR(INDEX('درجریان وصول'!F:F,MATCH(Table25[[#This Row],[كد تفصيلي]],'درجریان وصول'!A:A,0)),0)</f>
        <v>0</v>
      </c>
      <c r="E65" s="17">
        <f>IFERROR(INDEX('چکهای دریافتنی'!F:F,MATCH(Table25[[#This Row],[كد تفصيلي]],'چکهای دریافتنی'!A:A,0)),0)</f>
        <v>0</v>
      </c>
      <c r="F65" s="17">
        <f>Table25[[#This Row],[حسابهای دریافتنی]]+Table25[[#This Row],[چکهای در جریان وصول]]+Table25[[#This Row],[چکهای نزد صندوق]]</f>
        <v>0</v>
      </c>
      <c r="G65" s="12">
        <f>IFERROR(INDEX('مانده سوفاله'!F:F,MATCH(Table25[[#This Row],[كد تفصيلي]],'مانده سوفاله'!A:A,0)),0)</f>
        <v>0</v>
      </c>
    </row>
    <row r="66" spans="1:7" ht="18" customHeight="1" x14ac:dyDescent="0.3">
      <c r="A66" s="29">
        <v>10032</v>
      </c>
      <c r="B66" s="25" t="s">
        <v>38</v>
      </c>
      <c r="C66" s="10">
        <f>IFERROR(INDEX('حسابهای دریافتنی'!H:H,MATCH(Table25[[#This Row],[كد تفصيلي]],'حسابهای دریافتنی'!A:A,0)),0)</f>
        <v>0</v>
      </c>
      <c r="D66" s="10">
        <f>IFERROR(INDEX('درجریان وصول'!F:F,MATCH(Table25[[#This Row],[كد تفصيلي]],'درجریان وصول'!A:A,0)),0)</f>
        <v>0</v>
      </c>
      <c r="E66" s="10">
        <f>IFERROR(INDEX('چکهای دریافتنی'!F:F,MATCH(Table25[[#This Row],[كد تفصيلي]],'چکهای دریافتنی'!A:A,0)),0)</f>
        <v>0</v>
      </c>
      <c r="F66" s="10">
        <f>Table25[[#This Row],[حسابهای دریافتنی]]+Table25[[#This Row],[چکهای در جریان وصول]]+Table25[[#This Row],[چکهای نزد صندوق]]</f>
        <v>0</v>
      </c>
      <c r="G66" s="12">
        <f>IFERROR(INDEX('مانده سوفاله'!F:F,MATCH(Table25[[#This Row],[كد تفصيلي]],'مانده سوفاله'!A:A,0)),0)</f>
        <v>0</v>
      </c>
    </row>
    <row r="67" spans="1:7" ht="18" customHeight="1" x14ac:dyDescent="0.3">
      <c r="A67" s="28">
        <v>30084</v>
      </c>
      <c r="B67" s="24" t="s">
        <v>129</v>
      </c>
      <c r="C67" s="10">
        <f>IFERROR(INDEX('حسابهای دریافتنی'!H:H,MATCH(Table25[[#This Row],[كد تفصيلي]],'حسابهای دریافتنی'!A:A,0)),0)</f>
        <v>1220000</v>
      </c>
      <c r="D67" s="11">
        <f>IFERROR(INDEX('درجریان وصول'!F:F,MATCH(Table25[[#This Row],[كد تفصيلي]],'درجریان وصول'!A:A,0)),0)</f>
        <v>0</v>
      </c>
      <c r="E67" s="11">
        <f>IFERROR(INDEX('چکهای دریافتنی'!F:F,MATCH(Table25[[#This Row],[كد تفصيلي]],'چکهای دریافتنی'!A:A,0)),0)</f>
        <v>0</v>
      </c>
      <c r="F67" s="11">
        <f>Table25[[#This Row],[حسابهای دریافتنی]]+Table25[[#This Row],[چکهای در جریان وصول]]+Table25[[#This Row],[چکهای نزد صندوق]]</f>
        <v>1220000</v>
      </c>
      <c r="G67" s="12">
        <f>IFERROR(INDEX('مانده سوفاله'!F:F,MATCH(Table25[[#This Row],[كد تفصيلي]],'مانده سوفاله'!A:A,0)),0)</f>
        <v>0</v>
      </c>
    </row>
    <row r="68" spans="1:7" ht="18" customHeight="1" x14ac:dyDescent="0.3">
      <c r="A68" s="29">
        <v>10076</v>
      </c>
      <c r="B68" s="25" t="s">
        <v>182</v>
      </c>
      <c r="C68" s="10">
        <f>IFERROR(INDEX('حسابهای دریافتنی'!H:H,MATCH(Table25[[#This Row],[كد تفصيلي]],'حسابهای دریافتنی'!A:A,0)),0)</f>
        <v>0</v>
      </c>
      <c r="D68" s="11">
        <f>IFERROR(INDEX('درجریان وصول'!F:F,MATCH(Table25[[#This Row],[كد تفصيلي]],'درجریان وصول'!A:A,0)),0)</f>
        <v>0</v>
      </c>
      <c r="E68" s="11">
        <f>IFERROR(INDEX('چکهای دریافتنی'!F:F,MATCH(Table25[[#This Row],[كد تفصيلي]],'چکهای دریافتنی'!A:A,0)),0)</f>
        <v>0</v>
      </c>
      <c r="F68" s="11">
        <f>Table25[[#This Row],[حسابهای دریافتنی]]+Table25[[#This Row],[چکهای در جریان وصول]]+Table25[[#This Row],[چکهای نزد صندوق]]</f>
        <v>0</v>
      </c>
      <c r="G68" s="12">
        <f>IFERROR(INDEX('مانده سوفاله'!F:F,MATCH(Table25[[#This Row],[كد تفصيلي]],'مانده سوفاله'!A:A,0)),0)</f>
        <v>-13</v>
      </c>
    </row>
    <row r="69" spans="1:7" ht="18" customHeight="1" x14ac:dyDescent="0.3">
      <c r="A69" s="29">
        <v>79055</v>
      </c>
      <c r="B69" s="25" t="s">
        <v>297</v>
      </c>
      <c r="C69" s="10">
        <f>IFERROR(INDEX('حسابهای دریافتنی'!H:H,MATCH(Table25[[#This Row],[كد تفصيلي]],'حسابهای دریافتنی'!A:A,0)),0)</f>
        <v>896500</v>
      </c>
      <c r="D69" s="17">
        <f>IFERROR(INDEX('درجریان وصول'!F:F,MATCH(Table25[[#This Row],[كد تفصيلي]],'درجریان وصول'!A:A,0)),0)</f>
        <v>0</v>
      </c>
      <c r="E69" s="17">
        <f>IFERROR(INDEX('چکهای دریافتنی'!F:F,MATCH(Table25[[#This Row],[كد تفصيلي]],'چکهای دریافتنی'!A:A,0)),0)</f>
        <v>0</v>
      </c>
      <c r="F69" s="17">
        <f>Table25[[#This Row],[حسابهای دریافتنی]]+Table25[[#This Row],[چکهای در جریان وصول]]+Table25[[#This Row],[چکهای نزد صندوق]]</f>
        <v>896500</v>
      </c>
      <c r="G69" s="12">
        <f>IFERROR(INDEX('مانده سوفاله'!F:F,MATCH(Table25[[#This Row],[كد تفصيلي]],'مانده سوفاله'!A:A,0)),0)</f>
        <v>0</v>
      </c>
    </row>
    <row r="70" spans="1:7" ht="18" customHeight="1" x14ac:dyDescent="0.3">
      <c r="A70" s="29">
        <v>10048</v>
      </c>
      <c r="B70" s="25" t="s">
        <v>191</v>
      </c>
      <c r="C70" s="10">
        <f>IFERROR(INDEX('حسابهای دریافتنی'!H:H,MATCH(Table25[[#This Row],[كد تفصيلي]],'حسابهای دریافتنی'!A:A,0)),0)</f>
        <v>0</v>
      </c>
      <c r="D70" s="10">
        <f>IFERROR(INDEX('درجریان وصول'!F:F,MATCH(Table25[[#This Row],[كد تفصيلي]],'درجریان وصول'!A:A,0)),0)</f>
        <v>0</v>
      </c>
      <c r="E70" s="10">
        <f>IFERROR(INDEX('چکهای دریافتنی'!F:F,MATCH(Table25[[#This Row],[كد تفصيلي]],'چکهای دریافتنی'!A:A,0)),0)</f>
        <v>0</v>
      </c>
      <c r="F70" s="10">
        <f>Table25[[#This Row],[حسابهای دریافتنی]]+Table25[[#This Row],[چکهای در جریان وصول]]+Table25[[#This Row],[چکهای نزد صندوق]]</f>
        <v>0</v>
      </c>
      <c r="G70" s="12">
        <f>IFERROR(INDEX('مانده سوفاله'!F:F,MATCH(Table25[[#This Row],[كد تفصيلي]],'مانده سوفاله'!A:A,0)),0)</f>
        <v>-1097</v>
      </c>
    </row>
    <row r="71" spans="1:7" ht="18" customHeight="1" x14ac:dyDescent="0.3">
      <c r="A71" s="29">
        <v>30129</v>
      </c>
      <c r="B71" s="25" t="s">
        <v>178</v>
      </c>
      <c r="C71" s="10">
        <f>IFERROR(INDEX('حسابهای دریافتنی'!H:H,MATCH(Table25[[#This Row],[كد تفصيلي]],'حسابهای دریافتنی'!A:A,0)),0)</f>
        <v>783000</v>
      </c>
      <c r="D71" s="17">
        <f>IFERROR(INDEX('درجریان وصول'!F:F,MATCH(Table25[[#This Row],[كد تفصيلي]],'درجریان وصول'!A:A,0)),0)</f>
        <v>0</v>
      </c>
      <c r="E71" s="17">
        <f>IFERROR(INDEX('چکهای دریافتنی'!F:F,MATCH(Table25[[#This Row],[كد تفصيلي]],'چکهای دریافتنی'!A:A,0)),0)</f>
        <v>0</v>
      </c>
      <c r="F71" s="17">
        <f>Table25[[#This Row],[حسابهای دریافتنی]]+Table25[[#This Row],[چکهای در جریان وصول]]+Table25[[#This Row],[چکهای نزد صندوق]]</f>
        <v>783000</v>
      </c>
      <c r="G71" s="12">
        <f>IFERROR(INDEX('مانده سوفاله'!F:F,MATCH(Table25[[#This Row],[كد تفصيلي]],'مانده سوفاله'!A:A,0)),0)</f>
        <v>0</v>
      </c>
    </row>
    <row r="72" spans="1:7" ht="18" customHeight="1" x14ac:dyDescent="0.3">
      <c r="A72" s="28">
        <v>30090</v>
      </c>
      <c r="B72" s="24" t="s">
        <v>144</v>
      </c>
      <c r="C72" s="10">
        <f>IFERROR(INDEX('حسابهای دریافتنی'!H:H,MATCH(Table25[[#This Row],[كد تفصيلي]],'حسابهای دریافتنی'!A:A,0)),0)</f>
        <v>640100</v>
      </c>
      <c r="D72" s="10">
        <f>IFERROR(INDEX('درجریان وصول'!F:F,MATCH(Table25[[#This Row],[كد تفصيلي]],'درجریان وصول'!A:A,0)),0)</f>
        <v>0</v>
      </c>
      <c r="E72" s="10">
        <f>IFERROR(INDEX('چکهای دریافتنی'!F:F,MATCH(Table25[[#This Row],[كد تفصيلي]],'چکهای دریافتنی'!A:A,0)),0)</f>
        <v>0</v>
      </c>
      <c r="F72" s="10">
        <f>Table25[[#This Row],[حسابهای دریافتنی]]+Table25[[#This Row],[چکهای در جریان وصول]]+Table25[[#This Row],[چکهای نزد صندوق]]</f>
        <v>640100</v>
      </c>
      <c r="G72" s="12">
        <f>IFERROR(INDEX('مانده سوفاله'!F:F,MATCH(Table25[[#This Row],[كد تفصيلي]],'مانده سوفاله'!A:A,0)),0)</f>
        <v>0</v>
      </c>
    </row>
    <row r="73" spans="1:7" ht="18" customHeight="1" x14ac:dyDescent="0.3">
      <c r="A73" s="29">
        <v>30109</v>
      </c>
      <c r="B73" s="25" t="s">
        <v>165</v>
      </c>
      <c r="C73" s="10">
        <f>IFERROR(INDEX('حسابهای دریافتنی'!H:H,MATCH(Table25[[#This Row],[كد تفصيلي]],'حسابهای دریافتنی'!A:A,0)),0)</f>
        <v>607300</v>
      </c>
      <c r="D73" s="17">
        <f>IFERROR(INDEX('درجریان وصول'!F:F,MATCH(Table25[[#This Row],[كد تفصيلي]],'درجریان وصول'!A:A,0)),0)</f>
        <v>0</v>
      </c>
      <c r="E73" s="17">
        <f>IFERROR(INDEX('چکهای دریافتنی'!F:F,MATCH(Table25[[#This Row],[كد تفصيلي]],'چکهای دریافتنی'!A:A,0)),0)</f>
        <v>0</v>
      </c>
      <c r="F73" s="17">
        <f>Table25[[#This Row],[حسابهای دریافتنی]]+Table25[[#This Row],[چکهای در جریان وصول]]+Table25[[#This Row],[چکهای نزد صندوق]]</f>
        <v>607300</v>
      </c>
      <c r="G73" s="12">
        <f>IFERROR(INDEX('مانده سوفاله'!F:F,MATCH(Table25[[#This Row],[كد تفصيلي]],'مانده سوفاله'!A:A,0)),0)</f>
        <v>0</v>
      </c>
    </row>
    <row r="74" spans="1:7" ht="18" customHeight="1" x14ac:dyDescent="0.3">
      <c r="A74" s="28">
        <v>10128</v>
      </c>
      <c r="B74" s="24" t="s">
        <v>397</v>
      </c>
      <c r="C74" s="10">
        <f>IFERROR(INDEX('حسابهای دریافتنی'!H:H,MATCH(Table25[[#This Row],[كد تفصيلي]],'حسابهای دریافتنی'!A:A,0)),0)</f>
        <v>-45000</v>
      </c>
      <c r="D74" s="10">
        <f>IFERROR(INDEX('درجریان وصول'!F:F,MATCH(Table25[[#This Row],[كد تفصيلي]],'درجریان وصول'!A:A,0)),0)</f>
        <v>0</v>
      </c>
      <c r="E74" s="10">
        <f>IFERROR(INDEX('چکهای دریافتنی'!F:F,MATCH(Table25[[#This Row],[كد تفصيلي]],'چکهای دریافتنی'!A:A,0)),0)</f>
        <v>0</v>
      </c>
      <c r="F74" s="10">
        <f>Table25[[#This Row],[حسابهای دریافتنی]]+Table25[[#This Row],[چکهای در جریان وصول]]+Table25[[#This Row],[چکهای نزد صندوق]]</f>
        <v>-45000</v>
      </c>
      <c r="G74" s="12">
        <f>IFERROR(INDEX('مانده سوفاله'!F:F,MATCH(Table25[[#This Row],[كد تفصيلي]],'مانده سوفاله'!A:A,0)),0)</f>
        <v>6</v>
      </c>
    </row>
    <row r="75" spans="1:7" ht="18" customHeight="1" x14ac:dyDescent="0.3">
      <c r="A75" s="28">
        <v>10097</v>
      </c>
      <c r="B75" s="24" t="s">
        <v>270</v>
      </c>
      <c r="C75" s="10">
        <f>IFERROR(INDEX('حسابهای دریافتنی'!H:H,MATCH(Table25[[#This Row],[كد تفصيلي]],'حسابهای دریافتنی'!A:A,0)),0)</f>
        <v>270642500</v>
      </c>
      <c r="D75" s="10">
        <f>IFERROR(INDEX('درجریان وصول'!F:F,MATCH(Table25[[#This Row],[كد تفصيلي]],'درجریان وصول'!A:A,0)),0)</f>
        <v>0</v>
      </c>
      <c r="E75" s="10">
        <f>IFERROR(INDEX('چکهای دریافتنی'!F:F,MATCH(Table25[[#This Row],[كد تفصيلي]],'چکهای دریافتنی'!A:A,0)),0)</f>
        <v>287000000</v>
      </c>
      <c r="F75" s="10">
        <f>Table25[[#This Row],[حسابهای دریافتنی]]+Table25[[#This Row],[چکهای در جریان وصول]]+Table25[[#This Row],[چکهای نزد صندوق]]</f>
        <v>557642500</v>
      </c>
      <c r="G75" s="12">
        <f>IFERROR(INDEX('مانده سوفاله'!F:F,MATCH(Table25[[#This Row],[كد تفصيلي]],'مانده سوفاله'!A:A,0)),0)</f>
        <v>0</v>
      </c>
    </row>
    <row r="76" spans="1:7" ht="18" customHeight="1" x14ac:dyDescent="0.3">
      <c r="A76" s="29">
        <v>30010</v>
      </c>
      <c r="B76" s="25" t="s">
        <v>59</v>
      </c>
      <c r="C76" s="10">
        <f>IFERROR(INDEX('حسابهای دریافتنی'!H:H,MATCH(Table25[[#This Row],[كد تفصيلي]],'حسابهای دریافتنی'!A:A,0)),0)</f>
        <v>366215</v>
      </c>
      <c r="D76" s="17">
        <f>IFERROR(INDEX('درجریان وصول'!F:F,MATCH(Table25[[#This Row],[كد تفصيلي]],'درجریان وصول'!A:A,0)),0)</f>
        <v>0</v>
      </c>
      <c r="E76" s="17">
        <f>IFERROR(INDEX('چکهای دریافتنی'!F:F,MATCH(Table25[[#This Row],[كد تفصيلي]],'چکهای دریافتنی'!A:A,0)),0)</f>
        <v>0</v>
      </c>
      <c r="F76" s="17">
        <f>Table25[[#This Row],[حسابهای دریافتنی]]+Table25[[#This Row],[چکهای در جریان وصول]]+Table25[[#This Row],[چکهای نزد صندوق]]</f>
        <v>366215</v>
      </c>
      <c r="G76" s="12">
        <f>IFERROR(INDEX('مانده سوفاله'!F:F,MATCH(Table25[[#This Row],[كد تفصيلي]],'مانده سوفاله'!A:A,0)),0)</f>
        <v>8</v>
      </c>
    </row>
    <row r="77" spans="1:7" ht="18" customHeight="1" x14ac:dyDescent="0.3">
      <c r="A77" s="28">
        <v>30027</v>
      </c>
      <c r="B77" s="24" t="s">
        <v>75</v>
      </c>
      <c r="C77" s="10">
        <f>IFERROR(INDEX('حسابهای دریافتنی'!H:H,MATCH(Table25[[#This Row],[كد تفصيلي]],'حسابهای دریافتنی'!A:A,0)),0)</f>
        <v>326950</v>
      </c>
      <c r="D77" s="11">
        <f>IFERROR(INDEX('درجریان وصول'!F:F,MATCH(Table25[[#This Row],[كد تفصيلي]],'درجریان وصول'!A:A,0)),0)</f>
        <v>0</v>
      </c>
      <c r="E77" s="11">
        <f>IFERROR(INDEX('چکهای دریافتنی'!F:F,MATCH(Table25[[#This Row],[كد تفصيلي]],'چکهای دریافتنی'!A:A,0)),0)</f>
        <v>0</v>
      </c>
      <c r="F77" s="11">
        <f>Table25[[#This Row],[حسابهای دریافتنی]]+Table25[[#This Row],[چکهای در جریان وصول]]+Table25[[#This Row],[چکهای نزد صندوق]]</f>
        <v>326950</v>
      </c>
      <c r="G77" s="12">
        <f>IFERROR(INDEX('مانده سوفاله'!F:F,MATCH(Table25[[#This Row],[كد تفصيلي]],'مانده سوفاله'!A:A,0)),0)</f>
        <v>0</v>
      </c>
    </row>
    <row r="78" spans="1:7" ht="18" customHeight="1" x14ac:dyDescent="0.3">
      <c r="A78" s="28">
        <v>10091</v>
      </c>
      <c r="B78" s="24" t="s">
        <v>258</v>
      </c>
      <c r="C78" s="10">
        <f>IFERROR(INDEX('حسابهای دریافتنی'!H:H,MATCH(Table25[[#This Row],[كد تفصيلي]],'حسابهای دریافتنی'!A:A,0)),0)</f>
        <v>59321500</v>
      </c>
      <c r="D78" s="11">
        <f>IFERROR(INDEX('درجریان وصول'!F:F,MATCH(Table25[[#This Row],[كد تفصيلي]],'درجریان وصول'!A:A,0)),0)</f>
        <v>0</v>
      </c>
      <c r="E78" s="11">
        <f>IFERROR(INDEX('چکهای دریافتنی'!F:F,MATCH(Table25[[#This Row],[كد تفصيلي]],'چکهای دریافتنی'!A:A,0)),0)</f>
        <v>0</v>
      </c>
      <c r="F78" s="11">
        <f>Table25[[#This Row],[حسابهای دریافتنی]]+Table25[[#This Row],[چکهای در جریان وصول]]+Table25[[#This Row],[چکهای نزد صندوق]]</f>
        <v>59321500</v>
      </c>
      <c r="G78" s="12">
        <f>IFERROR(INDEX('مانده سوفاله'!F:F,MATCH(Table25[[#This Row],[كد تفصيلي]],'مانده سوفاله'!A:A,0)),0)</f>
        <v>0</v>
      </c>
    </row>
    <row r="79" spans="1:7" ht="18" customHeight="1" x14ac:dyDescent="0.3">
      <c r="A79" s="28">
        <v>10063</v>
      </c>
      <c r="B79" s="24" t="s">
        <v>180</v>
      </c>
      <c r="C79" s="10">
        <f>IFERROR(INDEX('حسابهای دریافتنی'!H:H,MATCH(Table25[[#This Row],[كد تفصيلي]],'حسابهای دریافتنی'!A:A,0)),0)</f>
        <v>0</v>
      </c>
      <c r="D79" s="10">
        <f>IFERROR(INDEX('درجریان وصول'!F:F,MATCH(Table25[[#This Row],[كد تفصيلي]],'درجریان وصول'!A:A,0)),0)</f>
        <v>0</v>
      </c>
      <c r="E79" s="10">
        <f>IFERROR(INDEX('چکهای دریافتنی'!F:F,MATCH(Table25[[#This Row],[كد تفصيلي]],'چکهای دریافتنی'!A:A,0)),0)</f>
        <v>0</v>
      </c>
      <c r="F79" s="10">
        <f>Table25[[#This Row],[حسابهای دریافتنی]]+Table25[[#This Row],[چکهای در جریان وصول]]+Table25[[#This Row],[چکهای نزد صندوق]]</f>
        <v>0</v>
      </c>
      <c r="G79" s="12">
        <f>IFERROR(INDEX('مانده سوفاله'!F:F,MATCH(Table25[[#This Row],[كد تفصيلي]],'مانده سوفاله'!A:A,0)),0)</f>
        <v>0</v>
      </c>
    </row>
    <row r="80" spans="1:7" ht="18" customHeight="1" x14ac:dyDescent="0.3">
      <c r="A80" s="29">
        <v>10064</v>
      </c>
      <c r="B80" s="25" t="s">
        <v>181</v>
      </c>
      <c r="C80" s="10">
        <f>IFERROR(INDEX('حسابهای دریافتنی'!H:H,MATCH(Table25[[#This Row],[كد تفصيلي]],'حسابهای دریافتنی'!A:A,0)),0)</f>
        <v>0</v>
      </c>
      <c r="D80" s="11">
        <f>IFERROR(INDEX('درجریان وصول'!F:F,MATCH(Table25[[#This Row],[كد تفصيلي]],'درجریان وصول'!A:A,0)),0)</f>
        <v>0</v>
      </c>
      <c r="E80" s="11">
        <f>IFERROR(INDEX('چکهای دریافتنی'!F:F,MATCH(Table25[[#This Row],[كد تفصيلي]],'چکهای دریافتنی'!A:A,0)),0)</f>
        <v>0</v>
      </c>
      <c r="F80" s="11">
        <f>Table25[[#This Row],[حسابهای دریافتنی]]+Table25[[#This Row],[چکهای در جریان وصول]]+Table25[[#This Row],[چکهای نزد صندوق]]</f>
        <v>0</v>
      </c>
      <c r="G80" s="12">
        <f>IFERROR(INDEX('مانده سوفاله'!F:F,MATCH(Table25[[#This Row],[كد تفصيلي]],'مانده سوفاله'!A:A,0)),0)</f>
        <v>0</v>
      </c>
    </row>
    <row r="81" spans="1:7" ht="18" customHeight="1" x14ac:dyDescent="0.3">
      <c r="A81" s="29">
        <v>30135</v>
      </c>
      <c r="B81" s="25" t="s">
        <v>179</v>
      </c>
      <c r="C81" s="10">
        <f>IFERROR(INDEX('حسابهای دریافتنی'!H:H,MATCH(Table25[[#This Row],[كد تفصيلي]],'حسابهای دریافتنی'!A:A,0)),0)</f>
        <v>195000</v>
      </c>
      <c r="D81" s="17">
        <f>IFERROR(INDEX('درجریان وصول'!F:F,MATCH(Table25[[#This Row],[كد تفصيلي]],'درجریان وصول'!A:A,0)),0)</f>
        <v>0</v>
      </c>
      <c r="E81" s="17">
        <f>IFERROR(INDEX('چکهای دریافتنی'!F:F,MATCH(Table25[[#This Row],[كد تفصيلي]],'چکهای دریافتنی'!A:A,0)),0)</f>
        <v>0</v>
      </c>
      <c r="F81" s="17">
        <f>Table25[[#This Row],[حسابهای دریافتنی]]+Table25[[#This Row],[چکهای در جریان وصول]]+Table25[[#This Row],[چکهای نزد صندوق]]</f>
        <v>195000</v>
      </c>
      <c r="G81" s="12">
        <f>IFERROR(INDEX('مانده سوفاله'!F:F,MATCH(Table25[[#This Row],[كد تفصيلي]],'مانده سوفاله'!A:A,0)),0)</f>
        <v>-5</v>
      </c>
    </row>
    <row r="82" spans="1:7" ht="18" customHeight="1" x14ac:dyDescent="0.3">
      <c r="A82" s="28">
        <v>10043</v>
      </c>
      <c r="B82" s="24" t="s">
        <v>48</v>
      </c>
      <c r="C82" s="10">
        <f>IFERROR(INDEX('حسابهای دریافتنی'!H:H,MATCH(Table25[[#This Row],[كد تفصيلي]],'حسابهای دریافتنی'!A:A,0)),0)</f>
        <v>0</v>
      </c>
      <c r="D82" s="11">
        <f>IFERROR(INDEX('درجریان وصول'!F:F,MATCH(Table25[[#This Row],[كد تفصيلي]],'درجریان وصول'!A:A,0)),0)</f>
        <v>0</v>
      </c>
      <c r="E82" s="11">
        <f>IFERROR(INDEX('چکهای دریافتنی'!F:F,MATCH(Table25[[#This Row],[كد تفصيلي]],'چکهای دریافتنی'!A:A,0)),0)</f>
        <v>0</v>
      </c>
      <c r="F82" s="11">
        <f>Table25[[#This Row],[حسابهای دریافتنی]]+Table25[[#This Row],[چکهای در جریان وصول]]+Table25[[#This Row],[چکهای نزد صندوق]]</f>
        <v>0</v>
      </c>
      <c r="G82" s="12">
        <f>IFERROR(INDEX('مانده سوفاله'!F:F,MATCH(Table25[[#This Row],[كد تفصيلي]],'مانده سوفاله'!A:A,0)),0)</f>
        <v>0</v>
      </c>
    </row>
    <row r="83" spans="1:7" ht="18" customHeight="1" x14ac:dyDescent="0.3">
      <c r="A83" s="29">
        <v>30163</v>
      </c>
      <c r="B83" s="25" t="s">
        <v>356</v>
      </c>
      <c r="C83" s="10">
        <f>IFERROR(INDEX('حسابهای دریافتنی'!H:H,MATCH(Table25[[#This Row],[كد تفصيلي]],'حسابهای دریافتنی'!A:A,0)),0)</f>
        <v>0</v>
      </c>
      <c r="D83" s="11">
        <f>IFERROR(INDEX('درجریان وصول'!F:F,MATCH(Table25[[#This Row],[كد تفصيلي]],'درجریان وصول'!A:A,0)),0)</f>
        <v>0</v>
      </c>
      <c r="E83" s="11">
        <f>IFERROR(INDEX('چکهای دریافتنی'!F:F,MATCH(Table25[[#This Row],[كد تفصيلي]],'چکهای دریافتنی'!A:A,0)),0)</f>
        <v>0</v>
      </c>
      <c r="F83" s="11">
        <f>Table25[[#This Row],[حسابهای دریافتنی]]+Table25[[#This Row],[چکهای در جریان وصول]]+Table25[[#This Row],[چکهای نزد صندوق]]</f>
        <v>0</v>
      </c>
      <c r="G83" s="12">
        <f>IFERROR(INDEX('مانده سوفاله'!F:F,MATCH(Table25[[#This Row],[كد تفصيلي]],'مانده سوفاله'!A:A,0)),0)</f>
        <v>0</v>
      </c>
    </row>
    <row r="84" spans="1:7" ht="18" customHeight="1" x14ac:dyDescent="0.3">
      <c r="A84" s="28">
        <v>10075</v>
      </c>
      <c r="B84" s="24" t="s">
        <v>169</v>
      </c>
      <c r="C84" s="10">
        <f>IFERROR(INDEX('حسابهای دریافتنی'!H:H,MATCH(Table25[[#This Row],[كد تفصيلي]],'حسابهای دریافتنی'!A:A,0)),0)</f>
        <v>0</v>
      </c>
      <c r="D84" s="11">
        <f>IFERROR(INDEX('درجریان وصول'!F:F,MATCH(Table25[[#This Row],[كد تفصيلي]],'درجریان وصول'!A:A,0)),0)</f>
        <v>0</v>
      </c>
      <c r="E84" s="11">
        <f>IFERROR(INDEX('چکهای دریافتنی'!F:F,MATCH(Table25[[#This Row],[كد تفصيلي]],'چکهای دریافتنی'!A:A,0)),0)</f>
        <v>0</v>
      </c>
      <c r="F84" s="11">
        <f>Table25[[#This Row],[حسابهای دریافتنی]]+Table25[[#This Row],[چکهای در جریان وصول]]+Table25[[#This Row],[چکهای نزد صندوق]]</f>
        <v>0</v>
      </c>
      <c r="G84" s="12">
        <f>IFERROR(INDEX('مانده سوفاله'!F:F,MATCH(Table25[[#This Row],[كد تفصيلي]],'مانده سوفاله'!A:A,0)),0)</f>
        <v>0</v>
      </c>
    </row>
    <row r="85" spans="1:7" ht="18" customHeight="1" x14ac:dyDescent="0.3">
      <c r="A85" s="29">
        <v>30020</v>
      </c>
      <c r="B85" s="25" t="s">
        <v>68</v>
      </c>
      <c r="C85" s="10">
        <f>IFERROR(INDEX('حسابهای دریافتنی'!H:H,MATCH(Table25[[#This Row],[كد تفصيلي]],'حسابهای دریافتنی'!A:A,0)),0)</f>
        <v>2253500</v>
      </c>
      <c r="D85" s="17">
        <f>IFERROR(INDEX('درجریان وصول'!F:F,MATCH(Table25[[#This Row],[كد تفصيلي]],'درجریان وصول'!A:A,0)),0)</f>
        <v>0</v>
      </c>
      <c r="E85" s="17">
        <f>IFERROR(INDEX('چکهای دریافتنی'!F:F,MATCH(Table25[[#This Row],[كد تفصيلي]],'چکهای دریافتنی'!A:A,0)),0)</f>
        <v>0</v>
      </c>
      <c r="F85" s="17">
        <f>Table25[[#This Row],[حسابهای دریافتنی]]+Table25[[#This Row],[چکهای در جریان وصول]]+Table25[[#This Row],[چکهای نزد صندوق]]</f>
        <v>2253500</v>
      </c>
      <c r="G85" s="12">
        <f>IFERROR(INDEX('مانده سوفاله'!F:F,MATCH(Table25[[#This Row],[كد تفصيلي]],'مانده سوفاله'!A:A,0)),0)</f>
        <v>4</v>
      </c>
    </row>
    <row r="86" spans="1:7" ht="18" customHeight="1" x14ac:dyDescent="0.3">
      <c r="A86" s="29">
        <v>10010</v>
      </c>
      <c r="B86" s="25" t="s">
        <v>17</v>
      </c>
      <c r="C86" s="10">
        <f>IFERROR(INDEX('حسابهای دریافتنی'!H:H,MATCH(Table25[[#This Row],[كد تفصيلي]],'حسابهای دریافتنی'!A:A,0)),0)</f>
        <v>0</v>
      </c>
      <c r="D86" s="11">
        <f>IFERROR(INDEX('درجریان وصول'!F:F,MATCH(Table25[[#This Row],[كد تفصيلي]],'درجریان وصول'!A:A,0)),0)</f>
        <v>0</v>
      </c>
      <c r="E86" s="11">
        <f>IFERROR(INDEX('چکهای دریافتنی'!F:F,MATCH(Table25[[#This Row],[كد تفصيلي]],'چکهای دریافتنی'!A:A,0)),0)</f>
        <v>0</v>
      </c>
      <c r="F86" s="11">
        <f>Table25[[#This Row],[حسابهای دریافتنی]]+Table25[[#This Row],[چکهای در جریان وصول]]+Table25[[#This Row],[چکهای نزد صندوق]]</f>
        <v>0</v>
      </c>
      <c r="G86" s="12">
        <f>IFERROR(INDEX('مانده سوفاله'!F:F,MATCH(Table25[[#This Row],[كد تفصيلي]],'مانده سوفاله'!A:A,0)),0)</f>
        <v>8</v>
      </c>
    </row>
    <row r="87" spans="1:7" ht="18" customHeight="1" x14ac:dyDescent="0.3">
      <c r="A87" s="28">
        <v>10023</v>
      </c>
      <c r="B87" s="24" t="s">
        <v>155</v>
      </c>
      <c r="C87" s="10">
        <f>IFERROR(INDEX('حسابهای دریافتنی'!H:H,MATCH(Table25[[#This Row],[كد تفصيلي]],'حسابهای دریافتنی'!A:A,0)),0)</f>
        <v>0</v>
      </c>
      <c r="D87" s="10">
        <f>IFERROR(INDEX('درجریان وصول'!F:F,MATCH(Table25[[#This Row],[كد تفصيلي]],'درجریان وصول'!A:A,0)),0)</f>
        <v>0</v>
      </c>
      <c r="E87" s="10">
        <f>IFERROR(INDEX('چکهای دریافتنی'!F:F,MATCH(Table25[[#This Row],[كد تفصيلي]],'چکهای دریافتنی'!A:A,0)),0)</f>
        <v>0</v>
      </c>
      <c r="F87" s="10">
        <f>Table25[[#This Row],[حسابهای دریافتنی]]+Table25[[#This Row],[چکهای در جریان وصول]]+Table25[[#This Row],[چکهای نزد صندوق]]</f>
        <v>0</v>
      </c>
      <c r="G87" s="12">
        <f>IFERROR(INDEX('مانده سوفاله'!F:F,MATCH(Table25[[#This Row],[كد تفصيلي]],'مانده سوفاله'!A:A,0)),0)</f>
        <v>6</v>
      </c>
    </row>
    <row r="88" spans="1:7" ht="18" customHeight="1" x14ac:dyDescent="0.3">
      <c r="A88" s="28">
        <v>10039</v>
      </c>
      <c r="B88" s="24" t="s">
        <v>45</v>
      </c>
      <c r="C88" s="10">
        <f>IFERROR(INDEX('حسابهای دریافتنی'!H:H,MATCH(Table25[[#This Row],[كد تفصيلي]],'حسابهای دریافتنی'!A:A,0)),0)</f>
        <v>0</v>
      </c>
      <c r="D88" s="11">
        <f>IFERROR(INDEX('درجریان وصول'!F:F,MATCH(Table25[[#This Row],[كد تفصيلي]],'درجریان وصول'!A:A,0)),0)</f>
        <v>0</v>
      </c>
      <c r="E88" s="11">
        <f>IFERROR(INDEX('چکهای دریافتنی'!F:F,MATCH(Table25[[#This Row],[كد تفصيلي]],'چکهای دریافتنی'!A:A,0)),0)</f>
        <v>0</v>
      </c>
      <c r="F88" s="11">
        <f>Table25[[#This Row],[حسابهای دریافتنی]]+Table25[[#This Row],[چکهای در جریان وصول]]+Table25[[#This Row],[چکهای نزد صندوق]]</f>
        <v>0</v>
      </c>
      <c r="G88" s="12">
        <f>IFERROR(INDEX('مانده سوفاله'!F:F,MATCH(Table25[[#This Row],[كد تفصيلي]],'مانده سوفاله'!A:A,0)),0)</f>
        <v>4</v>
      </c>
    </row>
    <row r="89" spans="1:7" ht="18" customHeight="1" x14ac:dyDescent="0.3">
      <c r="A89" s="29">
        <v>10046</v>
      </c>
      <c r="B89" s="25" t="s">
        <v>51</v>
      </c>
      <c r="C89" s="10">
        <f>IFERROR(INDEX('حسابهای دریافتنی'!H:H,MATCH(Table25[[#This Row],[كد تفصيلي]],'حسابهای دریافتنی'!A:A,0)),0)</f>
        <v>0</v>
      </c>
      <c r="D89" s="11">
        <f>IFERROR(INDEX('درجریان وصول'!F:F,MATCH(Table25[[#This Row],[كد تفصيلي]],'درجریان وصول'!A:A,0)),0)</f>
        <v>0</v>
      </c>
      <c r="E89" s="11">
        <f>IFERROR(INDEX('چکهای دریافتنی'!F:F,MATCH(Table25[[#This Row],[كد تفصيلي]],'چکهای دریافتنی'!A:A,0)),0)</f>
        <v>0</v>
      </c>
      <c r="F89" s="11">
        <f>Table25[[#This Row],[حسابهای دریافتنی]]+Table25[[#This Row],[چکهای در جریان وصول]]+Table25[[#This Row],[چکهای نزد صندوق]]</f>
        <v>0</v>
      </c>
      <c r="G89" s="12">
        <f>IFERROR(INDEX('مانده سوفاله'!F:F,MATCH(Table25[[#This Row],[كد تفصيلي]],'مانده سوفاله'!A:A,0)),0)</f>
        <v>118</v>
      </c>
    </row>
    <row r="90" spans="1:7" ht="18" customHeight="1" x14ac:dyDescent="0.3">
      <c r="A90" s="28">
        <v>10065</v>
      </c>
      <c r="B90" s="24" t="s">
        <v>228</v>
      </c>
      <c r="C90" s="10">
        <f>IFERROR(INDEX('حسابهای دریافتنی'!H:H,MATCH(Table25[[#This Row],[كد تفصيلي]],'حسابهای دریافتنی'!A:A,0)),0)</f>
        <v>0</v>
      </c>
      <c r="D90" s="11">
        <f>IFERROR(INDEX('درجریان وصول'!F:F,MATCH(Table25[[#This Row],[كد تفصيلي]],'درجریان وصول'!A:A,0)),0)</f>
        <v>0</v>
      </c>
      <c r="E90" s="11">
        <f>IFERROR(INDEX('چکهای دریافتنی'!F:F,MATCH(Table25[[#This Row],[كد تفصيلي]],'چکهای دریافتنی'!A:A,0)),0)</f>
        <v>0</v>
      </c>
      <c r="F90" s="11">
        <f>Table25[[#This Row],[حسابهای دریافتنی]]+Table25[[#This Row],[چکهای در جریان وصول]]+Table25[[#This Row],[چکهای نزد صندوق]]</f>
        <v>0</v>
      </c>
      <c r="G90" s="12">
        <f>IFERROR(INDEX('مانده سوفاله'!F:F,MATCH(Table25[[#This Row],[كد تفصيلي]],'مانده سوفاله'!A:A,0)),0)</f>
        <v>127</v>
      </c>
    </row>
    <row r="91" spans="1:7" ht="18" customHeight="1" x14ac:dyDescent="0.3">
      <c r="A91" s="28">
        <v>30064</v>
      </c>
      <c r="B91" s="24" t="s">
        <v>109</v>
      </c>
      <c r="C91" s="10">
        <f>IFERROR(INDEX('حسابهای دریافتنی'!H:H,MATCH(Table25[[#This Row],[كد تفصيلي]],'حسابهای دریافتنی'!A:A,0)),0)</f>
        <v>-49679500</v>
      </c>
      <c r="D91" s="17">
        <f>IFERROR(INDEX('درجریان وصول'!F:F,MATCH(Table25[[#This Row],[كد تفصيلي]],'درجریان وصول'!A:A,0)),0)</f>
        <v>0</v>
      </c>
      <c r="E91" s="17">
        <f>IFERROR(INDEX('چکهای دریافتنی'!F:F,MATCH(Table25[[#This Row],[كد تفصيلي]],'چکهای دریافتنی'!A:A,0)),0)</f>
        <v>0</v>
      </c>
      <c r="F91" s="17">
        <f>Table25[[#This Row],[حسابهای دریافتنی]]+Table25[[#This Row],[چکهای در جریان وصول]]+Table25[[#This Row],[چکهای نزد صندوق]]</f>
        <v>-49679500</v>
      </c>
      <c r="G91" s="12">
        <f>IFERROR(INDEX('مانده سوفاله'!F:F,MATCH(Table25[[#This Row],[كد تفصيلي]],'مانده سوفاله'!A:A,0)),0)</f>
        <v>0</v>
      </c>
    </row>
    <row r="92" spans="1:7" ht="18" customHeight="1" x14ac:dyDescent="0.3">
      <c r="A92" s="29">
        <v>30065</v>
      </c>
      <c r="B92" s="25" t="s">
        <v>110</v>
      </c>
      <c r="C92" s="10">
        <f>IFERROR(INDEX('حسابهای دریافتنی'!H:H,MATCH(Table25[[#This Row],[كد تفصيلي]],'حسابهای دریافتنی'!A:A,0)),0)</f>
        <v>0</v>
      </c>
      <c r="D92" s="17">
        <f>IFERROR(INDEX('درجریان وصول'!F:F,MATCH(Table25[[#This Row],[كد تفصيلي]],'درجریان وصول'!A:A,0)),0)</f>
        <v>0</v>
      </c>
      <c r="E92" s="17">
        <f>IFERROR(INDEX('چکهای دریافتنی'!F:F,MATCH(Table25[[#This Row],[كد تفصيلي]],'چکهای دریافتنی'!A:A,0)),0)</f>
        <v>0</v>
      </c>
      <c r="F92" s="17">
        <f>Table25[[#This Row],[حسابهای دریافتنی]]+Table25[[#This Row],[چکهای در جریان وصول]]+Table25[[#This Row],[چکهای نزد صندوق]]</f>
        <v>0</v>
      </c>
      <c r="G92" s="12">
        <f>IFERROR(INDEX('مانده سوفاله'!F:F,MATCH(Table25[[#This Row],[كد تفصيلي]],'مانده سوفاله'!A:A,0)),0)</f>
        <v>33</v>
      </c>
    </row>
    <row r="93" spans="1:7" ht="18" customHeight="1" x14ac:dyDescent="0.3">
      <c r="A93" s="29">
        <v>30071</v>
      </c>
      <c r="B93" s="25" t="s">
        <v>116</v>
      </c>
      <c r="C93" s="10">
        <f>IFERROR(INDEX('حسابهای دریافتنی'!H:H,MATCH(Table25[[#This Row],[كد تفصيلي]],'حسابهای دریافتنی'!A:A,0)),0)</f>
        <v>0</v>
      </c>
      <c r="D93" s="17">
        <f>IFERROR(INDEX('درجریان وصول'!F:F,MATCH(Table25[[#This Row],[كد تفصيلي]],'درجریان وصول'!A:A,0)),0)</f>
        <v>0</v>
      </c>
      <c r="E93" s="17">
        <f>IFERROR(INDEX('چکهای دریافتنی'!F:F,MATCH(Table25[[#This Row],[كد تفصيلي]],'چکهای دریافتنی'!A:A,0)),0)</f>
        <v>0</v>
      </c>
      <c r="F93" s="17">
        <f>Table25[[#This Row],[حسابهای دریافتنی]]+Table25[[#This Row],[چکهای در جریان وصول]]+Table25[[#This Row],[چکهای نزد صندوق]]</f>
        <v>0</v>
      </c>
      <c r="G93" s="12">
        <f>IFERROR(INDEX('مانده سوفاله'!F:F,MATCH(Table25[[#This Row],[كد تفصيلي]],'مانده سوفاله'!A:A,0)),0)</f>
        <v>3</v>
      </c>
    </row>
    <row r="94" spans="1:7" ht="18" customHeight="1" x14ac:dyDescent="0.3">
      <c r="A94" s="29">
        <v>30077</v>
      </c>
      <c r="B94" s="25" t="s">
        <v>122</v>
      </c>
      <c r="C94" s="10">
        <f>IFERROR(INDEX('حسابهای دریافتنی'!H:H,MATCH(Table25[[#This Row],[كد تفصيلي]],'حسابهای دریافتنی'!A:A,0)),0)</f>
        <v>360000</v>
      </c>
      <c r="D94" s="10">
        <f>IFERROR(INDEX('درجریان وصول'!F:F,MATCH(Table25[[#This Row],[كد تفصيلي]],'درجریان وصول'!A:A,0)),0)</f>
        <v>0</v>
      </c>
      <c r="E94" s="10">
        <f>IFERROR(INDEX('چکهای دریافتنی'!F:F,MATCH(Table25[[#This Row],[كد تفصيلي]],'چکهای دریافتنی'!A:A,0)),0)</f>
        <v>0</v>
      </c>
      <c r="F94" s="10">
        <f>Table25[[#This Row],[حسابهای دریافتنی]]+Table25[[#This Row],[چکهای در جریان وصول]]+Table25[[#This Row],[چکهای نزد صندوق]]</f>
        <v>360000</v>
      </c>
      <c r="G94" s="12">
        <f>IFERROR(INDEX('مانده سوفاله'!F:F,MATCH(Table25[[#This Row],[كد تفصيلي]],'مانده سوفاله'!A:A,0)),0)</f>
        <v>-32</v>
      </c>
    </row>
    <row r="95" spans="1:7" ht="18" customHeight="1" x14ac:dyDescent="0.3">
      <c r="A95" s="29">
        <v>30079</v>
      </c>
      <c r="B95" s="25" t="s">
        <v>124</v>
      </c>
      <c r="C95" s="10">
        <f>IFERROR(INDEX('حسابهای دریافتنی'!H:H,MATCH(Table25[[#This Row],[كد تفصيلي]],'حسابهای دریافتنی'!A:A,0)),0)</f>
        <v>0</v>
      </c>
      <c r="D95" s="17">
        <f>IFERROR(INDEX('درجریان وصول'!F:F,MATCH(Table25[[#This Row],[كد تفصيلي]],'درجریان وصول'!A:A,0)),0)</f>
        <v>0</v>
      </c>
      <c r="E95" s="17">
        <f>IFERROR(INDEX('چکهای دریافتنی'!F:F,MATCH(Table25[[#This Row],[كد تفصيلي]],'چکهای دریافتنی'!A:A,0)),0)</f>
        <v>0</v>
      </c>
      <c r="F95" s="17">
        <f>Table25[[#This Row],[حسابهای دریافتنی]]+Table25[[#This Row],[چکهای در جریان وصول]]+Table25[[#This Row],[چکهای نزد صندوق]]</f>
        <v>0</v>
      </c>
      <c r="G95" s="12">
        <f>IFERROR(INDEX('مانده سوفاله'!F:F,MATCH(Table25[[#This Row],[كد تفصيلي]],'مانده سوفاله'!A:A,0)),0)</f>
        <v>-85</v>
      </c>
    </row>
    <row r="96" spans="1:7" ht="18" customHeight="1" x14ac:dyDescent="0.3">
      <c r="A96" s="29">
        <v>30097</v>
      </c>
      <c r="B96" s="25" t="s">
        <v>188</v>
      </c>
      <c r="C96" s="10">
        <f>IFERROR(INDEX('حسابهای دریافتنی'!H:H,MATCH(Table25[[#This Row],[كد تفصيلي]],'حسابهای دریافتنی'!A:A,0)),0)</f>
        <v>0</v>
      </c>
      <c r="D96" s="17">
        <f>IFERROR(INDEX('درجریان وصول'!F:F,MATCH(Table25[[#This Row],[كد تفصيلي]],'درجریان وصول'!A:A,0)),0)</f>
        <v>0</v>
      </c>
      <c r="E96" s="17">
        <f>IFERROR(INDEX('چکهای دریافتنی'!F:F,MATCH(Table25[[#This Row],[كد تفصيلي]],'چکهای دریافتنی'!A:A,0)),0)</f>
        <v>0</v>
      </c>
      <c r="F96" s="17">
        <f>Table25[[#This Row],[حسابهای دریافتنی]]+Table25[[#This Row],[چکهای در جریان وصول]]+Table25[[#This Row],[چکهای نزد صندوق]]</f>
        <v>0</v>
      </c>
      <c r="G96" s="12">
        <f>IFERROR(INDEX('مانده سوفاله'!F:F,MATCH(Table25[[#This Row],[كد تفصيلي]],'مانده سوفاله'!A:A,0)),0)</f>
        <v>-82</v>
      </c>
    </row>
    <row r="97" spans="1:7" ht="18" customHeight="1" x14ac:dyDescent="0.3">
      <c r="A97" s="28">
        <v>30118</v>
      </c>
      <c r="B97" s="24" t="s">
        <v>205</v>
      </c>
      <c r="C97" s="10">
        <f>IFERROR(INDEX('حسابهای دریافتنی'!H:H,MATCH(Table25[[#This Row],[كد تفصيلي]],'حسابهای دریافتنی'!A:A,0)),0)</f>
        <v>0</v>
      </c>
      <c r="D97" s="11">
        <f>IFERROR(INDEX('درجریان وصول'!F:F,MATCH(Table25[[#This Row],[كد تفصيلي]],'درجریان وصول'!A:A,0)),0)</f>
        <v>0</v>
      </c>
      <c r="E97" s="11">
        <f>IFERROR(INDEX('چکهای دریافتنی'!F:F,MATCH(Table25[[#This Row],[كد تفصيلي]],'چکهای دریافتنی'!A:A,0)),0)</f>
        <v>0</v>
      </c>
      <c r="F97" s="11">
        <f>Table25[[#This Row],[حسابهای دریافتنی]]+Table25[[#This Row],[چکهای در جریان وصول]]+Table25[[#This Row],[چکهای نزد صندوق]]</f>
        <v>0</v>
      </c>
      <c r="G97" s="12">
        <f>IFERROR(INDEX('مانده سوفاله'!F:F,MATCH(Table25[[#This Row],[كد تفصيلي]],'مانده سوفاله'!A:A,0)),0)</f>
        <v>-20</v>
      </c>
    </row>
    <row r="98" spans="1:7" ht="18" customHeight="1" x14ac:dyDescent="0.3">
      <c r="A98" s="29">
        <v>30131</v>
      </c>
      <c r="B98" s="25" t="s">
        <v>213</v>
      </c>
      <c r="C98" s="10">
        <f>IFERROR(INDEX('حسابهای دریافتنی'!H:H,MATCH(Table25[[#This Row],[كد تفصيلي]],'حسابهای دریافتنی'!A:A,0)),0)</f>
        <v>-6228486500</v>
      </c>
      <c r="D98" s="17">
        <f>IFERROR(INDEX('درجریان وصول'!F:F,MATCH(Table25[[#This Row],[كد تفصيلي]],'درجریان وصول'!A:A,0)),0)</f>
        <v>0</v>
      </c>
      <c r="E98" s="17">
        <f>IFERROR(INDEX('چکهای دریافتنی'!F:F,MATCH(Table25[[#This Row],[كد تفصيلي]],'چکهای دریافتنی'!A:A,0)),0)</f>
        <v>0</v>
      </c>
      <c r="F98" s="17">
        <f>Table25[[#This Row],[حسابهای دریافتنی]]+Table25[[#This Row],[چکهای در جریان وصول]]+Table25[[#This Row],[چکهای نزد صندوق]]</f>
        <v>-6228486500</v>
      </c>
      <c r="G98" s="12">
        <f>IFERROR(INDEX('مانده سوفاله'!F:F,MATCH(Table25[[#This Row],[كد تفصيلي]],'مانده سوفاله'!A:A,0)),0)</f>
        <v>222</v>
      </c>
    </row>
    <row r="99" spans="1:7" ht="18" customHeight="1" x14ac:dyDescent="0.3">
      <c r="A99" s="29">
        <v>30137</v>
      </c>
      <c r="B99" s="25" t="s">
        <v>218</v>
      </c>
      <c r="C99" s="10">
        <f>IFERROR(INDEX('حسابهای دریافتنی'!H:H,MATCH(Table25[[#This Row],[كد تفصيلي]],'حسابهای دریافتنی'!A:A,0)),0)</f>
        <v>0</v>
      </c>
      <c r="D99" s="17">
        <f>IFERROR(INDEX('درجریان وصول'!F:F,MATCH(Table25[[#This Row],[كد تفصيلي]],'درجریان وصول'!A:A,0)),0)</f>
        <v>0</v>
      </c>
      <c r="E99" s="17">
        <f>IFERROR(INDEX('چکهای دریافتنی'!F:F,MATCH(Table25[[#This Row],[كد تفصيلي]],'چکهای دریافتنی'!A:A,0)),0)</f>
        <v>213182200</v>
      </c>
      <c r="F99" s="17">
        <f>Table25[[#This Row],[حسابهای دریافتنی]]+Table25[[#This Row],[چکهای در جریان وصول]]+Table25[[#This Row],[چکهای نزد صندوق]]</f>
        <v>213182200</v>
      </c>
      <c r="G99" s="12">
        <f>IFERROR(INDEX('مانده سوفاله'!F:F,MATCH(Table25[[#This Row],[كد تفصيلي]],'مانده سوفاله'!A:A,0)),0)</f>
        <v>0</v>
      </c>
    </row>
    <row r="100" spans="1:7" ht="18" customHeight="1" x14ac:dyDescent="0.3">
      <c r="A100" s="29">
        <v>30141</v>
      </c>
      <c r="B100" s="25" t="s">
        <v>261</v>
      </c>
      <c r="C100" s="10">
        <f>IFERROR(INDEX('حسابهای دریافتنی'!H:H,MATCH(Table25[[#This Row],[كد تفصيلي]],'حسابهای دریافتنی'!A:A,0)),0)</f>
        <v>0</v>
      </c>
      <c r="D100" s="17">
        <f>IFERROR(INDEX('درجریان وصول'!F:F,MATCH(Table25[[#This Row],[كد تفصيلي]],'درجریان وصول'!A:A,0)),0)</f>
        <v>0</v>
      </c>
      <c r="E100" s="17">
        <f>IFERROR(INDEX('چکهای دریافتنی'!F:F,MATCH(Table25[[#This Row],[كد تفصيلي]],'چکهای دریافتنی'!A:A,0)),0)</f>
        <v>0</v>
      </c>
      <c r="F100" s="17">
        <f>Table25[[#This Row],[حسابهای دریافتنی]]+Table25[[#This Row],[چکهای در جریان وصول]]+Table25[[#This Row],[چکهای نزد صندوق]]</f>
        <v>0</v>
      </c>
      <c r="G100" s="12">
        <f>IFERROR(INDEX('مانده سوفاله'!F:F,MATCH(Table25[[#This Row],[كد تفصيلي]],'مانده سوفاله'!A:A,0)),0)</f>
        <v>-42</v>
      </c>
    </row>
    <row r="101" spans="1:7" ht="18" customHeight="1" x14ac:dyDescent="0.3">
      <c r="A101" s="28">
        <v>30142</v>
      </c>
      <c r="B101" s="24" t="s">
        <v>263</v>
      </c>
      <c r="C101" s="10">
        <f>IFERROR(INDEX('حسابهای دریافتنی'!H:H,MATCH(Table25[[#This Row],[كد تفصيلي]],'حسابهای دریافتنی'!A:A,0)),0)</f>
        <v>0</v>
      </c>
      <c r="D101" s="10">
        <f>IFERROR(INDEX('درجریان وصول'!F:F,MATCH(Table25[[#This Row],[كد تفصيلي]],'درجریان وصول'!A:A,0)),0)</f>
        <v>0</v>
      </c>
      <c r="E101" s="10">
        <f>IFERROR(INDEX('چکهای دریافتنی'!F:F,MATCH(Table25[[#This Row],[كد تفصيلي]],'چکهای دریافتنی'!A:A,0)),0)</f>
        <v>0</v>
      </c>
      <c r="F101" s="10">
        <f>Table25[[#This Row],[حسابهای دریافتنی]]+Table25[[#This Row],[چکهای در جریان وصول]]+Table25[[#This Row],[چکهای نزد صندوق]]</f>
        <v>0</v>
      </c>
      <c r="G101" s="12">
        <f>IFERROR(INDEX('مانده سوفاله'!F:F,MATCH(Table25[[#This Row],[كد تفصيلي]],'مانده سوفاله'!A:A,0)),0)</f>
        <v>13</v>
      </c>
    </row>
    <row r="102" spans="1:7" ht="18" customHeight="1" x14ac:dyDescent="0.3">
      <c r="A102" s="29">
        <v>50006</v>
      </c>
      <c r="B102" s="25" t="s">
        <v>168</v>
      </c>
      <c r="C102" s="10">
        <f>IFERROR(INDEX('حسابهای دریافتنی'!H:H,MATCH(Table25[[#This Row],[كد تفصيلي]],'حسابهای دریافتنی'!A:A,0)),0)</f>
        <v>0</v>
      </c>
      <c r="D102" s="17">
        <f>IFERROR(INDEX('درجریان وصول'!F:F,MATCH(Table25[[#This Row],[كد تفصيلي]],'درجریان وصول'!A:A,0)),0)</f>
        <v>0</v>
      </c>
      <c r="E102" s="17">
        <f>IFERROR(INDEX('چکهای دریافتنی'!F:F,MATCH(Table25[[#This Row],[كد تفصيلي]],'چکهای دریافتنی'!A:A,0)),0)</f>
        <v>0</v>
      </c>
      <c r="F102" s="17">
        <f>Table25[[#This Row],[حسابهای دریافتنی]]+Table25[[#This Row],[چکهای در جریان وصول]]+Table25[[#This Row],[چکهای نزد صندوق]]</f>
        <v>0</v>
      </c>
      <c r="G102" s="12">
        <f>IFERROR(INDEX('مانده سوفاله'!F:F,MATCH(Table25[[#This Row],[كد تفصيلي]],'مانده سوفاله'!A:A,0)),0)</f>
        <v>-7581</v>
      </c>
    </row>
    <row r="103" spans="1:7" ht="18" customHeight="1" x14ac:dyDescent="0.3">
      <c r="A103" s="29">
        <v>79010</v>
      </c>
      <c r="B103" s="25" t="s">
        <v>176</v>
      </c>
      <c r="C103" s="10">
        <f>IFERROR(INDEX('حسابهای دریافتنی'!H:H,MATCH(Table25[[#This Row],[كد تفصيلي]],'حسابهای دریافتنی'!A:A,0)),0)</f>
        <v>0</v>
      </c>
      <c r="D103" s="10">
        <f>IFERROR(INDEX('درجریان وصول'!F:F,MATCH(Table25[[#This Row],[كد تفصيلي]],'درجریان وصول'!A:A,0)),0)</f>
        <v>0</v>
      </c>
      <c r="E103" s="10">
        <f>IFERROR(INDEX('چکهای دریافتنی'!F:F,MATCH(Table25[[#This Row],[كد تفصيلي]],'چکهای دریافتنی'!A:A,0)),0)</f>
        <v>0</v>
      </c>
      <c r="F103" s="10">
        <f>Table25[[#This Row],[حسابهای دریافتنی]]+Table25[[#This Row],[چکهای در جریان وصول]]+Table25[[#This Row],[چکهای نزد صندوق]]</f>
        <v>0</v>
      </c>
      <c r="G103" s="12">
        <f>IFERROR(INDEX('مانده سوفاله'!F:F,MATCH(Table25[[#This Row],[كد تفصيلي]],'مانده سوفاله'!A:A,0)),0)</f>
        <v>-110</v>
      </c>
    </row>
    <row r="104" spans="1:7" ht="18" customHeight="1" x14ac:dyDescent="0.3">
      <c r="A104" s="29">
        <v>30164</v>
      </c>
      <c r="B104" s="25" t="s">
        <v>357</v>
      </c>
      <c r="C104" s="10">
        <f>IFERROR(INDEX('حسابهای دریافتنی'!H:H,MATCH(Table25[[#This Row],[كد تفصيلي]],'حسابهای دریافتنی'!A:A,0)),0)</f>
        <v>184944000</v>
      </c>
      <c r="D104" s="10">
        <f>IFERROR(INDEX('درجریان وصول'!F:F,MATCH(Table25[[#This Row],[كد تفصيلي]],'درجریان وصول'!A:A,0)),0)</f>
        <v>0</v>
      </c>
      <c r="E104" s="10">
        <f>IFERROR(INDEX('چکهای دریافتنی'!F:F,MATCH(Table25[[#This Row],[كد تفصيلي]],'چکهای دریافتنی'!A:A,0)),0)</f>
        <v>0</v>
      </c>
      <c r="F104" s="10">
        <f>Table25[[#This Row],[حسابهای دریافتنی]]+Table25[[#This Row],[چکهای در جریان وصول]]+Table25[[#This Row],[چکهای نزد صندوق]]</f>
        <v>184944000</v>
      </c>
      <c r="G104" s="12">
        <f>IFERROR(INDEX('مانده سوفاله'!F:F,MATCH(Table25[[#This Row],[كد تفصيلي]],'مانده سوفاله'!A:A,0)),0)</f>
        <v>561</v>
      </c>
    </row>
    <row r="105" spans="1:7" ht="18" customHeight="1" x14ac:dyDescent="0.3">
      <c r="A105" s="29">
        <v>10109</v>
      </c>
      <c r="B105" s="25" t="s">
        <v>347</v>
      </c>
      <c r="C105" s="10">
        <f>IFERROR(INDEX('حسابهای دریافتنی'!H:H,MATCH(Table25[[#This Row],[كد تفصيلي]],'حسابهای دریافتنی'!A:A,0)),0)</f>
        <v>-1124737000</v>
      </c>
      <c r="D105" s="11">
        <f>IFERROR(INDEX('درجریان وصول'!F:F,MATCH(Table25[[#This Row],[كد تفصيلي]],'درجریان وصول'!A:A,0)),0)</f>
        <v>0</v>
      </c>
      <c r="E105" s="11">
        <f>IFERROR(INDEX('چکهای دریافتنی'!F:F,MATCH(Table25[[#This Row],[كد تفصيلي]],'چکهای دریافتنی'!A:A,0)),0)</f>
        <v>0</v>
      </c>
      <c r="F105" s="11">
        <f>Table25[[#This Row],[حسابهای دریافتنی]]+Table25[[#This Row],[چکهای در جریان وصول]]+Table25[[#This Row],[چکهای نزد صندوق]]</f>
        <v>-1124737000</v>
      </c>
      <c r="G105" s="12">
        <f>IFERROR(INDEX('مانده سوفاله'!F:F,MATCH(Table25[[#This Row],[كد تفصيلي]],'مانده سوفاله'!A:A,0)),0)</f>
        <v>-241</v>
      </c>
    </row>
    <row r="106" spans="1:7" ht="18" customHeight="1" x14ac:dyDescent="0.3">
      <c r="A106" s="28">
        <v>30021</v>
      </c>
      <c r="B106" s="24" t="s">
        <v>69</v>
      </c>
      <c r="C106" s="10">
        <f>IFERROR(INDEX('حسابهای دریافتنی'!H:H,MATCH(Table25[[#This Row],[كد تفصيلي]],'حسابهای دریافتنی'!A:A,0)),0)</f>
        <v>-122000</v>
      </c>
      <c r="D106" s="17">
        <f>IFERROR(INDEX('درجریان وصول'!F:F,MATCH(Table25[[#This Row],[كد تفصيلي]],'درجریان وصول'!A:A,0)),0)</f>
        <v>0</v>
      </c>
      <c r="E106" s="17">
        <f>IFERROR(INDEX('چکهای دریافتنی'!F:F,MATCH(Table25[[#This Row],[كد تفصيلي]],'چکهای دریافتنی'!A:A,0)),0)</f>
        <v>0</v>
      </c>
      <c r="F106" s="17">
        <f>Table25[[#This Row],[حسابهای دریافتنی]]+Table25[[#This Row],[چکهای در جریان وصول]]+Table25[[#This Row],[چکهای نزد صندوق]]</f>
        <v>-122000</v>
      </c>
      <c r="G106" s="12">
        <f>IFERROR(INDEX('مانده سوفاله'!F:F,MATCH(Table25[[#This Row],[كد تفصيلي]],'مانده سوفاله'!A:A,0)),0)</f>
        <v>0</v>
      </c>
    </row>
    <row r="107" spans="1:7" ht="18" customHeight="1" x14ac:dyDescent="0.3">
      <c r="A107" s="29">
        <v>10066</v>
      </c>
      <c r="B107" s="25" t="s">
        <v>262</v>
      </c>
      <c r="C107" s="10">
        <f>IFERROR(INDEX('حسابهای دریافتنی'!H:H,MATCH(Table25[[#This Row],[كد تفصيلي]],'حسابهای دریافتنی'!A:A,0)),0)</f>
        <v>-191500</v>
      </c>
      <c r="D107" s="11">
        <f>IFERROR(INDEX('درجریان وصول'!F:F,MATCH(Table25[[#This Row],[كد تفصيلي]],'درجریان وصول'!A:A,0)),0)</f>
        <v>0</v>
      </c>
      <c r="E107" s="11">
        <f>IFERROR(INDEX('چکهای دریافتنی'!F:F,MATCH(Table25[[#This Row],[كد تفصيلي]],'چکهای دریافتنی'!A:A,0)),0)</f>
        <v>0</v>
      </c>
      <c r="F107" s="11">
        <f>Table25[[#This Row],[حسابهای دریافتنی]]+Table25[[#This Row],[چکهای در جریان وصول]]+Table25[[#This Row],[چکهای نزد صندوق]]</f>
        <v>-191500</v>
      </c>
      <c r="G107" s="12">
        <f>IFERROR(INDEX('مانده سوفاله'!F:F,MATCH(Table25[[#This Row],[كد تفصيلي]],'مانده سوفاله'!A:A,0)),0)</f>
        <v>2</v>
      </c>
    </row>
    <row r="108" spans="1:7" ht="18" customHeight="1" x14ac:dyDescent="0.3">
      <c r="A108" s="29">
        <v>30167</v>
      </c>
      <c r="B108" s="25" t="s">
        <v>398</v>
      </c>
      <c r="C108" s="10">
        <f>IFERROR(INDEX('حسابهای دریافتنی'!H:H,MATCH(Table25[[#This Row],[كد تفصيلي]],'حسابهای دریافتنی'!A:A,0)),0)</f>
        <v>-221000</v>
      </c>
      <c r="D108" s="10">
        <f>IFERROR(INDEX('درجریان وصول'!F:F,MATCH(Table25[[#This Row],[كد تفصيلي]],'درجریان وصول'!A:A,0)),0)</f>
        <v>0</v>
      </c>
      <c r="E108" s="10">
        <f>IFERROR(INDEX('چکهای دریافتنی'!F:F,MATCH(Table25[[#This Row],[كد تفصيلي]],'چکهای دریافتنی'!A:A,0)),0)</f>
        <v>0</v>
      </c>
      <c r="F108" s="10">
        <f>Table25[[#This Row],[حسابهای دریافتنی]]+Table25[[#This Row],[چکهای در جریان وصول]]+Table25[[#This Row],[چکهای نزد صندوق]]</f>
        <v>-221000</v>
      </c>
      <c r="G108" s="12">
        <f>IFERROR(INDEX('مانده سوفاله'!F:F,MATCH(Table25[[#This Row],[كد تفصيلي]],'مانده سوفاله'!A:A,0)),0)</f>
        <v>6</v>
      </c>
    </row>
    <row r="109" spans="1:7" ht="18" customHeight="1" x14ac:dyDescent="0.3">
      <c r="A109" s="28">
        <v>10077</v>
      </c>
      <c r="B109" s="24" t="s">
        <v>210</v>
      </c>
      <c r="C109" s="10">
        <f>IFERROR(INDEX('حسابهای دریافتنی'!H:H,MATCH(Table25[[#This Row],[كد تفصيلي]],'حسابهای دریافتنی'!A:A,0)),0)</f>
        <v>-238500</v>
      </c>
      <c r="D109" s="11">
        <f>IFERROR(INDEX('درجریان وصول'!F:F,MATCH(Table25[[#This Row],[كد تفصيلي]],'درجریان وصول'!A:A,0)),0)</f>
        <v>0</v>
      </c>
      <c r="E109" s="11">
        <f>IFERROR(INDEX('چکهای دریافتنی'!F:F,MATCH(Table25[[#This Row],[كد تفصيلي]],'چکهای دریافتنی'!A:A,0)),0)</f>
        <v>0</v>
      </c>
      <c r="F109" s="11">
        <f>Table25[[#This Row],[حسابهای دریافتنی]]+Table25[[#This Row],[چکهای در جریان وصول]]+Table25[[#This Row],[چکهای نزد صندوق]]</f>
        <v>-238500</v>
      </c>
      <c r="G109" s="12">
        <f>IFERROR(INDEX('مانده سوفاله'!F:F,MATCH(Table25[[#This Row],[كد تفصيلي]],'مانده سوفاله'!A:A,0)),0)</f>
        <v>0</v>
      </c>
    </row>
    <row r="110" spans="1:7" ht="18" customHeight="1" x14ac:dyDescent="0.3">
      <c r="A110" s="29">
        <v>10012</v>
      </c>
      <c r="B110" s="25" t="s">
        <v>19</v>
      </c>
      <c r="C110" s="10">
        <f>IFERROR(INDEX('حسابهای دریافتنی'!H:H,MATCH(Table25[[#This Row],[كد تفصيلي]],'حسابهای دریافتنی'!A:A,0)),0)</f>
        <v>-244000</v>
      </c>
      <c r="D110" s="11">
        <f>IFERROR(INDEX('درجریان وصول'!F:F,MATCH(Table25[[#This Row],[كد تفصيلي]],'درجریان وصول'!A:A,0)),0)</f>
        <v>0</v>
      </c>
      <c r="E110" s="11">
        <f>IFERROR(INDEX('چکهای دریافتنی'!F:F,MATCH(Table25[[#This Row],[كد تفصيلي]],'چکهای دریافتنی'!A:A,0)),0)</f>
        <v>0</v>
      </c>
      <c r="F110" s="11">
        <f>Table25[[#This Row],[حسابهای دریافتنی]]+Table25[[#This Row],[چکهای در جریان وصول]]+Table25[[#This Row],[چکهای نزد صندوق]]</f>
        <v>-244000</v>
      </c>
      <c r="G110" s="12">
        <f>IFERROR(INDEX('مانده سوفاله'!F:F,MATCH(Table25[[#This Row],[كد تفصيلي]],'مانده سوفاله'!A:A,0)),0)</f>
        <v>0</v>
      </c>
    </row>
    <row r="111" spans="1:7" ht="18" customHeight="1" x14ac:dyDescent="0.3">
      <c r="A111" s="28">
        <v>30088</v>
      </c>
      <c r="B111" s="24" t="s">
        <v>142</v>
      </c>
      <c r="C111" s="10">
        <f>IFERROR(INDEX('حسابهای دریافتنی'!H:H,MATCH(Table25[[#This Row],[كد تفصيلي]],'حسابهای دریافتنی'!A:A,0)),0)</f>
        <v>-252000</v>
      </c>
      <c r="D111" s="17">
        <f>IFERROR(INDEX('درجریان وصول'!F:F,MATCH(Table25[[#This Row],[كد تفصيلي]],'درجریان وصول'!A:A,0)),0)</f>
        <v>0</v>
      </c>
      <c r="E111" s="17">
        <f>IFERROR(INDEX('چکهای دریافتنی'!F:F,MATCH(Table25[[#This Row],[كد تفصيلي]],'چکهای دریافتنی'!A:A,0)),0)</f>
        <v>0</v>
      </c>
      <c r="F111" s="17">
        <f>Table25[[#This Row],[حسابهای دریافتنی]]+Table25[[#This Row],[چکهای در جریان وصول]]+Table25[[#This Row],[چکهای نزد صندوق]]</f>
        <v>-252000</v>
      </c>
      <c r="G111" s="12">
        <f>IFERROR(INDEX('مانده سوفاله'!F:F,MATCH(Table25[[#This Row],[كد تفصيلي]],'مانده سوفاله'!A:A,0)),0)</f>
        <v>0</v>
      </c>
    </row>
    <row r="112" spans="1:7" ht="18" customHeight="1" x14ac:dyDescent="0.3">
      <c r="A112" s="29">
        <v>10052</v>
      </c>
      <c r="B112" s="25" t="s">
        <v>192</v>
      </c>
      <c r="C112" s="10">
        <f>IFERROR(INDEX('حسابهای دریافتنی'!H:H,MATCH(Table25[[#This Row],[كد تفصيلي]],'حسابهای دریافتنی'!A:A,0)),0)</f>
        <v>0</v>
      </c>
      <c r="D112" s="10">
        <f>IFERROR(INDEX('درجریان وصول'!F:F,MATCH(Table25[[#This Row],[كد تفصيلي]],'درجریان وصول'!A:A,0)),0)</f>
        <v>0</v>
      </c>
      <c r="E112" s="10">
        <v>0</v>
      </c>
      <c r="F112" s="10">
        <f>Table25[[#This Row],[حسابهای دریافتنی]]+Table25[[#This Row],[چکهای در جریان وصول]]+Table25[[#This Row],[چکهای نزد صندوق]]</f>
        <v>0</v>
      </c>
      <c r="G112" s="12">
        <f>IFERROR(INDEX('مانده سوفاله'!F:F,MATCH(Table25[[#This Row],[كد تفصيلي]],'مانده سوفاله'!A:A,0)),0)</f>
        <v>0</v>
      </c>
    </row>
    <row r="113" spans="1:7" ht="18" customHeight="1" x14ac:dyDescent="0.3">
      <c r="A113" s="28">
        <v>10045</v>
      </c>
      <c r="B113" s="24" t="s">
        <v>50</v>
      </c>
      <c r="C113" s="10">
        <f>IFERROR(INDEX('حسابهای دریافتنی'!H:H,MATCH(Table25[[#This Row],[كد تفصيلي]],'حسابهای دریافتنی'!A:A,0)),0)</f>
        <v>-383000</v>
      </c>
      <c r="D113" s="10">
        <f>IFERROR(INDEX('درجریان وصول'!F:F,MATCH(Table25[[#This Row],[كد تفصيلي]],'درجریان وصول'!A:A,0)),0)</f>
        <v>0</v>
      </c>
      <c r="E113" s="10">
        <f>IFERROR(INDEX('چکهای دریافتنی'!F:F,MATCH(Table25[[#This Row],[كد تفصيلي]],'چکهای دریافتنی'!A:A,0)),0)</f>
        <v>0</v>
      </c>
      <c r="F113" s="10">
        <f>Table25[[#This Row],[حسابهای دریافتنی]]+Table25[[#This Row],[چکهای در جریان وصول]]+Table25[[#This Row],[چکهای نزد صندوق]]</f>
        <v>-383000</v>
      </c>
      <c r="G113" s="12">
        <f>IFERROR(INDEX('مانده سوفاله'!F:F,MATCH(Table25[[#This Row],[كد تفصيلي]],'مانده سوفاله'!A:A,0)),0)</f>
        <v>-30</v>
      </c>
    </row>
    <row r="114" spans="1:7" ht="18" customHeight="1" x14ac:dyDescent="0.3">
      <c r="A114" s="28">
        <v>30051</v>
      </c>
      <c r="B114" s="24" t="s">
        <v>98</v>
      </c>
      <c r="C114" s="10">
        <f>IFERROR(INDEX('حسابهای دریافتنی'!H:H,MATCH(Table25[[#This Row],[كد تفصيلي]],'حسابهای دریافتنی'!A:A,0)),0)</f>
        <v>-384000</v>
      </c>
      <c r="D114" s="17">
        <f>IFERROR(INDEX('درجریان وصول'!F:F,MATCH(Table25[[#This Row],[كد تفصيلي]],'درجریان وصول'!A:A,0)),0)</f>
        <v>0</v>
      </c>
      <c r="E114" s="17">
        <f>IFERROR(INDEX('چکهای دریافتنی'!F:F,MATCH(Table25[[#This Row],[كد تفصيلي]],'چکهای دریافتنی'!A:A,0)),0)</f>
        <v>0</v>
      </c>
      <c r="F114" s="17">
        <f>Table25[[#This Row],[حسابهای دریافتنی]]+Table25[[#This Row],[چکهای در جریان وصول]]+Table25[[#This Row],[چکهای نزد صندوق]]</f>
        <v>-384000</v>
      </c>
      <c r="G114" s="12">
        <f>IFERROR(INDEX('مانده سوفاله'!F:F,MATCH(Table25[[#This Row],[كد تفصيلي]],'مانده سوفاله'!A:A,0)),0)</f>
        <v>0</v>
      </c>
    </row>
    <row r="115" spans="1:7" ht="18" customHeight="1" x14ac:dyDescent="0.3">
      <c r="A115" s="28">
        <v>30094</v>
      </c>
      <c r="B115" s="24" t="s">
        <v>152</v>
      </c>
      <c r="C115" s="10">
        <f>IFERROR(INDEX('حسابهای دریافتنی'!H:H,MATCH(Table25[[#This Row],[كد تفصيلي]],'حسابهای دریافتنی'!A:A,0)),0)</f>
        <v>-420000</v>
      </c>
      <c r="D115" s="17">
        <f>IFERROR(INDEX('درجریان وصول'!F:F,MATCH(Table25[[#This Row],[كد تفصيلي]],'درجریان وصول'!A:A,0)),0)</f>
        <v>0</v>
      </c>
      <c r="E115" s="17">
        <f>IFERROR(INDEX('چکهای دریافتنی'!F:F,MATCH(Table25[[#This Row],[كد تفصيلي]],'چکهای دریافتنی'!A:A,0)),0)</f>
        <v>0</v>
      </c>
      <c r="F115" s="17">
        <f>Table25[[#This Row],[حسابهای دریافتنی]]+Table25[[#This Row],[چکهای در جریان وصول]]+Table25[[#This Row],[چکهای نزد صندوق]]</f>
        <v>-420000</v>
      </c>
      <c r="G115" s="12">
        <f>IFERROR(INDEX('مانده سوفاله'!F:F,MATCH(Table25[[#This Row],[كد تفصيلي]],'مانده سوفاله'!A:A,0)),0)</f>
        <v>0</v>
      </c>
    </row>
    <row r="116" spans="1:7" ht="18" customHeight="1" x14ac:dyDescent="0.3">
      <c r="A116" s="29">
        <v>30044</v>
      </c>
      <c r="B116" s="25" t="s">
        <v>91</v>
      </c>
      <c r="C116" s="10">
        <f>IFERROR(INDEX('حسابهای دریافتنی'!H:H,MATCH(Table25[[#This Row],[كد تفصيلي]],'حسابهای دریافتنی'!A:A,0)),0)</f>
        <v>-492500</v>
      </c>
      <c r="D116" s="17">
        <f>IFERROR(INDEX('درجریان وصول'!F:F,MATCH(Table25[[#This Row],[كد تفصيلي]],'درجریان وصول'!A:A,0)),0)</f>
        <v>0</v>
      </c>
      <c r="E116" s="17">
        <f>IFERROR(INDEX('چکهای دریافتنی'!F:F,MATCH(Table25[[#This Row],[كد تفصيلي]],'چکهای دریافتنی'!A:A,0)),0)</f>
        <v>0</v>
      </c>
      <c r="F116" s="17">
        <f>Table25[[#This Row],[حسابهای دریافتنی]]+Table25[[#This Row],[چکهای در جریان وصول]]+Table25[[#This Row],[چکهای نزد صندوق]]</f>
        <v>-492500</v>
      </c>
      <c r="G116" s="12">
        <f>IFERROR(INDEX('مانده سوفاله'!F:F,MATCH(Table25[[#This Row],[كد تفصيلي]],'مانده سوفاله'!A:A,0)),0)</f>
        <v>2</v>
      </c>
    </row>
    <row r="117" spans="1:7" ht="18" customHeight="1" x14ac:dyDescent="0.3">
      <c r="A117" s="28">
        <v>10095</v>
      </c>
      <c r="B117" s="24" t="s">
        <v>268</v>
      </c>
      <c r="C117" s="10">
        <f>IFERROR(INDEX('حسابهای دریافتنی'!H:H,MATCH(Table25[[#This Row],[كد تفصيلي]],'حسابهای دریافتنی'!A:A,0)),0)</f>
        <v>-496500</v>
      </c>
      <c r="D117" s="10">
        <f>IFERROR(INDEX('درجریان وصول'!F:F,MATCH(Table25[[#This Row],[كد تفصيلي]],'درجریان وصول'!A:A,0)),0)</f>
        <v>0</v>
      </c>
      <c r="E117" s="10">
        <f>IFERROR(INDEX('چکهای دریافتنی'!F:F,MATCH(Table25[[#This Row],[كد تفصيلي]],'چکهای دریافتنی'!A:A,0)),0)</f>
        <v>0</v>
      </c>
      <c r="F117" s="10">
        <f>Table25[[#This Row],[حسابهای دریافتنی]]+Table25[[#This Row],[چکهای در جریان وصول]]+Table25[[#This Row],[چکهای نزد صندوق]]</f>
        <v>-496500</v>
      </c>
      <c r="G117" s="12">
        <f>IFERROR(INDEX('مانده سوفاله'!F:F,MATCH(Table25[[#This Row],[كد تفصيلي]],'مانده سوفاله'!A:A,0)),0)</f>
        <v>0</v>
      </c>
    </row>
    <row r="118" spans="1:7" ht="18" customHeight="1" x14ac:dyDescent="0.3">
      <c r="A118" s="29">
        <v>30052</v>
      </c>
      <c r="B118" s="25" t="s">
        <v>149</v>
      </c>
      <c r="C118" s="10">
        <f>IFERROR(INDEX('حسابهای دریافتنی'!H:H,MATCH(Table25[[#This Row],[كد تفصيلي]],'حسابهای دریافتنی'!A:A,0)),0)</f>
        <v>-539000</v>
      </c>
      <c r="D118" s="10">
        <f>IFERROR(INDEX('درجریان وصول'!F:F,MATCH(Table25[[#This Row],[كد تفصيلي]],'درجریان وصول'!A:A,0)),0)</f>
        <v>0</v>
      </c>
      <c r="E118" s="10">
        <f>IFERROR(INDEX('چکهای دریافتنی'!F:F,MATCH(Table25[[#This Row],[كد تفصيلي]],'چکهای دریافتنی'!A:A,0)),0)</f>
        <v>0</v>
      </c>
      <c r="F118" s="10">
        <f>Table25[[#This Row],[حسابهای دریافتنی]]+Table25[[#This Row],[چکهای در جریان وصول]]+Table25[[#This Row],[چکهای نزد صندوق]]</f>
        <v>-539000</v>
      </c>
      <c r="G118" s="12">
        <f>IFERROR(INDEX('مانده سوفاله'!F:F,MATCH(Table25[[#This Row],[كد تفصيلي]],'مانده سوفاله'!A:A,0)),0)</f>
        <v>0</v>
      </c>
    </row>
    <row r="119" spans="1:7" ht="18" customHeight="1" x14ac:dyDescent="0.3">
      <c r="A119" s="28">
        <v>10061</v>
      </c>
      <c r="B119" s="24" t="s">
        <v>194</v>
      </c>
      <c r="C119" s="10">
        <f>IFERROR(INDEX('حسابهای دریافتنی'!H:H,MATCH(Table25[[#This Row],[كد تفصيلي]],'حسابهای دریافتنی'!A:A,0)),0)</f>
        <v>-565500</v>
      </c>
      <c r="D119" s="11">
        <f>IFERROR(INDEX('درجریان وصول'!F:F,MATCH(Table25[[#This Row],[كد تفصيلي]],'درجریان وصول'!A:A,0)),0)</f>
        <v>0</v>
      </c>
      <c r="E119" s="11">
        <f>IFERROR(INDEX('چکهای دریافتنی'!F:F,MATCH(Table25[[#This Row],[كد تفصيلي]],'چکهای دریافتنی'!A:A,0)),0)</f>
        <v>0</v>
      </c>
      <c r="F119" s="11">
        <f>Table25[[#This Row],[حسابهای دریافتنی]]+Table25[[#This Row],[چکهای در جریان وصول]]+Table25[[#This Row],[چکهای نزد صندوق]]</f>
        <v>-565500</v>
      </c>
      <c r="G119" s="12">
        <f>IFERROR(INDEX('مانده سوفاله'!F:F,MATCH(Table25[[#This Row],[كد تفصيلي]],'مانده سوفاله'!A:A,0)),0)</f>
        <v>0</v>
      </c>
    </row>
    <row r="120" spans="1:7" ht="18" customHeight="1" x14ac:dyDescent="0.3">
      <c r="A120" s="29">
        <v>10118</v>
      </c>
      <c r="B120" s="25" t="s">
        <v>350</v>
      </c>
      <c r="C120" s="10">
        <f>IFERROR(INDEX('حسابهای دریافتنی'!H:H,MATCH(Table25[[#This Row],[كد تفصيلي]],'حسابهای دریافتنی'!A:A,0)),0)</f>
        <v>-587500</v>
      </c>
      <c r="D120" s="11">
        <f>IFERROR(INDEX('درجریان وصول'!F:F,MATCH(Table25[[#This Row],[كد تفصيلي]],'درجریان وصول'!A:A,0)),0)</f>
        <v>0</v>
      </c>
      <c r="E120" s="11">
        <f>IFERROR(INDEX('چکهای دریافتنی'!F:F,MATCH(Table25[[#This Row],[كد تفصيلي]],'چکهای دریافتنی'!A:A,0)),0)</f>
        <v>0</v>
      </c>
      <c r="F120" s="11">
        <f>Table25[[#This Row],[حسابهای دریافتنی]]+Table25[[#This Row],[چکهای در جریان وصول]]+Table25[[#This Row],[چکهای نزد صندوق]]</f>
        <v>-587500</v>
      </c>
      <c r="G120" s="12">
        <f>IFERROR(INDEX('مانده سوفاله'!F:F,MATCH(Table25[[#This Row],[كد تفصيلي]],'مانده سوفاله'!A:A,0)),0)</f>
        <v>0</v>
      </c>
    </row>
    <row r="121" spans="1:7" ht="18" customHeight="1" x14ac:dyDescent="0.3">
      <c r="A121" s="29">
        <v>10018</v>
      </c>
      <c r="B121" s="25" t="s">
        <v>25</v>
      </c>
      <c r="C121" s="10">
        <f>IFERROR(INDEX('حسابهای دریافتنی'!H:H,MATCH(Table25[[#This Row],[كد تفصيلي]],'حسابهای دریافتنی'!A:A,0)),0)</f>
        <v>95282000</v>
      </c>
      <c r="D121" s="11">
        <f>IFERROR(INDEX('درجریان وصول'!F:F,MATCH(Table25[[#This Row],[كد تفصيلي]],'درجریان وصول'!A:A,0)),0)</f>
        <v>0</v>
      </c>
      <c r="E121" s="11">
        <f>IFERROR(INDEX('چکهای دریافتنی'!F:F,MATCH(Table25[[#This Row],[كد تفصيلي]],'چکهای دریافتنی'!A:A,0)),0)</f>
        <v>0</v>
      </c>
      <c r="F121" s="11">
        <f>Table25[[#This Row],[حسابهای دریافتنی]]+Table25[[#This Row],[چکهای در جریان وصول]]+Table25[[#This Row],[چکهای نزد صندوق]]</f>
        <v>95282000</v>
      </c>
      <c r="G121" s="12">
        <f>IFERROR(INDEX('مانده سوفاله'!F:F,MATCH(Table25[[#This Row],[كد تفصيلي]],'مانده سوفاله'!A:A,0)),0)</f>
        <v>-32</v>
      </c>
    </row>
    <row r="122" spans="1:7" ht="18" customHeight="1" x14ac:dyDescent="0.3">
      <c r="A122" s="28">
        <v>30112</v>
      </c>
      <c r="B122" s="24" t="s">
        <v>201</v>
      </c>
      <c r="C122" s="10">
        <f>IFERROR(INDEX('حسابهای دریافتنی'!H:H,MATCH(Table25[[#This Row],[كد تفصيلي]],'حسابهای دریافتنی'!A:A,0)),0)</f>
        <v>-720500</v>
      </c>
      <c r="D122" s="17">
        <f>IFERROR(INDEX('درجریان وصول'!F:F,MATCH(Table25[[#This Row],[كد تفصيلي]],'درجریان وصول'!A:A,0)),0)</f>
        <v>0</v>
      </c>
      <c r="E122" s="17">
        <f>IFERROR(INDEX('چکهای دریافتنی'!F:F,MATCH(Table25[[#This Row],[كد تفصيلي]],'چکهای دریافتنی'!A:A,0)),0)</f>
        <v>0</v>
      </c>
      <c r="F122" s="17">
        <f>Table25[[#This Row],[حسابهای دریافتنی]]+Table25[[#This Row],[چکهای در جریان وصول]]+Table25[[#This Row],[چکهای نزد صندوق]]</f>
        <v>-720500</v>
      </c>
      <c r="G122" s="12">
        <f>IFERROR(INDEX('مانده سوفاله'!F:F,MATCH(Table25[[#This Row],[كد تفصيلي]],'مانده سوفاله'!A:A,0)),0)</f>
        <v>36</v>
      </c>
    </row>
    <row r="123" spans="1:7" ht="18" customHeight="1" x14ac:dyDescent="0.3">
      <c r="A123" s="28">
        <v>10013</v>
      </c>
      <c r="B123" s="24" t="s">
        <v>20</v>
      </c>
      <c r="C123" s="10">
        <f>IFERROR(INDEX('حسابهای دریافتنی'!H:H,MATCH(Table25[[#This Row],[كد تفصيلي]],'حسابهای دریافتنی'!A:A,0)),0)</f>
        <v>-915000</v>
      </c>
      <c r="D123" s="10">
        <f>IFERROR(INDEX('درجریان وصول'!F:F,MATCH(Table25[[#This Row],[كد تفصيلي]],'درجریان وصول'!A:A,0)),0)</f>
        <v>0</v>
      </c>
      <c r="E123" s="10">
        <v>0</v>
      </c>
      <c r="F123" s="10">
        <f>Table25[[#This Row],[حسابهای دریافتنی]]+Table25[[#This Row],[چکهای در جریان وصول]]+Table25[[#This Row],[چکهای نزد صندوق]]</f>
        <v>-915000</v>
      </c>
      <c r="G123" s="12">
        <f>IFERROR(INDEX('مانده سوفاله'!F:F,MATCH(Table25[[#This Row],[كد تفصيلي]],'مانده سوفاله'!A:A,0)),0)</f>
        <v>0</v>
      </c>
    </row>
    <row r="124" spans="1:7" ht="18" customHeight="1" x14ac:dyDescent="0.3">
      <c r="A124" s="29">
        <v>10042</v>
      </c>
      <c r="B124" s="25" t="s">
        <v>47</v>
      </c>
      <c r="C124" s="10">
        <f>IFERROR(INDEX('حسابهای دریافتنی'!H:H,MATCH(Table25[[#This Row],[كد تفصيلي]],'حسابهای دریافتنی'!A:A,0)),0)</f>
        <v>-1120000</v>
      </c>
      <c r="D124" s="11">
        <f>IFERROR(INDEX('درجریان وصول'!F:F,MATCH(Table25[[#This Row],[كد تفصيلي]],'درجریان وصول'!A:A,0)),0)</f>
        <v>0</v>
      </c>
      <c r="E124" s="11">
        <f>IFERROR(INDEX('چکهای دریافتنی'!F:F,MATCH(Table25[[#This Row],[كد تفصيلي]],'چکهای دریافتنی'!A:A,0)),0)</f>
        <v>0</v>
      </c>
      <c r="F124" s="11">
        <f>Table25[[#This Row],[حسابهای دریافتنی]]+Table25[[#This Row],[چکهای در جریان وصول]]+Table25[[#This Row],[چکهای نزد صندوق]]</f>
        <v>-1120000</v>
      </c>
      <c r="G124" s="12">
        <f>IFERROR(INDEX('مانده سوفاله'!F:F,MATCH(Table25[[#This Row],[كد تفصيلي]],'مانده سوفاله'!A:A,0)),0)</f>
        <v>2</v>
      </c>
    </row>
    <row r="125" spans="1:7" ht="18" customHeight="1" x14ac:dyDescent="0.3">
      <c r="A125" s="29">
        <v>30032</v>
      </c>
      <c r="B125" s="25" t="s">
        <v>79</v>
      </c>
      <c r="C125" s="10">
        <f>IFERROR(INDEX('حسابهای دریافتنی'!H:H,MATCH(Table25[[#This Row],[كد تفصيلي]],'حسابهای دریافتنی'!A:A,0)),0)</f>
        <v>-1347000</v>
      </c>
      <c r="D125" s="10">
        <f>IFERROR(INDEX('درجریان وصول'!F:F,MATCH(Table25[[#This Row],[كد تفصيلي]],'درجریان وصول'!A:A,0)),0)</f>
        <v>0</v>
      </c>
      <c r="E125" s="10">
        <f>IFERROR(INDEX('چکهای دریافتنی'!F:F,MATCH(Table25[[#This Row],[كد تفصيلي]],'چکهای دریافتنی'!A:A,0)),0)</f>
        <v>0</v>
      </c>
      <c r="F125" s="10">
        <f>Table25[[#This Row],[حسابهای دریافتنی]]+Table25[[#This Row],[چکهای در جریان وصول]]+Table25[[#This Row],[چکهای نزد صندوق]]</f>
        <v>-1347000</v>
      </c>
      <c r="G125" s="12">
        <f>IFERROR(INDEX('مانده سوفاله'!F:F,MATCH(Table25[[#This Row],[كد تفصيلي]],'مانده سوفاله'!A:A,0)),0)</f>
        <v>0</v>
      </c>
    </row>
    <row r="126" spans="1:7" ht="18" customHeight="1" x14ac:dyDescent="0.3">
      <c r="A126" s="28">
        <v>30171</v>
      </c>
      <c r="B126" s="24" t="s">
        <v>360</v>
      </c>
      <c r="C126" s="10">
        <f>IFERROR(INDEX('حسابهای دریافتنی'!H:H,MATCH(Table25[[#This Row],[كد تفصيلي]],'حسابهای دریافتنی'!A:A,0)),0)</f>
        <v>-1500000</v>
      </c>
      <c r="D126" s="10">
        <f>IFERROR(INDEX('درجریان وصول'!F:F,MATCH(Table25[[#This Row],[كد تفصيلي]],'درجریان وصول'!A:A,0)),0)</f>
        <v>0</v>
      </c>
      <c r="E126" s="10">
        <f>IFERROR(INDEX('چکهای دریافتنی'!F:F,MATCH(Table25[[#This Row],[كد تفصيلي]],'چکهای دریافتنی'!A:A,0)),0)</f>
        <v>0</v>
      </c>
      <c r="F126" s="10">
        <f>Table25[[#This Row],[حسابهای دریافتنی]]+Table25[[#This Row],[چکهای در جریان وصول]]+Table25[[#This Row],[چکهای نزد صندوق]]</f>
        <v>-1500000</v>
      </c>
      <c r="G126" s="12">
        <f>IFERROR(INDEX('مانده سوفاله'!F:F,MATCH(Table25[[#This Row],[كد تفصيلي]],'مانده سوفاله'!A:A,0)),0)</f>
        <v>0</v>
      </c>
    </row>
    <row r="127" spans="1:7" ht="18" customHeight="1" x14ac:dyDescent="0.3">
      <c r="A127" s="28">
        <v>10103</v>
      </c>
      <c r="B127" s="24" t="s">
        <v>283</v>
      </c>
      <c r="C127" s="10">
        <f>IFERROR(INDEX('حسابهای دریافتنی'!H:H,MATCH(Table25[[#This Row],[كد تفصيلي]],'حسابهای دریافتنی'!A:A,0)),0)</f>
        <v>-1580000</v>
      </c>
      <c r="D127" s="10">
        <f>IFERROR(INDEX('درجریان وصول'!F:F,MATCH(Table25[[#This Row],[كد تفصيلي]],'درجریان وصول'!A:A,0)),0)</f>
        <v>0</v>
      </c>
      <c r="E127" s="10">
        <f>IFERROR(INDEX('چکهای دریافتنی'!F:F,MATCH(Table25[[#This Row],[كد تفصيلي]],'چکهای دریافتنی'!A:A,0)),0)</f>
        <v>0</v>
      </c>
      <c r="F127" s="10">
        <f>Table25[[#This Row],[حسابهای دریافتنی]]+Table25[[#This Row],[چکهای در جریان وصول]]+Table25[[#This Row],[چکهای نزد صندوق]]</f>
        <v>-1580000</v>
      </c>
      <c r="G127" s="12">
        <f>IFERROR(INDEX('مانده سوفاله'!F:F,MATCH(Table25[[#This Row],[كد تفصيلي]],'مانده سوفاله'!A:A,0)),0)</f>
        <v>0</v>
      </c>
    </row>
    <row r="128" spans="1:7" ht="18" customHeight="1" x14ac:dyDescent="0.3">
      <c r="A128" s="29">
        <v>30155</v>
      </c>
      <c r="B128" s="25" t="s">
        <v>289</v>
      </c>
      <c r="C128" s="10">
        <f>IFERROR(INDEX('حسابهای دریافتنی'!H:H,MATCH(Table25[[#This Row],[كد تفصيلي]],'حسابهای دریافتنی'!A:A,0)),0)</f>
        <v>-454985417</v>
      </c>
      <c r="D128" s="17">
        <f>IFERROR(INDEX('درجریان وصول'!F:F,MATCH(Table25[[#This Row],[كد تفصيلي]],'درجریان وصول'!A:A,0)),0)</f>
        <v>0</v>
      </c>
      <c r="E128" s="17">
        <f>IFERROR(INDEX('چکهای دریافتنی'!F:F,MATCH(Table25[[#This Row],[كد تفصيلي]],'چکهای دریافتنی'!A:A,0)),0)</f>
        <v>1379936267</v>
      </c>
      <c r="F128" s="17">
        <f>Table25[[#This Row],[حسابهای دریافتنی]]+Table25[[#This Row],[چکهای در جریان وصول]]+Table25[[#This Row],[چکهای نزد صندوق]]</f>
        <v>924950850</v>
      </c>
      <c r="G128" s="12">
        <f>IFERROR(INDEX('مانده سوفاله'!F:F,MATCH(Table25[[#This Row],[كد تفصيلي]],'مانده سوفاله'!A:A,0)),0)</f>
        <v>0</v>
      </c>
    </row>
    <row r="129" spans="1:7" ht="18" customHeight="1" x14ac:dyDescent="0.3">
      <c r="A129" s="29">
        <v>10125</v>
      </c>
      <c r="B129" s="25" t="s">
        <v>377</v>
      </c>
      <c r="C129" s="10">
        <f>IFERROR(INDEX('حسابهای دریافتنی'!H:H,MATCH(Table25[[#This Row],[كد تفصيلي]],'حسابهای دریافتنی'!A:A,0)),0)</f>
        <v>-1650000</v>
      </c>
      <c r="D129" s="10">
        <f>IFERROR(INDEX('درجریان وصول'!F:F,MATCH(Table25[[#This Row],[كد تفصيلي]],'درجریان وصول'!A:A,0)),0)</f>
        <v>0</v>
      </c>
      <c r="E129" s="10">
        <f>IFERROR(INDEX('چکهای دریافتنی'!F:F,MATCH(Table25[[#This Row],[كد تفصيلي]],'چکهای دریافتنی'!A:A,0)),0)</f>
        <v>0</v>
      </c>
      <c r="F129" s="10">
        <f>Table25[[#This Row],[حسابهای دریافتنی]]+Table25[[#This Row],[چکهای در جریان وصول]]+Table25[[#This Row],[چکهای نزد صندوق]]</f>
        <v>-1650000</v>
      </c>
      <c r="G129" s="12">
        <f>IFERROR(INDEX('مانده سوفاله'!F:F,MATCH(Table25[[#This Row],[كد تفصيلي]],'مانده سوفاله'!A:A,0)),0)</f>
        <v>0</v>
      </c>
    </row>
    <row r="130" spans="1:7" ht="18" customHeight="1" x14ac:dyDescent="0.3">
      <c r="A130" s="28">
        <v>10110</v>
      </c>
      <c r="B130" s="24" t="s">
        <v>348</v>
      </c>
      <c r="C130" s="10">
        <f>IFERROR(INDEX('حسابهای دریافتنی'!H:H,MATCH(Table25[[#This Row],[كد تفصيلي]],'حسابهای دریافتنی'!A:A,0)),0)</f>
        <v>-1817500</v>
      </c>
      <c r="D130" s="11">
        <f>IFERROR(INDEX('درجریان وصول'!F:F,MATCH(Table25[[#This Row],[كد تفصيلي]],'درجریان وصول'!A:A,0)),0)</f>
        <v>0</v>
      </c>
      <c r="E130" s="11">
        <f>IFERROR(INDEX('چکهای دریافتنی'!F:F,MATCH(Table25[[#This Row],[كد تفصيلي]],'چکهای دریافتنی'!A:A,0)),0)</f>
        <v>0</v>
      </c>
      <c r="F130" s="11">
        <f>Table25[[#This Row],[حسابهای دریافتنی]]+Table25[[#This Row],[چکهای در جریان وصول]]+Table25[[#This Row],[چکهای نزد صندوق]]</f>
        <v>-1817500</v>
      </c>
      <c r="G130" s="12">
        <f>IFERROR(INDEX('مانده سوفاله'!F:F,MATCH(Table25[[#This Row],[كد تفصيلي]],'مانده سوفاله'!A:A,0)),0)</f>
        <v>7</v>
      </c>
    </row>
    <row r="131" spans="1:7" ht="18" customHeight="1" x14ac:dyDescent="0.3">
      <c r="A131" s="29">
        <v>30103</v>
      </c>
      <c r="B131" s="25" t="s">
        <v>240</v>
      </c>
      <c r="C131" s="10">
        <f>IFERROR(INDEX('حسابهای دریافتنی'!H:H,MATCH(Table25[[#This Row],[كد تفصيلي]],'حسابهای دریافتنی'!A:A,0)),0)</f>
        <v>-1820000</v>
      </c>
      <c r="D131" s="10">
        <f>IFERROR(INDEX('درجریان وصول'!F:F,MATCH(Table25[[#This Row],[كد تفصيلي]],'درجریان وصول'!A:A,0)),0)</f>
        <v>0</v>
      </c>
      <c r="E131" s="10">
        <f>IFERROR(INDEX('چکهای دریافتنی'!F:F,MATCH(Table25[[#This Row],[كد تفصيلي]],'چکهای دریافتنی'!A:A,0)),0)</f>
        <v>0</v>
      </c>
      <c r="F131" s="10">
        <f>Table25[[#This Row],[حسابهای دریافتنی]]+Table25[[#This Row],[چکهای در جریان وصول]]+Table25[[#This Row],[چکهای نزد صندوق]]</f>
        <v>-1820000</v>
      </c>
      <c r="G131" s="12">
        <f>IFERROR(INDEX('مانده سوفاله'!F:F,MATCH(Table25[[#This Row],[كد تفصيلي]],'مانده سوفاله'!A:A,0)),0)</f>
        <v>0</v>
      </c>
    </row>
    <row r="132" spans="1:7" ht="18" customHeight="1" x14ac:dyDescent="0.3">
      <c r="A132" s="28">
        <v>30174</v>
      </c>
      <c r="B132" s="24" t="s">
        <v>385</v>
      </c>
      <c r="C132" s="10">
        <f>IFERROR(INDEX('حسابهای دریافتنی'!H:H,MATCH(Table25[[#This Row],[كد تفصيلي]],'حسابهای دریافتنی'!A:A,0)),0)</f>
        <v>-5000</v>
      </c>
      <c r="D132" s="11">
        <f>IFERROR(INDEX('درجریان وصول'!F:F,MATCH(Table25[[#This Row],[كد تفصيلي]],'درجریان وصول'!A:A,0)),0)</f>
        <v>0</v>
      </c>
      <c r="E132" s="11">
        <f>IFERROR(INDEX('چکهای دریافتنی'!F:F,MATCH(Table25[[#This Row],[كد تفصيلي]],'چکهای دریافتنی'!A:A,0)),0)</f>
        <v>0</v>
      </c>
      <c r="F132" s="11">
        <f>Table25[[#This Row],[حسابهای دریافتنی]]+Table25[[#This Row],[چکهای در جریان وصول]]+Table25[[#This Row],[چکهای نزد صندوق]]</f>
        <v>-5000</v>
      </c>
      <c r="G132" s="12">
        <f>IFERROR(INDEX('مانده سوفاله'!F:F,MATCH(Table25[[#This Row],[كد تفصيلي]],'مانده سوفاله'!A:A,0)),0)</f>
        <v>0</v>
      </c>
    </row>
    <row r="133" spans="1:7" ht="18" customHeight="1" x14ac:dyDescent="0.3">
      <c r="A133" s="28">
        <v>30128</v>
      </c>
      <c r="B133" s="24" t="s">
        <v>212</v>
      </c>
      <c r="C133" s="10">
        <f>IFERROR(INDEX('حسابهای دریافتنی'!H:H,MATCH(Table25[[#This Row],[كد تفصيلي]],'حسابهای دریافتنی'!A:A,0)),0)</f>
        <v>-2451320</v>
      </c>
      <c r="D133" s="10">
        <f>IFERROR(INDEX('درجریان وصول'!F:F,MATCH(Table25[[#This Row],[كد تفصيلي]],'درجریان وصول'!A:A,0)),0)</f>
        <v>0</v>
      </c>
      <c r="E133" s="10">
        <f>IFERROR(INDEX('چکهای دریافتنی'!F:F,MATCH(Table25[[#This Row],[كد تفصيلي]],'چکهای دریافتنی'!A:A,0)),0)</f>
        <v>0</v>
      </c>
      <c r="F133" s="10">
        <f>Table25[[#This Row],[حسابهای دریافتنی]]+Table25[[#This Row],[چکهای در جریان وصول]]+Table25[[#This Row],[چکهای نزد صندوق]]</f>
        <v>-2451320</v>
      </c>
      <c r="G133" s="12">
        <f>IFERROR(INDEX('مانده سوفاله'!F:F,MATCH(Table25[[#This Row],[كد تفصيلي]],'مانده سوفاله'!A:A,0)),0)</f>
        <v>0</v>
      </c>
    </row>
    <row r="134" spans="1:7" ht="18" customHeight="1" x14ac:dyDescent="0.3">
      <c r="A134" s="28">
        <v>30015</v>
      </c>
      <c r="B134" s="24" t="s">
        <v>64</v>
      </c>
      <c r="C134" s="10">
        <f>IFERROR(INDEX('حسابهای دریافتنی'!H:H,MATCH(Table25[[#This Row],[كد تفصيلي]],'حسابهای دریافتنی'!A:A,0)),0)</f>
        <v>-3105895</v>
      </c>
      <c r="D134" s="17">
        <f>IFERROR(INDEX('درجریان وصول'!F:F,MATCH(Table25[[#This Row],[كد تفصيلي]],'درجریان وصول'!A:A,0)),0)</f>
        <v>0</v>
      </c>
      <c r="E134" s="17">
        <f>IFERROR(INDEX('چکهای دریافتنی'!F:F,MATCH(Table25[[#This Row],[كد تفصيلي]],'چکهای دریافتنی'!A:A,0)),0)</f>
        <v>0</v>
      </c>
      <c r="F134" s="17">
        <f>Table25[[#This Row],[حسابهای دریافتنی]]+Table25[[#This Row],[چکهای در جریان وصول]]+Table25[[#This Row],[چکهای نزد صندوق]]</f>
        <v>-3105895</v>
      </c>
      <c r="G134" s="12">
        <f>IFERROR(INDEX('مانده سوفاله'!F:F,MATCH(Table25[[#This Row],[كد تفصيلي]],'مانده سوفاله'!A:A,0)),0)</f>
        <v>0</v>
      </c>
    </row>
    <row r="135" spans="1:7" ht="18" customHeight="1" x14ac:dyDescent="0.3">
      <c r="A135" s="28">
        <v>30110</v>
      </c>
      <c r="B135" s="24" t="s">
        <v>200</v>
      </c>
      <c r="C135" s="10">
        <f>IFERROR(INDEX('حسابهای دریافتنی'!H:H,MATCH(Table25[[#This Row],[كد تفصيلي]],'حسابهای دریافتنی'!A:A,0)),0)</f>
        <v>-3492360</v>
      </c>
      <c r="D135" s="17">
        <f>IFERROR(INDEX('درجریان وصول'!F:F,MATCH(Table25[[#This Row],[كد تفصيلي]],'درجریان وصول'!A:A,0)),0)</f>
        <v>0</v>
      </c>
      <c r="E135" s="17">
        <f>IFERROR(INDEX('چکهای دریافتنی'!F:F,MATCH(Table25[[#This Row],[كد تفصيلي]],'چکهای دریافتنی'!A:A,0)),0)</f>
        <v>0</v>
      </c>
      <c r="F135" s="17">
        <f>Table25[[#This Row],[حسابهای دریافتنی]]+Table25[[#This Row],[چکهای در جریان وصول]]+Table25[[#This Row],[چکهای نزد صندوق]]</f>
        <v>-3492360</v>
      </c>
      <c r="G135" s="12">
        <f>IFERROR(INDEX('مانده سوفاله'!F:F,MATCH(Table25[[#This Row],[كد تفصيلي]],'مانده سوفاله'!A:A,0)),0)</f>
        <v>0</v>
      </c>
    </row>
    <row r="136" spans="1:7" ht="18" customHeight="1" x14ac:dyDescent="0.3">
      <c r="A136" s="28">
        <v>10049</v>
      </c>
      <c r="B136" s="24" t="s">
        <v>157</v>
      </c>
      <c r="C136" s="10">
        <f>IFERROR(INDEX('حسابهای دریافتنی'!H:H,MATCH(Table25[[#This Row],[كد تفصيلي]],'حسابهای دریافتنی'!A:A,0)),0)</f>
        <v>-32909500</v>
      </c>
      <c r="D136" s="11">
        <f>IFERROR(INDEX('درجریان وصول'!F:F,MATCH(Table25[[#This Row],[كد تفصيلي]],'درجریان وصول'!A:A,0)),0)</f>
        <v>0</v>
      </c>
      <c r="E136" s="11">
        <f>IFERROR(INDEX('چکهای دریافتنی'!F:F,MATCH(Table25[[#This Row],[كد تفصيلي]],'چکهای دریافتنی'!A:A,0)),0)</f>
        <v>0</v>
      </c>
      <c r="F136" s="11">
        <f>Table25[[#This Row],[حسابهای دریافتنی]]+Table25[[#This Row],[چکهای در جریان وصول]]+Table25[[#This Row],[چکهای نزد صندوق]]</f>
        <v>-32909500</v>
      </c>
      <c r="G136" s="12">
        <f>IFERROR(INDEX('مانده سوفاله'!F:F,MATCH(Table25[[#This Row],[كد تفصيلي]],'مانده سوفاله'!A:A,0)),0)</f>
        <v>0</v>
      </c>
    </row>
    <row r="137" spans="1:7" ht="18" customHeight="1" x14ac:dyDescent="0.3">
      <c r="A137" s="28">
        <v>30023</v>
      </c>
      <c r="B137" s="24" t="s">
        <v>71</v>
      </c>
      <c r="C137" s="10">
        <f>IFERROR(INDEX('حسابهای دریافتنی'!H:H,MATCH(Table25[[#This Row],[كد تفصيلي]],'حسابهای دریافتنی'!A:A,0)),0)</f>
        <v>-5793600</v>
      </c>
      <c r="D137" s="17">
        <f>IFERROR(INDEX('درجریان وصول'!F:F,MATCH(Table25[[#This Row],[كد تفصيلي]],'درجریان وصول'!A:A,0)),0)</f>
        <v>0</v>
      </c>
      <c r="E137" s="17">
        <f>IFERROR(INDEX('چکهای دریافتنی'!F:F,MATCH(Table25[[#This Row],[كد تفصيلي]],'چکهای دریافتنی'!A:A,0)),0)</f>
        <v>0</v>
      </c>
      <c r="F137" s="17">
        <f>Table25[[#This Row],[حسابهای دریافتنی]]+Table25[[#This Row],[چکهای در جریان وصول]]+Table25[[#This Row],[چکهای نزد صندوق]]</f>
        <v>-5793600</v>
      </c>
      <c r="G137" s="12">
        <f>IFERROR(INDEX('مانده سوفاله'!F:F,MATCH(Table25[[#This Row],[كد تفصيلي]],'مانده سوفاله'!A:A,0)),0)</f>
        <v>0</v>
      </c>
    </row>
    <row r="138" spans="1:7" ht="18" customHeight="1" x14ac:dyDescent="0.3">
      <c r="A138" s="28">
        <v>30176</v>
      </c>
      <c r="B138" s="24" t="s">
        <v>362</v>
      </c>
      <c r="C138" s="10">
        <f>IFERROR(INDEX('حسابهای دریافتنی'!H:H,MATCH(Table25[[#This Row],[كد تفصيلي]],'حسابهای دریافتنی'!A:A,0)),0)</f>
        <v>-7540075</v>
      </c>
      <c r="D138" s="10">
        <f>IFERROR(INDEX('درجریان وصول'!F:F,MATCH(Table25[[#This Row],[كد تفصيلي]],'درجریان وصول'!A:A,0)),0)</f>
        <v>0</v>
      </c>
      <c r="E138" s="10">
        <f>IFERROR(INDEX('چکهای دریافتنی'!F:F,MATCH(Table25[[#This Row],[كد تفصيلي]],'چکهای دریافتنی'!A:A,0)),0)</f>
        <v>0</v>
      </c>
      <c r="F138" s="10">
        <f>Table25[[#This Row],[حسابهای دریافتنی]]+Table25[[#This Row],[چکهای در جریان وصول]]+Table25[[#This Row],[چکهای نزد صندوق]]</f>
        <v>-7540075</v>
      </c>
      <c r="G138" s="12">
        <f>IFERROR(INDEX('مانده سوفاله'!F:F,MATCH(Table25[[#This Row],[كد تفصيلي]],'مانده سوفاله'!A:A,0)),0)</f>
        <v>0</v>
      </c>
    </row>
    <row r="139" spans="1:7" ht="18" customHeight="1" x14ac:dyDescent="0.3">
      <c r="A139" s="28">
        <v>10106</v>
      </c>
      <c r="B139" s="24" t="s">
        <v>394</v>
      </c>
      <c r="C139" s="10">
        <f>IFERROR(INDEX('حسابهای دریافتنی'!H:H,MATCH(Table25[[#This Row],[كد تفصيلي]],'حسابهای دریافتنی'!A:A,0)),0)</f>
        <v>-9134000</v>
      </c>
      <c r="D139" s="11">
        <f>IFERROR(INDEX('درجریان وصول'!F:F,MATCH(Table25[[#This Row],[كد تفصيلي]],'درجریان وصول'!A:A,0)),0)</f>
        <v>0</v>
      </c>
      <c r="E139" s="11">
        <f>IFERROR(INDEX('چکهای دریافتنی'!F:F,MATCH(Table25[[#This Row],[كد تفصيلي]],'چکهای دریافتنی'!A:A,0)),0)</f>
        <v>0</v>
      </c>
      <c r="F139" s="11">
        <f>Table25[[#This Row],[حسابهای دریافتنی]]+Table25[[#This Row],[چکهای در جریان وصول]]+Table25[[#This Row],[چکهای نزد صندوق]]</f>
        <v>-9134000</v>
      </c>
      <c r="G139" s="12">
        <f>IFERROR(INDEX('مانده سوفاله'!F:F,MATCH(Table25[[#This Row],[كد تفصيلي]],'مانده سوفاله'!A:A,0)),0)</f>
        <v>0</v>
      </c>
    </row>
    <row r="140" spans="1:7" ht="18" customHeight="1" x14ac:dyDescent="0.3">
      <c r="A140" s="29">
        <v>10102</v>
      </c>
      <c r="B140" s="25" t="s">
        <v>282</v>
      </c>
      <c r="C140" s="10">
        <f>IFERROR(INDEX('حسابهای دریافتنی'!H:H,MATCH(Table25[[#This Row],[كد تفصيلي]],'حسابهای دریافتنی'!A:A,0)),0)</f>
        <v>-10374000</v>
      </c>
      <c r="D140" s="10">
        <f>IFERROR(INDEX('درجریان وصول'!F:F,MATCH(Table25[[#This Row],[كد تفصيلي]],'درجریان وصول'!A:A,0)),0)</f>
        <v>0</v>
      </c>
      <c r="E140" s="10">
        <f>IFERROR(INDEX('چکهای دریافتنی'!F:F,MATCH(Table25[[#This Row],[كد تفصيلي]],'چکهای دریافتنی'!A:A,0)),0)</f>
        <v>0</v>
      </c>
      <c r="F140" s="10">
        <f>Table25[[#This Row],[حسابهای دریافتنی]]+Table25[[#This Row],[چکهای در جریان وصول]]+Table25[[#This Row],[چکهای نزد صندوق]]</f>
        <v>-10374000</v>
      </c>
      <c r="G140" s="12">
        <f>IFERROR(INDEX('مانده سوفاله'!F:F,MATCH(Table25[[#This Row],[كد تفصيلي]],'مانده سوفاله'!A:A,0)),0)</f>
        <v>0</v>
      </c>
    </row>
    <row r="141" spans="1:7" ht="18" customHeight="1" x14ac:dyDescent="0.3">
      <c r="A141" s="29">
        <v>10058</v>
      </c>
      <c r="B141" s="25" t="s">
        <v>173</v>
      </c>
      <c r="C141" s="10">
        <f>IFERROR(INDEX('حسابهای دریافتنی'!H:H,MATCH(Table25[[#This Row],[كد تفصيلي]],'حسابهای دریافتنی'!A:A,0)),0)</f>
        <v>-13650000</v>
      </c>
      <c r="D141" s="11">
        <f>IFERROR(INDEX('درجریان وصول'!F:F,MATCH(Table25[[#This Row],[كد تفصيلي]],'درجریان وصول'!A:A,0)),0)</f>
        <v>0</v>
      </c>
      <c r="E141" s="11">
        <f>IFERROR(INDEX('چکهای دریافتنی'!F:F,MATCH(Table25[[#This Row],[كد تفصيلي]],'چکهای دریافتنی'!A:A,0)),0)</f>
        <v>0</v>
      </c>
      <c r="F141" s="11">
        <f>Table25[[#This Row],[حسابهای دریافتنی]]+Table25[[#This Row],[چکهای در جریان وصول]]+Table25[[#This Row],[چکهای نزد صندوق]]</f>
        <v>-13650000</v>
      </c>
      <c r="G141" s="12">
        <f>IFERROR(INDEX('مانده سوفاله'!F:F,MATCH(Table25[[#This Row],[كد تفصيلي]],'مانده سوفاله'!A:A,0)),0)</f>
        <v>0</v>
      </c>
    </row>
    <row r="142" spans="1:7" ht="18" customHeight="1" x14ac:dyDescent="0.3">
      <c r="A142" s="28">
        <v>10126</v>
      </c>
      <c r="B142" s="24" t="s">
        <v>396</v>
      </c>
      <c r="C142" s="10">
        <f>IFERROR(INDEX('حسابهای دریافتنی'!H:H,MATCH(Table25[[#This Row],[كد تفصيلي]],'حسابهای دریافتنی'!A:A,0)),0)</f>
        <v>12165000</v>
      </c>
      <c r="D142" s="11">
        <f>IFERROR(INDEX('درجریان وصول'!F:F,MATCH(Table25[[#This Row],[كد تفصيلي]],'درجریان وصول'!A:A,0)),0)</f>
        <v>0</v>
      </c>
      <c r="E142" s="11">
        <f>IFERROR(INDEX('چکهای دریافتنی'!F:F,MATCH(Table25[[#This Row],[كد تفصيلي]],'چکهای دریافتنی'!A:A,0)),0)</f>
        <v>0</v>
      </c>
      <c r="F142" s="11">
        <f>Table25[[#This Row],[حسابهای دریافتنی]]+Table25[[#This Row],[چکهای در جریان وصول]]+Table25[[#This Row],[چکهای نزد صندوق]]</f>
        <v>12165000</v>
      </c>
      <c r="G142" s="12">
        <f>IFERROR(INDEX('مانده سوفاله'!F:F,MATCH(Table25[[#This Row],[كد تفصيلي]],'مانده سوفاله'!A:A,0)),0)</f>
        <v>0</v>
      </c>
    </row>
    <row r="143" spans="1:7" ht="18" customHeight="1" x14ac:dyDescent="0.3">
      <c r="A143" s="28">
        <v>30082</v>
      </c>
      <c r="B143" s="24" t="s">
        <v>127</v>
      </c>
      <c r="C143" s="10">
        <f>IFERROR(INDEX('حسابهای دریافتنی'!H:H,MATCH(Table25[[#This Row],[كد تفصيلي]],'حسابهای دریافتنی'!A:A,0)),0)</f>
        <v>-15037000</v>
      </c>
      <c r="D143" s="11">
        <f>IFERROR(INDEX('درجریان وصول'!F:F,MATCH(Table25[[#This Row],[كد تفصيلي]],'درجریان وصول'!A:A,0)),0)</f>
        <v>0</v>
      </c>
      <c r="E143" s="11">
        <f>IFERROR(INDEX('چکهای دریافتنی'!F:F,MATCH(Table25[[#This Row],[كد تفصيلي]],'چکهای دریافتنی'!A:A,0)),0)</f>
        <v>0</v>
      </c>
      <c r="F143" s="11">
        <f>Table25[[#This Row],[حسابهای دریافتنی]]+Table25[[#This Row],[چکهای در جریان وصول]]+Table25[[#This Row],[چکهای نزد صندوق]]</f>
        <v>-15037000</v>
      </c>
      <c r="G143" s="12">
        <f>IFERROR(INDEX('مانده سوفاله'!F:F,MATCH(Table25[[#This Row],[كد تفصيلي]],'مانده سوفاله'!A:A,0)),0)</f>
        <v>-16</v>
      </c>
    </row>
    <row r="144" spans="1:7" ht="18" customHeight="1" x14ac:dyDescent="0.3">
      <c r="A144" s="29">
        <v>30034</v>
      </c>
      <c r="B144" s="25" t="s">
        <v>81</v>
      </c>
      <c r="C144" s="10">
        <f>IFERROR(INDEX('حسابهای دریافتنی'!H:H,MATCH(Table25[[#This Row],[كد تفصيلي]],'حسابهای دریافتنی'!A:A,0)),0)</f>
        <v>388329200</v>
      </c>
      <c r="D144" s="11">
        <f>IFERROR(INDEX('درجریان وصول'!F:F,MATCH(Table25[[#This Row],[كد تفصيلي]],'درجریان وصول'!A:A,0)),0)</f>
        <v>0</v>
      </c>
      <c r="E144" s="11">
        <f>IFERROR(INDEX('چکهای دریافتنی'!F:F,MATCH(Table25[[#This Row],[كد تفصيلي]],'چکهای دریافتنی'!A:A,0)),0)</f>
        <v>0</v>
      </c>
      <c r="F144" s="11">
        <f>Table25[[#This Row],[حسابهای دریافتنی]]+Table25[[#This Row],[چکهای در جریان وصول]]+Table25[[#This Row],[چکهای نزد صندوق]]</f>
        <v>388329200</v>
      </c>
      <c r="G144" s="12">
        <f>IFERROR(INDEX('مانده سوفاله'!F:F,MATCH(Table25[[#This Row],[كد تفصيلي]],'مانده سوفاله'!A:A,0)),0)</f>
        <v>2886</v>
      </c>
    </row>
    <row r="145" spans="1:7" ht="18" customHeight="1" x14ac:dyDescent="0.3">
      <c r="A145" s="29">
        <v>30042</v>
      </c>
      <c r="B145" s="25" t="s">
        <v>89</v>
      </c>
      <c r="C145" s="10">
        <f>IFERROR(INDEX('حسابهای دریافتنی'!H:H,MATCH(Table25[[#This Row],[كد تفصيلي]],'حسابهای دریافتنی'!A:A,0)),0)</f>
        <v>-18303540</v>
      </c>
      <c r="D145" s="17">
        <f>IFERROR(INDEX('درجریان وصول'!F:F,MATCH(Table25[[#This Row],[كد تفصيلي]],'درجریان وصول'!A:A,0)),0)</f>
        <v>0</v>
      </c>
      <c r="E145" s="17">
        <f>IFERROR(INDEX('چکهای دریافتنی'!F:F,MATCH(Table25[[#This Row],[كد تفصيلي]],'چکهای دریافتنی'!A:A,0)),0)</f>
        <v>0</v>
      </c>
      <c r="F145" s="17">
        <f>Table25[[#This Row],[حسابهای دریافتنی]]+Table25[[#This Row],[چکهای در جریان وصول]]+Table25[[#This Row],[چکهای نزد صندوق]]</f>
        <v>-18303540</v>
      </c>
      <c r="G145" s="12">
        <f>IFERROR(INDEX('مانده سوفاله'!F:F,MATCH(Table25[[#This Row],[كد تفصيلي]],'مانده سوفاله'!A:A,0)),0)</f>
        <v>0</v>
      </c>
    </row>
    <row r="146" spans="1:7" ht="18" customHeight="1" x14ac:dyDescent="0.3">
      <c r="A146" s="29">
        <v>30028</v>
      </c>
      <c r="B146" s="25" t="s">
        <v>76</v>
      </c>
      <c r="C146" s="10">
        <f>IFERROR(INDEX('حسابهای دریافتنی'!H:H,MATCH(Table25[[#This Row],[كد تفصيلي]],'حسابهای دریافتنی'!A:A,0)),0)</f>
        <v>-23665000</v>
      </c>
      <c r="D146" s="17">
        <f>IFERROR(INDEX('درجریان وصول'!F:F,MATCH(Table25[[#This Row],[كد تفصيلي]],'درجریان وصول'!A:A,0)),0)</f>
        <v>0</v>
      </c>
      <c r="E146" s="17">
        <f>IFERROR(INDEX('چکهای دریافتنی'!F:F,MATCH(Table25[[#This Row],[كد تفصيلي]],'چکهای دریافتنی'!A:A,0)),0)</f>
        <v>0</v>
      </c>
      <c r="F146" s="17">
        <f>Table25[[#This Row],[حسابهای دریافتنی]]+Table25[[#This Row],[چکهای در جریان وصول]]+Table25[[#This Row],[چکهای نزد صندوق]]</f>
        <v>-23665000</v>
      </c>
      <c r="G146" s="12">
        <f>IFERROR(INDEX('مانده سوفاله'!F:F,MATCH(Table25[[#This Row],[كد تفصيلي]],'مانده سوفاله'!A:A,0)),0)</f>
        <v>0</v>
      </c>
    </row>
    <row r="147" spans="1:7" ht="18" customHeight="1" x14ac:dyDescent="0.3">
      <c r="A147" s="29">
        <v>30024</v>
      </c>
      <c r="B147" s="25" t="s">
        <v>72</v>
      </c>
      <c r="C147" s="10">
        <f>IFERROR(INDEX('حسابهای دریافتنی'!H:H,MATCH(Table25[[#This Row],[كد تفصيلي]],'حسابهای دریافتنی'!A:A,0)),0)</f>
        <v>16135000</v>
      </c>
      <c r="D147" s="17">
        <f>IFERROR(INDEX('درجریان وصول'!F:F,MATCH(Table25[[#This Row],[كد تفصيلي]],'درجریان وصول'!A:A,0)),0)</f>
        <v>0</v>
      </c>
      <c r="E147" s="17">
        <f>IFERROR(INDEX('چکهای دریافتنی'!F:F,MATCH(Table25[[#This Row],[كد تفصيلي]],'چکهای دریافتنی'!A:A,0)),0)</f>
        <v>0</v>
      </c>
      <c r="F147" s="17">
        <f>Table25[[#This Row],[حسابهای دریافتنی]]+Table25[[#This Row],[چکهای در جریان وصول]]+Table25[[#This Row],[چکهای نزد صندوق]]</f>
        <v>16135000</v>
      </c>
      <c r="G147" s="12">
        <f>IFERROR(INDEX('مانده سوفاله'!F:F,MATCH(Table25[[#This Row],[كد تفصيلي]],'مانده سوفاله'!A:A,0)),0)</f>
        <v>0</v>
      </c>
    </row>
    <row r="148" spans="1:7" ht="18" customHeight="1" x14ac:dyDescent="0.3">
      <c r="A148" s="28">
        <v>30072</v>
      </c>
      <c r="B148" s="24" t="s">
        <v>117</v>
      </c>
      <c r="C148" s="10">
        <f>IFERROR(INDEX('حسابهای دریافتنی'!H:H,MATCH(Table25[[#This Row],[كد تفصيلي]],'حسابهای دریافتنی'!A:A,0)),0)</f>
        <v>-30178900</v>
      </c>
      <c r="D148" s="17">
        <f>IFERROR(INDEX('درجریان وصول'!F:F,MATCH(Table25[[#This Row],[كد تفصيلي]],'درجریان وصول'!A:A,0)),0)</f>
        <v>0</v>
      </c>
      <c r="E148" s="17">
        <f>IFERROR(INDEX('چکهای دریافتنی'!F:F,MATCH(Table25[[#This Row],[كد تفصيلي]],'چکهای دریافتنی'!A:A,0)),0)</f>
        <v>0</v>
      </c>
      <c r="F148" s="17">
        <f>Table25[[#This Row],[حسابهای دریافتنی]]+Table25[[#This Row],[چکهای در جریان وصول]]+Table25[[#This Row],[چکهای نزد صندوق]]</f>
        <v>-30178900</v>
      </c>
      <c r="G148" s="12">
        <f>IFERROR(INDEX('مانده سوفاله'!F:F,MATCH(Table25[[#This Row],[كد تفصيلي]],'مانده سوفاله'!A:A,0)),0)</f>
        <v>-79</v>
      </c>
    </row>
    <row r="149" spans="1:7" ht="18" customHeight="1" x14ac:dyDescent="0.3">
      <c r="A149" s="29">
        <v>10004</v>
      </c>
      <c r="B149" s="25" t="s">
        <v>11</v>
      </c>
      <c r="C149" s="10">
        <f>IFERROR(INDEX('حسابهای دریافتنی'!H:H,MATCH(Table25[[#This Row],[كد تفصيلي]],'حسابهای دریافتنی'!A:A,0)),0)</f>
        <v>853000</v>
      </c>
      <c r="D149" s="11">
        <f>IFERROR(INDEX('درجریان وصول'!F:F,MATCH(Table25[[#This Row],[كد تفصيلي]],'درجریان وصول'!A:A,0)),0)</f>
        <v>0</v>
      </c>
      <c r="E149" s="11">
        <f>IFERROR(INDEX('چکهای دریافتنی'!F:F,MATCH(Table25[[#This Row],[كد تفصيلي]],'چکهای دریافتنی'!A:A,0)),0)</f>
        <v>341000000</v>
      </c>
      <c r="F149" s="11">
        <f>Table25[[#This Row],[حسابهای دریافتنی]]+Table25[[#This Row],[چکهای در جریان وصول]]+Table25[[#This Row],[چکهای نزد صندوق]]</f>
        <v>341853000</v>
      </c>
      <c r="G149" s="12">
        <f>IFERROR(INDEX('مانده سوفاله'!F:F,MATCH(Table25[[#This Row],[كد تفصيلي]],'مانده سوفاله'!A:A,0)),0)</f>
        <v>-12</v>
      </c>
    </row>
    <row r="150" spans="1:7" ht="18" customHeight="1" x14ac:dyDescent="0.3">
      <c r="A150" s="29">
        <v>10002</v>
      </c>
      <c r="B150" s="25" t="s">
        <v>9</v>
      </c>
      <c r="C150" s="10">
        <f>IFERROR(INDEX('حسابهای دریافتنی'!H:H,MATCH(Table25[[#This Row],[كد تفصيلي]],'حسابهای دریافتنی'!A:A,0)),0)</f>
        <v>-3600000000</v>
      </c>
      <c r="D150" s="10">
        <f>IFERROR(INDEX('درجریان وصول'!F:F,MATCH(Table25[[#This Row],[كد تفصيلي]],'درجریان وصول'!A:A,0)),0)</f>
        <v>0</v>
      </c>
      <c r="E150" s="10">
        <f>IFERROR(INDEX('چکهای دریافتنی'!F:F,MATCH(Table25[[#This Row],[كد تفصيلي]],'چکهای دریافتنی'!A:A,0)),0)</f>
        <v>0</v>
      </c>
      <c r="F150" s="10">
        <f>Table25[[#This Row],[حسابهای دریافتنی]]+Table25[[#This Row],[چکهای در جریان وصول]]+Table25[[#This Row],[چکهای نزد صندوق]]</f>
        <v>-3600000000</v>
      </c>
      <c r="G150" s="12">
        <f>IFERROR(INDEX('مانده سوفاله'!F:F,MATCH(Table25[[#This Row],[كد تفصيلي]],'مانده سوفاله'!A:A,0)),0)</f>
        <v>0</v>
      </c>
    </row>
    <row r="151" spans="1:7" ht="18" customHeight="1" x14ac:dyDescent="0.3">
      <c r="A151" s="29">
        <v>30000</v>
      </c>
      <c r="B151" s="25" t="s">
        <v>189</v>
      </c>
      <c r="C151" s="10">
        <f>IFERROR(INDEX('حسابهای دریافتنی'!H:H,MATCH(Table25[[#This Row],[كد تفصيلي]],'حسابهای دریافتنی'!A:A,0)),0)</f>
        <v>-55440000</v>
      </c>
      <c r="D151" s="17">
        <f>IFERROR(INDEX('درجریان وصول'!F:F,MATCH(Table25[[#This Row],[كد تفصيلي]],'درجریان وصول'!A:A,0)),0)</f>
        <v>0</v>
      </c>
      <c r="E151" s="17">
        <f>IFERROR(INDEX('چکهای دریافتنی'!F:F,MATCH(Table25[[#This Row],[كد تفصيلي]],'چکهای دریافتنی'!A:A,0)),0)</f>
        <v>0</v>
      </c>
      <c r="F151" s="17">
        <f>Table25[[#This Row],[حسابهای دریافتنی]]+Table25[[#This Row],[چکهای در جریان وصول]]+Table25[[#This Row],[چکهای نزد صندوق]]</f>
        <v>-55440000</v>
      </c>
      <c r="G151" s="12">
        <f>IFERROR(INDEX('مانده سوفاله'!F:F,MATCH(Table25[[#This Row],[كد تفصيلي]],'مانده سوفاله'!A:A,0)),0)</f>
        <v>0</v>
      </c>
    </row>
    <row r="152" spans="1:7" ht="18" customHeight="1" x14ac:dyDescent="0.3">
      <c r="A152" s="29">
        <v>30133</v>
      </c>
      <c r="B152" s="25" t="s">
        <v>251</v>
      </c>
      <c r="C152" s="10">
        <f>IFERROR(INDEX('حسابهای دریافتنی'!H:H,MATCH(Table25[[#This Row],[كد تفصيلي]],'حسابهای دریافتنی'!A:A,0)),0)</f>
        <v>-66889500</v>
      </c>
      <c r="D152" s="17">
        <f>IFERROR(INDEX('درجریان وصول'!F:F,MATCH(Table25[[#This Row],[كد تفصيلي]],'درجریان وصول'!A:A,0)),0)</f>
        <v>0</v>
      </c>
      <c r="E152" s="17">
        <f>IFERROR(INDEX('چکهای دریافتنی'!F:F,MATCH(Table25[[#This Row],[كد تفصيلي]],'چکهای دریافتنی'!A:A,0)),0)</f>
        <v>0</v>
      </c>
      <c r="F152" s="17">
        <f>Table25[[#This Row],[حسابهای دریافتنی]]+Table25[[#This Row],[چکهای در جریان وصول]]+Table25[[#This Row],[چکهای نزد صندوق]]</f>
        <v>-66889500</v>
      </c>
      <c r="G152" s="12">
        <f>IFERROR(INDEX('مانده سوفاله'!F:F,MATCH(Table25[[#This Row],[كد تفصيلي]],'مانده سوفاله'!A:A,0)),0)</f>
        <v>0</v>
      </c>
    </row>
    <row r="153" spans="1:7" ht="18" customHeight="1" x14ac:dyDescent="0.3">
      <c r="A153" s="28">
        <v>10009</v>
      </c>
      <c r="B153" s="24" t="s">
        <v>16</v>
      </c>
      <c r="C153" s="10">
        <f>IFERROR(INDEX('حسابهای دریافتنی'!H:H,MATCH(Table25[[#This Row],[كد تفصيلي]],'حسابهای دریافتنی'!A:A,0)),0)</f>
        <v>-4260580000</v>
      </c>
      <c r="D153" s="11">
        <f>IFERROR(INDEX('درجریان وصول'!F:F,MATCH(Table25[[#This Row],[كد تفصيلي]],'درجریان وصول'!A:A,0)),0)</f>
        <v>0</v>
      </c>
      <c r="E153" s="11">
        <f>IFERROR(INDEX('چکهای دریافتنی'!F:F,MATCH(Table25[[#This Row],[كد تفصيلي]],'چکهای دریافتنی'!A:A,0)),0)</f>
        <v>1600000000</v>
      </c>
      <c r="F153" s="11">
        <f>Table25[[#This Row],[حسابهای دریافتنی]]+Table25[[#This Row],[چکهای در جریان وصول]]+Table25[[#This Row],[چکهای نزد صندوق]]</f>
        <v>-2660580000</v>
      </c>
      <c r="G153" s="12">
        <f>IFERROR(INDEX('مانده سوفاله'!F:F,MATCH(Table25[[#This Row],[كد تفصيلي]],'مانده سوفاله'!A:A,0)),0)</f>
        <v>9952</v>
      </c>
    </row>
    <row r="154" spans="1:7" ht="18" customHeight="1" x14ac:dyDescent="0.3">
      <c r="A154" s="29">
        <v>30016</v>
      </c>
      <c r="B154" s="25" t="s">
        <v>253</v>
      </c>
      <c r="C154" s="10">
        <f>IFERROR(INDEX('حسابهای دریافتنی'!H:H,MATCH(Table25[[#This Row],[كد تفصيلي]],'حسابهای دریافتنی'!A:A,0)),0)</f>
        <v>0</v>
      </c>
      <c r="D154" s="11">
        <f>IFERROR(INDEX('درجریان وصول'!F:F,MATCH(Table25[[#This Row],[كد تفصيلي]],'درجریان وصول'!A:A,0)),0)</f>
        <v>0</v>
      </c>
      <c r="E154" s="11">
        <f>IFERROR(INDEX('چکهای دریافتنی'!F:F,MATCH(Table25[[#This Row],[كد تفصيلي]],'چکهای دریافتنی'!A:A,0)),0)</f>
        <v>0</v>
      </c>
      <c r="F154" s="11">
        <f>Table25[[#This Row],[حسابهای دریافتنی]]+Table25[[#This Row],[چکهای در جریان وصول]]+Table25[[#This Row],[چکهای نزد صندوق]]</f>
        <v>0</v>
      </c>
      <c r="G154" s="12">
        <f>IFERROR(INDEX('مانده سوفاله'!F:F,MATCH(Table25[[#This Row],[كد تفصيلي]],'مانده سوفاله'!A:A,0)),0)</f>
        <v>0</v>
      </c>
    </row>
    <row r="155" spans="1:7" ht="18" customHeight="1" x14ac:dyDescent="0.3">
      <c r="A155" s="28">
        <v>10079</v>
      </c>
      <c r="B155" s="24" t="s">
        <v>174</v>
      </c>
      <c r="C155" s="10">
        <f>IFERROR(INDEX('حسابهای دریافتنی'!H:H,MATCH(Table25[[#This Row],[كد تفصيلي]],'حسابهای دریافتنی'!A:A,0)),0)</f>
        <v>-226593500</v>
      </c>
      <c r="D155" s="10">
        <f>IFERROR(INDEX('درجریان وصول'!F:F,MATCH(Table25[[#This Row],[كد تفصيلي]],'درجریان وصول'!A:A,0)),0)</f>
        <v>0</v>
      </c>
      <c r="E155" s="10">
        <f>IFERROR(INDEX('چکهای دریافتنی'!F:F,MATCH(Table25[[#This Row],[كد تفصيلي]],'چکهای دریافتنی'!A:A,0)),0)</f>
        <v>0</v>
      </c>
      <c r="F155" s="10">
        <f>Table25[[#This Row],[حسابهای دریافتنی]]+Table25[[#This Row],[چکهای در جریان وصول]]+Table25[[#This Row],[چکهای نزد صندوق]]</f>
        <v>-226593500</v>
      </c>
      <c r="G155" s="12">
        <f>IFERROR(INDEX('مانده سوفاله'!F:F,MATCH(Table25[[#This Row],[كد تفصيلي]],'مانده سوفاله'!A:A,0)),0)</f>
        <v>0</v>
      </c>
    </row>
    <row r="156" spans="1:7" ht="18" customHeight="1" x14ac:dyDescent="0.3">
      <c r="A156" s="29">
        <v>30169</v>
      </c>
      <c r="B156" s="25" t="s">
        <v>399</v>
      </c>
      <c r="C156" s="10">
        <f>IFERROR(INDEX('حسابهای دریافتنی'!H:H,MATCH(Table25[[#This Row],[كد تفصيلي]],'حسابهای دریافتنی'!A:A,0)),0)</f>
        <v>-658993316</v>
      </c>
      <c r="D156" s="11">
        <f>IFERROR(INDEX('درجریان وصول'!F:F,MATCH(Table25[[#This Row],[كد تفصيلي]],'درجریان وصول'!A:A,0)),0)</f>
        <v>0</v>
      </c>
      <c r="E156" s="11">
        <f>IFERROR(INDEX('چکهای دریافتنی'!F:F,MATCH(Table25[[#This Row],[كد تفصيلي]],'چکهای دریافتنی'!A:A,0)),0)</f>
        <v>2085000000</v>
      </c>
      <c r="F156" s="11">
        <f>Table25[[#This Row],[حسابهای دریافتنی]]+Table25[[#This Row],[چکهای در جریان وصول]]+Table25[[#This Row],[چکهای نزد صندوق]]</f>
        <v>1426006684</v>
      </c>
      <c r="G156" s="12">
        <f>IFERROR(INDEX('مانده سوفاله'!F:F,MATCH(Table25[[#This Row],[كد تفصيلي]],'مانده سوفاله'!A:A,0)),0)</f>
        <v>0</v>
      </c>
    </row>
    <row r="157" spans="1:7" ht="18" customHeight="1" x14ac:dyDescent="0.3">
      <c r="A157" s="28">
        <v>79120</v>
      </c>
      <c r="B157" s="24" t="s">
        <v>195</v>
      </c>
      <c r="C157" s="10">
        <f>IFERROR(INDEX('حسابهای دریافتنی'!H:H,MATCH(Table25[[#This Row],[كد تفصيلي]],'حسابهای دریافتنی'!A:A,0)),0)</f>
        <v>-15776160000</v>
      </c>
      <c r="D157" s="17">
        <f>IFERROR(INDEX('درجریان وصول'!F:F,MATCH(Table25[[#This Row],[كد تفصيلي]],'درجریان وصول'!A:A,0)),0)</f>
        <v>0</v>
      </c>
      <c r="E157" s="17">
        <f>IFERROR(INDEX('چکهای دریافتنی'!F:F,MATCH(Table25[[#This Row],[كد تفصيلي]],'چکهای دریافتنی'!A:A,0)),0)</f>
        <v>0</v>
      </c>
      <c r="F157" s="17">
        <f>Table25[[#This Row],[حسابهای دریافتنی]]+Table25[[#This Row],[چکهای در جریان وصول]]+Table25[[#This Row],[چکهای نزد صندوق]]</f>
        <v>-15776160000</v>
      </c>
      <c r="G157" s="12">
        <f>IFERROR(INDEX('مانده سوفاله'!F:F,MATCH(Table25[[#This Row],[كد تفصيلي]],'مانده سوفاله'!A:A,0)),0)</f>
        <v>0</v>
      </c>
    </row>
    <row r="158" spans="1:7" ht="18" customHeight="1" x14ac:dyDescent="0.3">
      <c r="A158" s="28">
        <v>30156</v>
      </c>
      <c r="B158" s="24" t="s">
        <v>290</v>
      </c>
      <c r="C158" s="10">
        <f>IFERROR(INDEX('حسابهای دریافتنی'!H:H,MATCH(Table25[[#This Row],[كد تفصيلي]],'حسابهای دریافتنی'!A:A,0)),0)</f>
        <v>-180917500</v>
      </c>
      <c r="D158" s="11">
        <f>IFERROR(INDEX('درجریان وصول'!F:F,MATCH(Table25[[#This Row],[كد تفصيلي]],'درجریان وصول'!A:A,0)),0)</f>
        <v>0</v>
      </c>
      <c r="E158" s="11">
        <f>IFERROR(INDEX('چکهای دریافتنی'!F:F,MATCH(Table25[[#This Row],[كد تفصيلي]],'چکهای دریافتنی'!A:A,0)),0)</f>
        <v>0</v>
      </c>
      <c r="F158" s="11">
        <f>Table25[[#This Row],[حسابهای دریافتنی]]+Table25[[#This Row],[چکهای در جریان وصول]]+Table25[[#This Row],[چکهای نزد صندوق]]</f>
        <v>-180917500</v>
      </c>
      <c r="G158" s="12">
        <f>IFERROR(INDEX('مانده سوفاله'!F:F,MATCH(Table25[[#This Row],[كد تفصيلي]],'مانده سوفاله'!A:A,0)),0)</f>
        <v>0</v>
      </c>
    </row>
    <row r="159" spans="1:7" ht="18" customHeight="1" x14ac:dyDescent="0.3">
      <c r="A159" s="28">
        <v>10089</v>
      </c>
      <c r="B159" s="24" t="s">
        <v>255</v>
      </c>
      <c r="C159" s="10">
        <f>IFERROR(INDEX('حسابهای دریافتنی'!H:H,MATCH(Table25[[#This Row],[كد تفصيلي]],'حسابهای دریافتنی'!A:A,0)),0)</f>
        <v>-143944000</v>
      </c>
      <c r="D159" s="10">
        <f>IFERROR(INDEX('درجریان وصول'!F:F,MATCH(Table25[[#This Row],[كد تفصيلي]],'درجریان وصول'!A:A,0)),0)</f>
        <v>0</v>
      </c>
      <c r="E159" s="10">
        <f>IFERROR(INDEX('چکهای دریافتنی'!F:F,MATCH(Table25[[#This Row],[كد تفصيلي]],'چکهای دریافتنی'!A:A,0)),0)</f>
        <v>0</v>
      </c>
      <c r="F159" s="10">
        <f>Table25[[#This Row],[حسابهای دریافتنی]]+Table25[[#This Row],[چکهای در جریان وصول]]+Table25[[#This Row],[چکهای نزد صندوق]]</f>
        <v>-143944000</v>
      </c>
      <c r="G159" s="12">
        <f>IFERROR(INDEX('مانده سوفاله'!F:F,MATCH(Table25[[#This Row],[كد تفصيلي]],'مانده سوفاله'!A:A,0)),0)</f>
        <v>-948</v>
      </c>
    </row>
    <row r="160" spans="1:7" ht="18" customHeight="1" x14ac:dyDescent="0.3">
      <c r="A160" s="29">
        <v>10119</v>
      </c>
      <c r="B160" s="25" t="s">
        <v>351</v>
      </c>
      <c r="C160" s="10">
        <f>IFERROR(INDEX('حسابهای دریافتنی'!H:H,MATCH(Table25[[#This Row],[كد تفصيلي]],'حسابهای دریافتنی'!A:A,0)),0)</f>
        <v>-2592000</v>
      </c>
      <c r="D160" s="10">
        <f>IFERROR(INDEX('درجریان وصول'!F:F,MATCH(Table25[[#This Row],[كد تفصيلي]],'درجریان وصول'!A:A,0)),0)</f>
        <v>0</v>
      </c>
      <c r="E160" s="10">
        <f>IFERROR(INDEX('چکهای دریافتنی'!F:F,MATCH(Table25[[#This Row],[كد تفصيلي]],'چکهای دریافتنی'!A:A,0)),0)</f>
        <v>0</v>
      </c>
      <c r="F160" s="10">
        <f>Table25[[#This Row],[حسابهای دریافتنی]]+Table25[[#This Row],[چکهای در جریان وصول]]+Table25[[#This Row],[چکهای نزد صندوق]]</f>
        <v>-2592000</v>
      </c>
      <c r="G160" s="12">
        <f>IFERROR(INDEX('مانده سوفاله'!F:F,MATCH(Table25[[#This Row],[كد تفصيلي]],'مانده سوفاله'!A:A,0)),0)</f>
        <v>353</v>
      </c>
    </row>
    <row r="161" spans="1:7" ht="18" customHeight="1" x14ac:dyDescent="0.3">
      <c r="A161" s="29">
        <v>10104</v>
      </c>
      <c r="B161" s="25" t="s">
        <v>293</v>
      </c>
      <c r="C161" s="10">
        <f>IFERROR(INDEX('حسابهای دریافتنی'!H:H,MATCH(Table25[[#This Row],[كد تفصيلي]],'حسابهای دریافتنی'!A:A,0)),0)</f>
        <v>0</v>
      </c>
      <c r="D161" s="10">
        <f>IFERROR(INDEX('درجریان وصول'!F:F,MATCH(Table25[[#This Row],[كد تفصيلي]],'درجریان وصول'!A:A,0)),0)</f>
        <v>0</v>
      </c>
      <c r="E161" s="10">
        <f>IFERROR(INDEX('چکهای دریافتنی'!F:F,MATCH(Table25[[#This Row],[كد تفصيلي]],'چکهای دریافتنی'!A:A,0)),0)</f>
        <v>0</v>
      </c>
      <c r="F161" s="10">
        <f>Table25[[#This Row],[حسابهای دریافتنی]]+Table25[[#This Row],[چکهای در جریان وصول]]+Table25[[#This Row],[چکهای نزد صندوق]]</f>
        <v>0</v>
      </c>
      <c r="G161" s="12">
        <f>IFERROR(INDEX('مانده سوفاله'!F:F,MATCH(Table25[[#This Row],[كد تفصيلي]],'مانده سوفاله'!A:A,0)),0)</f>
        <v>4065</v>
      </c>
    </row>
    <row r="162" spans="1:7" ht="18" customHeight="1" x14ac:dyDescent="0.3">
      <c r="A162" s="28">
        <v>30162</v>
      </c>
      <c r="B162" s="24" t="s">
        <v>355</v>
      </c>
      <c r="C162" s="10">
        <f>IFERROR(INDEX('حسابهای دریافتنی'!H:H,MATCH(Table25[[#This Row],[كد تفصيلي]],'حسابهای دریافتنی'!A:A,0)),0)</f>
        <v>204890235</v>
      </c>
      <c r="D162" s="10">
        <f>IFERROR(INDEX('درجریان وصول'!F:F,MATCH(Table25[[#This Row],[كد تفصيلي]],'درجریان وصول'!A:A,0)),0)</f>
        <v>0</v>
      </c>
      <c r="E162" s="10">
        <f>IFERROR(INDEX('چکهای دریافتنی'!F:F,MATCH(Table25[[#This Row],[كد تفصيلي]],'چکهای دریافتنی'!A:A,0)),0)</f>
        <v>0</v>
      </c>
      <c r="F162" s="10">
        <f>Table25[[#This Row],[حسابهای دریافتنی]]+Table25[[#This Row],[چکهای در جریان وصول]]+Table25[[#This Row],[چکهای نزد صندوق]]</f>
        <v>204890235</v>
      </c>
      <c r="G162" s="12">
        <f>IFERROR(INDEX('مانده سوفاله'!F:F,MATCH(Table25[[#This Row],[كد تفصيلي]],'مانده سوفاله'!A:A,0)),0)</f>
        <v>-251</v>
      </c>
    </row>
    <row r="163" spans="1:7" ht="18" customHeight="1" x14ac:dyDescent="0.3">
      <c r="A163" s="29">
        <v>30161</v>
      </c>
      <c r="B163" s="25" t="s">
        <v>354</v>
      </c>
      <c r="C163" s="10">
        <f>IFERROR(INDEX('حسابهای دریافتنی'!H:H,MATCH(Table25[[#This Row],[كد تفصيلي]],'حسابهای دریافتنی'!A:A,0)),0)</f>
        <v>0</v>
      </c>
      <c r="D163" s="11">
        <f>IFERROR(INDEX('درجریان وصول'!F:F,MATCH(Table25[[#This Row],[كد تفصيلي]],'درجریان وصول'!A:A,0)),0)</f>
        <v>0</v>
      </c>
      <c r="E163" s="11">
        <f>IFERROR(INDEX('چکهای دریافتنی'!F:F,MATCH(Table25[[#This Row],[كد تفصيلي]],'چکهای دریافتنی'!A:A,0)),0)</f>
        <v>0</v>
      </c>
      <c r="F163" s="11">
        <f>Table25[[#This Row],[حسابهای دریافتنی]]+Table25[[#This Row],[چکهای در جریان وصول]]+Table25[[#This Row],[چکهای نزد صندوق]]</f>
        <v>0</v>
      </c>
      <c r="G163" s="12">
        <f>IFERROR(INDEX('مانده سوفاله'!F:F,MATCH(Table25[[#This Row],[كد تفصيلي]],'مانده سوفاله'!A:A,0)),0)</f>
        <v>0</v>
      </c>
    </row>
    <row r="164" spans="1:7" ht="18" customHeight="1" x14ac:dyDescent="0.3">
      <c r="A164" s="28">
        <v>30184</v>
      </c>
      <c r="B164" s="24" t="s">
        <v>388</v>
      </c>
      <c r="C164" s="10">
        <f>IFERROR(INDEX('حسابهای دریافتنی'!H:H,MATCH(Table25[[#This Row],[كد تفصيلي]],'حسابهای دریافتنی'!A:A,0)),0)</f>
        <v>904890480</v>
      </c>
      <c r="D164" s="17">
        <f>IFERROR(INDEX('درجریان وصول'!F:F,MATCH(Table25[[#This Row],[كد تفصيلي]],'درجریان وصول'!A:A,0)),0)</f>
        <v>0</v>
      </c>
      <c r="E164" s="17">
        <f>IFERROR(INDEX('چکهای دریافتنی'!F:F,MATCH(Table25[[#This Row],[كد تفصيلي]],'چکهای دریافتنی'!A:A,0)),0)</f>
        <v>0</v>
      </c>
      <c r="F164" s="17">
        <f>Table25[[#This Row],[حسابهای دریافتنی]]+Table25[[#This Row],[چکهای در جریان وصول]]+Table25[[#This Row],[چکهای نزد صندوق]]</f>
        <v>904890480</v>
      </c>
      <c r="G164" s="12">
        <f>IFERROR(INDEX('مانده سوفاله'!F:F,MATCH(Table25[[#This Row],[كد تفصيلي]],'مانده سوفاله'!A:A,0)),0)</f>
        <v>-100</v>
      </c>
    </row>
    <row r="165" spans="1:7" ht="18" customHeight="1" x14ac:dyDescent="0.3">
      <c r="A165" s="28">
        <v>30146</v>
      </c>
      <c r="B165" s="24" t="s">
        <v>266</v>
      </c>
      <c r="C165" s="10">
        <f>IFERROR(INDEX('حسابهای دریافتنی'!H:H,MATCH(Table25[[#This Row],[كد تفصيلي]],'حسابهای دریافتنی'!A:A,0)),0)</f>
        <v>-4146512500</v>
      </c>
      <c r="D165" s="10">
        <f>IFERROR(INDEX('درجریان وصول'!F:F,MATCH(Table25[[#This Row],[كد تفصيلي]],'درجریان وصول'!A:A,0)),0)</f>
        <v>0</v>
      </c>
      <c r="E165" s="10">
        <f>IFERROR(INDEX('چکهای دریافتنی'!F:F,MATCH(Table25[[#This Row],[كد تفصيلي]],'چکهای دریافتنی'!A:A,0)),0)</f>
        <v>0</v>
      </c>
      <c r="F165" s="10">
        <f>Table25[[#This Row],[حسابهای دریافتنی]]+Table25[[#This Row],[چکهای در جریان وصول]]+Table25[[#This Row],[چکهای نزد صندوق]]</f>
        <v>-4146512500</v>
      </c>
      <c r="G165" s="12">
        <f>IFERROR(INDEX('مانده سوفاله'!F:F,MATCH(Table25[[#This Row],[كد تفصيلي]],'مانده سوفاله'!A:A,0)),0)</f>
        <v>2823</v>
      </c>
    </row>
    <row r="166" spans="1:7" ht="18" customHeight="1" x14ac:dyDescent="0.3">
      <c r="A166" s="29">
        <v>30143</v>
      </c>
      <c r="B166" s="25" t="s">
        <v>278</v>
      </c>
      <c r="C166" s="10">
        <f>IFERROR(INDEX('حسابهای دریافتنی'!H:H,MATCH(Table25[[#This Row],[كد تفصيلي]],'حسابهای دریافتنی'!A:A,0)),0)</f>
        <v>0</v>
      </c>
      <c r="D166" s="17">
        <f>IFERROR(INDEX('درجریان وصول'!F:F,MATCH(Table25[[#This Row],[كد تفصيلي]],'درجریان وصول'!A:A,0)),0)</f>
        <v>0</v>
      </c>
      <c r="E166" s="17">
        <f>IFERROR(INDEX('چکهای دریافتنی'!F:F,MATCH(Table25[[#This Row],[كد تفصيلي]],'چکهای دریافتنی'!A:A,0)),0)</f>
        <v>0</v>
      </c>
      <c r="F166" s="17">
        <f>Table25[[#This Row],[حسابهای دریافتنی]]+Table25[[#This Row],[چکهای در جریان وصول]]+Table25[[#This Row],[چکهای نزد صندوق]]</f>
        <v>0</v>
      </c>
      <c r="G166" s="12">
        <f>IFERROR(INDEX('مانده سوفاله'!F:F,MATCH(Table25[[#This Row],[كد تفصيلي]],'مانده سوفاله'!A:A,0)),0)</f>
        <v>0</v>
      </c>
    </row>
    <row r="167" spans="1:7" ht="18" customHeight="1" x14ac:dyDescent="0.3">
      <c r="A167" s="28">
        <v>30187</v>
      </c>
      <c r="B167" s="24" t="s">
        <v>400</v>
      </c>
      <c r="C167" s="10">
        <f>IFERROR(INDEX('حسابهای دریافتنی'!H:H,MATCH(Table25[[#This Row],[كد تفصيلي]],'حسابهای دریافتنی'!A:A,0)),0)</f>
        <v>337825500</v>
      </c>
      <c r="D167" s="17">
        <f>IFERROR(INDEX('درجریان وصول'!F:F,MATCH(Table25[[#This Row],[كد تفصيلي]],'درجریان وصول'!A:A,0)),0)</f>
        <v>0</v>
      </c>
      <c r="E167" s="17">
        <f>IFERROR(INDEX('چکهای دریافتنی'!F:F,MATCH(Table25[[#This Row],[كد تفصيلي]],'چکهای دریافتنی'!A:A,0)),0)</f>
        <v>0</v>
      </c>
      <c r="F167" s="17">
        <f>Table25[[#This Row],[حسابهای دریافتنی]]+Table25[[#This Row],[چکهای در جریان وصول]]+Table25[[#This Row],[چکهای نزد صندوق]]</f>
        <v>337825500</v>
      </c>
      <c r="G167" s="12">
        <f>IFERROR(INDEX('مانده سوفاله'!F:F,MATCH(Table25[[#This Row],[كد تفصيلي]],'مانده سوفاله'!A:A,0)),0)</f>
        <v>-108</v>
      </c>
    </row>
    <row r="168" spans="1:7" ht="18" customHeight="1" x14ac:dyDescent="0.3">
      <c r="A168" s="29">
        <v>30022</v>
      </c>
      <c r="B168" s="25" t="s">
        <v>70</v>
      </c>
      <c r="C168" s="10">
        <f>IFERROR(INDEX('حسابهای دریافتنی'!H:H,MATCH(Table25[[#This Row],[كد تفصيلي]],'حسابهای دریافتنی'!A:A,0)),0)</f>
        <v>2933770530</v>
      </c>
      <c r="D168" s="11">
        <f>IFERROR(INDEX('درجریان وصول'!F:F,MATCH(Table25[[#This Row],[كد تفصيلي]],'درجریان وصول'!A:A,0)),0)</f>
        <v>0</v>
      </c>
      <c r="E168" s="11">
        <f>IFERROR(INDEX('چکهای دریافتنی'!F:F,MATCH(Table25[[#This Row],[كد تفصيلي]],'چکهای دریافتنی'!A:A,0)),0)</f>
        <v>0</v>
      </c>
      <c r="F168" s="11">
        <f>Table25[[#This Row],[حسابهای دریافتنی]]+Table25[[#This Row],[چکهای در جریان وصول]]+Table25[[#This Row],[چکهای نزد صندوق]]</f>
        <v>2933770530</v>
      </c>
      <c r="G168" s="12">
        <f>IFERROR(INDEX('مانده سوفاله'!F:F,MATCH(Table25[[#This Row],[كد تفصيلي]],'مانده سوفاله'!A:A,0)),0)</f>
        <v>-14747</v>
      </c>
    </row>
    <row r="169" spans="1:7" ht="18" customHeight="1" x14ac:dyDescent="0.3">
      <c r="A169" s="29">
        <v>79043</v>
      </c>
      <c r="B169" s="25" t="s">
        <v>156</v>
      </c>
      <c r="C169" s="10">
        <f>IFERROR(INDEX('حسابهای دریافتنی'!H:H,MATCH(Table25[[#This Row],[كد تفصيلي]],'حسابهای دریافتنی'!A:A,0)),0)</f>
        <v>-16110730000</v>
      </c>
      <c r="D169" s="17">
        <f>IFERROR(INDEX('درجریان وصول'!F:F,MATCH(Table25[[#This Row],[كد تفصيلي]],'درجریان وصول'!A:A,0)),0)</f>
        <v>0</v>
      </c>
      <c r="E169" s="17">
        <f>IFERROR(INDEX('چکهای دریافتنی'!F:F,MATCH(Table25[[#This Row],[كد تفصيلي]],'چکهای دریافتنی'!A:A,0)),0)</f>
        <v>0</v>
      </c>
      <c r="F169" s="17">
        <f>Table25[[#This Row],[حسابهای دریافتنی]]+Table25[[#This Row],[چکهای در جریان وصول]]+Table25[[#This Row],[چکهای نزد صندوق]]</f>
        <v>-16110730000</v>
      </c>
      <c r="G169" s="12">
        <f>IFERROR(INDEX('مانده سوفاله'!F:F,MATCH(Table25[[#This Row],[كد تفصيلي]],'مانده سوفاله'!A:A,0)),0)</f>
        <v>0</v>
      </c>
    </row>
    <row r="170" spans="1:7" ht="18" customHeight="1" x14ac:dyDescent="0.35">
      <c r="A170" s="13"/>
      <c r="B170" s="14"/>
      <c r="C170" s="15">
        <f>SUBTOTAL(109,Table25[حسابهای دریافتنی])</f>
        <v>53946284589</v>
      </c>
      <c r="D170" s="15">
        <f>SUBTOTAL(109,Table25[چکهای در جریان وصول])</f>
        <v>0</v>
      </c>
      <c r="E170" s="15">
        <f>SUBTOTAL(109,Table25[چکهای نزد صندوق])</f>
        <v>62507828942</v>
      </c>
      <c r="F170" s="15"/>
      <c r="G170" s="16">
        <f>SUBTOTAL(109,Table25[مانده سوفاله])</f>
        <v>-131897.5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Codes</vt:lpstr>
      <vt:lpstr>مانده سوفاله</vt:lpstr>
      <vt:lpstr>حسابهای دریافتنی</vt:lpstr>
      <vt:lpstr>درجریان وصول</vt:lpstr>
      <vt:lpstr>چکهای دریافتنی</vt:lpstr>
      <vt:lpstr>Sheet3</vt:lpstr>
      <vt:lpstr>4000212</vt:lpstr>
      <vt:lpstr>4000225</vt:lpstr>
      <vt:lpstr>4000301</vt:lpstr>
      <vt:lpstr>4000305</vt:lpstr>
      <vt:lpstr>4000309</vt:lpstr>
      <vt:lpstr>4000322</vt:lpstr>
      <vt:lpstr>14000329</vt:lpstr>
      <vt:lpstr>14000405</vt:lpstr>
      <vt:lpstr>14000412</vt:lpstr>
      <vt:lpstr>4000415</vt:lpstr>
      <vt:lpstr>4000420</vt:lpstr>
      <vt:lpstr>4000426</vt:lpstr>
      <vt:lpstr>4000502</vt:lpstr>
      <vt:lpstr>4000509</vt:lpstr>
      <vt:lpstr>4000516</vt:lpstr>
      <vt:lpstr>4000602</vt:lpstr>
      <vt:lpstr>4000613</vt:lpstr>
      <vt:lpstr>4000620</vt:lpstr>
      <vt:lpstr>4000627</vt:lpstr>
      <vt:lpstr>4000703</vt:lpstr>
      <vt:lpstr>4000710</vt:lpstr>
      <vt:lpstr>4000717</vt:lpstr>
      <vt:lpstr>4000724</vt:lpstr>
      <vt:lpstr>4000809</vt:lpstr>
      <vt:lpstr>4000816</vt:lpstr>
      <vt:lpstr>4000823</vt:lpstr>
      <vt:lpstr>4000830</vt:lpstr>
      <vt:lpstr>4000914</vt:lpstr>
      <vt:lpstr>4000921</vt:lpstr>
      <vt:lpstr>4000928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</dc:creator>
  <cp:lastModifiedBy>sahand sabahi</cp:lastModifiedBy>
  <cp:lastPrinted>2021-12-26T09:25:45Z</cp:lastPrinted>
  <dcterms:created xsi:type="dcterms:W3CDTF">2017-08-02T10:58:50Z</dcterms:created>
  <dcterms:modified xsi:type="dcterms:W3CDTF">2024-06-20T17:20:20Z</dcterms:modified>
</cp:coreProperties>
</file>