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heckCompatibility="1"/>
  <mc:AlternateContent xmlns:mc="http://schemas.openxmlformats.org/markup-compatibility/2006">
    <mc:Choice Requires="x15">
      <x15ac:absPath xmlns:x15ac="http://schemas.microsoft.com/office/spreadsheetml/2010/11/ac" url="https://d.docs.live.net/53df944172f71cd0/Documents/MSBA/FallModA/MKTG6258/"/>
    </mc:Choice>
  </mc:AlternateContent>
  <xr:revisionPtr revIDLastSave="4" documentId="8_{8102E2F7-BDC9-4110-B92A-986F19DCA15E}" xr6:coauthVersionLast="47" xr6:coauthVersionMax="47" xr10:uidLastSave="{F3A68A54-B97E-4AD0-9FAA-91D10345075A}"/>
  <bookViews>
    <workbookView xWindow="2640" yWindow="2025" windowWidth="21600" windowHeight="11295" activeTab="2" xr2:uid="{00000000-000D-0000-FFFF-FFFF00000000}"/>
  </bookViews>
  <sheets>
    <sheet name="Exhibit 1" sheetId="2" r:id="rId1"/>
    <sheet name="Exhibit 4-POS_Data" sheetId="1" r:id="rId2"/>
    <sheet name="Turn-In Sheet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5" l="1"/>
  <c r="F19" i="5"/>
  <c r="F21" i="5" s="1"/>
  <c r="D20" i="5"/>
  <c r="D19" i="5"/>
  <c r="D21" i="5" s="1"/>
  <c r="F8" i="5"/>
  <c r="F9" i="5" s="1"/>
  <c r="F7" i="5"/>
  <c r="F6" i="5"/>
  <c r="D8" i="5"/>
  <c r="D7" i="5"/>
  <c r="D6" i="5"/>
  <c r="D9" i="5" s="1"/>
  <c r="D38" i="5"/>
  <c r="D40" i="5" s="1"/>
  <c r="D41" i="5" s="1"/>
  <c r="D42" i="5" s="1"/>
  <c r="D39" i="5"/>
  <c r="B11" i="2"/>
  <c r="B17" i="2" s="1"/>
  <c r="AA3" i="1"/>
  <c r="AC3" i="1" s="1"/>
  <c r="AB3" i="1"/>
  <c r="F10" i="5" l="1"/>
  <c r="F22" i="5"/>
  <c r="D10" i="5"/>
  <c r="D22" i="5"/>
  <c r="B14" i="2"/>
  <c r="D28" i="5" l="1"/>
  <c r="F29" i="5"/>
  <c r="F20" i="2" l="1"/>
  <c r="D43" i="5" s="1"/>
  <c r="E20" i="2"/>
  <c r="D20" i="2"/>
  <c r="C20" i="2"/>
  <c r="AA4" i="1"/>
  <c r="AC4" i="1" s="1"/>
  <c r="AB4" i="1"/>
  <c r="AA5" i="1"/>
  <c r="AB5" i="1"/>
  <c r="AA6" i="1"/>
  <c r="C21" i="2" s="1"/>
  <c r="AB6" i="1"/>
  <c r="AA8" i="1"/>
  <c r="AC8" i="1" s="1"/>
  <c r="AB8" i="1"/>
  <c r="AA9" i="1"/>
  <c r="D19" i="2" s="1"/>
  <c r="AB9" i="1"/>
  <c r="AA10" i="1"/>
  <c r="AC10" i="1" s="1"/>
  <c r="AB10" i="1"/>
  <c r="AA11" i="1"/>
  <c r="D21" i="2" s="1"/>
  <c r="AB11" i="1"/>
  <c r="AA13" i="1"/>
  <c r="AC13" i="1" s="1"/>
  <c r="AB13" i="1"/>
  <c r="AA14" i="1"/>
  <c r="AB14" i="1"/>
  <c r="AA15" i="1"/>
  <c r="AB15" i="1"/>
  <c r="AA16" i="1"/>
  <c r="AC16" i="1" s="1"/>
  <c r="N28" i="2" s="1"/>
  <c r="AB16" i="1"/>
  <c r="AA18" i="1"/>
  <c r="AB18" i="1"/>
  <c r="AC18" i="1"/>
  <c r="AA19" i="1"/>
  <c r="AC19" i="1" s="1"/>
  <c r="AB19" i="1"/>
  <c r="AA20" i="1"/>
  <c r="AC20" i="1" s="1"/>
  <c r="AB20" i="1"/>
  <c r="AA21" i="1"/>
  <c r="AB21" i="1"/>
  <c r="P26" i="2"/>
  <c r="F26" i="2"/>
  <c r="F27" i="2" s="1"/>
  <c r="N26" i="2"/>
  <c r="N27" i="2" s="1"/>
  <c r="E26" i="2"/>
  <c r="E30" i="2" s="1"/>
  <c r="L26" i="2"/>
  <c r="L27" i="2" s="1"/>
  <c r="D26" i="2"/>
  <c r="D32" i="2" s="1"/>
  <c r="J26" i="2"/>
  <c r="J27" i="2" s="1"/>
  <c r="C26" i="2"/>
  <c r="C28" i="2" s="1"/>
  <c r="H33" i="2"/>
  <c r="I33" i="2" s="1"/>
  <c r="C33" i="2"/>
  <c r="K33" i="2"/>
  <c r="D33" i="2"/>
  <c r="E33" i="2"/>
  <c r="F33" i="2"/>
  <c r="Q33" i="2"/>
  <c r="B33" i="2"/>
  <c r="M33" i="2"/>
  <c r="O33" i="2"/>
  <c r="F15" i="2"/>
  <c r="E15" i="2"/>
  <c r="D15" i="2"/>
  <c r="C15" i="2"/>
  <c r="B5" i="2"/>
  <c r="B7" i="2"/>
  <c r="B9" i="2"/>
  <c r="B3" i="2"/>
  <c r="B15" i="2" s="1"/>
  <c r="F17" i="2"/>
  <c r="E17" i="2"/>
  <c r="D17" i="2"/>
  <c r="C17" i="2"/>
  <c r="F16" i="2"/>
  <c r="E16" i="2"/>
  <c r="D16" i="2"/>
  <c r="C16" i="2"/>
  <c r="B8" i="2"/>
  <c r="B16" i="2" s="1"/>
  <c r="B4" i="2"/>
  <c r="F14" i="2"/>
  <c r="E14" i="2"/>
  <c r="D14" i="2"/>
  <c r="C14" i="2"/>
  <c r="B10" i="2"/>
  <c r="B6" i="2"/>
  <c r="AC5" i="1"/>
  <c r="E19" i="2"/>
  <c r="C19" i="2"/>
  <c r="P27" i="2"/>
  <c r="B20" i="2"/>
  <c r="F12" i="5" l="1"/>
  <c r="F24" i="5"/>
  <c r="D24" i="5"/>
  <c r="D12" i="5"/>
  <c r="AC15" i="1"/>
  <c r="AC14" i="1"/>
  <c r="E21" i="2"/>
  <c r="E32" i="2"/>
  <c r="N32" i="2" s="1"/>
  <c r="O32" i="2" s="1"/>
  <c r="B19" i="2"/>
  <c r="AC21" i="1"/>
  <c r="F21" i="2"/>
  <c r="D44" i="5" s="1"/>
  <c r="D45" i="5" s="1"/>
  <c r="D47" i="5" s="1"/>
  <c r="AB22" i="1"/>
  <c r="D23" i="5"/>
  <c r="D25" i="5" s="1"/>
  <c r="D11" i="5"/>
  <c r="D13" i="5" s="1"/>
  <c r="C32" i="2"/>
  <c r="B32" i="2" s="1"/>
  <c r="F11" i="5"/>
  <c r="F13" i="5" s="1"/>
  <c r="F23" i="5"/>
  <c r="AC9" i="1"/>
  <c r="AC11" i="1"/>
  <c r="L28" i="2" s="1"/>
  <c r="C27" i="2"/>
  <c r="K27" i="2" s="1"/>
  <c r="Q26" i="2"/>
  <c r="H27" i="2"/>
  <c r="F28" i="2"/>
  <c r="F29" i="2" s="1"/>
  <c r="F31" i="2" s="1"/>
  <c r="F34" i="2" s="1"/>
  <c r="F32" i="2"/>
  <c r="P32" i="2" s="1"/>
  <c r="Q32" i="2" s="1"/>
  <c r="N30" i="2"/>
  <c r="O30" i="2" s="1"/>
  <c r="Q27" i="2"/>
  <c r="N29" i="2"/>
  <c r="L29" i="2"/>
  <c r="C29" i="2"/>
  <c r="D30" i="2"/>
  <c r="L30" i="2" s="1"/>
  <c r="M30" i="2" s="1"/>
  <c r="O26" i="2"/>
  <c r="B26" i="2"/>
  <c r="E28" i="2"/>
  <c r="O28" i="2" s="1"/>
  <c r="D28" i="2"/>
  <c r="M28" i="2" s="1"/>
  <c r="F30" i="2"/>
  <c r="P30" i="2" s="1"/>
  <c r="Q30" i="2" s="1"/>
  <c r="C30" i="2"/>
  <c r="AA22" i="1"/>
  <c r="B21" i="2"/>
  <c r="K26" i="2"/>
  <c r="H26" i="2"/>
  <c r="D27" i="2"/>
  <c r="M27" i="2" s="1"/>
  <c r="AC6" i="1"/>
  <c r="J28" i="2" s="1"/>
  <c r="J29" i="2" s="1"/>
  <c r="E27" i="2"/>
  <c r="M26" i="2"/>
  <c r="L32" i="2"/>
  <c r="M32" i="2" s="1"/>
  <c r="F19" i="2"/>
  <c r="D14" i="5" l="1"/>
  <c r="F33" i="5"/>
  <c r="F34" i="5" s="1"/>
  <c r="F14" i="5"/>
  <c r="J32" i="2"/>
  <c r="K32" i="2" s="1"/>
  <c r="AC22" i="1"/>
  <c r="P28" i="2" s="1"/>
  <c r="P29" i="2" s="1"/>
  <c r="H29" i="2" s="1"/>
  <c r="F25" i="5"/>
  <c r="D32" i="5" s="1"/>
  <c r="D34" i="5" s="1"/>
  <c r="B28" i="2"/>
  <c r="I26" i="2"/>
  <c r="E29" i="2"/>
  <c r="E31" i="2" s="1"/>
  <c r="E34" i="2" s="1"/>
  <c r="Q28" i="2"/>
  <c r="C31" i="2"/>
  <c r="K28" i="2"/>
  <c r="H28" i="2"/>
  <c r="I28" i="2" s="1"/>
  <c r="L31" i="2"/>
  <c r="N31" i="2"/>
  <c r="B27" i="2"/>
  <c r="I27" i="2" s="1"/>
  <c r="D29" i="2"/>
  <c r="D31" i="2" s="1"/>
  <c r="D34" i="2" s="1"/>
  <c r="J30" i="2"/>
  <c r="B30" i="2"/>
  <c r="K29" i="2"/>
  <c r="J31" i="2"/>
  <c r="O27" i="2"/>
  <c r="H32" i="2"/>
  <c r="I32" i="2" s="1"/>
  <c r="O29" i="2" l="1"/>
  <c r="Q29" i="2"/>
  <c r="P31" i="2"/>
  <c r="H30" i="2"/>
  <c r="I30" i="2" s="1"/>
  <c r="K30" i="2"/>
  <c r="O31" i="2"/>
  <c r="N34" i="2"/>
  <c r="O34" i="2" s="1"/>
  <c r="M29" i="2"/>
  <c r="L34" i="2"/>
  <c r="M34" i="2" s="1"/>
  <c r="M31" i="2"/>
  <c r="J34" i="2"/>
  <c r="K31" i="2"/>
  <c r="H31" i="2"/>
  <c r="B31" i="2"/>
  <c r="C34" i="2"/>
  <c r="B34" i="2" s="1"/>
  <c r="B29" i="2"/>
  <c r="I29" i="2" s="1"/>
  <c r="I31" i="2" l="1"/>
  <c r="K34" i="2"/>
  <c r="Q31" i="2"/>
  <c r="P34" i="2"/>
  <c r="Q34" i="2" s="1"/>
  <c r="H34" i="2" l="1"/>
  <c r="I34" i="2" s="1"/>
</calcChain>
</file>

<file path=xl/sharedStrings.xml><?xml version="1.0" encoding="utf-8"?>
<sst xmlns="http://schemas.openxmlformats.org/spreadsheetml/2006/main" count="118" uniqueCount="75">
  <si>
    <t>%Store Promoting</t>
  </si>
  <si>
    <t>Dinardo's 32</t>
  </si>
  <si>
    <t>Dinardo's 16</t>
  </si>
  <si>
    <t>TOTAL Volume</t>
  </si>
  <si>
    <t>Natural Meals</t>
  </si>
  <si>
    <t>COGS</t>
  </si>
  <si>
    <t>Frozen Division</t>
  </si>
  <si>
    <t>Gross Revenue</t>
  </si>
  <si>
    <t>Promotion Spending</t>
  </si>
  <si>
    <t>Net Revenue</t>
  </si>
  <si>
    <t>Selling/Distribution</t>
  </si>
  <si>
    <t>Gross Margin</t>
  </si>
  <si>
    <t>Marketing Margin</t>
  </si>
  <si>
    <t>Volume (lbs.)</t>
  </si>
  <si>
    <t>Gross Margin/lb.</t>
  </si>
  <si>
    <t>Marketing Margin/lb.</t>
  </si>
  <si>
    <t>Marketing Margin %</t>
  </si>
  <si>
    <t>Gross Revenue/lb.</t>
  </si>
  <si>
    <t>Promo Cost/Point</t>
  </si>
  <si>
    <t>Key Metrics</t>
  </si>
  <si>
    <t>$Promo/Incr. lb.</t>
  </si>
  <si>
    <t>Baseline Volume</t>
  </si>
  <si>
    <t>Incremental Volume</t>
  </si>
  <si>
    <t>Last12 months</t>
  </si>
  <si>
    <t>Dinardo's Other</t>
  </si>
  <si>
    <t>2008 Frozen Foods Division ANNUAL PLAN</t>
  </si>
  <si>
    <t>2008 Frozen Foods Division ACTUALS THROUGH JULY</t>
  </si>
  <si>
    <t>Prev12months</t>
  </si>
  <si>
    <t>Growth</t>
  </si>
  <si>
    <t>Rate</t>
  </si>
  <si>
    <t>vs. Plan</t>
  </si>
  <si>
    <t>Variable Expense/lb.</t>
  </si>
  <si>
    <t>Advertising Expense</t>
  </si>
  <si>
    <t>Adverting Expense</t>
  </si>
  <si>
    <t>Frozen Division Sales Promotions and Sales Volume</t>
  </si>
  <si>
    <t>2008 Frozen Foods Division PLAN THROUGH AUGUST</t>
  </si>
  <si>
    <t>Average Monthly Volume for:</t>
  </si>
  <si>
    <t>Dinardo 32</t>
  </si>
  <si>
    <t>Dinardo 16</t>
  </si>
  <si>
    <t>Incremental Volume from Promotion</t>
  </si>
  <si>
    <t>Revenue Change from Promotion</t>
  </si>
  <si>
    <t>Variable Cost Change from Promotion</t>
  </si>
  <si>
    <t>Marketing Margin Change From Promotion</t>
  </si>
  <si>
    <t>Exhibit 3 - Part 1</t>
  </si>
  <si>
    <t>Exhibit 3 - Part 2</t>
  </si>
  <si>
    <t>Total Brand Impact from Promotion on Marketing Margins</t>
  </si>
  <si>
    <t>Exhibit 3 - Part 3</t>
  </si>
  <si>
    <t>Average Monthly Incremental Volume from Natural</t>
  </si>
  <si>
    <t>Average % Store Promotiong for Natural</t>
  </si>
  <si>
    <t>Average Monthly Incremental Volume/ Promo Point</t>
  </si>
  <si>
    <t>Incremental Volume from 25% Promo Points</t>
  </si>
  <si>
    <t>Marketing Margin Change from Promotion</t>
  </si>
  <si>
    <t>Natural</t>
  </si>
  <si>
    <t xml:space="preserve">      Total Effect of D32 Promotion</t>
  </si>
  <si>
    <t xml:space="preserve">      Total Effect of D16 Promotion</t>
  </si>
  <si>
    <r>
      <t xml:space="preserve">When that item is </t>
    </r>
    <r>
      <rPr>
        <sz val="10"/>
        <color indexed="10"/>
        <rFont val="Arial"/>
        <family val="2"/>
      </rPr>
      <t>ON</t>
    </r>
    <r>
      <rPr>
        <sz val="10"/>
        <rFont val="Arial"/>
        <family val="2"/>
      </rPr>
      <t xml:space="preserve"> Promotion</t>
    </r>
  </si>
  <si>
    <r>
      <t xml:space="preserve">When that item is </t>
    </r>
    <r>
      <rPr>
        <sz val="10"/>
        <color indexed="10"/>
        <rFont val="Arial"/>
        <family val="2"/>
      </rPr>
      <t>NOT ON</t>
    </r>
    <r>
      <rPr>
        <sz val="10"/>
        <rFont val="Arial"/>
        <family val="2"/>
      </rPr>
      <t xml:space="preserve"> promotion</t>
    </r>
  </si>
  <si>
    <r>
      <t xml:space="preserve">When </t>
    </r>
    <r>
      <rPr>
        <sz val="10"/>
        <color indexed="10"/>
        <rFont val="Arial"/>
        <family val="2"/>
      </rPr>
      <t>NOTHING</t>
    </r>
    <r>
      <rPr>
        <sz val="10"/>
        <rFont val="Arial"/>
        <family val="2"/>
      </rPr>
      <t xml:space="preserve"> Is on Promotion</t>
    </r>
  </si>
  <si>
    <r>
      <t xml:space="preserve">When the other Dinardo's item is  </t>
    </r>
    <r>
      <rPr>
        <sz val="10"/>
        <color indexed="10"/>
        <rFont val="Arial"/>
        <family val="2"/>
      </rPr>
      <t>ON</t>
    </r>
    <r>
      <rPr>
        <sz val="10"/>
        <rFont val="Arial"/>
        <family val="2"/>
      </rPr>
      <t xml:space="preserve"> Promotion</t>
    </r>
  </si>
  <si>
    <r>
      <t xml:space="preserve">When </t>
    </r>
    <r>
      <rPr>
        <sz val="10"/>
        <color indexed="10"/>
        <rFont val="Arial"/>
        <family val="2"/>
      </rPr>
      <t>NOTHING</t>
    </r>
    <r>
      <rPr>
        <sz val="10"/>
        <rFont val="Arial"/>
        <family val="2"/>
      </rPr>
      <t xml:space="preserve"> is </t>
    </r>
    <r>
      <rPr>
        <sz val="10"/>
        <color indexed="10"/>
        <rFont val="Arial"/>
        <family val="2"/>
      </rPr>
      <t>ON</t>
    </r>
    <r>
      <rPr>
        <sz val="10"/>
        <rFont val="Arial"/>
        <family val="2"/>
      </rPr>
      <t xml:space="preserve"> promotion</t>
    </r>
  </si>
  <si>
    <t>Volume change from promtion of other item</t>
  </si>
  <si>
    <t>Revenue change from promotion of other item</t>
  </si>
  <si>
    <t>Variable cost change from promotion of other item</t>
  </si>
  <si>
    <t>Promotion cost change from Promotion of other product</t>
  </si>
  <si>
    <t>Marekting margin change from promotion of other product</t>
  </si>
  <si>
    <t>Total Brand Impact from Promotion on Top-Line Revenue</t>
  </si>
  <si>
    <t xml:space="preserve">       Total Effect of D32 Promotion</t>
  </si>
  <si>
    <t xml:space="preserve">       Total Effect of D16 Promotion</t>
  </si>
  <si>
    <t>Promotion Cost Change from Promotion</t>
  </si>
  <si>
    <t>INSTRUCTIONS: Fill in the Yellow Cells</t>
  </si>
  <si>
    <t>Revenue Change from Promotion ( i.e, 25% promo)</t>
  </si>
  <si>
    <t>ROMI (Return on Marketing Investment) ( hint : line 8/ line 7)</t>
  </si>
  <si>
    <t>&lt;-- total sales during times with national promotions</t>
  </si>
  <si>
    <t>&lt;-- total sales during times without national promotions (baseline)</t>
  </si>
  <si>
    <t>&lt;-- incremental sales from national promotions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</si>
</sst>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-409]mmm\-yy;@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0.000"/>
    <numFmt numFmtId="169" formatCode="#,##0.0000"/>
    <numFmt numFmtId="170" formatCode="0.00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43" fontId="0" fillId="0" borderId="0" xfId="0" applyNumberFormat="1"/>
    <xf numFmtId="0" fontId="3" fillId="0" borderId="0" xfId="0" applyFont="1"/>
    <xf numFmtId="9" fontId="0" fillId="0" borderId="0" xfId="2" applyFont="1"/>
    <xf numFmtId="0" fontId="3" fillId="0" borderId="0" xfId="0" applyFont="1" applyAlignment="1">
      <alignment horizontal="center"/>
    </xf>
    <xf numFmtId="166" fontId="0" fillId="0" borderId="1" xfId="1" applyNumberFormat="1" applyFont="1" applyBorder="1"/>
    <xf numFmtId="166" fontId="0" fillId="0" borderId="2" xfId="1" applyNumberFormat="1" applyFont="1" applyBorder="1"/>
    <xf numFmtId="166" fontId="0" fillId="0" borderId="2" xfId="0" applyNumberFormat="1" applyBorder="1"/>
    <xf numFmtId="165" fontId="0" fillId="0" borderId="3" xfId="1" applyNumberFormat="1" applyFont="1" applyBorder="1"/>
    <xf numFmtId="167" fontId="0" fillId="0" borderId="0" xfId="2" applyNumberFormat="1" applyFont="1"/>
    <xf numFmtId="0" fontId="0" fillId="0" borderId="0" xfId="0" applyAlignment="1">
      <alignment horizontal="center"/>
    </xf>
    <xf numFmtId="43" fontId="0" fillId="0" borderId="0" xfId="1" applyFont="1"/>
    <xf numFmtId="0" fontId="6" fillId="0" borderId="0" xfId="0" applyFont="1"/>
    <xf numFmtId="3" fontId="0" fillId="0" borderId="0" xfId="0" applyNumberFormat="1"/>
    <xf numFmtId="168" fontId="0" fillId="0" borderId="0" xfId="0" applyNumberFormat="1"/>
    <xf numFmtId="2" fontId="0" fillId="0" borderId="0" xfId="0" applyNumberFormat="1"/>
    <xf numFmtId="166" fontId="0" fillId="0" borderId="0" xfId="1" applyNumberFormat="1" applyFont="1" applyFill="1"/>
    <xf numFmtId="9" fontId="0" fillId="0" borderId="0" xfId="2" applyFont="1" applyFill="1"/>
    <xf numFmtId="0" fontId="5" fillId="0" borderId="0" xfId="0" quotePrefix="1" applyFont="1"/>
    <xf numFmtId="43" fontId="0" fillId="0" borderId="0" xfId="1" applyFont="1" applyFill="1"/>
    <xf numFmtId="43" fontId="7" fillId="0" borderId="0" xfId="1" applyFont="1" applyFill="1"/>
    <xf numFmtId="0" fontId="4" fillId="0" borderId="0" xfId="0" applyFont="1"/>
    <xf numFmtId="0" fontId="6" fillId="0" borderId="0" xfId="0" applyFont="1" applyAlignment="1">
      <alignment horizontal="center"/>
    </xf>
    <xf numFmtId="167" fontId="0" fillId="0" borderId="0" xfId="2" applyNumberFormat="1" applyFont="1" applyFill="1"/>
    <xf numFmtId="0" fontId="8" fillId="0" borderId="0" xfId="0" applyFont="1"/>
    <xf numFmtId="3" fontId="8" fillId="0" borderId="0" xfId="0" applyNumberFormat="1" applyFont="1"/>
    <xf numFmtId="3" fontId="8" fillId="0" borderId="4" xfId="0" applyNumberFormat="1" applyFont="1" applyBorder="1"/>
    <xf numFmtId="0" fontId="0" fillId="0" borderId="4" xfId="0" applyBorder="1"/>
    <xf numFmtId="0" fontId="8" fillId="0" borderId="4" xfId="0" applyFont="1" applyBorder="1"/>
    <xf numFmtId="3" fontId="0" fillId="2" borderId="0" xfId="0" applyNumberFormat="1" applyFill="1"/>
    <xf numFmtId="43" fontId="0" fillId="2" borderId="0" xfId="1" applyFont="1" applyFill="1"/>
    <xf numFmtId="43" fontId="0" fillId="2" borderId="0" xfId="0" applyNumberFormat="1" applyFill="1"/>
    <xf numFmtId="3" fontId="1" fillId="0" borderId="0" xfId="0" applyNumberFormat="1" applyFont="1"/>
    <xf numFmtId="169" fontId="0" fillId="0" borderId="0" xfId="0" applyNumberFormat="1"/>
    <xf numFmtId="170" fontId="0" fillId="2" borderId="0" xfId="0" applyNumberFormat="1" applyFill="1"/>
    <xf numFmtId="0" fontId="1" fillId="0" borderId="0" xfId="0" applyFont="1"/>
    <xf numFmtId="0" fontId="1" fillId="0" borderId="0" xfId="0" quotePrefix="1" applyFont="1"/>
    <xf numFmtId="4" fontId="10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8" fillId="0" borderId="5" xfId="0" applyFont="1" applyBorder="1" applyAlignment="1">
      <alignment horizontal="center"/>
    </xf>
    <xf numFmtId="0" fontId="9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34"/>
  <sheetViews>
    <sheetView workbookViewId="0">
      <selection activeCell="H6" sqref="H6"/>
    </sheetView>
  </sheetViews>
  <sheetFormatPr defaultColWidth="8.85546875" defaultRowHeight="12.75" x14ac:dyDescent="0.2"/>
  <cols>
    <col min="1" max="1" width="18" bestFit="1" customWidth="1"/>
    <col min="2" max="2" width="15.140625" bestFit="1" customWidth="1"/>
    <col min="3" max="3" width="14" bestFit="1" customWidth="1"/>
    <col min="4" max="4" width="12.28515625" customWidth="1"/>
    <col min="5" max="5" width="15.140625" bestFit="1" customWidth="1"/>
    <col min="6" max="6" width="13.42578125" bestFit="1" customWidth="1"/>
    <col min="7" max="7" width="7.42578125" customWidth="1"/>
    <col min="8" max="8" width="17.42578125" customWidth="1"/>
    <col min="9" max="9" width="14.42578125" customWidth="1"/>
    <col min="10" max="10" width="12.28515625" bestFit="1" customWidth="1"/>
    <col min="11" max="11" width="13.42578125" customWidth="1"/>
    <col min="12" max="12" width="14.7109375" customWidth="1"/>
    <col min="13" max="13" width="13.28515625" customWidth="1"/>
    <col min="14" max="14" width="15.140625" bestFit="1" customWidth="1"/>
    <col min="15" max="15" width="7.42578125" bestFit="1" customWidth="1"/>
    <col min="16" max="16" width="13.42578125" bestFit="1" customWidth="1"/>
    <col min="17" max="17" width="7.42578125" bestFit="1" customWidth="1"/>
  </cols>
  <sheetData>
    <row r="1" spans="1:23" x14ac:dyDescent="0.2">
      <c r="B1" s="42" t="s">
        <v>25</v>
      </c>
      <c r="C1" s="42"/>
      <c r="D1" s="42"/>
      <c r="E1" s="42"/>
      <c r="F1" s="42"/>
      <c r="H1" s="43"/>
      <c r="I1" s="43"/>
      <c r="J1" s="43"/>
      <c r="K1" s="43"/>
      <c r="L1" s="43"/>
      <c r="M1" s="43"/>
      <c r="N1" s="43"/>
      <c r="O1" s="43"/>
      <c r="P1" s="43"/>
    </row>
    <row r="2" spans="1:23" x14ac:dyDescent="0.2">
      <c r="A2" s="6"/>
      <c r="B2" s="8" t="s">
        <v>6</v>
      </c>
      <c r="C2" s="8" t="s">
        <v>1</v>
      </c>
      <c r="D2" s="8" t="s">
        <v>2</v>
      </c>
      <c r="E2" s="8" t="s">
        <v>24</v>
      </c>
      <c r="F2" s="8" t="s">
        <v>4</v>
      </c>
      <c r="I2" s="8"/>
      <c r="J2" s="8"/>
      <c r="K2" s="8"/>
      <c r="L2" s="8"/>
      <c r="M2" s="8"/>
      <c r="N2" s="8"/>
      <c r="O2" s="8"/>
      <c r="P2" s="8"/>
    </row>
    <row r="3" spans="1:23" x14ac:dyDescent="0.2">
      <c r="A3" t="s">
        <v>13</v>
      </c>
      <c r="B3" s="4">
        <f>SUM(C3:F3)</f>
        <v>251800000</v>
      </c>
      <c r="C3" s="3">
        <v>95800000</v>
      </c>
      <c r="D3" s="3">
        <v>47500000</v>
      </c>
      <c r="E3" s="3">
        <v>59000000</v>
      </c>
      <c r="F3" s="3">
        <v>49500000</v>
      </c>
      <c r="H3" s="7"/>
      <c r="I3" s="15"/>
      <c r="J3" s="15"/>
      <c r="K3" s="15"/>
      <c r="L3" s="15"/>
      <c r="M3" s="3"/>
      <c r="N3" s="3"/>
      <c r="O3" s="3"/>
      <c r="P3" s="3"/>
    </row>
    <row r="4" spans="1:23" x14ac:dyDescent="0.2">
      <c r="A4" t="s">
        <v>7</v>
      </c>
      <c r="B4" s="4">
        <f t="shared" ref="B4:B10" si="0">SUM(C4:F4)</f>
        <v>603280000</v>
      </c>
      <c r="C4" s="3">
        <v>201180000</v>
      </c>
      <c r="D4" s="3">
        <v>114000000</v>
      </c>
      <c r="E4" s="3">
        <v>144550000</v>
      </c>
      <c r="F4" s="3">
        <v>143550000</v>
      </c>
      <c r="I4" s="7"/>
      <c r="J4" s="7"/>
      <c r="K4" s="7"/>
      <c r="L4" s="7"/>
      <c r="M4" s="7"/>
      <c r="N4" s="3"/>
      <c r="O4" s="3"/>
      <c r="P4" s="3"/>
    </row>
    <row r="5" spans="1:23" x14ac:dyDescent="0.2">
      <c r="A5" t="s">
        <v>8</v>
      </c>
      <c r="B5" s="4">
        <f t="shared" si="0"/>
        <v>80000000</v>
      </c>
      <c r="C5" s="3">
        <v>25000000</v>
      </c>
      <c r="D5" s="3">
        <v>25000000</v>
      </c>
      <c r="E5" s="3">
        <v>15000000</v>
      </c>
      <c r="F5" s="3">
        <v>15000000</v>
      </c>
      <c r="I5" s="7"/>
      <c r="J5" s="7"/>
      <c r="K5" s="7"/>
      <c r="L5" s="7"/>
      <c r="M5" s="7"/>
      <c r="N5" s="3"/>
      <c r="O5" s="3"/>
      <c r="P5" s="3"/>
    </row>
    <row r="6" spans="1:23" x14ac:dyDescent="0.2">
      <c r="A6" t="s">
        <v>9</v>
      </c>
      <c r="B6" s="4">
        <f t="shared" si="0"/>
        <v>523280000</v>
      </c>
      <c r="C6" s="3">
        <v>176180000</v>
      </c>
      <c r="D6" s="3">
        <v>89000000</v>
      </c>
      <c r="E6" s="3">
        <v>129550000</v>
      </c>
      <c r="F6" s="3">
        <v>128550000</v>
      </c>
      <c r="I6" s="7"/>
      <c r="J6" s="7"/>
      <c r="K6" s="7"/>
      <c r="L6" s="7"/>
      <c r="M6" s="7"/>
      <c r="N6" s="3"/>
      <c r="O6" s="3"/>
      <c r="P6" s="3"/>
    </row>
    <row r="7" spans="1:23" x14ac:dyDescent="0.2">
      <c r="A7" t="s">
        <v>5</v>
      </c>
      <c r="B7" s="4">
        <f t="shared" si="0"/>
        <v>198543500</v>
      </c>
      <c r="C7" s="20">
        <v>64665000</v>
      </c>
      <c r="D7" s="20">
        <v>36110000</v>
      </c>
      <c r="E7" s="20">
        <v>57525000</v>
      </c>
      <c r="F7" s="20">
        <v>40243500</v>
      </c>
      <c r="I7" s="21"/>
      <c r="J7" s="21"/>
      <c r="K7" s="21"/>
      <c r="L7" s="21"/>
      <c r="M7" s="21"/>
      <c r="N7" s="20"/>
      <c r="O7" s="20"/>
      <c r="P7" s="20"/>
    </row>
    <row r="8" spans="1:23" x14ac:dyDescent="0.2">
      <c r="A8" t="s">
        <v>11</v>
      </c>
      <c r="B8" s="4">
        <f t="shared" si="0"/>
        <v>324736500</v>
      </c>
      <c r="C8" s="20">
        <v>111515000</v>
      </c>
      <c r="D8" s="20">
        <v>52890000</v>
      </c>
      <c r="E8" s="20">
        <v>72025000</v>
      </c>
      <c r="F8" s="20">
        <v>88306500</v>
      </c>
      <c r="I8" s="21"/>
      <c r="J8" s="21"/>
      <c r="K8" s="21"/>
      <c r="L8" s="21"/>
      <c r="M8" s="21"/>
      <c r="N8" s="20"/>
      <c r="O8" s="20"/>
      <c r="P8" s="20"/>
    </row>
    <row r="9" spans="1:23" x14ac:dyDescent="0.2">
      <c r="A9" t="s">
        <v>10</v>
      </c>
      <c r="B9" s="4">
        <f t="shared" si="0"/>
        <v>18098400</v>
      </c>
      <c r="C9" s="20">
        <v>6035400</v>
      </c>
      <c r="D9" s="20">
        <v>3420000</v>
      </c>
      <c r="E9" s="20">
        <v>4336500</v>
      </c>
      <c r="F9" s="20">
        <v>4306500</v>
      </c>
      <c r="I9" s="21"/>
      <c r="J9" s="21"/>
      <c r="K9" s="21"/>
      <c r="L9" s="21"/>
      <c r="M9" s="21"/>
      <c r="N9" s="20"/>
      <c r="O9" s="20"/>
      <c r="P9" s="20"/>
    </row>
    <row r="10" spans="1:23" x14ac:dyDescent="0.2">
      <c r="A10" t="s">
        <v>32</v>
      </c>
      <c r="B10" s="4">
        <f t="shared" si="0"/>
        <v>65000000</v>
      </c>
      <c r="C10" s="20">
        <v>21900000</v>
      </c>
      <c r="D10" s="20">
        <v>12400000</v>
      </c>
      <c r="E10" s="20">
        <v>15700000</v>
      </c>
      <c r="F10" s="20">
        <v>15000000</v>
      </c>
      <c r="G10" s="22"/>
      <c r="I10" s="21"/>
      <c r="J10" s="21"/>
      <c r="K10" s="21"/>
      <c r="L10" s="21"/>
      <c r="M10" s="21"/>
      <c r="N10" s="20"/>
      <c r="O10" s="20"/>
      <c r="P10" s="20"/>
    </row>
    <row r="11" spans="1:23" x14ac:dyDescent="0.2">
      <c r="A11" t="s">
        <v>12</v>
      </c>
      <c r="B11" s="4">
        <f>SUM(C11:F11)</f>
        <v>241638100</v>
      </c>
      <c r="C11" s="20">
        <v>83579600</v>
      </c>
      <c r="D11" s="20">
        <v>37070000</v>
      </c>
      <c r="E11" s="20">
        <v>51988500</v>
      </c>
      <c r="F11" s="20">
        <v>69000000</v>
      </c>
      <c r="I11" s="21"/>
      <c r="J11" s="21"/>
      <c r="K11" s="21"/>
      <c r="L11" s="21"/>
      <c r="M11" s="21"/>
      <c r="N11" s="20"/>
      <c r="O11" s="20"/>
      <c r="P11" s="20"/>
    </row>
    <row r="12" spans="1:23" x14ac:dyDescent="0.2">
      <c r="B12" s="4"/>
      <c r="C12" s="4"/>
      <c r="D12" s="4"/>
      <c r="E12" s="4"/>
      <c r="F12" s="4"/>
      <c r="I12" s="21"/>
    </row>
    <row r="13" spans="1:23" x14ac:dyDescent="0.2">
      <c r="A13" s="6" t="s">
        <v>19</v>
      </c>
      <c r="B13" s="4"/>
      <c r="C13" s="20"/>
      <c r="D13" s="20"/>
      <c r="E13" s="20"/>
      <c r="F13" s="20"/>
    </row>
    <row r="14" spans="1:23" x14ac:dyDescent="0.2">
      <c r="A14" t="s">
        <v>16</v>
      </c>
      <c r="B14" s="21">
        <f>B11/B4</f>
        <v>0.40054054502055431</v>
      </c>
      <c r="C14" s="21">
        <f>C11/C4</f>
        <v>0.41544686350531862</v>
      </c>
      <c r="D14" s="21">
        <f>D11/D4</f>
        <v>0.32517543859649123</v>
      </c>
      <c r="E14" s="21">
        <f>E11/E4</f>
        <v>0.35965755793842963</v>
      </c>
      <c r="F14" s="21">
        <f>F11/F4</f>
        <v>0.48066875653082547</v>
      </c>
      <c r="H14" s="23"/>
      <c r="I14" s="23"/>
      <c r="J14" s="23"/>
      <c r="K14" s="23"/>
      <c r="L14" s="23"/>
      <c r="N14" s="23"/>
      <c r="O14" s="23"/>
      <c r="P14" s="23"/>
      <c r="Q14" s="23"/>
      <c r="R14" s="15"/>
      <c r="W14" s="15"/>
    </row>
    <row r="15" spans="1:23" x14ac:dyDescent="0.2">
      <c r="A15" t="s">
        <v>17</v>
      </c>
      <c r="B15" s="23">
        <f>B4/B3</f>
        <v>2.395869737887212</v>
      </c>
      <c r="C15" s="23">
        <f>C4/C3</f>
        <v>2.1</v>
      </c>
      <c r="D15" s="23">
        <f>D4/D3</f>
        <v>2.4</v>
      </c>
      <c r="E15" s="23">
        <f>E4/E3</f>
        <v>2.4500000000000002</v>
      </c>
      <c r="F15" s="23">
        <f>F4/F3</f>
        <v>2.9</v>
      </c>
      <c r="H15" s="21"/>
      <c r="I15" s="21"/>
      <c r="J15" s="21"/>
      <c r="K15" s="21"/>
      <c r="L15" s="21"/>
      <c r="N15" s="21"/>
      <c r="O15" s="21"/>
      <c r="P15" s="21"/>
      <c r="Q15" s="21"/>
      <c r="R15" s="7"/>
      <c r="W15" s="7"/>
    </row>
    <row r="16" spans="1:23" x14ac:dyDescent="0.2">
      <c r="A16" t="s">
        <v>14</v>
      </c>
      <c r="B16" s="23">
        <f>B8/B3</f>
        <v>1.2896604447974582</v>
      </c>
      <c r="C16" s="23">
        <f>C8/C3</f>
        <v>1.1640396659707724</v>
      </c>
      <c r="D16" s="23">
        <f>D8/D3</f>
        <v>1.1134736842105264</v>
      </c>
      <c r="E16" s="23">
        <f>E8/E3</f>
        <v>1.2207627118644069</v>
      </c>
      <c r="F16" s="23">
        <f>F8/F3</f>
        <v>1.783969696969697</v>
      </c>
      <c r="H16" s="21"/>
      <c r="I16" s="21"/>
      <c r="J16" s="21"/>
      <c r="K16" s="21"/>
      <c r="L16" s="21"/>
      <c r="N16" s="21"/>
      <c r="O16" s="21"/>
      <c r="P16" s="21"/>
      <c r="Q16" s="21"/>
      <c r="R16" s="7"/>
    </row>
    <row r="17" spans="1:18" x14ac:dyDescent="0.2">
      <c r="A17" t="s">
        <v>15</v>
      </c>
      <c r="B17" s="23">
        <f>B11/B3</f>
        <v>0.95964297061159654</v>
      </c>
      <c r="C17" s="23">
        <f>C11/C3</f>
        <v>0.87243841336116912</v>
      </c>
      <c r="D17" s="23">
        <f>D11/D3</f>
        <v>0.7804210526315789</v>
      </c>
      <c r="E17" s="23">
        <f>E11/E3</f>
        <v>0.8811610169491525</v>
      </c>
      <c r="F17" s="23">
        <f>F11/F3</f>
        <v>1.393939393939394</v>
      </c>
      <c r="H17" s="21"/>
      <c r="I17" s="21"/>
      <c r="J17" s="21"/>
      <c r="K17" s="21"/>
      <c r="L17" s="21"/>
      <c r="N17" s="21"/>
      <c r="O17" s="21"/>
      <c r="P17" s="21"/>
      <c r="Q17" s="21"/>
      <c r="R17" s="7"/>
    </row>
    <row r="18" spans="1:18" x14ac:dyDescent="0.2">
      <c r="H18" s="21"/>
      <c r="I18" s="21"/>
      <c r="J18" s="21"/>
      <c r="K18" s="21"/>
      <c r="L18" s="21"/>
      <c r="N18" s="21"/>
      <c r="O18" s="21"/>
      <c r="P18" s="21"/>
      <c r="Q18" s="21"/>
      <c r="R18" s="7"/>
    </row>
    <row r="19" spans="1:18" x14ac:dyDescent="0.2">
      <c r="A19" t="s">
        <v>20</v>
      </c>
      <c r="B19" s="5">
        <f>B5/('Exhibit 4-POS_Data'!AA4+'Exhibit 4-POS_Data'!AA9+'Exhibit 4-POS_Data'!AA14+'Exhibit 4-POS_Data'!AA19)</f>
        <v>1.493166547291825</v>
      </c>
      <c r="C19" s="5">
        <f>C5/'Exhibit 4-POS_Data'!AA4</f>
        <v>1.1065815807136037</v>
      </c>
      <c r="D19" s="5">
        <f>D5/'Exhibit 4-POS_Data'!AA9</f>
        <v>2.0765557787100737</v>
      </c>
      <c r="E19" s="5">
        <f>E5/'Exhibit 4-POS_Data'!AA14</f>
        <v>1.5114022794380397</v>
      </c>
      <c r="F19" s="5">
        <f>F5/'Exhibit 4-POS_Data'!AA19</f>
        <v>1.6626781543364804</v>
      </c>
      <c r="H19" s="21"/>
      <c r="I19" s="21"/>
      <c r="J19" s="21"/>
      <c r="K19" s="21"/>
      <c r="L19" s="21"/>
      <c r="N19" s="21"/>
      <c r="O19" s="21"/>
      <c r="P19" s="21"/>
      <c r="Q19" s="21"/>
      <c r="R19" s="7"/>
    </row>
    <row r="20" spans="1:18" x14ac:dyDescent="0.2">
      <c r="A20" t="s">
        <v>31</v>
      </c>
      <c r="B20" s="24">
        <f>(B7+B9)/B3</f>
        <v>0.86037291501191426</v>
      </c>
      <c r="C20" s="24">
        <f>(C7+C9)/C3</f>
        <v>0.73799999999999999</v>
      </c>
      <c r="D20" s="24">
        <f>(D7+D9)/D3</f>
        <v>0.83221052631578951</v>
      </c>
      <c r="E20" s="23">
        <f>(E7+E9)/E3</f>
        <v>1.0485</v>
      </c>
      <c r="F20" s="23">
        <f>(F7+F9)/F3</f>
        <v>0.9</v>
      </c>
      <c r="H20" s="21"/>
      <c r="I20" s="21"/>
      <c r="J20" s="21"/>
      <c r="K20" s="21"/>
      <c r="L20" s="21"/>
      <c r="N20" s="21"/>
      <c r="O20" s="21"/>
      <c r="P20" s="21"/>
      <c r="Q20" s="21"/>
      <c r="R20" s="7"/>
    </row>
    <row r="21" spans="1:18" x14ac:dyDescent="0.2">
      <c r="A21" t="s">
        <v>18</v>
      </c>
      <c r="B21" s="20">
        <f>B5/SUM('Exhibit 4-POS_Data'!AA6,'Exhibit 4-POS_Data'!AA11,'Exhibit 4-POS_Data'!AA16,'Exhibit 4-POS_Data'!AA21)</f>
        <v>178928.19610589268</v>
      </c>
      <c r="C21" s="20">
        <f>C5/'Exhibit 4-POS_Data'!AA6</f>
        <v>191223.31496059737</v>
      </c>
      <c r="D21" s="20">
        <f>D5/'Exhibit 4-POS_Data'!AA11</f>
        <v>182485.31284778137</v>
      </c>
      <c r="E21" s="20">
        <f>E5/'Exhibit 4-POS_Data'!AA16</f>
        <v>169544.58339025007</v>
      </c>
      <c r="F21" s="20">
        <f>F5/'Exhibit 4-POS_Data'!AA21</f>
        <v>165016.68447754369</v>
      </c>
      <c r="H21" s="21"/>
      <c r="I21" s="21"/>
      <c r="J21" s="21"/>
      <c r="K21" s="21"/>
      <c r="L21" s="21"/>
      <c r="N21" s="21"/>
      <c r="O21" s="21"/>
      <c r="P21" s="21"/>
      <c r="Q21" s="21"/>
      <c r="R21" s="7"/>
    </row>
    <row r="22" spans="1:18" x14ac:dyDescent="0.2">
      <c r="E22" s="25"/>
      <c r="H22" s="21"/>
      <c r="I22" s="21"/>
      <c r="J22" s="21"/>
      <c r="K22" s="21"/>
      <c r="L22" s="21"/>
      <c r="N22" s="21"/>
      <c r="O22" s="21"/>
      <c r="P22" s="21"/>
      <c r="Q22" s="21"/>
      <c r="R22" s="7"/>
    </row>
    <row r="23" spans="1:18" x14ac:dyDescent="0.2">
      <c r="H23" s="21"/>
    </row>
    <row r="24" spans="1:18" x14ac:dyDescent="0.2">
      <c r="B24" s="42" t="s">
        <v>35</v>
      </c>
      <c r="C24" s="42"/>
      <c r="D24" s="42"/>
      <c r="E24" s="42"/>
      <c r="F24" s="42"/>
      <c r="H24" s="42" t="s">
        <v>26</v>
      </c>
      <c r="I24" s="42"/>
      <c r="J24" s="42"/>
      <c r="K24" s="42"/>
      <c r="L24" s="42"/>
      <c r="M24" s="42"/>
      <c r="N24" s="42"/>
      <c r="O24" s="42"/>
      <c r="P24" s="42"/>
    </row>
    <row r="25" spans="1:18" x14ac:dyDescent="0.2">
      <c r="A25" s="6"/>
      <c r="B25" s="8" t="s">
        <v>6</v>
      </c>
      <c r="C25" s="8" t="s">
        <v>1</v>
      </c>
      <c r="D25" s="8" t="s">
        <v>2</v>
      </c>
      <c r="E25" s="8" t="s">
        <v>24</v>
      </c>
      <c r="F25" s="8" t="s">
        <v>4</v>
      </c>
      <c r="H25" s="8" t="s">
        <v>6</v>
      </c>
      <c r="I25" s="26" t="s">
        <v>30</v>
      </c>
      <c r="J25" s="8" t="s">
        <v>1</v>
      </c>
      <c r="K25" s="26" t="s">
        <v>30</v>
      </c>
      <c r="L25" s="8" t="s">
        <v>2</v>
      </c>
      <c r="M25" s="26" t="s">
        <v>30</v>
      </c>
      <c r="N25" s="8" t="s">
        <v>24</v>
      </c>
      <c r="O25" s="26" t="s">
        <v>30</v>
      </c>
      <c r="P25" s="8" t="s">
        <v>4</v>
      </c>
      <c r="Q25" s="26" t="s">
        <v>30</v>
      </c>
    </row>
    <row r="26" spans="1:18" x14ac:dyDescent="0.2">
      <c r="A26" t="s">
        <v>13</v>
      </c>
      <c r="B26" s="4">
        <f>SUM(C26:F26)</f>
        <v>166650000</v>
      </c>
      <c r="C26" s="20">
        <f>ROUND(SUM('Exhibit 4-POS_Data'!G5:N5)*1.05,-3)</f>
        <v>61273000</v>
      </c>
      <c r="D26" s="20">
        <f>ROUND(SUM('Exhibit 4-POS_Data'!G10:N10)*1.05,-3)</f>
        <v>32912000</v>
      </c>
      <c r="E26" s="20">
        <f>ROUND(SUM('Exhibit 4-POS_Data'!G15:N15)*1.05,-3)</f>
        <v>40085000</v>
      </c>
      <c r="F26" s="20">
        <f>ROUND(SUM('Exhibit 4-POS_Data'!G20:N20)*1.12,-3)</f>
        <v>32380000</v>
      </c>
      <c r="H26" s="4">
        <f>SUM(J26,L26,N26,P26)</f>
        <v>160098327.79330704</v>
      </c>
      <c r="I26" s="27">
        <f>(H26-B26)/B26</f>
        <v>-3.9313964636621443E-2</v>
      </c>
      <c r="J26" s="20">
        <f>SUM('Exhibit 4-POS_Data'!S5:Z5)</f>
        <v>59016558.400876142</v>
      </c>
      <c r="K26" s="27">
        <f>(J26-C26)/C26</f>
        <v>-3.6826034291186298E-2</v>
      </c>
      <c r="L26" s="20">
        <f>SUM('Exhibit 4-POS_Data'!S10:Z10)</f>
        <v>30680906.268357113</v>
      </c>
      <c r="M26" s="27">
        <f>(L26-D26)/D26</f>
        <v>-6.7789673421332255E-2</v>
      </c>
      <c r="N26" s="20">
        <f>SUM('Exhibit 4-POS_Data'!S15:Z15)</f>
        <v>36625616.556038573</v>
      </c>
      <c r="O26" s="27">
        <f>(N26-E26)/E26</f>
        <v>-8.6301196057413668E-2</v>
      </c>
      <c r="P26" s="20">
        <f>SUM('Exhibit 4-POS_Data'!S20:Z20)</f>
        <v>33775246.568035208</v>
      </c>
      <c r="Q26" s="27">
        <f>(P26-F26)/F26</f>
        <v>4.3089764300037296E-2</v>
      </c>
    </row>
    <row r="27" spans="1:18" x14ac:dyDescent="0.2">
      <c r="A27" t="s">
        <v>7</v>
      </c>
      <c r="B27" s="4">
        <f t="shared" ref="B27:B34" si="1">SUM(C27:F27)</f>
        <v>399772350</v>
      </c>
      <c r="C27" s="20">
        <f>C26*C15</f>
        <v>128673300</v>
      </c>
      <c r="D27" s="20">
        <f>D26*D15</f>
        <v>78988800</v>
      </c>
      <c r="E27" s="20">
        <f>E26*E15</f>
        <v>98208250</v>
      </c>
      <c r="F27" s="20">
        <f>F26*F15</f>
        <v>93902000</v>
      </c>
      <c r="H27" s="4">
        <f t="shared" ref="H27:H34" si="2">SUM(J27,L27,N27,P27)</f>
        <v>385249923.2954936</v>
      </c>
      <c r="I27" s="27">
        <f t="shared" ref="I27:I34" si="3">(H27-B27)/B27</f>
        <v>-3.6326741217861606E-2</v>
      </c>
      <c r="J27" s="20">
        <f>J26*C15</f>
        <v>123934772.64183991</v>
      </c>
      <c r="K27" s="27">
        <f t="shared" ref="K27:K34" si="4">(J27-C27)/C27</f>
        <v>-3.6826034291186235E-2</v>
      </c>
      <c r="L27" s="20">
        <f>L26*D15</f>
        <v>73634175.044057071</v>
      </c>
      <c r="M27" s="27">
        <f t="shared" ref="M27:M34" si="5">(L27-D27)/D27</f>
        <v>-6.7789673421332255E-2</v>
      </c>
      <c r="N27" s="20">
        <f>N26*E15</f>
        <v>89732760.562294513</v>
      </c>
      <c r="O27" s="27">
        <f t="shared" ref="O27:O34" si="6">(N27-E27)/E27</f>
        <v>-8.6301196057413584E-2</v>
      </c>
      <c r="P27" s="20">
        <f>P26*F15</f>
        <v>97948215.047302097</v>
      </c>
      <c r="Q27" s="27">
        <f t="shared" ref="Q27:Q34" si="7">(P27-F27)/F27</f>
        <v>4.3089764300037241E-2</v>
      </c>
    </row>
    <row r="28" spans="1:18" x14ac:dyDescent="0.2">
      <c r="A28" t="s">
        <v>8</v>
      </c>
      <c r="B28" s="4">
        <f t="shared" si="1"/>
        <v>53315000</v>
      </c>
      <c r="C28" s="20">
        <f>ROUND(C26/C3*C5,-3)</f>
        <v>15990000</v>
      </c>
      <c r="D28" s="20">
        <f>ROUND(D26/D3*D5,-3)</f>
        <v>17322000</v>
      </c>
      <c r="E28" s="20">
        <f>ROUND(E26/E3*E5,-3)</f>
        <v>10191000</v>
      </c>
      <c r="F28" s="20">
        <f>ROUND(F26/F3*F5,-3)</f>
        <v>9812000</v>
      </c>
      <c r="H28" s="4">
        <f t="shared" si="2"/>
        <v>51333944.089101441</v>
      </c>
      <c r="I28" s="27">
        <f t="shared" si="3"/>
        <v>-3.7157571244463262E-2</v>
      </c>
      <c r="J28" s="20">
        <f>C5*8/12*('Exhibit 4-POS_Data'!AC6+1)</f>
        <v>17216786.359234992</v>
      </c>
      <c r="K28" s="27">
        <f t="shared" si="4"/>
        <v>7.6722098763914476E-2</v>
      </c>
      <c r="L28" s="20">
        <f>D5*8/12*(1+'Exhibit 4-POS_Data'!AC11)</f>
        <v>14694005.858025923</v>
      </c>
      <c r="M28" s="27">
        <f t="shared" si="5"/>
        <v>-0.15171424442755321</v>
      </c>
      <c r="N28" s="20">
        <f>E5*8/12*(1+'Exhibit 4-POS_Data'!AC16)</f>
        <v>9795478.9660415612</v>
      </c>
      <c r="O28" s="27">
        <f t="shared" si="6"/>
        <v>-3.8810816795058267E-2</v>
      </c>
      <c r="P28" s="20">
        <f>F5*8/12*(1+'Exhibit 4-POS_Data'!AC22)</f>
        <v>9627672.9057989623</v>
      </c>
      <c r="Q28" s="27">
        <f t="shared" si="7"/>
        <v>-1.8785884040056836E-2</v>
      </c>
    </row>
    <row r="29" spans="1:18" x14ac:dyDescent="0.2">
      <c r="A29" t="s">
        <v>9</v>
      </c>
      <c r="B29" s="4">
        <f t="shared" si="1"/>
        <v>346457350</v>
      </c>
      <c r="C29" s="20">
        <f>C27-C28</f>
        <v>112683300</v>
      </c>
      <c r="D29" s="20">
        <f>D27-D28</f>
        <v>61666800</v>
      </c>
      <c r="E29" s="20">
        <f>E27-E28</f>
        <v>88017250</v>
      </c>
      <c r="F29" s="20">
        <f>F27-F28</f>
        <v>84090000</v>
      </c>
      <c r="H29" s="4">
        <f t="shared" si="2"/>
        <v>333915979.20639217</v>
      </c>
      <c r="I29" s="27">
        <f t="shared" si="3"/>
        <v>-3.6198887954340793E-2</v>
      </c>
      <c r="J29" s="20">
        <f>J27-J28</f>
        <v>106717986.28260492</v>
      </c>
      <c r="K29" s="27">
        <f t="shared" si="4"/>
        <v>-5.293875594160876E-2</v>
      </c>
      <c r="L29" s="20">
        <f>L27-L28</f>
        <v>58940169.186031148</v>
      </c>
      <c r="M29" s="27">
        <f t="shared" si="5"/>
        <v>-4.4215539219950639E-2</v>
      </c>
      <c r="N29" s="20">
        <f>N27-N28</f>
        <v>79937281.596252948</v>
      </c>
      <c r="O29" s="27">
        <f t="shared" si="6"/>
        <v>-9.1799827917221369E-2</v>
      </c>
      <c r="P29" s="20">
        <f>P27-P28</f>
        <v>88320542.14150314</v>
      </c>
      <c r="Q29" s="27">
        <f t="shared" si="7"/>
        <v>5.0309693679428474E-2</v>
      </c>
    </row>
    <row r="30" spans="1:18" x14ac:dyDescent="0.2">
      <c r="A30" t="s">
        <v>5</v>
      </c>
      <c r="B30" s="4">
        <f t="shared" si="1"/>
        <v>131787138.84210527</v>
      </c>
      <c r="C30" s="20">
        <f>C26*C7/C3</f>
        <v>41359275</v>
      </c>
      <c r="D30" s="20">
        <f>D26*D7/D3</f>
        <v>25020048.842105262</v>
      </c>
      <c r="E30" s="20">
        <f>E26*E7/E3</f>
        <v>39082875</v>
      </c>
      <c r="F30" s="20">
        <f>F26*F7/F3</f>
        <v>26324940</v>
      </c>
      <c r="H30" s="4">
        <f t="shared" si="2"/>
        <v>126329376.4246548</v>
      </c>
      <c r="I30" s="27">
        <f t="shared" si="3"/>
        <v>-4.1413467698008383E-2</v>
      </c>
      <c r="J30" s="20">
        <f>J26*C30/C26</f>
        <v>39836176.920591392</v>
      </c>
      <c r="K30" s="27">
        <f t="shared" si="4"/>
        <v>-3.6826034291186402E-2</v>
      </c>
      <c r="L30" s="20">
        <f>L26*D30/D26</f>
        <v>23323947.902113166</v>
      </c>
      <c r="M30" s="27">
        <f t="shared" si="5"/>
        <v>-6.7789673421332186E-2</v>
      </c>
      <c r="N30" s="20">
        <f>N26*E30/E26</f>
        <v>35709976.142137609</v>
      </c>
      <c r="O30" s="27">
        <f t="shared" si="6"/>
        <v>-8.6301196057413654E-2</v>
      </c>
      <c r="P30" s="20">
        <f>P26*F30/F26</f>
        <v>27459275.459812623</v>
      </c>
      <c r="Q30" s="27">
        <f t="shared" si="7"/>
        <v>4.3089764300037248E-2</v>
      </c>
    </row>
    <row r="31" spans="1:18" x14ac:dyDescent="0.2">
      <c r="A31" t="s">
        <v>11</v>
      </c>
      <c r="B31" s="4">
        <f t="shared" si="1"/>
        <v>214670211.15789473</v>
      </c>
      <c r="C31" s="20">
        <f>C29-C30</f>
        <v>71324025</v>
      </c>
      <c r="D31" s="20">
        <f>D29-D30</f>
        <v>36646751.157894738</v>
      </c>
      <c r="E31" s="20">
        <f>E29-E30</f>
        <v>48934375</v>
      </c>
      <c r="F31" s="20">
        <f>F29-F30</f>
        <v>57765060</v>
      </c>
      <c r="H31" s="4">
        <f t="shared" si="2"/>
        <v>207586602.78173736</v>
      </c>
      <c r="I31" s="27">
        <f t="shared" si="3"/>
        <v>-3.299763082148003E-2</v>
      </c>
      <c r="J31" s="20">
        <f>J29-J30</f>
        <v>66881809.362013526</v>
      </c>
      <c r="K31" s="27">
        <f t="shared" si="4"/>
        <v>-6.2282178241994529E-2</v>
      </c>
      <c r="L31" s="20">
        <f>L29-L30</f>
        <v>35616221.283917978</v>
      </c>
      <c r="M31" s="27">
        <f t="shared" si="5"/>
        <v>-2.8120633928411812E-2</v>
      </c>
      <c r="N31" s="20">
        <f>N29-N30</f>
        <v>44227305.454115339</v>
      </c>
      <c r="O31" s="27">
        <f t="shared" si="6"/>
        <v>-9.6191471657391378E-2</v>
      </c>
      <c r="P31" s="20">
        <f>P29-P30</f>
        <v>60861266.681690514</v>
      </c>
      <c r="Q31" s="27">
        <f t="shared" si="7"/>
        <v>5.3599990750299822E-2</v>
      </c>
    </row>
    <row r="32" spans="1:18" x14ac:dyDescent="0.2">
      <c r="A32" t="s">
        <v>10</v>
      </c>
      <c r="B32" s="4">
        <f t="shared" si="1"/>
        <v>11993170.5</v>
      </c>
      <c r="C32" s="20">
        <f>C26*C9/C3</f>
        <v>3860199</v>
      </c>
      <c r="D32" s="20">
        <f>D26*D9/D3</f>
        <v>2369664</v>
      </c>
      <c r="E32" s="20">
        <f>E26*E9/E3</f>
        <v>2946247.5</v>
      </c>
      <c r="F32" s="20">
        <f>F26*F9/F3</f>
        <v>2817060</v>
      </c>
      <c r="H32" s="4">
        <f t="shared" si="2"/>
        <v>11557497.698864806</v>
      </c>
      <c r="I32" s="27">
        <f t="shared" si="3"/>
        <v>-3.6326741217861745E-2</v>
      </c>
      <c r="J32" s="20">
        <f>J26*C32/C26</f>
        <v>3718043.1792551968</v>
      </c>
      <c r="K32" s="27">
        <f t="shared" si="4"/>
        <v>-3.6826034291186326E-2</v>
      </c>
      <c r="L32" s="20">
        <f>L26*D32/D26</f>
        <v>2209025.251321712</v>
      </c>
      <c r="M32" s="27">
        <f t="shared" si="5"/>
        <v>-6.7789673421332283E-2</v>
      </c>
      <c r="N32" s="20">
        <f>N26*E32/E26</f>
        <v>2691982.8168688351</v>
      </c>
      <c r="O32" s="27">
        <f t="shared" si="6"/>
        <v>-8.6301196057413668E-2</v>
      </c>
      <c r="P32" s="20">
        <f>P26*F32/F26</f>
        <v>2938446.4514190634</v>
      </c>
      <c r="Q32" s="27">
        <f t="shared" si="7"/>
        <v>4.3089764300037407E-2</v>
      </c>
    </row>
    <row r="33" spans="1:17" x14ac:dyDescent="0.2">
      <c r="A33" t="s">
        <v>33</v>
      </c>
      <c r="B33" s="4">
        <f t="shared" si="1"/>
        <v>43333333.333333336</v>
      </c>
      <c r="C33" s="20">
        <f>C10*8/12</f>
        <v>14600000</v>
      </c>
      <c r="D33" s="20">
        <f>D10*8/12</f>
        <v>8266666.666666667</v>
      </c>
      <c r="E33" s="20">
        <f>E10*8/12</f>
        <v>10466666.666666666</v>
      </c>
      <c r="F33" s="20">
        <f>F10*8/12</f>
        <v>10000000</v>
      </c>
      <c r="G33" s="22"/>
      <c r="H33" s="4">
        <f t="shared" si="2"/>
        <v>43233500</v>
      </c>
      <c r="I33" s="27">
        <f t="shared" si="3"/>
        <v>-2.303846153846211E-3</v>
      </c>
      <c r="J33" s="20">
        <v>14450000</v>
      </c>
      <c r="K33" s="27">
        <f t="shared" si="4"/>
        <v>-1.0273972602739725E-2</v>
      </c>
      <c r="L33" s="20">
        <v>8500000</v>
      </c>
      <c r="M33" s="27">
        <f t="shared" si="5"/>
        <v>2.8225806451612864E-2</v>
      </c>
      <c r="N33" s="20">
        <v>10233000</v>
      </c>
      <c r="O33" s="27">
        <f t="shared" si="6"/>
        <v>-2.2324840764331152E-2</v>
      </c>
      <c r="P33" s="20">
        <v>10050500</v>
      </c>
      <c r="Q33" s="27">
        <f t="shared" si="7"/>
        <v>5.0499999999999998E-3</v>
      </c>
    </row>
    <row r="34" spans="1:17" x14ac:dyDescent="0.2">
      <c r="A34" t="s">
        <v>12</v>
      </c>
      <c r="B34" s="4">
        <f t="shared" si="1"/>
        <v>159343707.32456142</v>
      </c>
      <c r="C34" s="20">
        <f>C31-C32-C33</f>
        <v>52863826</v>
      </c>
      <c r="D34" s="20">
        <f>D31-D32-D33</f>
        <v>26010420.49122807</v>
      </c>
      <c r="E34" s="20">
        <f>E31-E32-E33</f>
        <v>35521460.833333336</v>
      </c>
      <c r="F34" s="20">
        <f>F31-F32-F33</f>
        <v>44948000</v>
      </c>
      <c r="H34" s="4">
        <f t="shared" si="2"/>
        <v>152795605.08287254</v>
      </c>
      <c r="I34" s="27">
        <f t="shared" si="3"/>
        <v>-4.1094200402600686E-2</v>
      </c>
      <c r="J34" s="20">
        <f>J31-J32-J33</f>
        <v>48713766.182758331</v>
      </c>
      <c r="K34" s="27">
        <f t="shared" si="4"/>
        <v>-7.8504719224099836E-2</v>
      </c>
      <c r="L34" s="20">
        <f>L31-L32-L33</f>
        <v>24907196.032596268</v>
      </c>
      <c r="M34" s="27">
        <f t="shared" si="5"/>
        <v>-4.2414710635064946E-2</v>
      </c>
      <c r="N34" s="20">
        <f>N31-N32-N33</f>
        <v>31302322.637246504</v>
      </c>
      <c r="O34" s="27">
        <f t="shared" si="6"/>
        <v>-0.11877715885286994</v>
      </c>
      <c r="P34" s="20">
        <f>P31-P32-P33</f>
        <v>47872320.230271451</v>
      </c>
      <c r="Q34" s="27">
        <f t="shared" si="7"/>
        <v>6.5060074536607879E-2</v>
      </c>
    </row>
  </sheetData>
  <mergeCells count="4">
    <mergeCell ref="B1:F1"/>
    <mergeCell ref="H1:P1"/>
    <mergeCell ref="B24:F24"/>
    <mergeCell ref="H24:P24"/>
  </mergeCells>
  <phoneticPr fontId="2" type="noConversion"/>
  <pageMargins left="0.75" right="0.75" top="1" bottom="1" header="0.5" footer="0.5"/>
  <pageSetup scale="55" orientation="landscape" horizontalDpi="429496729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53"/>
  <sheetViews>
    <sheetView workbookViewId="0">
      <selection activeCell="C38" sqref="C38"/>
    </sheetView>
  </sheetViews>
  <sheetFormatPr defaultColWidth="8.85546875" defaultRowHeight="12.75" x14ac:dyDescent="0.2"/>
  <cols>
    <col min="1" max="1" width="14" bestFit="1" customWidth="1"/>
    <col min="2" max="2" width="17.7109375" bestFit="1" customWidth="1"/>
    <col min="3" max="5" width="12.85546875" bestFit="1" customWidth="1"/>
    <col min="6" max="26" width="12" bestFit="1" customWidth="1"/>
    <col min="27" max="28" width="13.140625" customWidth="1"/>
    <col min="29" max="29" width="8.28515625" customWidth="1"/>
  </cols>
  <sheetData>
    <row r="1" spans="1:29" x14ac:dyDescent="0.2">
      <c r="C1" s="6" t="s">
        <v>34</v>
      </c>
      <c r="AC1" s="14" t="s">
        <v>28</v>
      </c>
    </row>
    <row r="2" spans="1:29" ht="13.5" thickBot="1" x14ac:dyDescent="0.25">
      <c r="C2" s="1">
        <v>38961</v>
      </c>
      <c r="D2" s="1">
        <v>38991</v>
      </c>
      <c r="E2" s="1">
        <v>39022</v>
      </c>
      <c r="F2" s="1">
        <v>39052</v>
      </c>
      <c r="G2" s="1">
        <v>39083</v>
      </c>
      <c r="H2" s="1">
        <v>39114</v>
      </c>
      <c r="I2" s="1">
        <v>39142</v>
      </c>
      <c r="J2" s="1">
        <v>39173</v>
      </c>
      <c r="K2" s="1">
        <v>39203</v>
      </c>
      <c r="L2" s="1">
        <v>39234</v>
      </c>
      <c r="M2" s="1">
        <v>39264</v>
      </c>
      <c r="N2" s="1">
        <v>39295</v>
      </c>
      <c r="O2" s="1">
        <v>39326</v>
      </c>
      <c r="P2" s="1">
        <v>39356</v>
      </c>
      <c r="Q2" s="1">
        <v>39387</v>
      </c>
      <c r="R2" s="1">
        <v>39417</v>
      </c>
      <c r="S2" s="1">
        <v>39448</v>
      </c>
      <c r="T2" s="1">
        <v>39479</v>
      </c>
      <c r="U2" s="1">
        <v>39508</v>
      </c>
      <c r="V2" s="1">
        <v>39539</v>
      </c>
      <c r="W2" s="1">
        <v>39569</v>
      </c>
      <c r="X2" s="1">
        <v>39600</v>
      </c>
      <c r="Y2" s="1">
        <v>39630</v>
      </c>
      <c r="Z2" s="1">
        <v>39661</v>
      </c>
      <c r="AA2" t="s">
        <v>23</v>
      </c>
      <c r="AB2" t="s">
        <v>27</v>
      </c>
      <c r="AC2" s="14" t="s">
        <v>29</v>
      </c>
    </row>
    <row r="3" spans="1:29" x14ac:dyDescent="0.2">
      <c r="A3" t="s">
        <v>1</v>
      </c>
      <c r="B3" t="s">
        <v>21</v>
      </c>
      <c r="C3" s="3">
        <v>5255874.67438877</v>
      </c>
      <c r="D3" s="3">
        <v>6301885.4187553618</v>
      </c>
      <c r="E3" s="9">
        <v>5464734.6488875477</v>
      </c>
      <c r="F3" s="3">
        <v>5427144.404685609</v>
      </c>
      <c r="G3" s="3">
        <v>5786511.4587305104</v>
      </c>
      <c r="H3" s="3">
        <v>4667447.723776971</v>
      </c>
      <c r="I3" s="9">
        <v>5458323.5340812774</v>
      </c>
      <c r="J3" s="3">
        <v>6276386.4898615964</v>
      </c>
      <c r="K3" s="3">
        <v>5896713.7881509876</v>
      </c>
      <c r="L3" s="3">
        <v>6017363.2046516687</v>
      </c>
      <c r="M3" s="3">
        <v>5857773.0179733597</v>
      </c>
      <c r="N3" s="3">
        <v>4573416.4501887057</v>
      </c>
      <c r="O3" s="9">
        <v>6149246.9741329253</v>
      </c>
      <c r="P3" s="3">
        <v>5916676.7820441276</v>
      </c>
      <c r="Q3" s="3">
        <v>4714454.7212134171</v>
      </c>
      <c r="R3" s="3">
        <v>5273163.3943562703</v>
      </c>
      <c r="S3" s="3">
        <v>5880255.8899931144</v>
      </c>
      <c r="T3" s="9">
        <v>6015069.3541388251</v>
      </c>
      <c r="U3" s="3">
        <v>5790358.2461169092</v>
      </c>
      <c r="V3" s="3">
        <v>6159844.5136242248</v>
      </c>
      <c r="W3" s="3">
        <v>5925618.1436291989</v>
      </c>
      <c r="X3" s="3">
        <v>4049961.2903225818</v>
      </c>
      <c r="Y3" s="3">
        <v>5421900.8251528665</v>
      </c>
      <c r="Z3" s="3">
        <v>6243334.2714573862</v>
      </c>
      <c r="AA3" s="3">
        <f>SUM(O3:Z3)</f>
        <v>67539884.406181827</v>
      </c>
      <c r="AB3" s="3">
        <f>SUM(C3:N3)</f>
        <v>66983574.814132355</v>
      </c>
      <c r="AC3" s="13">
        <f>(AA3-AB3)/AB3</f>
        <v>8.3051642674063508E-3</v>
      </c>
    </row>
    <row r="4" spans="1:29" x14ac:dyDescent="0.2">
      <c r="B4" t="s">
        <v>22</v>
      </c>
      <c r="C4" s="3">
        <v>961316.43238013959</v>
      </c>
      <c r="D4" s="3">
        <v>1461240.4258741871</v>
      </c>
      <c r="E4" s="10">
        <v>3737878.4998390828</v>
      </c>
      <c r="F4" s="3">
        <v>1071080.496288606</v>
      </c>
      <c r="G4" s="3">
        <v>1291705.7507448087</v>
      </c>
      <c r="H4" s="3">
        <v>1154497.8310137079</v>
      </c>
      <c r="I4" s="10">
        <v>5141740.7691045636</v>
      </c>
      <c r="J4" s="3">
        <v>1193724.0035444796</v>
      </c>
      <c r="K4" s="3">
        <v>1344681.8109460825</v>
      </c>
      <c r="L4" s="3">
        <v>1297307.6602082923</v>
      </c>
      <c r="M4" s="3">
        <v>1460526.3928086024</v>
      </c>
      <c r="N4" s="3">
        <v>937211.90569449821</v>
      </c>
      <c r="O4" s="10">
        <v>5239158.4219612516</v>
      </c>
      <c r="P4" s="3">
        <v>1360106.1645181349</v>
      </c>
      <c r="Q4" s="3">
        <v>1242822.173861993</v>
      </c>
      <c r="R4" s="3">
        <v>1219795.8101698712</v>
      </c>
      <c r="S4" s="3">
        <v>1386604.0705616015</v>
      </c>
      <c r="T4" s="10">
        <v>4637618.4720410341</v>
      </c>
      <c r="U4" s="3">
        <v>1314623.5543052456</v>
      </c>
      <c r="V4" s="3">
        <v>1351475.5635652044</v>
      </c>
      <c r="W4" s="3">
        <v>1244032.5953778741</v>
      </c>
      <c r="X4" s="3">
        <v>865583.28225191182</v>
      </c>
      <c r="Y4" s="3">
        <v>1280590.8580893828</v>
      </c>
      <c r="Z4" s="3">
        <v>1449687.4702487811</v>
      </c>
      <c r="AA4" s="3">
        <f t="shared" ref="AA4:AA20" si="0">SUM(O4:Z4)</f>
        <v>22592098.436952289</v>
      </c>
      <c r="AB4" s="3">
        <f>SUM(C4:N4)</f>
        <v>21052911.97844705</v>
      </c>
      <c r="AC4" s="13">
        <f>(AA4-AB4)/AB4</f>
        <v>7.3110383023544862E-2</v>
      </c>
    </row>
    <row r="5" spans="1:29" x14ac:dyDescent="0.2">
      <c r="B5" t="s">
        <v>3</v>
      </c>
      <c r="C5" s="4">
        <v>6217191.1067689098</v>
      </c>
      <c r="D5" s="4">
        <v>7763125.8446295485</v>
      </c>
      <c r="E5" s="11">
        <v>9202613.148726631</v>
      </c>
      <c r="F5" s="4">
        <v>6498224.900974215</v>
      </c>
      <c r="G5" s="4">
        <v>7078217.2094753189</v>
      </c>
      <c r="H5" s="4">
        <v>5821945.5547906794</v>
      </c>
      <c r="I5" s="11">
        <v>10600064.303185841</v>
      </c>
      <c r="J5" s="4">
        <v>7470110.493406076</v>
      </c>
      <c r="K5" s="4">
        <v>7241395.5990970703</v>
      </c>
      <c r="L5" s="4">
        <v>7314670.864859961</v>
      </c>
      <c r="M5" s="4">
        <v>7318299.4107819619</v>
      </c>
      <c r="N5" s="4">
        <v>5510628.3558832034</v>
      </c>
      <c r="O5" s="11">
        <v>11388405.396094177</v>
      </c>
      <c r="P5" s="4">
        <v>7276782.9465622623</v>
      </c>
      <c r="Q5" s="4">
        <v>5957276.8950754106</v>
      </c>
      <c r="R5" s="4">
        <v>6492959.2045261413</v>
      </c>
      <c r="S5" s="4">
        <v>7266859.9605547162</v>
      </c>
      <c r="T5" s="11">
        <v>10652687.826179858</v>
      </c>
      <c r="U5" s="4">
        <v>7104981.8004221544</v>
      </c>
      <c r="V5" s="4">
        <v>7511320.0771894287</v>
      </c>
      <c r="W5" s="4">
        <v>7169650.7390070725</v>
      </c>
      <c r="X5" s="4">
        <v>4915544.5725744935</v>
      </c>
      <c r="Y5" s="4">
        <v>6702491.6832422493</v>
      </c>
      <c r="Z5" s="4">
        <v>7693021.7417061673</v>
      </c>
      <c r="AA5" s="4">
        <f t="shared" si="0"/>
        <v>90131982.843134135</v>
      </c>
      <c r="AB5" s="3">
        <f>SUM(C5:N5)</f>
        <v>88036486.792579412</v>
      </c>
      <c r="AC5" s="13">
        <f>(AA5-AB5)/AB5</f>
        <v>2.380258602881177E-2</v>
      </c>
    </row>
    <row r="6" spans="1:29" ht="13.5" thickBot="1" x14ac:dyDescent="0.25">
      <c r="B6" t="s">
        <v>0</v>
      </c>
      <c r="C6" s="2">
        <v>6.096774193548387</v>
      </c>
      <c r="D6" s="2">
        <v>7.7291177098910495</v>
      </c>
      <c r="E6" s="12">
        <v>22.8</v>
      </c>
      <c r="F6" s="2">
        <v>6.5785393841364783</v>
      </c>
      <c r="G6" s="2">
        <v>7.4409009063997313</v>
      </c>
      <c r="H6" s="2">
        <v>8.2450331125827816</v>
      </c>
      <c r="I6" s="12">
        <v>31.4</v>
      </c>
      <c r="J6" s="2">
        <v>6.3397625659962769</v>
      </c>
      <c r="K6" s="2">
        <v>7.6013061922055725</v>
      </c>
      <c r="L6" s="2">
        <v>7.1864680928983429</v>
      </c>
      <c r="M6" s="2">
        <v>8.3110446485793634</v>
      </c>
      <c r="N6" s="2">
        <v>6.8308664204840239</v>
      </c>
      <c r="O6" s="12">
        <v>28.4</v>
      </c>
      <c r="P6" s="2">
        <v>7.6625568407238989</v>
      </c>
      <c r="Q6" s="2">
        <v>8.7873165074617763</v>
      </c>
      <c r="R6" s="2">
        <v>7.7107150486770228</v>
      </c>
      <c r="S6" s="2">
        <v>7.8602252265999333</v>
      </c>
      <c r="T6" s="12">
        <v>25.7</v>
      </c>
      <c r="U6" s="2">
        <v>7.5678884243293556</v>
      </c>
      <c r="V6" s="2">
        <v>7.3133640552995391</v>
      </c>
      <c r="W6" s="2">
        <v>6.9980468153935362</v>
      </c>
      <c r="X6" s="2">
        <v>7.1242103335673086</v>
      </c>
      <c r="Y6" s="2">
        <v>7.8729514450514237</v>
      </c>
      <c r="Z6" s="2">
        <v>7.7399212622455522</v>
      </c>
      <c r="AA6" s="2">
        <f t="shared" si="0"/>
        <v>130.73719595934935</v>
      </c>
      <c r="AB6" s="3">
        <f>SUM(C6:N6)</f>
        <v>126.55981322672201</v>
      </c>
      <c r="AC6" s="13">
        <f>(AA6-AB6)/AB6</f>
        <v>3.3007181554099499E-2</v>
      </c>
    </row>
    <row r="7" spans="1:29" ht="13.5" thickBot="1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2">
      <c r="A8" t="s">
        <v>2</v>
      </c>
      <c r="B8" t="s">
        <v>21</v>
      </c>
      <c r="C8" s="3">
        <v>3470753.807616808</v>
      </c>
      <c r="D8" s="3">
        <v>3050260.3677127119</v>
      </c>
      <c r="E8" s="3">
        <v>697091.84065865539</v>
      </c>
      <c r="F8" s="9">
        <v>2976124.8056571176</v>
      </c>
      <c r="G8" s="3">
        <v>3052371.0816413984</v>
      </c>
      <c r="H8" s="9">
        <v>3085295.5498130163</v>
      </c>
      <c r="I8" s="3">
        <v>234457.17744478697</v>
      </c>
      <c r="J8" s="3">
        <v>3523779.6467463877</v>
      </c>
      <c r="K8" s="3">
        <v>3102687.5613876786</v>
      </c>
      <c r="L8" s="3">
        <v>2887548.6894790307</v>
      </c>
      <c r="M8" s="3">
        <v>2652496.0636663856</v>
      </c>
      <c r="N8" s="9">
        <v>3410772.2120069237</v>
      </c>
      <c r="O8" s="3">
        <v>225420.74851730908</v>
      </c>
      <c r="P8" s="3">
        <v>2987134.2461371962</v>
      </c>
      <c r="Q8" s="9">
        <v>2848641.4557173676</v>
      </c>
      <c r="R8" s="3">
        <v>3193951.9115577899</v>
      </c>
      <c r="S8" s="3">
        <v>3035149.0822448563</v>
      </c>
      <c r="T8" s="3">
        <v>217692.24117760753</v>
      </c>
      <c r="U8" s="3">
        <v>3104798.2318533482</v>
      </c>
      <c r="V8" s="3">
        <v>3288516.2975288057</v>
      </c>
      <c r="W8" s="3">
        <v>3468556.9491417548</v>
      </c>
      <c r="X8" s="9">
        <v>3748645.1612315169</v>
      </c>
      <c r="Y8" s="3">
        <v>3180735.4376156908</v>
      </c>
      <c r="Z8" s="3">
        <v>2861811.6274337703</v>
      </c>
      <c r="AA8" s="3">
        <f t="shared" si="0"/>
        <v>32161053.390157014</v>
      </c>
      <c r="AB8" s="3">
        <f>SUM(C8:N8)</f>
        <v>32143638.803830899</v>
      </c>
      <c r="AC8" s="13">
        <f>(AA8-AB8)/AB8</f>
        <v>5.4177395510178993E-4</v>
      </c>
    </row>
    <row r="9" spans="1:29" x14ac:dyDescent="0.2">
      <c r="B9" t="s">
        <v>22</v>
      </c>
      <c r="C9" s="3">
        <v>813803.69354942976</v>
      </c>
      <c r="D9" s="3">
        <v>641389.68913709815</v>
      </c>
      <c r="E9" s="3">
        <v>173810.67171294376</v>
      </c>
      <c r="F9" s="10">
        <v>2366019.2204974084</v>
      </c>
      <c r="G9" s="3">
        <v>671571.00948347081</v>
      </c>
      <c r="H9" s="10">
        <v>2508345.2819979824</v>
      </c>
      <c r="I9" s="3">
        <v>55878.400127126224</v>
      </c>
      <c r="J9" s="3">
        <v>720284.77791613375</v>
      </c>
      <c r="K9" s="3">
        <v>745517.10410467838</v>
      </c>
      <c r="L9" s="3">
        <v>637036.4038785384</v>
      </c>
      <c r="M9" s="3">
        <v>556861.46341517032</v>
      </c>
      <c r="N9" s="10">
        <v>3499452.2895191042</v>
      </c>
      <c r="O9" s="3">
        <v>46547.489265128032</v>
      </c>
      <c r="P9" s="3">
        <v>712558.27969503135</v>
      </c>
      <c r="Q9" s="10">
        <v>2649236.553817152</v>
      </c>
      <c r="R9" s="3">
        <v>855822.56800689152</v>
      </c>
      <c r="S9" s="3">
        <v>547644.0081781859</v>
      </c>
      <c r="T9" s="3">
        <v>47693.116650171272</v>
      </c>
      <c r="U9" s="3">
        <v>663969.35020136985</v>
      </c>
      <c r="V9" s="3">
        <v>609293.31287421123</v>
      </c>
      <c r="W9" s="3">
        <v>746266.37362637639</v>
      </c>
      <c r="X9" s="10">
        <v>3958569.2902604816</v>
      </c>
      <c r="Y9" s="3">
        <v>648748.88428546826</v>
      </c>
      <c r="Z9" s="3">
        <v>552816.90405350097</v>
      </c>
      <c r="AA9" s="3">
        <f t="shared" si="0"/>
        <v>12039166.130913969</v>
      </c>
      <c r="AB9" s="3">
        <f>SUM(C9:N9)</f>
        <v>13389970.005339082</v>
      </c>
      <c r="AC9" s="13">
        <f>(AA9-AB9)/AB9</f>
        <v>-0.10088177000295723</v>
      </c>
    </row>
    <row r="10" spans="1:29" x14ac:dyDescent="0.2">
      <c r="B10" t="s">
        <v>3</v>
      </c>
      <c r="C10" s="4">
        <v>4284557.5011662375</v>
      </c>
      <c r="D10" s="4">
        <v>3691650.0568498103</v>
      </c>
      <c r="E10" s="4">
        <v>870902.51237159921</v>
      </c>
      <c r="F10" s="11">
        <v>5342144.0261545256</v>
      </c>
      <c r="G10" s="4">
        <v>3723942.091124869</v>
      </c>
      <c r="H10" s="11">
        <v>5593640.8318109987</v>
      </c>
      <c r="I10" s="4">
        <v>290335.57757191319</v>
      </c>
      <c r="J10" s="4">
        <v>4244064.4246625211</v>
      </c>
      <c r="K10" s="4">
        <v>3848204.6654923568</v>
      </c>
      <c r="L10" s="4">
        <v>3524585.0933575691</v>
      </c>
      <c r="M10" s="4">
        <v>3209357.5270815557</v>
      </c>
      <c r="N10" s="11">
        <v>6910224.5015260279</v>
      </c>
      <c r="O10" s="4">
        <v>271968.23778243712</v>
      </c>
      <c r="P10" s="4">
        <v>3699692.5258322274</v>
      </c>
      <c r="Q10" s="11">
        <v>5497878.0095345192</v>
      </c>
      <c r="R10" s="4">
        <v>4049774.4795646816</v>
      </c>
      <c r="S10" s="4">
        <v>3582793.090423042</v>
      </c>
      <c r="T10" s="4">
        <v>265385.35782777879</v>
      </c>
      <c r="U10" s="4">
        <v>3768767.5820547179</v>
      </c>
      <c r="V10" s="4">
        <v>3897809.6104030171</v>
      </c>
      <c r="W10" s="4">
        <v>4214823.3227681313</v>
      </c>
      <c r="X10" s="11">
        <v>7707214.4514919985</v>
      </c>
      <c r="Y10" s="4">
        <v>3829484.3219011589</v>
      </c>
      <c r="Z10" s="4">
        <v>3414628.5314872712</v>
      </c>
      <c r="AA10" s="4">
        <f t="shared" si="0"/>
        <v>44200219.52107098</v>
      </c>
      <c r="AB10" s="3">
        <f>SUM(C10:N10)</f>
        <v>45533608.809169985</v>
      </c>
      <c r="AC10" s="13">
        <f>(AA10-AB10)/AB10</f>
        <v>-2.9283628576140343E-2</v>
      </c>
    </row>
    <row r="11" spans="1:29" ht="13.5" thickBot="1" x14ac:dyDescent="0.25">
      <c r="B11" t="s">
        <v>0</v>
      </c>
      <c r="C11" s="2">
        <v>7.8158207953123569</v>
      </c>
      <c r="D11" s="2">
        <v>7.0091250343333229</v>
      </c>
      <c r="E11" s="2">
        <v>8.3112277596362194</v>
      </c>
      <c r="F11" s="12">
        <v>26.5</v>
      </c>
      <c r="G11" s="2">
        <v>7.3338724936674096</v>
      </c>
      <c r="H11" s="12">
        <v>27.1</v>
      </c>
      <c r="I11" s="2">
        <v>7.9443647572252569</v>
      </c>
      <c r="J11" s="2">
        <v>6.8135624256111331</v>
      </c>
      <c r="K11" s="2">
        <v>8.0093691824091309</v>
      </c>
      <c r="L11" s="2">
        <v>7.3538315988647112</v>
      </c>
      <c r="M11" s="2">
        <v>6.9979552598651082</v>
      </c>
      <c r="N11" s="12">
        <v>34.200000000000003</v>
      </c>
      <c r="O11" s="2">
        <v>6.8830530716879785</v>
      </c>
      <c r="P11" s="2">
        <v>7.951414532914213</v>
      </c>
      <c r="Q11" s="12">
        <v>31</v>
      </c>
      <c r="R11" s="2">
        <v>8.9316995757927184</v>
      </c>
      <c r="S11" s="2">
        <v>6.0144657734916223</v>
      </c>
      <c r="T11" s="2">
        <v>7.3028351695303204</v>
      </c>
      <c r="U11" s="2">
        <v>7.1284218878749961</v>
      </c>
      <c r="V11" s="2">
        <v>6.1759697256386001</v>
      </c>
      <c r="W11" s="2">
        <v>7.1717276528214366</v>
      </c>
      <c r="X11" s="12">
        <v>35.200000000000003</v>
      </c>
      <c r="Y11" s="2">
        <v>6.7987304300057989</v>
      </c>
      <c r="Z11" s="2">
        <v>6.4390087588122196</v>
      </c>
      <c r="AA11" s="2">
        <f t="shared" si="0"/>
        <v>136.9973265785699</v>
      </c>
      <c r="AB11" s="3">
        <f>SUM(C11:N11)</f>
        <v>155.38912930692464</v>
      </c>
      <c r="AC11" s="13">
        <f>(AA11-AB11)/AB11</f>
        <v>-0.11835964851844465</v>
      </c>
    </row>
    <row r="12" spans="1:29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x14ac:dyDescent="0.2">
      <c r="A13" t="s">
        <v>24</v>
      </c>
      <c r="B13" t="s">
        <v>21</v>
      </c>
      <c r="C13" s="3">
        <v>3798076.2759280177</v>
      </c>
      <c r="D13" s="3">
        <v>3949296.8738873466</v>
      </c>
      <c r="E13" s="3">
        <v>4142948.6170028797</v>
      </c>
      <c r="F13" s="3">
        <v>3536739.5245216228</v>
      </c>
      <c r="G13" s="3">
        <v>3875653.3504236988</v>
      </c>
      <c r="H13" s="3">
        <v>3956419.1615548166</v>
      </c>
      <c r="I13" s="3">
        <v>3963518.1737723933</v>
      </c>
      <c r="J13" s="3">
        <v>3627211.1982584107</v>
      </c>
      <c r="K13" s="3">
        <v>3900558.0818099515</v>
      </c>
      <c r="L13" s="3">
        <v>3846349.5590075385</v>
      </c>
      <c r="M13" s="3">
        <v>4127307.5146743166</v>
      </c>
      <c r="N13" s="3">
        <v>3690264.3920204272</v>
      </c>
      <c r="O13" s="3">
        <v>4170879.1568753123</v>
      </c>
      <c r="P13" s="3">
        <v>3678417.1880245372</v>
      </c>
      <c r="Q13" s="3">
        <v>3501826.3496810817</v>
      </c>
      <c r="R13" s="3">
        <v>3503990.9665211956</v>
      </c>
      <c r="S13" s="3">
        <v>3626187.0784630883</v>
      </c>
      <c r="T13" s="3">
        <v>3804151.1683502714</v>
      </c>
      <c r="U13" s="3">
        <v>3802126.20420952</v>
      </c>
      <c r="V13" s="3">
        <v>3724153.4470656458</v>
      </c>
      <c r="W13" s="3">
        <v>3870183.6196986809</v>
      </c>
      <c r="X13" s="3">
        <v>3571675.9748120569</v>
      </c>
      <c r="Y13" s="3">
        <v>4039140.1104770047</v>
      </c>
      <c r="Z13" s="3">
        <v>3567509.669281086</v>
      </c>
      <c r="AA13" s="3">
        <f t="shared" si="0"/>
        <v>44860240.933459491</v>
      </c>
      <c r="AB13" s="3">
        <f>SUM(C13:N13)</f>
        <v>46414342.722861417</v>
      </c>
      <c r="AC13" s="13">
        <f>(AA13-AB13)/AB13</f>
        <v>-3.3483223034772226E-2</v>
      </c>
    </row>
    <row r="14" spans="1:29" x14ac:dyDescent="0.2">
      <c r="B14" t="s">
        <v>22</v>
      </c>
      <c r="C14" s="3">
        <v>711726.36656596605</v>
      </c>
      <c r="D14" s="3">
        <v>860578.38905260584</v>
      </c>
      <c r="E14" s="3">
        <v>1059389.6521230526</v>
      </c>
      <c r="F14" s="3">
        <v>681240.34070280206</v>
      </c>
      <c r="G14" s="3">
        <v>855985.1234621054</v>
      </c>
      <c r="H14" s="3">
        <v>966898.7584662959</v>
      </c>
      <c r="I14" s="3">
        <v>826314.97527836333</v>
      </c>
      <c r="J14" s="3">
        <v>939127.45369843976</v>
      </c>
      <c r="K14" s="3">
        <v>719038.54516619584</v>
      </c>
      <c r="L14" s="3">
        <v>916640.72859450104</v>
      </c>
      <c r="M14" s="3">
        <v>1111595.6269814579</v>
      </c>
      <c r="N14" s="3">
        <v>853687.99505043367</v>
      </c>
      <c r="O14" s="3">
        <v>891369.33162736567</v>
      </c>
      <c r="P14" s="3">
        <v>904070.90712280793</v>
      </c>
      <c r="Q14" s="3">
        <v>853618.6652335024</v>
      </c>
      <c r="R14" s="3">
        <v>655010.08783089556</v>
      </c>
      <c r="S14" s="3">
        <v>732422.94769141544</v>
      </c>
      <c r="T14" s="3">
        <v>990226.34236304718</v>
      </c>
      <c r="U14" s="3">
        <v>716829.6466104039</v>
      </c>
      <c r="V14" s="3">
        <v>925704.50388284598</v>
      </c>
      <c r="W14" s="3">
        <v>798724.54339801497</v>
      </c>
      <c r="X14" s="3">
        <v>813834.60788785294</v>
      </c>
      <c r="Y14" s="3">
        <v>920039.37017631205</v>
      </c>
      <c r="Z14" s="3">
        <v>722707.32167132734</v>
      </c>
      <c r="AA14" s="3">
        <f t="shared" si="0"/>
        <v>9924558.2754957918</v>
      </c>
      <c r="AB14" s="3">
        <f>SUM(C14:N14)</f>
        <v>10502223.955142219</v>
      </c>
      <c r="AC14" s="13">
        <f>(AA14-AB14)/AB14</f>
        <v>-5.5004128850592977E-2</v>
      </c>
    </row>
    <row r="15" spans="1:29" x14ac:dyDescent="0.2">
      <c r="B15" t="s">
        <v>3</v>
      </c>
      <c r="C15" s="4">
        <v>4509802.6424939837</v>
      </c>
      <c r="D15" s="4">
        <v>4809875.2629399523</v>
      </c>
      <c r="E15" s="4">
        <v>5202338.2691259328</v>
      </c>
      <c r="F15" s="4">
        <v>4217979.8652244247</v>
      </c>
      <c r="G15" s="4">
        <v>4731638.4738858044</v>
      </c>
      <c r="H15" s="4">
        <v>4923317.920021113</v>
      </c>
      <c r="I15" s="4">
        <v>4789833.1490507564</v>
      </c>
      <c r="J15" s="4">
        <v>4566338.6519568507</v>
      </c>
      <c r="K15" s="4">
        <v>4619596.6269761473</v>
      </c>
      <c r="L15" s="4">
        <v>4762990.2876020391</v>
      </c>
      <c r="M15" s="4">
        <v>5238903.1416557748</v>
      </c>
      <c r="N15" s="4">
        <v>4543952.3870708607</v>
      </c>
      <c r="O15" s="4">
        <v>5062248.4885026775</v>
      </c>
      <c r="P15" s="4">
        <v>4582488.0951473452</v>
      </c>
      <c r="Q15" s="4">
        <v>4355445.0149145843</v>
      </c>
      <c r="R15" s="4">
        <v>4159001.0543520912</v>
      </c>
      <c r="S15" s="4">
        <v>4358610.0261545032</v>
      </c>
      <c r="T15" s="4">
        <v>4794377.5107133184</v>
      </c>
      <c r="U15" s="4">
        <v>4518955.8508199239</v>
      </c>
      <c r="V15" s="4">
        <v>4649857.9509484917</v>
      </c>
      <c r="W15" s="4">
        <v>4668908.1630966961</v>
      </c>
      <c r="X15" s="4">
        <v>4385510.5826999098</v>
      </c>
      <c r="Y15" s="4">
        <v>4959179.4806533167</v>
      </c>
      <c r="Z15" s="4">
        <v>4290216.9909524135</v>
      </c>
      <c r="AA15" s="4">
        <f t="shared" si="0"/>
        <v>54784799.208955273</v>
      </c>
      <c r="AB15" s="3">
        <f>SUM(C15:N15)</f>
        <v>56916566.678003639</v>
      </c>
      <c r="AC15" s="13">
        <f>(AA15-AB15)/AB15</f>
        <v>-3.7454252662647396E-2</v>
      </c>
    </row>
    <row r="16" spans="1:29" x14ac:dyDescent="0.2">
      <c r="B16" t="s">
        <v>0</v>
      </c>
      <c r="C16" s="2">
        <v>6.2463759269997254</v>
      </c>
      <c r="D16" s="2">
        <v>7.2635578478347114</v>
      </c>
      <c r="E16" s="2">
        <v>8.5236365855891592</v>
      </c>
      <c r="F16" s="2">
        <v>6.4206060975981938</v>
      </c>
      <c r="G16" s="2">
        <v>7.3620715964232311</v>
      </c>
      <c r="H16" s="2">
        <v>8.1462446974089779</v>
      </c>
      <c r="I16" s="2">
        <v>6.9493392742698443</v>
      </c>
      <c r="J16" s="2">
        <v>8.6303903317361979</v>
      </c>
      <c r="K16" s="2">
        <v>6.144749290444655</v>
      </c>
      <c r="L16" s="2">
        <v>7.943815424054689</v>
      </c>
      <c r="M16" s="2">
        <v>8.9775688955351427</v>
      </c>
      <c r="N16" s="2">
        <v>7.7111728263191628</v>
      </c>
      <c r="O16" s="2">
        <v>7.1237525559251687</v>
      </c>
      <c r="P16" s="2">
        <v>8.1925717947935421</v>
      </c>
      <c r="Q16" s="2">
        <v>8.1254615924558244</v>
      </c>
      <c r="R16" s="2">
        <v>6.2310861537522504</v>
      </c>
      <c r="S16" s="2">
        <v>6.7327188940092162</v>
      </c>
      <c r="T16" s="2">
        <v>8.676717429120762</v>
      </c>
      <c r="U16" s="2">
        <v>6.2844630268257697</v>
      </c>
      <c r="V16" s="2">
        <v>8.2855922116763825</v>
      </c>
      <c r="W16" s="2">
        <v>6.879299295022431</v>
      </c>
      <c r="X16" s="2">
        <v>7.5952635273293252</v>
      </c>
      <c r="Y16" s="2">
        <v>7.5926999725333415</v>
      </c>
      <c r="Z16" s="2">
        <v>6.7526779992065187</v>
      </c>
      <c r="AA16" s="2">
        <f t="shared" si="0"/>
        <v>88.472304452650519</v>
      </c>
      <c r="AB16" s="3">
        <f>SUM(C16:N16)</f>
        <v>90.319528794213682</v>
      </c>
      <c r="AC16" s="13">
        <f>(AA16-AB16)/AB16</f>
        <v>-2.0452103395843944E-2</v>
      </c>
    </row>
    <row r="17" spans="1:29" x14ac:dyDescent="0.2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2">
      <c r="A18" t="s">
        <v>4</v>
      </c>
      <c r="B18" t="s">
        <v>21</v>
      </c>
      <c r="C18" s="3">
        <v>2748629.9991061832</v>
      </c>
      <c r="D18" s="3">
        <v>2715297.7156279553</v>
      </c>
      <c r="E18" s="3">
        <v>2689318.9626908116</v>
      </c>
      <c r="F18" s="3">
        <v>2669799.7150483783</v>
      </c>
      <c r="G18" s="3">
        <v>2760763.6261957167</v>
      </c>
      <c r="H18" s="3">
        <v>2800959.2430137014</v>
      </c>
      <c r="I18" s="3">
        <v>2720617.0771905724</v>
      </c>
      <c r="J18" s="3">
        <v>2895907.6704513128</v>
      </c>
      <c r="K18" s="3">
        <v>3226133.8815703322</v>
      </c>
      <c r="L18" s="3">
        <v>3059521.4854394542</v>
      </c>
      <c r="M18" s="3">
        <v>3215001.2818465075</v>
      </c>
      <c r="N18" s="3">
        <v>2873619.6682603653</v>
      </c>
      <c r="O18" s="3">
        <v>3096560.0528238914</v>
      </c>
      <c r="P18" s="3">
        <v>3209198.8230772973</v>
      </c>
      <c r="Q18" s="3">
        <v>2975317.2782788351</v>
      </c>
      <c r="R18" s="3">
        <v>2921394.2012371295</v>
      </c>
      <c r="S18" s="3">
        <v>3487071.483624056</v>
      </c>
      <c r="T18" s="3">
        <v>3080502.1212236159</v>
      </c>
      <c r="U18" s="3">
        <v>3294572.9874967933</v>
      </c>
      <c r="V18" s="3">
        <v>3436170.8317118301</v>
      </c>
      <c r="W18" s="3">
        <v>3663475.4425390875</v>
      </c>
      <c r="X18" s="3">
        <v>3569556.3793880157</v>
      </c>
      <c r="Y18" s="3">
        <v>3203531.3646942247</v>
      </c>
      <c r="Z18" s="3">
        <v>3642177.4808984357</v>
      </c>
      <c r="AA18" s="3">
        <f t="shared" si="0"/>
        <v>39579528.446993209</v>
      </c>
      <c r="AB18" s="3">
        <f>SUM(C18:N18)</f>
        <v>34375570.326441288</v>
      </c>
      <c r="AC18" s="13">
        <f>(AA18-AB18)/AB18</f>
        <v>0.15138536091571686</v>
      </c>
    </row>
    <row r="19" spans="1:29" x14ac:dyDescent="0.2">
      <c r="B19" t="s">
        <v>22</v>
      </c>
      <c r="C19" s="3">
        <v>705076.81922626845</v>
      </c>
      <c r="D19" s="3">
        <v>620626.21916356799</v>
      </c>
      <c r="E19" s="3">
        <v>535850.51716492686</v>
      </c>
      <c r="F19" s="3">
        <v>684693.99784662598</v>
      </c>
      <c r="G19" s="3">
        <v>697869.00919046532</v>
      </c>
      <c r="H19" s="3">
        <v>582128.86360364384</v>
      </c>
      <c r="I19" s="3">
        <v>549813.40500993584</v>
      </c>
      <c r="J19" s="3">
        <v>757818.03843843052</v>
      </c>
      <c r="K19" s="3">
        <v>770774.94613196934</v>
      </c>
      <c r="L19" s="3">
        <v>626521.68923686841</v>
      </c>
      <c r="M19" s="3">
        <v>619806.36760878947</v>
      </c>
      <c r="N19" s="3">
        <v>753477.33680845168</v>
      </c>
      <c r="O19" s="3">
        <v>643904.36941808683</v>
      </c>
      <c r="P19" s="3">
        <v>580238.46502285323</v>
      </c>
      <c r="Q19" s="3">
        <v>716407.94852971646</v>
      </c>
      <c r="R19" s="3">
        <v>682850.37346339843</v>
      </c>
      <c r="S19" s="3">
        <v>925552.65217447304</v>
      </c>
      <c r="T19" s="3">
        <v>665440.91706621391</v>
      </c>
      <c r="U19" s="3">
        <v>726207.66091901425</v>
      </c>
      <c r="V19" s="3">
        <v>873912.82188214129</v>
      </c>
      <c r="W19" s="3">
        <v>802834.09067836928</v>
      </c>
      <c r="X19" s="3">
        <v>950926.68206780986</v>
      </c>
      <c r="Y19" s="3">
        <v>610819.87800267816</v>
      </c>
      <c r="Z19" s="3">
        <v>842493.77366845054</v>
      </c>
      <c r="AA19" s="3">
        <f t="shared" si="0"/>
        <v>9021589.6328932047</v>
      </c>
      <c r="AB19" s="3">
        <f>SUM(C19:N19)</f>
        <v>7904457.209429943</v>
      </c>
      <c r="AC19" s="13">
        <f>(AA19-AB19)/AB19</f>
        <v>0.14132942893669323</v>
      </c>
    </row>
    <row r="20" spans="1:29" x14ac:dyDescent="0.2">
      <c r="B20" t="s">
        <v>3</v>
      </c>
      <c r="C20" s="4">
        <v>3453706.8183324514</v>
      </c>
      <c r="D20" s="4">
        <v>3335923.934791523</v>
      </c>
      <c r="E20" s="4">
        <v>3225169.4798557386</v>
      </c>
      <c r="F20" s="4">
        <v>3354493.7128950041</v>
      </c>
      <c r="G20" s="4">
        <v>3458632.635386182</v>
      </c>
      <c r="H20" s="4">
        <v>3383088.1066173455</v>
      </c>
      <c r="I20" s="4">
        <v>3270430.482200508</v>
      </c>
      <c r="J20" s="4">
        <v>3653725.7088897433</v>
      </c>
      <c r="K20" s="4">
        <v>3996908.8277023016</v>
      </c>
      <c r="L20" s="4">
        <v>3686043.1746763224</v>
      </c>
      <c r="M20" s="4">
        <v>3834807.6494552968</v>
      </c>
      <c r="N20" s="4">
        <v>3627097.0050688172</v>
      </c>
      <c r="O20" s="4">
        <v>3740464.4222419783</v>
      </c>
      <c r="P20" s="4">
        <v>3789437.2881001504</v>
      </c>
      <c r="Q20" s="4">
        <v>3691725.2268085517</v>
      </c>
      <c r="R20" s="4">
        <v>3604244.5747005278</v>
      </c>
      <c r="S20" s="4">
        <v>4412624.1357985288</v>
      </c>
      <c r="T20" s="4">
        <v>3745943.0382898301</v>
      </c>
      <c r="U20" s="4">
        <v>4020780.6484158076</v>
      </c>
      <c r="V20" s="4">
        <v>4310083.6535939714</v>
      </c>
      <c r="W20" s="4">
        <v>4466309.5332174571</v>
      </c>
      <c r="X20" s="4">
        <v>4520483.0614558253</v>
      </c>
      <c r="Y20" s="4">
        <v>3814351.2426969027</v>
      </c>
      <c r="Z20" s="4">
        <v>4484671.2545668865</v>
      </c>
      <c r="AA20" s="4">
        <f t="shared" si="0"/>
        <v>48601118.079886414</v>
      </c>
      <c r="AB20" s="3">
        <f>SUM(C20:N20)</f>
        <v>42280027.53587123</v>
      </c>
      <c r="AC20" s="13">
        <f>(AA20-AB20)/AB20</f>
        <v>0.14950535542230295</v>
      </c>
    </row>
    <row r="21" spans="1:29" x14ac:dyDescent="0.2">
      <c r="B21" t="s">
        <v>0</v>
      </c>
      <c r="C21" s="2">
        <v>8.5506454664754177</v>
      </c>
      <c r="D21" s="2">
        <v>7.6188848536637472</v>
      </c>
      <c r="E21" s="2">
        <v>6.6417126987517934</v>
      </c>
      <c r="F21" s="2">
        <v>8.5486312448500019</v>
      </c>
      <c r="G21" s="2">
        <v>8.4260383922849211</v>
      </c>
      <c r="H21" s="2">
        <v>6.9277321695608389</v>
      </c>
      <c r="I21" s="2">
        <v>6.7363811151463366</v>
      </c>
      <c r="J21" s="2">
        <v>8.7228614154484703</v>
      </c>
      <c r="K21" s="2">
        <v>7.9638660847804195</v>
      </c>
      <c r="L21" s="2">
        <v>6.8259224219489116</v>
      </c>
      <c r="M21" s="2">
        <v>6.4261909848323011</v>
      </c>
      <c r="N21" s="2">
        <v>8.7401654103213602</v>
      </c>
      <c r="O21" s="2">
        <v>6.9313943906979585</v>
      </c>
      <c r="P21" s="2">
        <v>6.0268257698294017</v>
      </c>
      <c r="Q21" s="2">
        <v>8.0261238441114529</v>
      </c>
      <c r="R21" s="2">
        <v>7.7913754692220829</v>
      </c>
      <c r="S21" s="2">
        <v>8.8474684896389668</v>
      </c>
      <c r="T21" s="2">
        <v>7.2005676442762532</v>
      </c>
      <c r="U21" s="2">
        <v>7.3475142674031799</v>
      </c>
      <c r="V21" s="2">
        <v>8.4775841547898807</v>
      </c>
      <c r="W21" s="2">
        <v>7.3048493911557362</v>
      </c>
      <c r="X21" s="2">
        <v>8.8799707022309029</v>
      </c>
      <c r="Y21" s="2">
        <v>6.3556932279427469</v>
      </c>
      <c r="Z21" s="2">
        <v>7.7105319376201669</v>
      </c>
      <c r="AA21" s="2">
        <f>SUM(O21:Z21)</f>
        <v>90.899899288918732</v>
      </c>
      <c r="AB21" s="3">
        <f>SUM(C21:N21)</f>
        <v>92.129032258064541</v>
      </c>
      <c r="AC21" s="13">
        <f>(AA21-AB21)/AB21</f>
        <v>-1.3341429286946802E-2</v>
      </c>
    </row>
    <row r="22" spans="1:29" x14ac:dyDescent="0.2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5">
        <f>AA21+AA16+AA11+AA6</f>
        <v>447.1067262794885</v>
      </c>
      <c r="AB22" s="5">
        <f>AB21+AB16+AB11+AB6</f>
        <v>464.39750358592482</v>
      </c>
      <c r="AC22" s="13">
        <f>(AA22-AB22)/AB22</f>
        <v>-3.7232709420103746E-2</v>
      </c>
    </row>
    <row r="52" s="4" customFormat="1" x14ac:dyDescent="0.2"/>
    <row r="53" s="4" customFormat="1" x14ac:dyDescent="0.2"/>
  </sheetData>
  <phoneticPr fontId="2" type="noConversion"/>
  <pageMargins left="0.75" right="0.75" top="1" bottom="1" header="0.5" footer="0.5"/>
  <pageSetup scale="34" orientation="landscape" horizontalDpi="429496729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1"/>
  <sheetViews>
    <sheetView tabSelected="1" zoomScale="150" zoomScaleNormal="150" workbookViewId="0">
      <selection activeCell="J16" sqref="J16"/>
    </sheetView>
  </sheetViews>
  <sheetFormatPr defaultColWidth="8.85546875" defaultRowHeight="12.75" x14ac:dyDescent="0.2"/>
  <cols>
    <col min="1" max="1" width="12" customWidth="1"/>
    <col min="2" max="2" width="37.42578125" customWidth="1"/>
    <col min="3" max="3" width="11.7109375" customWidth="1"/>
    <col min="4" max="4" width="15.85546875" bestFit="1" customWidth="1"/>
    <col min="5" max="5" width="14.42578125" customWidth="1"/>
    <col min="6" max="6" width="15.85546875" bestFit="1" customWidth="1"/>
    <col min="7" max="7" width="14.140625" bestFit="1" customWidth="1"/>
  </cols>
  <sheetData>
    <row r="1" spans="1:20" ht="20.25" x14ac:dyDescent="0.3">
      <c r="A1" s="45" t="s">
        <v>69</v>
      </c>
      <c r="B1" s="45"/>
      <c r="C1" s="45"/>
    </row>
    <row r="3" spans="1:20" ht="18.75" thickBot="1" x14ac:dyDescent="0.3">
      <c r="A3" s="44" t="s">
        <v>43</v>
      </c>
      <c r="B3" s="44"/>
      <c r="C3" s="44"/>
      <c r="D3" s="44"/>
      <c r="E3" s="44"/>
      <c r="F3" s="44"/>
      <c r="G3" s="44"/>
      <c r="S3" s="39"/>
    </row>
    <row r="4" spans="1:20" ht="18.75" thickBot="1" x14ac:dyDescent="0.3">
      <c r="A4" s="28" t="s">
        <v>36</v>
      </c>
      <c r="B4" s="29"/>
      <c r="C4" s="29"/>
      <c r="D4" s="30" t="s">
        <v>37</v>
      </c>
      <c r="E4" s="30"/>
      <c r="F4" s="30" t="s">
        <v>38</v>
      </c>
      <c r="G4" s="31"/>
      <c r="T4" s="40"/>
    </row>
    <row r="5" spans="1:20" ht="13.5" thickTop="1" x14ac:dyDescent="0.2">
      <c r="A5" s="16"/>
      <c r="B5" s="17"/>
      <c r="C5" s="17"/>
      <c r="D5" s="33"/>
      <c r="E5" s="17"/>
      <c r="F5" s="33"/>
      <c r="T5" s="39"/>
    </row>
    <row r="6" spans="1:20" x14ac:dyDescent="0.2">
      <c r="A6" s="16">
        <v>1</v>
      </c>
      <c r="B6" s="17" t="s">
        <v>55</v>
      </c>
      <c r="C6" s="17"/>
      <c r="D6" s="34">
        <f>AVERAGE('Exhibit 4-POS_Data'!E5,'Exhibit 4-POS_Data'!I5,'Exhibit 4-POS_Data'!O5,'Exhibit 4-POS_Data'!T5)</f>
        <v>10460942.668546626</v>
      </c>
      <c r="E6" s="17"/>
      <c r="F6" s="34">
        <f>AVERAGE('Exhibit 4-POS_Data'!F10,'Exhibit 4-POS_Data'!H10,'Exhibit 4-POS_Data'!N10,'Exhibit 4-POS_Data'!Q10,'Exhibit 4-POS_Data'!X10)</f>
        <v>6210220.3641036134</v>
      </c>
      <c r="H6" s="39" t="s">
        <v>72</v>
      </c>
      <c r="T6" s="40"/>
    </row>
    <row r="7" spans="1:20" x14ac:dyDescent="0.2">
      <c r="A7" s="16">
        <v>2</v>
      </c>
      <c r="B7" s="19" t="s">
        <v>56</v>
      </c>
      <c r="C7" s="19"/>
      <c r="D7" s="34">
        <f>AVERAGE('Exhibit 4-POS_Data'!C5:D5,'Exhibit 4-POS_Data'!F5:H5,'Exhibit 4-POS_Data'!J5:N5,'Exhibit 4-POS_Data'!P5:S5,'Exhibit 4-POS_Data'!U5:Z5)</f>
        <v>6816234.9480763525</v>
      </c>
      <c r="F7" s="34">
        <f>AVERAGE('Exhibit 4-POS_Data'!C10:E10,'Exhibit 4-POS_Data'!G10,'Exhibit 4-POS_Data'!I10:M10,'Exhibit 4-POS_Data'!O10:P10,'Exhibit 4-POS_Data'!R10:W10,'Exhibit 4-POS_Data'!Y10:Z10)</f>
        <v>3088564.5531433104</v>
      </c>
    </row>
    <row r="8" spans="1:20" x14ac:dyDescent="0.2">
      <c r="A8" s="16">
        <v>3</v>
      </c>
      <c r="B8" s="18" t="s">
        <v>57</v>
      </c>
      <c r="C8" s="18"/>
      <c r="D8" s="34">
        <f>AVERAGE('Exhibit 4-POS_Data'!C5:D5,'Exhibit 4-POS_Data'!G5,'Exhibit 4-POS_Data'!J5:M5,'Exhibit 4-POS_Data'!P5,'Exhibit 4-POS_Data'!R5:S5,'Exhibit 4-POS_Data'!U5:W5,'Exhibit 4-POS_Data'!Y5:Z5)</f>
        <v>7174738.5788152684</v>
      </c>
      <c r="E8" s="18"/>
      <c r="F8" s="34">
        <f>AVERAGE('Exhibit 4-POS_Data'!C10:D10,'Exhibit 4-POS_Data'!G10,'Exhibit 4-POS_Data'!J10:M10,'Exhibit 4-POS_Data'!P10,'Exhibit 4-POS_Data'!R10:S10,'Exhibit 4-POS_Data'!U10:W10,'Exhibit 4-POS_Data'!Y10:Z10)</f>
        <v>3798942.3216112778</v>
      </c>
      <c r="H8" s="39" t="s">
        <v>73</v>
      </c>
    </row>
    <row r="9" spans="1:20" x14ac:dyDescent="0.2">
      <c r="A9">
        <v>4</v>
      </c>
      <c r="B9" s="17" t="s">
        <v>39</v>
      </c>
      <c r="D9" s="35">
        <f>D6-D8</f>
        <v>3286204.089731358</v>
      </c>
      <c r="F9" s="35">
        <f>F6-F8</f>
        <v>2411278.0424923357</v>
      </c>
      <c r="H9" s="39" t="s">
        <v>74</v>
      </c>
    </row>
    <row r="10" spans="1:20" x14ac:dyDescent="0.2">
      <c r="A10">
        <v>5</v>
      </c>
      <c r="B10" s="17" t="s">
        <v>40</v>
      </c>
      <c r="C10" s="17"/>
      <c r="D10" s="34">
        <f>D9*'Exhibit 1'!C15</f>
        <v>6901028.588435852</v>
      </c>
      <c r="F10" s="34">
        <f>F9*'Exhibit 1'!D15</f>
        <v>5787067.3019816056</v>
      </c>
    </row>
    <row r="11" spans="1:20" x14ac:dyDescent="0.2">
      <c r="A11">
        <v>6</v>
      </c>
      <c r="B11" s="17" t="s">
        <v>41</v>
      </c>
      <c r="C11" s="17"/>
      <c r="D11" s="34">
        <f>D9*'Exhibit 1'!C20</f>
        <v>2425218.6182217421</v>
      </c>
      <c r="F11" s="34">
        <f>F9*'Exhibit 1'!D20</f>
        <v>2006690.9688362533</v>
      </c>
    </row>
    <row r="12" spans="1:20" x14ac:dyDescent="0.2">
      <c r="A12">
        <v>7</v>
      </c>
      <c r="B12" s="36" t="s">
        <v>68</v>
      </c>
      <c r="C12" s="17"/>
      <c r="D12" s="34">
        <f>(AVERAGE('Exhibit 4-POS_Data'!E6,'Exhibit 4-POS_Data'!I6,'Exhibit 4-POS_Data'!O6,'Exhibit 4-POS_Data'!T6)-AVERAGE('Exhibit 4-POS_Data'!C6:D6,'Exhibit 4-POS_Data'!G6,'Exhibit 4-POS_Data'!J6:M6,'Exhibit 4-POS_Data'!P6,'Exhibit 4-POS_Data'!R6:S6,'Exhibit 4-POS_Data'!U6:W6,'Exhibit 4-POS_Data'!Y6:Z6))*'Exhibit 1'!C21</f>
        <v>3756823.6849721964</v>
      </c>
      <c r="F12" s="34">
        <f>(AVERAGE('Exhibit 4-POS_Data'!F11,'Exhibit 4-POS_Data'!H11,'Exhibit 4-POS_Data'!N11,'Exhibit 4-POS_Data'!Q11,'Exhibit 4-POS_Data'!X11)-AVERAGE('Exhibit 4-POS_Data'!C11:D11,'Exhibit 4-POS_Data'!G11,'Exhibit 4-POS_Data'!J11:M11,'Exhibit 4-POS_Data'!P11,'Exhibit 4-POS_Data'!R11:S11,'Exhibit 4-POS_Data'!U11:W11,'Exhibit 4-POS_Data'!Y11:Z11))*'Exhibit 1'!D21</f>
        <v>4307322.7986135157</v>
      </c>
    </row>
    <row r="13" spans="1:20" x14ac:dyDescent="0.2">
      <c r="A13">
        <v>8</v>
      </c>
      <c r="B13" s="17" t="s">
        <v>42</v>
      </c>
      <c r="C13" s="17"/>
      <c r="D13" s="34">
        <f>D10-D11-D12</f>
        <v>718986.28524191352</v>
      </c>
      <c r="E13" s="17"/>
      <c r="F13" s="34">
        <f>F10-F11-F12</f>
        <v>-526946.4654681636</v>
      </c>
    </row>
    <row r="14" spans="1:20" x14ac:dyDescent="0.2">
      <c r="B14" s="17"/>
      <c r="C14" s="17"/>
      <c r="D14" s="37">
        <f>D13/D12</f>
        <v>0.19138142897628016</v>
      </c>
      <c r="E14" s="17"/>
      <c r="F14" s="37">
        <f>F13/F12</f>
        <v>-0.12233735201777364</v>
      </c>
      <c r="H14" s="39"/>
    </row>
    <row r="15" spans="1:20" x14ac:dyDescent="0.2">
      <c r="B15" s="17"/>
      <c r="C15" s="17"/>
      <c r="D15" s="17"/>
      <c r="E15" s="17"/>
      <c r="F15" s="17"/>
    </row>
    <row r="16" spans="1:20" ht="18.75" thickBot="1" x14ac:dyDescent="0.3">
      <c r="A16" s="44" t="s">
        <v>44</v>
      </c>
      <c r="B16" s="44"/>
      <c r="C16" s="44"/>
      <c r="D16" s="44"/>
      <c r="E16" s="44"/>
      <c r="F16" s="44"/>
      <c r="G16" s="44"/>
    </row>
    <row r="17" spans="1:11" ht="18.75" thickBot="1" x14ac:dyDescent="0.3">
      <c r="A17" s="28" t="s">
        <v>36</v>
      </c>
      <c r="B17" s="29"/>
      <c r="C17" s="29"/>
      <c r="D17" s="30" t="s">
        <v>37</v>
      </c>
      <c r="E17" s="30"/>
      <c r="F17" s="30" t="s">
        <v>38</v>
      </c>
      <c r="G17" s="31"/>
    </row>
    <row r="18" spans="1:11" ht="18.75" thickTop="1" x14ac:dyDescent="0.25">
      <c r="A18" s="28"/>
      <c r="B18" s="29"/>
      <c r="C18" s="29"/>
      <c r="D18" s="29"/>
      <c r="E18" s="41"/>
      <c r="F18" s="29"/>
      <c r="H18" s="39"/>
    </row>
    <row r="19" spans="1:11" x14ac:dyDescent="0.2">
      <c r="A19">
        <v>1</v>
      </c>
      <c r="B19" t="s">
        <v>58</v>
      </c>
      <c r="D19" s="34">
        <f>AVERAGE('Exhibit 4-POS_Data'!F5,'Exhibit 4-POS_Data'!H5,'Exhibit 4-POS_Data'!N5,'Exhibit 4-POS_Data'!Q5,'Exhibit 4-POS_Data'!X5)</f>
        <v>5740724.0558596002</v>
      </c>
      <c r="F19" s="34">
        <f>AVERAGE('Exhibit 4-POS_Data'!E10,'Exhibit 4-POS_Data'!I10,'Exhibit 4-POS_Data'!O10,'Exhibit 4-POS_Data'!T10)</f>
        <v>424647.92138843203</v>
      </c>
    </row>
    <row r="20" spans="1:11" x14ac:dyDescent="0.2">
      <c r="A20">
        <v>2</v>
      </c>
      <c r="B20" t="s">
        <v>59</v>
      </c>
      <c r="D20" s="34">
        <f>AVERAGE('Exhibit 4-POS_Data'!C5:D5,'Exhibit 4-POS_Data'!G5,'Exhibit 4-POS_Data'!J5:M5,'Exhibit 4-POS_Data'!P5,'Exhibit 4-POS_Data'!R5:S5,'Exhibit 4-POS_Data'!U5:W5,'Exhibit 4-POS_Data'!Y5:Z5)</f>
        <v>7174738.5788152684</v>
      </c>
      <c r="F20" s="34">
        <f>AVERAGE('Exhibit 4-POS_Data'!C10:D10,'Exhibit 4-POS_Data'!G10,'Exhibit 4-POS_Data'!J10:M10,'Exhibit 4-POS_Data'!P10,'Exhibit 4-POS_Data'!R10:S10,'Exhibit 4-POS_Data'!U10:W10,'Exhibit 4-POS_Data'!Y10:Z10)</f>
        <v>3798942.3216112778</v>
      </c>
    </row>
    <row r="21" spans="1:11" x14ac:dyDescent="0.2">
      <c r="A21">
        <v>3</v>
      </c>
      <c r="B21" t="s">
        <v>60</v>
      </c>
      <c r="D21" s="34">
        <f>D19-D20</f>
        <v>-1434014.5229556682</v>
      </c>
      <c r="E21" s="5"/>
      <c r="F21" s="34">
        <f>F19-F20</f>
        <v>-3374294.4002228458</v>
      </c>
      <c r="G21" s="5"/>
    </row>
    <row r="22" spans="1:11" x14ac:dyDescent="0.2">
      <c r="A22">
        <v>4</v>
      </c>
      <c r="B22" t="s">
        <v>61</v>
      </c>
      <c r="D22" s="34">
        <f>D21*'Exhibit 1'!C15</f>
        <v>-3011430.4982069032</v>
      </c>
      <c r="F22" s="34">
        <f>F21*'Exhibit 1'!D15</f>
        <v>-8098306.5605348293</v>
      </c>
      <c r="K22" s="39"/>
    </row>
    <row r="23" spans="1:11" x14ac:dyDescent="0.2">
      <c r="A23">
        <v>5</v>
      </c>
      <c r="B23" t="s">
        <v>62</v>
      </c>
      <c r="D23" s="34">
        <f>D21*'Exhibit 1'!C20</f>
        <v>-1058302.717941283</v>
      </c>
      <c r="F23" s="34">
        <f>F21*'Exhibit 1'!D20</f>
        <v>-2808123.3187538758</v>
      </c>
      <c r="K23" s="39"/>
    </row>
    <row r="24" spans="1:11" x14ac:dyDescent="0.2">
      <c r="A24">
        <v>6</v>
      </c>
      <c r="B24" t="s">
        <v>63</v>
      </c>
      <c r="D24" s="34">
        <f>(AVERAGE('Exhibit 4-POS_Data'!F6,'Exhibit 4-POS_Data'!H6,'Exhibit 4-POS_Data'!N6,'Exhibit 4-POS_Data'!Q6,'Exhibit 4-POS_Data'!X6)-AVERAGE('Exhibit 4-POS_Data'!C6:D6,'Exhibit 4-POS_Data'!G6,'Exhibit 4-POS_Data'!J6:M6,'Exhibit 4-POS_Data'!P6,'Exhibit 4-POS_Data'!R6:S6,'Exhibit 4-POS_Data'!U6:W6,'Exhibit 4-POS_Data'!Y6:Z6))*'Exhibit 1'!C21</f>
        <v>16150.132811119451</v>
      </c>
      <c r="F24" s="34">
        <f>(AVERAGE('Exhibit 4-POS_Data'!E11,'Exhibit 4-POS_Data'!I11,'Exhibit 4-POS_Data'!O11,'Exhibit 4-POS_Data'!T11)-AVERAGE('Exhibit 4-POS_Data'!C11:D11,'Exhibit 4-POS_Data'!G11,'Exhibit 4-POS_Data'!J11:M11,'Exhibit 4-POS_Data'!P11,'Exhibit 4-POS_Data'!R11:S11,'Exhibit 4-POS_Data'!U11:W11,'Exhibit 4-POS_Data'!Y11:Z11))*'Exhibit 1'!D21</f>
        <v>75555.94782382535</v>
      </c>
      <c r="H24" s="39"/>
      <c r="K24" s="39"/>
    </row>
    <row r="25" spans="1:11" x14ac:dyDescent="0.2">
      <c r="A25">
        <v>7</v>
      </c>
      <c r="B25" t="s">
        <v>64</v>
      </c>
      <c r="D25" s="34">
        <f>D22-D23-D24</f>
        <v>-1969277.9130767398</v>
      </c>
      <c r="F25" s="34">
        <f>F22-F23-F24</f>
        <v>-5365739.1896047788</v>
      </c>
      <c r="G25" s="5"/>
      <c r="J25" s="39"/>
    </row>
    <row r="27" spans="1:11" x14ac:dyDescent="0.2">
      <c r="B27" s="6" t="s">
        <v>65</v>
      </c>
    </row>
    <row r="28" spans="1:11" x14ac:dyDescent="0.2">
      <c r="A28">
        <v>8</v>
      </c>
      <c r="B28" t="s">
        <v>66</v>
      </c>
      <c r="D28" s="35">
        <f>D10+F22</f>
        <v>-1197277.9720989773</v>
      </c>
    </row>
    <row r="29" spans="1:11" x14ac:dyDescent="0.2">
      <c r="A29">
        <v>9</v>
      </c>
      <c r="B29" t="s">
        <v>67</v>
      </c>
      <c r="F29" s="35">
        <f>F10+D22</f>
        <v>2775636.8037747024</v>
      </c>
    </row>
    <row r="31" spans="1:11" x14ac:dyDescent="0.2">
      <c r="B31" s="6" t="s">
        <v>45</v>
      </c>
    </row>
    <row r="32" spans="1:11" x14ac:dyDescent="0.2">
      <c r="A32">
        <v>10</v>
      </c>
      <c r="B32" t="s">
        <v>53</v>
      </c>
      <c r="D32" s="35">
        <f>D13+F25</f>
        <v>-4646752.9043628648</v>
      </c>
    </row>
    <row r="33" spans="1:8" x14ac:dyDescent="0.2">
      <c r="A33">
        <v>11</v>
      </c>
      <c r="B33" t="s">
        <v>54</v>
      </c>
      <c r="F33" s="35">
        <f>F13+D25</f>
        <v>-2496224.3785449034</v>
      </c>
    </row>
    <row r="34" spans="1:8" x14ac:dyDescent="0.2">
      <c r="D34">
        <f>D32/D12</f>
        <v>-1.2368834137600084</v>
      </c>
      <c r="F34">
        <f>F33/F12</f>
        <v>-0.57953037077890079</v>
      </c>
      <c r="H34" s="39"/>
    </row>
    <row r="36" spans="1:8" ht="18.75" thickBot="1" x14ac:dyDescent="0.3">
      <c r="A36" s="44" t="s">
        <v>46</v>
      </c>
      <c r="B36" s="44"/>
      <c r="C36" s="44"/>
      <c r="D36" s="44"/>
      <c r="E36" s="44"/>
      <c r="F36" s="44"/>
      <c r="G36" s="44"/>
    </row>
    <row r="37" spans="1:8" ht="18.75" thickBot="1" x14ac:dyDescent="0.3">
      <c r="D37" s="32" t="s">
        <v>52</v>
      </c>
    </row>
    <row r="38" spans="1:8" ht="13.5" thickTop="1" x14ac:dyDescent="0.2">
      <c r="A38">
        <v>1</v>
      </c>
      <c r="B38" s="6" t="s">
        <v>47</v>
      </c>
      <c r="D38" s="34">
        <f>AVERAGE('Exhibit 4-POS_Data'!C19:Z19)</f>
        <v>705251.9517634646</v>
      </c>
    </row>
    <row r="39" spans="1:8" x14ac:dyDescent="0.2">
      <c r="A39">
        <v>2</v>
      </c>
      <c r="B39" s="6" t="s">
        <v>48</v>
      </c>
      <c r="D39" s="38">
        <f>AVERAGE('Exhibit 4-POS_Data'!C21:Z21)</f>
        <v>7.6262054811243019</v>
      </c>
    </row>
    <row r="40" spans="1:8" x14ac:dyDescent="0.2">
      <c r="A40">
        <v>3</v>
      </c>
      <c r="B40" s="6" t="s">
        <v>49</v>
      </c>
      <c r="D40" s="35">
        <f>D38/D39</f>
        <v>92477.438945100657</v>
      </c>
    </row>
    <row r="41" spans="1:8" x14ac:dyDescent="0.2">
      <c r="A41">
        <v>4</v>
      </c>
      <c r="B41" s="6" t="s">
        <v>50</v>
      </c>
      <c r="D41" s="35">
        <f>D40*25</f>
        <v>2311935.9736275165</v>
      </c>
    </row>
    <row r="42" spans="1:8" x14ac:dyDescent="0.2">
      <c r="A42">
        <v>5</v>
      </c>
      <c r="B42" s="6" t="s">
        <v>70</v>
      </c>
      <c r="D42" s="34">
        <f>D41*'Exhibit 1'!F15</f>
        <v>6704614.323519798</v>
      </c>
    </row>
    <row r="43" spans="1:8" x14ac:dyDescent="0.2">
      <c r="A43">
        <v>6</v>
      </c>
      <c r="B43" s="6" t="s">
        <v>41</v>
      </c>
      <c r="D43" s="34">
        <f>D41*'Exhibit 1'!F20</f>
        <v>2080742.3762647649</v>
      </c>
    </row>
    <row r="44" spans="1:8" x14ac:dyDescent="0.2">
      <c r="A44">
        <v>7</v>
      </c>
      <c r="B44" s="6" t="s">
        <v>68</v>
      </c>
      <c r="D44" s="34">
        <f>'Exhibit 1'!F21*25</f>
        <v>4125417.111938592</v>
      </c>
    </row>
    <row r="45" spans="1:8" x14ac:dyDescent="0.2">
      <c r="A45">
        <v>8</v>
      </c>
      <c r="B45" s="6" t="s">
        <v>51</v>
      </c>
      <c r="D45" s="35">
        <f>D42-D43-D44</f>
        <v>498454.83531644102</v>
      </c>
    </row>
    <row r="47" spans="1:8" x14ac:dyDescent="0.2">
      <c r="A47">
        <v>9</v>
      </c>
      <c r="B47" s="6" t="s">
        <v>71</v>
      </c>
      <c r="D47" s="38">
        <f>D45/D44</f>
        <v>0.1208253182142375</v>
      </c>
    </row>
    <row r="51" spans="2:2" x14ac:dyDescent="0.2">
      <c r="B51" s="39"/>
    </row>
  </sheetData>
  <mergeCells count="4">
    <mergeCell ref="A1:C1"/>
    <mergeCell ref="A3:G3"/>
    <mergeCell ref="A16:G16"/>
    <mergeCell ref="A36:G36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Exhibit 1</vt:lpstr>
      <vt:lpstr>Exhibit 4-POS_Data</vt:lpstr>
      <vt:lpstr>Turn-In Sheet</vt:lpstr>
    </vt:vector>
  </TitlesOfParts>
  <Company>M-Factor,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pdelurgio</dc:creator>
  <cp:lastModifiedBy>Nicole</cp:lastModifiedBy>
  <cp:lastPrinted>2009-10-28T12:44:25Z</cp:lastPrinted>
  <dcterms:created xsi:type="dcterms:W3CDTF">2007-09-16T20:36:58Z</dcterms:created>
  <dcterms:modified xsi:type="dcterms:W3CDTF">2022-09-15T23:57:02Z</dcterms:modified>
</cp:coreProperties>
</file>