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D:\Sem-6\Finance\ppts\"/>
    </mc:Choice>
  </mc:AlternateContent>
  <xr:revisionPtr revIDLastSave="0" documentId="13_ncr:1_{E7B1213E-42CC-4F7D-9EBB-D3CB920ADE0B}" xr6:coauthVersionLast="47" xr6:coauthVersionMax="47" xr10:uidLastSave="{00000000-0000-0000-0000-000000000000}"/>
  <bookViews>
    <workbookView xWindow="-108" yWindow="-108" windowWidth="23256" windowHeight="12456" xr2:uid="{00000000-000D-0000-FFFF-FFFF00000000}"/>
  </bookViews>
  <sheets>
    <sheet name="A" sheetId="5"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0" i="5" l="1"/>
  <c r="C57" i="5"/>
  <c r="I44" i="5" s="1"/>
  <c r="L55" i="5"/>
  <c r="F53" i="5" s="1"/>
  <c r="C55" i="5"/>
  <c r="M52" i="5"/>
  <c r="I51" i="5"/>
  <c r="C61" i="5" s="1"/>
  <c r="L49" i="5"/>
  <c r="L48" i="5"/>
  <c r="M49" i="5" s="1"/>
  <c r="F48" i="5"/>
  <c r="C48" i="5"/>
  <c r="L46" i="5"/>
  <c r="C59" i="5" s="1"/>
  <c r="C44" i="5"/>
  <c r="C47" i="5" s="1"/>
  <c r="F51" i="5" s="1"/>
  <c r="F63" i="5" s="1"/>
  <c r="C63" i="5" s="1"/>
  <c r="M43" i="5"/>
  <c r="L43" i="5"/>
  <c r="I43" i="5"/>
  <c r="F42" i="5"/>
  <c r="B167" i="5"/>
  <c r="L150" i="5"/>
  <c r="C173" i="5"/>
  <c r="L160" i="5"/>
  <c r="M160" i="5" s="1"/>
  <c r="L154" i="5"/>
  <c r="C171" i="5" s="1"/>
  <c r="M165" i="5"/>
  <c r="C167" i="5"/>
  <c r="J163" i="5"/>
  <c r="C164" i="5"/>
  <c r="C169" i="5"/>
  <c r="C162" i="5"/>
  <c r="I158" i="5"/>
  <c r="J158" i="5" s="1"/>
  <c r="L152" i="5"/>
  <c r="M152" i="5" s="1"/>
  <c r="I150" i="5"/>
  <c r="I152" i="5" s="1"/>
  <c r="F149" i="5"/>
  <c r="F154" i="5" s="1"/>
  <c r="C154" i="5" s="1"/>
  <c r="C150" i="5"/>
  <c r="C134" i="5"/>
  <c r="M128" i="5"/>
  <c r="I124" i="5"/>
  <c r="C124" i="5"/>
  <c r="L122" i="5"/>
  <c r="I116" i="5"/>
  <c r="L115" i="5"/>
  <c r="F114" i="5"/>
  <c r="C114" i="5"/>
  <c r="L113" i="5"/>
  <c r="L112" i="5"/>
  <c r="L111" i="5"/>
  <c r="C110" i="5"/>
  <c r="L108" i="5"/>
  <c r="I108" i="5"/>
  <c r="C108" i="5"/>
  <c r="C92" i="5"/>
  <c r="M90" i="5"/>
  <c r="M88" i="5"/>
  <c r="I86" i="5"/>
  <c r="J86" i="5" s="1"/>
  <c r="C86" i="5"/>
  <c r="E84" i="5"/>
  <c r="L83" i="5"/>
  <c r="I80" i="5"/>
  <c r="J80" i="5" s="1"/>
  <c r="L78" i="5"/>
  <c r="L76" i="5"/>
  <c r="L74" i="5"/>
  <c r="C74" i="5"/>
  <c r="F72" i="5"/>
  <c r="F78" i="5" s="1"/>
  <c r="C78" i="5" s="1"/>
  <c r="C77" i="5" s="1"/>
  <c r="F82" i="5" s="1"/>
  <c r="F13" i="5"/>
  <c r="C13" i="5" s="1"/>
  <c r="C9" i="5" s="1"/>
  <c r="F17" i="5" s="1"/>
  <c r="F19" i="5"/>
  <c r="C32" i="5"/>
  <c r="I8" i="5" s="1"/>
  <c r="B26" i="5"/>
  <c r="L22" i="5"/>
  <c r="L12" i="5"/>
  <c r="C19" i="5"/>
  <c r="L10" i="5"/>
  <c r="L7" i="5"/>
  <c r="C21" i="5"/>
  <c r="C24" i="5"/>
  <c r="I7" i="5"/>
  <c r="I46" i="5" l="1"/>
  <c r="J51" i="5"/>
  <c r="B137" i="5"/>
  <c r="M46" i="5"/>
  <c r="M55" i="5"/>
  <c r="L61" i="5"/>
  <c r="C60" i="5" s="1"/>
  <c r="C62" i="5" s="1"/>
  <c r="I48" i="5" s="1"/>
  <c r="J48" i="5" s="1"/>
  <c r="J65" i="5" s="1"/>
  <c r="M113" i="5"/>
  <c r="C153" i="5"/>
  <c r="F157" i="5" s="1"/>
  <c r="C170" i="5"/>
  <c r="B160" i="5"/>
  <c r="C160" i="5" s="1"/>
  <c r="C176" i="5" s="1"/>
  <c r="F176" i="5" s="1"/>
  <c r="F161" i="5" s="1"/>
  <c r="I154" i="5" s="1"/>
  <c r="J154" i="5" s="1"/>
  <c r="J168" i="5" s="1"/>
  <c r="M154" i="5"/>
  <c r="I9" i="5"/>
  <c r="I11" i="5" s="1"/>
  <c r="B29" i="5"/>
  <c r="M7" i="5"/>
  <c r="B30" i="5"/>
  <c r="M10" i="5"/>
  <c r="C31" i="5"/>
  <c r="M12" i="5"/>
  <c r="L23" i="5"/>
  <c r="F34" i="5"/>
  <c r="C34" i="5" s="1"/>
  <c r="M150" i="5"/>
  <c r="B136" i="5"/>
  <c r="C137" i="5" s="1"/>
  <c r="M108" i="5"/>
  <c r="C112" i="5"/>
  <c r="F118" i="5" s="1"/>
  <c r="F141" i="5" s="1"/>
  <c r="C141" i="5" s="1"/>
  <c r="C139" i="5"/>
  <c r="M115" i="5"/>
  <c r="B120" i="5"/>
  <c r="C120" i="5" s="1"/>
  <c r="J116" i="5"/>
  <c r="L123" i="5"/>
  <c r="C138" i="5"/>
  <c r="J124" i="5"/>
  <c r="B94" i="5"/>
  <c r="M74" i="5"/>
  <c r="B95" i="5"/>
  <c r="M76" i="5"/>
  <c r="B96" i="5"/>
  <c r="M78" i="5"/>
  <c r="C97" i="5"/>
  <c r="M83" i="5"/>
  <c r="M93" i="5"/>
  <c r="F84" i="5"/>
  <c r="F100" i="5" s="1"/>
  <c r="C100" i="5" s="1"/>
  <c r="M61" i="5" l="1"/>
  <c r="M65" i="5" s="1"/>
  <c r="N65" i="5" s="1"/>
  <c r="M168" i="5"/>
  <c r="M170" i="5"/>
  <c r="B27" i="5"/>
  <c r="C27" i="5" s="1"/>
  <c r="M23" i="5"/>
  <c r="M29" i="5"/>
  <c r="C30" i="5"/>
  <c r="C33" i="5" s="1"/>
  <c r="I12" i="5" s="1"/>
  <c r="J12" i="5" s="1"/>
  <c r="J29" i="5" s="1"/>
  <c r="B130" i="5"/>
  <c r="B131" i="5" s="1"/>
  <c r="C132" i="5" s="1"/>
  <c r="C140" i="5" s="1"/>
  <c r="I109" i="5" s="1"/>
  <c r="J109" i="5" s="1"/>
  <c r="J134" i="5" s="1"/>
  <c r="M123" i="5"/>
  <c r="M134" i="5"/>
  <c r="M95" i="5"/>
  <c r="C96" i="5"/>
  <c r="C98" i="5" s="1"/>
  <c r="I72" i="5" s="1"/>
  <c r="J72" i="5" s="1"/>
  <c r="J95" i="5" s="1"/>
</calcChain>
</file>

<file path=xl/sharedStrings.xml><?xml version="1.0" encoding="utf-8"?>
<sst xmlns="http://schemas.openxmlformats.org/spreadsheetml/2006/main" count="388" uniqueCount="200">
  <si>
    <t>Dr</t>
  </si>
  <si>
    <t>Cr</t>
  </si>
  <si>
    <t>Particulars</t>
  </si>
  <si>
    <t>Rs</t>
  </si>
  <si>
    <t>Assets</t>
  </si>
  <si>
    <t>To purchases</t>
  </si>
  <si>
    <t>Liabilities</t>
  </si>
  <si>
    <t>To carriage inwards</t>
  </si>
  <si>
    <t>To wages</t>
  </si>
  <si>
    <t>Balance sheet as at 31.03.2022</t>
  </si>
  <si>
    <t>To gross profit c/d</t>
  </si>
  <si>
    <t>By gross profit b/d</t>
  </si>
  <si>
    <t>By interest on investments</t>
  </si>
  <si>
    <t>To salaries</t>
  </si>
  <si>
    <t>By rent received</t>
  </si>
  <si>
    <t>To stationery</t>
  </si>
  <si>
    <t>To interest on loan</t>
  </si>
  <si>
    <t>To depreciation</t>
  </si>
  <si>
    <t>To bad debts</t>
  </si>
  <si>
    <t>To interest on capital</t>
  </si>
  <si>
    <t>To net profit trfd to capital A/c</t>
  </si>
  <si>
    <t>Capital</t>
  </si>
  <si>
    <t>Current assets</t>
  </si>
  <si>
    <t>To opening stock</t>
  </si>
  <si>
    <t>By closing stock</t>
  </si>
  <si>
    <t>By discount received</t>
  </si>
  <si>
    <t>To repairs</t>
  </si>
  <si>
    <t>To carriage outwards</t>
  </si>
  <si>
    <t>Trading and Profit and loss A/c for the year ended 31.03.2022</t>
  </si>
  <si>
    <t>By sales</t>
  </si>
  <si>
    <t>Non current assets</t>
  </si>
  <si>
    <t>Less: Net loss</t>
  </si>
  <si>
    <t>Less: Amortization 25%</t>
  </si>
  <si>
    <t>Computer software</t>
  </si>
  <si>
    <t>Add: Outstanding</t>
  </si>
  <si>
    <t>Land and building</t>
  </si>
  <si>
    <t>Plant and machinery</t>
  </si>
  <si>
    <t>Current liabilities</t>
  </si>
  <si>
    <t>Creditors</t>
  </si>
  <si>
    <t>Bank overdraft</t>
  </si>
  <si>
    <t>Debtors</t>
  </si>
  <si>
    <t>Bills payable</t>
  </si>
  <si>
    <t>Closing stock</t>
  </si>
  <si>
    <t>To bank charges</t>
  </si>
  <si>
    <t>Outstanding wages</t>
  </si>
  <si>
    <t>Outstanding salaries</t>
  </si>
  <si>
    <t>Cash</t>
  </si>
  <si>
    <t>TOTAL</t>
  </si>
  <si>
    <t>On L&amp;B</t>
  </si>
  <si>
    <t>To amortization</t>
  </si>
  <si>
    <t>Q.2)</t>
  </si>
  <si>
    <t>By sales less returns</t>
  </si>
  <si>
    <t>To purchases less returns</t>
  </si>
  <si>
    <t>Less: Drawings</t>
  </si>
  <si>
    <t>Less: Dep @ 10%</t>
  </si>
  <si>
    <t>Add: Interest on capital</t>
  </si>
  <si>
    <t>Less: Repairs</t>
  </si>
  <si>
    <t>Less: Interest on drawings</t>
  </si>
  <si>
    <t>Add: Net profit</t>
  </si>
  <si>
    <t>Trademarks</t>
  </si>
  <si>
    <t>Investments</t>
  </si>
  <si>
    <t>By interest on drawings</t>
  </si>
  <si>
    <t>To insurance</t>
  </si>
  <si>
    <t>Less: Prepaid</t>
  </si>
  <si>
    <t>O/s salaries</t>
  </si>
  <si>
    <t>Less: Further bad debts</t>
  </si>
  <si>
    <t>Add: Further bad debts</t>
  </si>
  <si>
    <t>Prepaid insurance</t>
  </si>
  <si>
    <t>On P&amp;M</t>
  </si>
  <si>
    <t>To amortization on trademarks</t>
  </si>
  <si>
    <t xml:space="preserve">Q.4) </t>
  </si>
  <si>
    <t xml:space="preserve">By sales </t>
  </si>
  <si>
    <t>Less: Returns</t>
  </si>
  <si>
    <t>Land</t>
  </si>
  <si>
    <t>Premises</t>
  </si>
  <si>
    <t>Add: Unrecorded purchases</t>
  </si>
  <si>
    <t>Less: Dep @ 30%</t>
  </si>
  <si>
    <t>Computers</t>
  </si>
  <si>
    <t>Less: Dep @ 40%</t>
  </si>
  <si>
    <t>Bank loan</t>
  </si>
  <si>
    <t>Add: Outstnading interest</t>
  </si>
  <si>
    <t>Patents</t>
  </si>
  <si>
    <t>By commission</t>
  </si>
  <si>
    <t>LEss: Amortization @ 25%</t>
  </si>
  <si>
    <t>To sales promotion exp</t>
  </si>
  <si>
    <t>Add: Accrued/ receivable</t>
  </si>
  <si>
    <t>LEss: Prepaid</t>
  </si>
  <si>
    <t>LEss: Bad debts</t>
  </si>
  <si>
    <t>Prepaid salaries</t>
  </si>
  <si>
    <t>To interest on bank loan</t>
  </si>
  <si>
    <t>Bank</t>
  </si>
  <si>
    <t>Accrued commission</t>
  </si>
  <si>
    <t>On Premises</t>
  </si>
  <si>
    <t>On Computers</t>
  </si>
  <si>
    <t>To amortization on patents</t>
  </si>
  <si>
    <t>Q5)</t>
  </si>
  <si>
    <t>LEss: Free samples</t>
  </si>
  <si>
    <t>Add: Outstanding wages</t>
  </si>
  <si>
    <t>Add: Crucial part</t>
  </si>
  <si>
    <t>To carriage on purchases</t>
  </si>
  <si>
    <t>Less: Dep @ 15%</t>
  </si>
  <si>
    <t>Non current liabilities</t>
  </si>
  <si>
    <t>Long term bank loan</t>
  </si>
  <si>
    <t>Add: Outstanding interest</t>
  </si>
  <si>
    <t>Securities</t>
  </si>
  <si>
    <t>By interest on securities</t>
  </si>
  <si>
    <t>Customers A/c</t>
  </si>
  <si>
    <t>Suppliers A/c</t>
  </si>
  <si>
    <t>X loan</t>
  </si>
  <si>
    <t>Less: Prov for DD @5%</t>
  </si>
  <si>
    <t>Less: Crucial part of machine</t>
  </si>
  <si>
    <t>To trade expenses</t>
  </si>
  <si>
    <t>Input IGST</t>
  </si>
  <si>
    <t>Prepaid stationery exp</t>
  </si>
  <si>
    <t>To discount allowed</t>
  </si>
  <si>
    <t>Bills receivable</t>
  </si>
  <si>
    <t>Add: Prov for DD</t>
  </si>
  <si>
    <t>Less: Last year prov</t>
  </si>
  <si>
    <t>To advertisement exp</t>
  </si>
  <si>
    <t>Add: Free samples</t>
  </si>
  <si>
    <t>To o/s interest on X's loan</t>
  </si>
  <si>
    <t>TO Net profit</t>
  </si>
  <si>
    <t>Less: Prov for DD @2%</t>
  </si>
  <si>
    <t>LEss: Amortization 25%</t>
  </si>
  <si>
    <t>To Gros profit c/d</t>
  </si>
  <si>
    <t>Less: Dep @ 30% on 48000</t>
  </si>
  <si>
    <t>Add: NP</t>
  </si>
  <si>
    <t>Add: Repairs to machinery</t>
  </si>
  <si>
    <t xml:space="preserve">Less: Prepaid </t>
  </si>
  <si>
    <t>Salary outstanding</t>
  </si>
  <si>
    <t>Less: Bad debts</t>
  </si>
  <si>
    <t>To net profit trfd to capital</t>
  </si>
  <si>
    <t>Q6)</t>
  </si>
  <si>
    <t>Machinery</t>
  </si>
  <si>
    <t>Less: REturns</t>
  </si>
  <si>
    <t>Less: Dep</t>
  </si>
  <si>
    <t>Less: Additionl drawings</t>
  </si>
  <si>
    <t>LAnd and premises</t>
  </si>
  <si>
    <t>To GP c/d</t>
  </si>
  <si>
    <t>By GP b/d</t>
  </si>
  <si>
    <t>Loan</t>
  </si>
  <si>
    <t xml:space="preserve">To repairs </t>
  </si>
  <si>
    <t>By cash discount</t>
  </si>
  <si>
    <t>Add: O/s interest</t>
  </si>
  <si>
    <t>By net loss</t>
  </si>
  <si>
    <t>Input CGST</t>
  </si>
  <si>
    <t>Input SGST</t>
  </si>
  <si>
    <t>Add: Unpaid</t>
  </si>
  <si>
    <t>To donation</t>
  </si>
  <si>
    <t>Prepaid rent</t>
  </si>
  <si>
    <t>To rent</t>
  </si>
  <si>
    <t>Prepiad insurance</t>
  </si>
  <si>
    <t>Less: Prepaid (3 mon)</t>
  </si>
  <si>
    <t>To general exp</t>
  </si>
  <si>
    <t>Notes to accounts</t>
  </si>
  <si>
    <t xml:space="preserve">There is a contingent liability of Rs 20,000 </t>
  </si>
  <si>
    <t>Full disclosure principle</t>
  </si>
  <si>
    <t>Trading and profit and loss A/c for the year ended  31.03.2022</t>
  </si>
  <si>
    <t>DR</t>
  </si>
  <si>
    <t>CR</t>
  </si>
  <si>
    <t xml:space="preserve">To depreciation </t>
  </si>
  <si>
    <t>TO interest on capital</t>
  </si>
  <si>
    <t>Q.3</t>
  </si>
  <si>
    <t>3 adjustments for debtors</t>
  </si>
  <si>
    <t>Adj 5</t>
  </si>
  <si>
    <t>Further bad debts</t>
  </si>
  <si>
    <t>Add: Unrecorded</t>
  </si>
  <si>
    <t>Less: drawings</t>
  </si>
  <si>
    <t>Adj 7</t>
  </si>
  <si>
    <t>Prov for DD</t>
  </si>
  <si>
    <t xml:space="preserve">Less: Dep </t>
  </si>
  <si>
    <t>Adj 9</t>
  </si>
  <si>
    <t>Unrecorded sales</t>
  </si>
  <si>
    <t>Add: IOC</t>
  </si>
  <si>
    <t>Less: IOD</t>
  </si>
  <si>
    <t>Furniture</t>
  </si>
  <si>
    <t>To power and fuel</t>
  </si>
  <si>
    <t>TO GP c/d</t>
  </si>
  <si>
    <t>Less: Dep on 5,00,000</t>
  </si>
  <si>
    <t>Less: Dep on 1,00,000 (6 mon)</t>
  </si>
  <si>
    <t>Tools</t>
  </si>
  <si>
    <t>To salary</t>
  </si>
  <si>
    <t>By IOD</t>
  </si>
  <si>
    <t>By int receivable</t>
  </si>
  <si>
    <t>Loan to Rishi</t>
  </si>
  <si>
    <t>Add: further bad debts</t>
  </si>
  <si>
    <t>Add: Interest accrued @ 8% (3 mon)</t>
  </si>
  <si>
    <t>add: Unrecorded sales</t>
  </si>
  <si>
    <t>To prov for DD</t>
  </si>
  <si>
    <t>To O/s interest on loan</t>
  </si>
  <si>
    <t>Less: Prov for DD 5%</t>
  </si>
  <si>
    <t>????????</t>
  </si>
  <si>
    <t>??????</t>
  </si>
  <si>
    <t>???????</t>
  </si>
  <si>
    <t>Sure! Think of it like this: when a company buys something like a trademark, it's an investment because that trademark helps the company make money. But just like a car loses value over time as you drive it, a trademark loses value as the company uses it for business.</t>
  </si>
  <si>
    <t>So, every year, the company "spreads out" the cost of the trademark over its useful life. This spreading out of the cost is called amortization. And since the trademark is helping the company make money over time, it's like a cost of doing business, just like paying for electricity or rent. That's why we call it an expense</t>
  </si>
  <si>
    <t>so loss of value of trademark is treated as expense and its net value right now is asset</t>
  </si>
  <si>
    <t>??????????</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</si>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</sst>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5" x14ac:knownFonts="1">
    <font>
      <sz val="11"/>
      <color theme="1"/>
      <name val="Calibri"/>
      <family val="2"/>
      <scheme val="minor"/>
    </font>
    <font>
      <sz val="11"/>
      <name val="Calibri"/>
      <family val="2"/>
      <scheme val="minor"/>
    </font>
    <font>
      <b/>
      <sz val="11"/>
      <name val="Calibri"/>
      <family val="2"/>
      <scheme val="minor"/>
    </font>
    <font>
      <sz val="10"/>
      <name val="Calibri"/>
      <family val="2"/>
      <scheme val="minor"/>
    </font>
    <font>
      <sz val="10"/>
      <color rgb="FF0D0D0D"/>
      <name val="Segoe UI"/>
      <family val="2"/>
    </font>
  </fonts>
  <fills count="2">
    <fill>
      <patternFill patternType="none"/>
    </fill>
    <fill>
      <patternFill patternType="gray125"/>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20">
    <xf numFmtId="0" fontId="0" fillId="0" borderId="0" xfId="0"/>
    <xf numFmtId="0" fontId="1" fillId="0" borderId="0" xfId="0" applyFont="1"/>
    <xf numFmtId="164" fontId="1" fillId="0" borderId="0" xfId="0" applyNumberFormat="1" applyFont="1"/>
    <xf numFmtId="0" fontId="1" fillId="0" borderId="2" xfId="0" applyFont="1" applyBorder="1"/>
    <xf numFmtId="164" fontId="1" fillId="0" borderId="2" xfId="0" applyNumberFormat="1" applyFont="1" applyBorder="1"/>
    <xf numFmtId="0" fontId="1" fillId="0" borderId="1" xfId="0" applyFont="1" applyBorder="1"/>
    <xf numFmtId="164" fontId="1" fillId="0" borderId="1" xfId="0" applyNumberFormat="1" applyFont="1" applyBorder="1"/>
    <xf numFmtId="0" fontId="2" fillId="0" borderId="1" xfId="0" applyFont="1" applyBorder="1"/>
    <xf numFmtId="164" fontId="2" fillId="0" borderId="1" xfId="0" applyNumberFormat="1" applyFont="1" applyBorder="1"/>
    <xf numFmtId="164" fontId="1" fillId="0" borderId="3" xfId="0" applyNumberFormat="1" applyFont="1" applyBorder="1"/>
    <xf numFmtId="164" fontId="1" fillId="0" borderId="4" xfId="0" applyNumberFormat="1" applyFont="1" applyBorder="1"/>
    <xf numFmtId="164" fontId="1" fillId="0" borderId="6" xfId="0" applyNumberFormat="1" applyFont="1" applyBorder="1"/>
    <xf numFmtId="0" fontId="1" fillId="0" borderId="5" xfId="0" applyFont="1" applyBorder="1"/>
    <xf numFmtId="164" fontId="1" fillId="0" borderId="5" xfId="0" applyNumberFormat="1" applyFont="1" applyBorder="1"/>
    <xf numFmtId="0" fontId="1" fillId="0" borderId="7" xfId="0" applyFont="1" applyBorder="1"/>
    <xf numFmtId="164" fontId="1" fillId="0" borderId="7" xfId="0" applyNumberFormat="1" applyFont="1" applyBorder="1"/>
    <xf numFmtId="164" fontId="3" fillId="0" borderId="1" xfId="0" applyNumberFormat="1" applyFont="1" applyBorder="1"/>
    <xf numFmtId="0" fontId="2" fillId="0" borderId="0" xfId="0" applyFont="1"/>
    <xf numFmtId="164" fontId="2" fillId="0" borderId="0" xfId="0" applyNumberFormat="1" applyFont="1"/>
    <xf numFmtId="0" fontId="4"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0B5DD-BE22-4686-9244-5FB67839A8FB}">
  <dimension ref="A1:P176"/>
  <sheetViews>
    <sheetView tabSelected="1" topLeftCell="C47" zoomScale="115" zoomScaleNormal="115" workbookViewId="0">
      <selection activeCell="A91" sqref="A91"/>
    </sheetView>
  </sheetViews>
  <sheetFormatPr defaultColWidth="8.77734375" defaultRowHeight="14.4" x14ac:dyDescent="0.3"/>
  <cols>
    <col min="1" max="1" width="21" style="1" customWidth="1"/>
    <col min="2" max="2" width="12.44140625" style="2" bestFit="1" customWidth="1"/>
    <col min="3" max="3" width="12.44140625" style="2" customWidth="1"/>
    <col min="4" max="4" width="20" style="1" customWidth="1"/>
    <col min="5" max="5" width="11.77734375" style="2" customWidth="1"/>
    <col min="6" max="6" width="10.21875" style="2" customWidth="1"/>
    <col min="7" max="7" width="3.5546875" style="1" customWidth="1"/>
    <col min="8" max="8" width="22.77734375" style="1" customWidth="1"/>
    <col min="9" max="9" width="11.21875" style="2" customWidth="1"/>
    <col min="10" max="10" width="12" style="2" customWidth="1"/>
    <col min="11" max="11" width="23.21875" style="1" customWidth="1"/>
    <col min="12" max="12" width="11.21875" style="2" customWidth="1"/>
    <col min="13" max="13" width="12.21875" style="2" customWidth="1"/>
    <col min="14" max="16384" width="8.77734375" style="1"/>
  </cols>
  <sheetData>
    <row r="1" spans="1:13" x14ac:dyDescent="0.3">
      <c r="A1" s="1" t="s">
        <v>50</v>
      </c>
    </row>
    <row r="2" spans="1:13" x14ac:dyDescent="0.3">
      <c r="A2" s="1" t="s">
        <v>28</v>
      </c>
      <c r="H2" s="1" t="s">
        <v>9</v>
      </c>
    </row>
    <row r="3" spans="1:13" x14ac:dyDescent="0.3">
      <c r="A3" s="1" t="s">
        <v>0</v>
      </c>
      <c r="F3" s="2" t="s">
        <v>1</v>
      </c>
    </row>
    <row r="4" spans="1:13" x14ac:dyDescent="0.3">
      <c r="A4" s="5" t="s">
        <v>2</v>
      </c>
      <c r="B4" s="6" t="s">
        <v>3</v>
      </c>
      <c r="C4" s="6" t="s">
        <v>3</v>
      </c>
      <c r="D4" s="5" t="s">
        <v>2</v>
      </c>
      <c r="E4" s="6" t="s">
        <v>3</v>
      </c>
      <c r="F4" s="6" t="s">
        <v>3</v>
      </c>
      <c r="H4" s="5" t="s">
        <v>6</v>
      </c>
      <c r="I4" s="6" t="s">
        <v>3</v>
      </c>
      <c r="J4" s="6" t="s">
        <v>3</v>
      </c>
      <c r="K4" s="5" t="s">
        <v>4</v>
      </c>
      <c r="L4" s="6" t="s">
        <v>3</v>
      </c>
      <c r="M4" s="6" t="s">
        <v>3</v>
      </c>
    </row>
    <row r="5" spans="1:13" x14ac:dyDescent="0.3">
      <c r="A5" s="5" t="s">
        <v>23</v>
      </c>
      <c r="B5" s="6"/>
      <c r="C5" s="6">
        <v>57000</v>
      </c>
      <c r="D5" s="5" t="s">
        <v>51</v>
      </c>
      <c r="E5" s="6"/>
      <c r="F5" s="6">
        <v>1200000</v>
      </c>
      <c r="H5" s="5" t="s">
        <v>21</v>
      </c>
      <c r="I5" s="6">
        <v>500000</v>
      </c>
      <c r="J5" s="6"/>
      <c r="K5" s="7" t="s">
        <v>30</v>
      </c>
      <c r="L5" s="6"/>
      <c r="M5" s="6"/>
    </row>
    <row r="6" spans="1:13" x14ac:dyDescent="0.3">
      <c r="A6" s="5" t="s">
        <v>52</v>
      </c>
      <c r="B6" s="6"/>
      <c r="C6" s="6">
        <v>89000</v>
      </c>
      <c r="D6" s="5" t="s">
        <v>24</v>
      </c>
      <c r="E6" s="6"/>
      <c r="F6" s="6">
        <v>96000</v>
      </c>
      <c r="H6" s="5" t="s">
        <v>53</v>
      </c>
      <c r="I6" s="6">
        <v>12000</v>
      </c>
      <c r="J6" s="6"/>
      <c r="K6" s="5" t="s">
        <v>35</v>
      </c>
      <c r="L6" s="6">
        <v>1000000</v>
      </c>
      <c r="M6" s="6"/>
    </row>
    <row r="7" spans="1:13" x14ac:dyDescent="0.3">
      <c r="A7" s="5" t="s">
        <v>8</v>
      </c>
      <c r="B7" s="6"/>
      <c r="C7" s="6">
        <v>120000</v>
      </c>
      <c r="D7" s="5"/>
      <c r="E7" s="6"/>
      <c r="F7" s="6"/>
      <c r="H7" s="5"/>
      <c r="I7" s="6">
        <f>I5-I6</f>
        <v>488000</v>
      </c>
      <c r="J7" s="6"/>
      <c r="K7" s="5" t="s">
        <v>54</v>
      </c>
      <c r="L7" s="6">
        <f>L6*10/100</f>
        <v>100000</v>
      </c>
      <c r="M7" s="6">
        <f>L6-L7</f>
        <v>900000</v>
      </c>
    </row>
    <row r="8" spans="1:13" x14ac:dyDescent="0.3">
      <c r="A8" s="5" t="s">
        <v>7</v>
      </c>
      <c r="B8" s="6"/>
      <c r="C8" s="6">
        <v>6000</v>
      </c>
      <c r="D8" s="5"/>
      <c r="E8" s="6"/>
      <c r="F8" s="6"/>
      <c r="H8" s="5" t="s">
        <v>55</v>
      </c>
      <c r="I8" s="6">
        <f>C32</f>
        <v>40000</v>
      </c>
      <c r="J8" s="6"/>
      <c r="K8" s="5" t="s">
        <v>36</v>
      </c>
      <c r="L8" s="6">
        <v>50000</v>
      </c>
      <c r="M8" s="6"/>
    </row>
    <row r="9" spans="1:13" x14ac:dyDescent="0.3">
      <c r="A9" s="5" t="s">
        <v>124</v>
      </c>
      <c r="B9" s="6"/>
      <c r="C9" s="6">
        <f>C13-C5-C6-C7-C8</f>
        <v>1024000</v>
      </c>
      <c r="D9" s="5"/>
      <c r="E9" s="6"/>
      <c r="F9" s="6"/>
      <c r="H9" s="5"/>
      <c r="I9" s="6">
        <f>I7+I8</f>
        <v>528000</v>
      </c>
      <c r="J9" s="6"/>
      <c r="K9" s="5" t="s">
        <v>56</v>
      </c>
      <c r="L9" s="6">
        <v>2000</v>
      </c>
      <c r="M9" s="6"/>
    </row>
    <row r="10" spans="1:13" x14ac:dyDescent="0.3">
      <c r="A10" s="5"/>
      <c r="B10" s="6"/>
      <c r="C10" s="6"/>
      <c r="D10" s="5"/>
      <c r="E10" s="6"/>
      <c r="F10" s="6"/>
      <c r="H10" s="5" t="s">
        <v>57</v>
      </c>
      <c r="I10" s="6">
        <v>300</v>
      </c>
      <c r="J10" s="6"/>
      <c r="K10" s="5" t="s">
        <v>125</v>
      </c>
      <c r="L10" s="6">
        <f>48000*30/100</f>
        <v>14400</v>
      </c>
      <c r="M10" s="6">
        <f>L8-L9-L10</f>
        <v>33600</v>
      </c>
    </row>
    <row r="11" spans="1:13" x14ac:dyDescent="0.3">
      <c r="A11" s="5"/>
      <c r="B11" s="6"/>
      <c r="C11" s="6"/>
      <c r="D11" s="5"/>
      <c r="E11" s="6"/>
      <c r="F11" s="6"/>
      <c r="H11" s="5"/>
      <c r="I11" s="6">
        <f>I9-I10</f>
        <v>527700</v>
      </c>
      <c r="J11" s="6"/>
      <c r="K11" s="5" t="s">
        <v>59</v>
      </c>
      <c r="L11" s="6">
        <v>20000</v>
      </c>
      <c r="M11" s="6"/>
    </row>
    <row r="12" spans="1:13" x14ac:dyDescent="0.3">
      <c r="A12" s="5"/>
      <c r="B12" s="6"/>
      <c r="C12" s="6"/>
      <c r="D12" s="5"/>
      <c r="E12" s="6"/>
      <c r="F12" s="6"/>
      <c r="H12" s="5" t="s">
        <v>126</v>
      </c>
      <c r="I12" s="6">
        <f>C33</f>
        <v>1173780</v>
      </c>
      <c r="J12" s="6">
        <f>I11+I12</f>
        <v>1701480</v>
      </c>
      <c r="K12" s="5" t="s">
        <v>32</v>
      </c>
      <c r="L12" s="6">
        <f>L11*25/100</f>
        <v>5000</v>
      </c>
      <c r="M12" s="6">
        <f>L11-L12</f>
        <v>15000</v>
      </c>
    </row>
    <row r="13" spans="1:13" x14ac:dyDescent="0.3">
      <c r="A13" s="5"/>
      <c r="B13" s="6"/>
      <c r="C13" s="6">
        <f>F13</f>
        <v>1296000</v>
      </c>
      <c r="D13" s="5"/>
      <c r="E13" s="6"/>
      <c r="F13" s="6">
        <f>SUM(F5:F12)</f>
        <v>1296000</v>
      </c>
      <c r="H13" s="5"/>
      <c r="I13" s="6"/>
      <c r="J13" s="6"/>
      <c r="K13" s="5"/>
      <c r="L13" s="6"/>
      <c r="M13" s="6"/>
    </row>
    <row r="14" spans="1:13" x14ac:dyDescent="0.3">
      <c r="A14" s="5"/>
      <c r="B14" s="6"/>
      <c r="C14" s="6"/>
      <c r="D14" s="5"/>
      <c r="E14" s="6"/>
      <c r="F14" s="6"/>
      <c r="H14" s="5"/>
      <c r="I14" s="6"/>
      <c r="J14" s="6"/>
      <c r="K14" s="5"/>
      <c r="L14" s="6"/>
      <c r="M14" s="6"/>
    </row>
    <row r="15" spans="1:13" x14ac:dyDescent="0.3">
      <c r="A15" s="5"/>
      <c r="B15" s="6"/>
      <c r="C15" s="6"/>
      <c r="D15" s="5"/>
      <c r="E15" s="6"/>
      <c r="F15" s="6"/>
      <c r="H15" s="5"/>
      <c r="I15" s="6"/>
      <c r="J15" s="6"/>
      <c r="K15" s="5" t="s">
        <v>60</v>
      </c>
      <c r="L15" s="6"/>
      <c r="M15" s="6">
        <v>663800</v>
      </c>
    </row>
    <row r="16" spans="1:13" x14ac:dyDescent="0.3">
      <c r="A16" s="5"/>
      <c r="B16" s="6"/>
      <c r="C16" s="6"/>
      <c r="D16" s="5"/>
      <c r="E16" s="6"/>
      <c r="F16" s="6"/>
      <c r="H16" s="5"/>
      <c r="I16" s="6"/>
      <c r="J16" s="6"/>
      <c r="K16" s="5"/>
      <c r="L16" s="6"/>
      <c r="M16" s="6"/>
    </row>
    <row r="17" spans="1:13" x14ac:dyDescent="0.3">
      <c r="A17" s="5"/>
      <c r="B17" s="6"/>
      <c r="C17" s="6"/>
      <c r="D17" s="5" t="s">
        <v>11</v>
      </c>
      <c r="E17" s="6"/>
      <c r="F17" s="6">
        <f>C9</f>
        <v>1024000</v>
      </c>
      <c r="H17" s="5"/>
      <c r="I17" s="6"/>
      <c r="J17" s="6"/>
      <c r="K17" s="5"/>
      <c r="L17" s="6"/>
      <c r="M17" s="6"/>
    </row>
    <row r="18" spans="1:13" x14ac:dyDescent="0.3">
      <c r="A18" s="5" t="s">
        <v>26</v>
      </c>
      <c r="B18" s="6">
        <v>7000</v>
      </c>
      <c r="C18" s="6"/>
      <c r="D18" s="5" t="s">
        <v>14</v>
      </c>
      <c r="E18" s="6"/>
      <c r="F18" s="6">
        <v>400000</v>
      </c>
      <c r="H18" s="5"/>
      <c r="I18" s="6"/>
      <c r="J18" s="6"/>
      <c r="K18" s="5"/>
      <c r="L18" s="6"/>
      <c r="M18" s="6"/>
    </row>
    <row r="19" spans="1:13" x14ac:dyDescent="0.3">
      <c r="A19" s="5" t="s">
        <v>127</v>
      </c>
      <c r="B19" s="6">
        <v>2000</v>
      </c>
      <c r="C19" s="6">
        <f>B18+B19</f>
        <v>9000</v>
      </c>
      <c r="D19" s="5" t="s">
        <v>61</v>
      </c>
      <c r="E19" s="6"/>
      <c r="F19" s="6">
        <f>I10</f>
        <v>300</v>
      </c>
      <c r="H19" s="7" t="s">
        <v>37</v>
      </c>
      <c r="I19" s="6"/>
      <c r="J19" s="6"/>
      <c r="K19" s="7" t="s">
        <v>22</v>
      </c>
      <c r="L19" s="6"/>
      <c r="M19" s="6"/>
    </row>
    <row r="20" spans="1:13" x14ac:dyDescent="0.3">
      <c r="A20" s="5" t="s">
        <v>62</v>
      </c>
      <c r="B20" s="6">
        <v>13000</v>
      </c>
      <c r="C20" s="6"/>
      <c r="D20" s="5"/>
      <c r="E20" s="6"/>
      <c r="F20" s="6"/>
      <c r="H20" s="5" t="s">
        <v>38</v>
      </c>
      <c r="I20" s="6"/>
      <c r="J20" s="6">
        <v>53000</v>
      </c>
      <c r="K20" s="3" t="s">
        <v>40</v>
      </c>
      <c r="L20" s="4">
        <v>48000</v>
      </c>
      <c r="M20" s="6"/>
    </row>
    <row r="21" spans="1:13" x14ac:dyDescent="0.3">
      <c r="A21" s="5" t="s">
        <v>128</v>
      </c>
      <c r="B21" s="6">
        <v>1000</v>
      </c>
      <c r="C21" s="6">
        <f>B20-B21</f>
        <v>12000</v>
      </c>
      <c r="D21" s="5"/>
      <c r="E21" s="6"/>
      <c r="F21" s="6"/>
      <c r="H21" s="5" t="s">
        <v>129</v>
      </c>
      <c r="I21" s="6"/>
      <c r="J21" s="9">
        <v>5000</v>
      </c>
      <c r="K21" s="5" t="s">
        <v>130</v>
      </c>
      <c r="L21" s="6">
        <v>2000</v>
      </c>
      <c r="M21" s="10"/>
    </row>
    <row r="22" spans="1:13" x14ac:dyDescent="0.3">
      <c r="A22" s="5" t="s">
        <v>27</v>
      </c>
      <c r="B22" s="6"/>
      <c r="C22" s="6">
        <v>1700</v>
      </c>
      <c r="D22" s="5"/>
      <c r="E22" s="6"/>
      <c r="F22" s="6"/>
      <c r="H22" s="5"/>
      <c r="I22" s="6"/>
      <c r="J22" s="9"/>
      <c r="K22" s="5"/>
      <c r="L22" s="6">
        <f>L20-L21</f>
        <v>46000</v>
      </c>
      <c r="M22" s="11"/>
    </row>
    <row r="23" spans="1:13" x14ac:dyDescent="0.3">
      <c r="A23" s="3" t="s">
        <v>13</v>
      </c>
      <c r="B23" s="4">
        <v>60000</v>
      </c>
      <c r="C23" s="4"/>
      <c r="D23" s="3"/>
      <c r="E23" s="4"/>
      <c r="F23" s="4"/>
      <c r="H23" s="5"/>
      <c r="I23" s="6"/>
      <c r="J23" s="9"/>
      <c r="K23" s="5" t="s">
        <v>122</v>
      </c>
      <c r="L23" s="9">
        <f>L22*2/100</f>
        <v>920</v>
      </c>
      <c r="M23" s="6">
        <f>L22-L23</f>
        <v>45080</v>
      </c>
    </row>
    <row r="24" spans="1:13" x14ac:dyDescent="0.3">
      <c r="A24" s="5" t="s">
        <v>34</v>
      </c>
      <c r="B24" s="6">
        <v>5000</v>
      </c>
      <c r="C24" s="6">
        <f>B23+B24</f>
        <v>65000</v>
      </c>
      <c r="D24" s="5"/>
      <c r="E24" s="6"/>
      <c r="F24" s="6"/>
      <c r="H24" s="3"/>
      <c r="I24" s="4"/>
      <c r="J24" s="4"/>
      <c r="K24" s="12" t="s">
        <v>46</v>
      </c>
      <c r="L24" s="13"/>
      <c r="M24" s="13">
        <v>5000</v>
      </c>
    </row>
    <row r="25" spans="1:13" x14ac:dyDescent="0.3">
      <c r="A25" s="5" t="s">
        <v>18</v>
      </c>
      <c r="B25" s="6">
        <v>500</v>
      </c>
      <c r="C25" s="6"/>
      <c r="D25" s="5"/>
      <c r="E25" s="6"/>
      <c r="F25" s="6"/>
      <c r="H25" s="5"/>
      <c r="I25" s="6"/>
      <c r="J25" s="6"/>
      <c r="K25" s="5" t="s">
        <v>42</v>
      </c>
      <c r="L25" s="6"/>
      <c r="M25" s="6">
        <v>96000</v>
      </c>
    </row>
    <row r="26" spans="1:13" x14ac:dyDescent="0.3">
      <c r="A26" s="5" t="s">
        <v>66</v>
      </c>
      <c r="B26" s="6">
        <f>L21</f>
        <v>2000</v>
      </c>
      <c r="C26" s="6"/>
      <c r="D26" s="5"/>
      <c r="E26" s="6"/>
      <c r="F26" s="6"/>
      <c r="H26" s="5"/>
      <c r="I26" s="6"/>
      <c r="J26" s="6"/>
      <c r="K26" s="5" t="s">
        <v>67</v>
      </c>
      <c r="L26" s="6"/>
      <c r="M26" s="6">
        <v>1000</v>
      </c>
    </row>
    <row r="27" spans="1:13" x14ac:dyDescent="0.3">
      <c r="A27" s="5" t="s">
        <v>116</v>
      </c>
      <c r="B27" s="6">
        <f>L23</f>
        <v>920</v>
      </c>
      <c r="C27" s="6">
        <f>B25+B26+B27</f>
        <v>3420</v>
      </c>
      <c r="D27" s="5"/>
      <c r="E27" s="6"/>
      <c r="F27" s="6"/>
      <c r="H27" s="5"/>
      <c r="I27" s="6"/>
      <c r="J27" s="6"/>
      <c r="K27" s="5"/>
      <c r="L27" s="6"/>
      <c r="M27" s="6"/>
    </row>
    <row r="28" spans="1:13" x14ac:dyDescent="0.3">
      <c r="A28" s="5" t="s">
        <v>17</v>
      </c>
      <c r="B28" s="6"/>
      <c r="C28" s="6"/>
      <c r="D28" s="5"/>
      <c r="E28" s="6"/>
      <c r="F28" s="6"/>
      <c r="H28" s="5"/>
      <c r="I28" s="6"/>
      <c r="J28" s="6"/>
      <c r="K28" s="5"/>
      <c r="L28" s="6"/>
      <c r="M28" s="6"/>
    </row>
    <row r="29" spans="1:13" x14ac:dyDescent="0.3">
      <c r="A29" s="5" t="s">
        <v>48</v>
      </c>
      <c r="B29" s="6">
        <f>L7</f>
        <v>100000</v>
      </c>
      <c r="C29" s="6"/>
      <c r="D29" s="5"/>
      <c r="E29" s="6"/>
      <c r="F29" s="6"/>
      <c r="H29" s="7" t="s">
        <v>47</v>
      </c>
      <c r="I29" s="8"/>
      <c r="J29" s="8">
        <f>SUM(J5:J28)</f>
        <v>1759480</v>
      </c>
      <c r="K29" s="7" t="s">
        <v>47</v>
      </c>
      <c r="L29" s="8"/>
      <c r="M29" s="8">
        <f>SUM(M5:M28)</f>
        <v>1759480</v>
      </c>
    </row>
    <row r="30" spans="1:13" x14ac:dyDescent="0.3">
      <c r="A30" s="5" t="s">
        <v>68</v>
      </c>
      <c r="B30" s="6">
        <f>L10</f>
        <v>14400</v>
      </c>
      <c r="C30" s="6">
        <f>B29+B30</f>
        <v>114400</v>
      </c>
      <c r="D30" s="5"/>
      <c r="E30" s="6"/>
      <c r="F30" s="6"/>
    </row>
    <row r="31" spans="1:13" x14ac:dyDescent="0.3">
      <c r="A31" s="3" t="s">
        <v>69</v>
      </c>
      <c r="B31" s="4"/>
      <c r="C31" s="4">
        <f>L12</f>
        <v>5000</v>
      </c>
      <c r="D31"/>
      <c r="E31" s="4"/>
      <c r="F31" s="4"/>
    </row>
    <row r="32" spans="1:13" ht="15" x14ac:dyDescent="0.3">
      <c r="A32" s="5" t="s">
        <v>19</v>
      </c>
      <c r="B32" s="6"/>
      <c r="C32" s="6">
        <f>I5*8/100</f>
        <v>40000</v>
      </c>
      <c r="D32" s="19" t="s">
        <v>194</v>
      </c>
      <c r="E32" s="6"/>
      <c r="F32" s="6"/>
    </row>
    <row r="33" spans="1:16" x14ac:dyDescent="0.3">
      <c r="A33" s="5" t="s">
        <v>131</v>
      </c>
      <c r="B33" s="6"/>
      <c r="C33" s="6">
        <f>C34-C32-C31-C30-C27-C24-C22-C21-C19</f>
        <v>1173780</v>
      </c>
      <c r="D33" t="s">
        <v>196</v>
      </c>
      <c r="E33" s="6"/>
      <c r="F33" s="6"/>
    </row>
    <row r="34" spans="1:16" ht="15" x14ac:dyDescent="0.3">
      <c r="A34" s="5"/>
      <c r="B34" s="6"/>
      <c r="C34" s="6">
        <f>F34</f>
        <v>1424300</v>
      </c>
      <c r="D34" s="19" t="s">
        <v>195</v>
      </c>
      <c r="E34" s="6"/>
      <c r="F34" s="6">
        <f>SUM(F17:F33)</f>
        <v>1424300</v>
      </c>
    </row>
    <row r="35" spans="1:16" x14ac:dyDescent="0.3">
      <c r="A35" s="5"/>
      <c r="B35" s="6"/>
      <c r="C35" s="6"/>
      <c r="D35" s="5"/>
      <c r="E35" s="6"/>
      <c r="F35" s="6"/>
    </row>
    <row r="37" spans="1:16" x14ac:dyDescent="0.3">
      <c r="A37" s="1" t="s">
        <v>162</v>
      </c>
    </row>
    <row r="38" spans="1:16" x14ac:dyDescent="0.3">
      <c r="A38" s="1" t="s">
        <v>157</v>
      </c>
      <c r="H38" s="1" t="s">
        <v>9</v>
      </c>
    </row>
    <row r="39" spans="1:16" x14ac:dyDescent="0.3">
      <c r="A39" s="1" t="s">
        <v>158</v>
      </c>
      <c r="F39" s="2" t="s">
        <v>159</v>
      </c>
    </row>
    <row r="40" spans="1:16" x14ac:dyDescent="0.3">
      <c r="A40" s="5" t="s">
        <v>2</v>
      </c>
      <c r="B40" s="6" t="s">
        <v>3</v>
      </c>
      <c r="C40" s="6" t="s">
        <v>3</v>
      </c>
      <c r="D40" s="5" t="s">
        <v>2</v>
      </c>
      <c r="E40" s="6" t="s">
        <v>3</v>
      </c>
      <c r="F40" s="6" t="s">
        <v>3</v>
      </c>
      <c r="H40" s="3" t="s">
        <v>6</v>
      </c>
      <c r="I40" s="4" t="s">
        <v>3</v>
      </c>
      <c r="J40" s="4" t="s">
        <v>3</v>
      </c>
      <c r="K40" s="3" t="s">
        <v>4</v>
      </c>
      <c r="L40" s="4" t="s">
        <v>3</v>
      </c>
      <c r="M40" s="4" t="s">
        <v>3</v>
      </c>
      <c r="O40" s="1" t="s">
        <v>163</v>
      </c>
    </row>
    <row r="41" spans="1:16" x14ac:dyDescent="0.3">
      <c r="A41" s="5" t="s">
        <v>23</v>
      </c>
      <c r="B41" s="6"/>
      <c r="C41" s="6">
        <v>300000</v>
      </c>
      <c r="D41" s="5" t="s">
        <v>29</v>
      </c>
      <c r="E41" s="6">
        <v>3040000</v>
      </c>
      <c r="F41" s="6"/>
      <c r="H41" s="5" t="s">
        <v>21</v>
      </c>
      <c r="I41" s="6">
        <v>1000000</v>
      </c>
      <c r="J41" s="6"/>
      <c r="K41" s="7" t="s">
        <v>30</v>
      </c>
      <c r="L41" s="6"/>
      <c r="M41" s="6"/>
      <c r="O41" s="1" t="s">
        <v>164</v>
      </c>
      <c r="P41" s="1" t="s">
        <v>165</v>
      </c>
    </row>
    <row r="42" spans="1:16" x14ac:dyDescent="0.3">
      <c r="A42" s="5" t="s">
        <v>5</v>
      </c>
      <c r="B42" s="6">
        <v>1260000</v>
      </c>
      <c r="C42" s="6"/>
      <c r="D42" s="5" t="s">
        <v>166</v>
      </c>
      <c r="E42" s="6">
        <v>10000</v>
      </c>
      <c r="F42" s="6">
        <f>E41+E42</f>
        <v>3050000</v>
      </c>
      <c r="H42" s="5" t="s">
        <v>167</v>
      </c>
      <c r="I42" s="6">
        <v>60000</v>
      </c>
      <c r="J42" s="6"/>
      <c r="K42" s="5" t="s">
        <v>74</v>
      </c>
      <c r="L42" s="6">
        <v>2000000</v>
      </c>
      <c r="M42" s="6"/>
      <c r="O42" s="1" t="s">
        <v>168</v>
      </c>
      <c r="P42" s="1" t="s">
        <v>169</v>
      </c>
    </row>
    <row r="43" spans="1:16" x14ac:dyDescent="0.3">
      <c r="A43" s="5" t="s">
        <v>72</v>
      </c>
      <c r="B43" s="6">
        <v>15000</v>
      </c>
      <c r="C43" s="6"/>
      <c r="D43" s="5" t="s">
        <v>24</v>
      </c>
      <c r="E43" s="6"/>
      <c r="F43" s="6">
        <v>500000</v>
      </c>
      <c r="H43" s="5"/>
      <c r="I43" s="6">
        <f>I41-I42</f>
        <v>940000</v>
      </c>
      <c r="J43" s="6"/>
      <c r="K43" s="5" t="s">
        <v>170</v>
      </c>
      <c r="L43" s="6">
        <f>L42*10/100</f>
        <v>200000</v>
      </c>
      <c r="M43" s="6">
        <f>L42-L43</f>
        <v>1800000</v>
      </c>
      <c r="O43" s="1" t="s">
        <v>171</v>
      </c>
      <c r="P43" s="1" t="s">
        <v>172</v>
      </c>
    </row>
    <row r="44" spans="1:16" x14ac:dyDescent="0.3">
      <c r="A44" s="5" t="s">
        <v>167</v>
      </c>
      <c r="B44" s="6">
        <v>12000</v>
      </c>
      <c r="C44" s="6">
        <f>B42-B43-B44</f>
        <v>1233000</v>
      </c>
      <c r="D44" s="5"/>
      <c r="E44" s="6"/>
      <c r="F44" s="6"/>
      <c r="H44" s="5" t="s">
        <v>173</v>
      </c>
      <c r="I44" s="6">
        <f>C57</f>
        <v>80000</v>
      </c>
      <c r="J44" s="6"/>
      <c r="K44" s="5"/>
      <c r="L44" s="6"/>
      <c r="M44" s="6"/>
    </row>
    <row r="45" spans="1:16" x14ac:dyDescent="0.3">
      <c r="A45" s="5" t="s">
        <v>8</v>
      </c>
      <c r="B45" s="6"/>
      <c r="C45" s="6">
        <v>80000</v>
      </c>
      <c r="D45" s="5"/>
      <c r="E45" s="6"/>
      <c r="F45" s="6"/>
      <c r="H45" s="5" t="s">
        <v>174</v>
      </c>
      <c r="I45" s="6">
        <v>3000</v>
      </c>
      <c r="J45" s="6"/>
      <c r="K45" s="5" t="s">
        <v>175</v>
      </c>
      <c r="L45" s="6">
        <v>400000</v>
      </c>
      <c r="M45" s="6"/>
    </row>
    <row r="46" spans="1:16" x14ac:dyDescent="0.3">
      <c r="A46" s="5" t="s">
        <v>176</v>
      </c>
      <c r="B46" s="6"/>
      <c r="C46" s="6">
        <v>16000</v>
      </c>
      <c r="D46" s="5"/>
      <c r="E46" s="6"/>
      <c r="F46" s="6"/>
      <c r="H46" s="5"/>
      <c r="I46" s="6">
        <f>I43+I44-I45</f>
        <v>1017000</v>
      </c>
      <c r="J46" s="6"/>
      <c r="K46" s="5" t="s">
        <v>170</v>
      </c>
      <c r="L46" s="6">
        <f>L45*10/100</f>
        <v>40000</v>
      </c>
      <c r="M46" s="6">
        <f>L45-L46</f>
        <v>360000</v>
      </c>
    </row>
    <row r="47" spans="1:16" x14ac:dyDescent="0.3">
      <c r="A47" s="5" t="s">
        <v>177</v>
      </c>
      <c r="B47" s="6"/>
      <c r="C47" s="6">
        <f>C48-C46-C45-C41-C44</f>
        <v>1921000</v>
      </c>
      <c r="D47" s="5"/>
      <c r="E47" s="6"/>
      <c r="F47" s="6"/>
      <c r="H47" s="5" t="s">
        <v>167</v>
      </c>
      <c r="I47" s="6">
        <v>12000</v>
      </c>
      <c r="J47" s="6"/>
      <c r="K47" s="5" t="s">
        <v>133</v>
      </c>
      <c r="L47" s="6">
        <v>600000</v>
      </c>
      <c r="M47" s="6"/>
    </row>
    <row r="48" spans="1:16" x14ac:dyDescent="0.3">
      <c r="A48" s="5"/>
      <c r="B48" s="6"/>
      <c r="C48" s="6">
        <f>F48</f>
        <v>3550000</v>
      </c>
      <c r="D48" s="5"/>
      <c r="E48" s="6"/>
      <c r="F48" s="6">
        <f>SUM(F41:F47)</f>
        <v>3550000</v>
      </c>
      <c r="H48" s="5" t="s">
        <v>58</v>
      </c>
      <c r="I48" s="6">
        <f>C62</f>
        <v>963300</v>
      </c>
      <c r="J48" s="6">
        <f>I46-I47+I48</f>
        <v>1968300</v>
      </c>
      <c r="K48" s="5" t="s">
        <v>178</v>
      </c>
      <c r="L48" s="6">
        <f>500000*30/100</f>
        <v>150000</v>
      </c>
      <c r="M48" s="6"/>
    </row>
    <row r="49" spans="1:14" x14ac:dyDescent="0.3">
      <c r="A49" s="5"/>
      <c r="B49" s="6"/>
      <c r="C49" s="6"/>
      <c r="D49" s="5"/>
      <c r="E49" s="6"/>
      <c r="F49" s="6"/>
      <c r="H49" s="5"/>
      <c r="I49" s="6"/>
      <c r="J49" s="6"/>
      <c r="K49" s="5" t="s">
        <v>179</v>
      </c>
      <c r="L49" s="6">
        <f>100000*30/100*6/12</f>
        <v>15000</v>
      </c>
      <c r="M49" s="6">
        <f>L47-L48-L49</f>
        <v>435000</v>
      </c>
      <c r="N49" s="1" t="s">
        <v>193</v>
      </c>
    </row>
    <row r="50" spans="1:14" x14ac:dyDescent="0.3">
      <c r="A50" s="5"/>
      <c r="B50" s="6"/>
      <c r="C50" s="6"/>
      <c r="D50" s="5"/>
      <c r="E50" s="6"/>
      <c r="F50" s="6"/>
      <c r="H50" s="5" t="s">
        <v>79</v>
      </c>
      <c r="I50" s="6">
        <v>751000</v>
      </c>
      <c r="J50" s="6"/>
      <c r="K50" s="5"/>
      <c r="L50" s="6"/>
      <c r="M50" s="6"/>
    </row>
    <row r="51" spans="1:14" x14ac:dyDescent="0.3">
      <c r="A51" s="5"/>
      <c r="B51" s="6"/>
      <c r="C51" s="6"/>
      <c r="D51" s="5" t="s">
        <v>139</v>
      </c>
      <c r="E51" s="6"/>
      <c r="F51" s="6">
        <f>C47</f>
        <v>1921000</v>
      </c>
      <c r="H51" s="5" t="s">
        <v>143</v>
      </c>
      <c r="I51" s="6">
        <f>I50*10/100</f>
        <v>75100</v>
      </c>
      <c r="J51" s="6">
        <f>I50+I51</f>
        <v>826100</v>
      </c>
      <c r="K51" s="5" t="s">
        <v>180</v>
      </c>
      <c r="L51" s="6">
        <v>150000</v>
      </c>
      <c r="M51" s="6"/>
    </row>
    <row r="52" spans="1:14" x14ac:dyDescent="0.3">
      <c r="A52" s="5" t="s">
        <v>181</v>
      </c>
      <c r="B52" s="6"/>
      <c r="C52" s="6">
        <v>120000</v>
      </c>
      <c r="D52" s="5" t="s">
        <v>182</v>
      </c>
      <c r="E52" s="6"/>
      <c r="F52" s="6">
        <v>3000</v>
      </c>
      <c r="H52" s="5"/>
      <c r="I52" s="6"/>
      <c r="J52" s="6"/>
      <c r="K52" s="5" t="s">
        <v>170</v>
      </c>
      <c r="L52" s="6">
        <v>30000</v>
      </c>
      <c r="M52" s="6">
        <f>L51-L52</f>
        <v>120000</v>
      </c>
    </row>
    <row r="53" spans="1:14" x14ac:dyDescent="0.3">
      <c r="A53" s="5" t="s">
        <v>150</v>
      </c>
      <c r="B53" s="6"/>
      <c r="C53" s="6">
        <v>240000</v>
      </c>
      <c r="D53" s="5" t="s">
        <v>183</v>
      </c>
      <c r="E53" s="6"/>
      <c r="F53" s="6">
        <f>L55</f>
        <v>2000</v>
      </c>
      <c r="H53" s="5"/>
      <c r="I53" s="6"/>
      <c r="J53" s="6"/>
      <c r="K53" s="5"/>
      <c r="L53" s="6"/>
      <c r="M53" s="6"/>
    </row>
    <row r="54" spans="1:14" x14ac:dyDescent="0.3">
      <c r="A54" s="5" t="s">
        <v>18</v>
      </c>
      <c r="B54" s="6">
        <v>4100</v>
      </c>
      <c r="C54" s="6"/>
      <c r="D54" s="5"/>
      <c r="E54" s="6"/>
      <c r="F54" s="6"/>
      <c r="H54" s="5"/>
      <c r="I54" s="6"/>
      <c r="J54" s="6"/>
      <c r="K54" s="5" t="s">
        <v>184</v>
      </c>
      <c r="L54" s="6">
        <v>100000</v>
      </c>
      <c r="M54" s="6"/>
    </row>
    <row r="55" spans="1:14" x14ac:dyDescent="0.3">
      <c r="A55" s="5" t="s">
        <v>185</v>
      </c>
      <c r="B55" s="6">
        <v>1500</v>
      </c>
      <c r="C55" s="6">
        <f>B54+B55</f>
        <v>5600</v>
      </c>
      <c r="D55" s="5"/>
      <c r="E55" s="6"/>
      <c r="F55" s="6"/>
      <c r="H55" s="5"/>
      <c r="I55" s="6"/>
      <c r="J55" s="6"/>
      <c r="K55" s="5" t="s">
        <v>186</v>
      </c>
      <c r="L55" s="6">
        <f>L54*8/100*3/12</f>
        <v>2000</v>
      </c>
      <c r="M55" s="6">
        <f>L54+L55</f>
        <v>102000</v>
      </c>
    </row>
    <row r="56" spans="1:14" x14ac:dyDescent="0.3">
      <c r="A56" s="5"/>
      <c r="B56" s="6"/>
      <c r="C56" s="6"/>
      <c r="D56" s="5"/>
      <c r="E56" s="6"/>
      <c r="F56" s="6"/>
      <c r="H56" s="7" t="s">
        <v>37</v>
      </c>
      <c r="J56" s="6"/>
      <c r="K56" s="7" t="s">
        <v>22</v>
      </c>
      <c r="M56" s="6"/>
    </row>
    <row r="57" spans="1:14" x14ac:dyDescent="0.3">
      <c r="A57" s="5" t="s">
        <v>161</v>
      </c>
      <c r="B57" s="6"/>
      <c r="C57" s="6">
        <f>I41*8/100</f>
        <v>80000</v>
      </c>
      <c r="D57" s="5"/>
      <c r="E57" s="6"/>
      <c r="F57" s="6"/>
      <c r="H57" s="6" t="s">
        <v>38</v>
      </c>
      <c r="I57" s="6"/>
      <c r="J57" s="6">
        <v>540000</v>
      </c>
      <c r="K57" s="6" t="s">
        <v>40</v>
      </c>
      <c r="L57" s="6">
        <v>131500</v>
      </c>
      <c r="M57" s="6"/>
    </row>
    <row r="58" spans="1:14" x14ac:dyDescent="0.3">
      <c r="A58" s="5"/>
      <c r="B58" s="6"/>
      <c r="C58" s="6"/>
      <c r="D58" s="5"/>
      <c r="E58" s="6"/>
      <c r="F58" s="6"/>
      <c r="H58" s="6"/>
      <c r="I58" s="6"/>
      <c r="J58" s="6"/>
      <c r="K58" s="6" t="s">
        <v>187</v>
      </c>
      <c r="L58" s="6">
        <v>10000</v>
      </c>
      <c r="M58" s="6" t="s">
        <v>192</v>
      </c>
    </row>
    <row r="59" spans="1:14" x14ac:dyDescent="0.3">
      <c r="A59" s="5" t="s">
        <v>160</v>
      </c>
      <c r="B59" s="6"/>
      <c r="C59" s="16">
        <f>L43+L46+L48+L49+L52</f>
        <v>435000</v>
      </c>
      <c r="D59" s="5" t="s">
        <v>191</v>
      </c>
      <c r="E59" s="6"/>
      <c r="F59" s="6"/>
      <c r="H59" s="5" t="s">
        <v>41</v>
      </c>
      <c r="I59" s="6"/>
      <c r="J59" s="6">
        <v>90000</v>
      </c>
      <c r="K59" s="5" t="s">
        <v>65</v>
      </c>
      <c r="L59" s="6">
        <v>1500</v>
      </c>
      <c r="M59" s="6"/>
    </row>
    <row r="60" spans="1:14" x14ac:dyDescent="0.3">
      <c r="A60" s="5" t="s">
        <v>188</v>
      </c>
      <c r="B60" s="6"/>
      <c r="C60" s="6">
        <f>L61</f>
        <v>7000</v>
      </c>
      <c r="D60" s="5"/>
      <c r="E60" s="6"/>
      <c r="F60" s="6"/>
      <c r="H60" s="5" t="s">
        <v>39</v>
      </c>
      <c r="I60" s="6"/>
      <c r="J60" s="6">
        <v>33000</v>
      </c>
      <c r="K60" s="5"/>
      <c r="L60" s="6">
        <f>L57+L58-L59</f>
        <v>140000</v>
      </c>
      <c r="M60" s="6"/>
    </row>
    <row r="61" spans="1:14" x14ac:dyDescent="0.3">
      <c r="A61" s="5" t="s">
        <v>189</v>
      </c>
      <c r="B61" s="6"/>
      <c r="C61" s="6">
        <f>I51</f>
        <v>75100</v>
      </c>
      <c r="D61" s="5"/>
      <c r="E61" s="6"/>
      <c r="F61" s="6"/>
      <c r="H61" s="5"/>
      <c r="I61" s="6"/>
      <c r="J61" s="6"/>
      <c r="K61" s="5" t="s">
        <v>190</v>
      </c>
      <c r="L61" s="6">
        <f>L60*5/100</f>
        <v>7000</v>
      </c>
      <c r="M61" s="6">
        <f>L60-L61</f>
        <v>133000</v>
      </c>
    </row>
    <row r="62" spans="1:14" x14ac:dyDescent="0.3">
      <c r="A62" s="5" t="s">
        <v>20</v>
      </c>
      <c r="B62" s="6"/>
      <c r="C62" s="6">
        <f>C63-C61-C60-C59-C57-C55-C53-C52</f>
        <v>963300</v>
      </c>
      <c r="D62" s="5"/>
      <c r="E62" s="6"/>
      <c r="F62" s="6"/>
      <c r="H62" s="5"/>
      <c r="I62" s="6"/>
      <c r="J62" s="6"/>
      <c r="K62" s="5" t="s">
        <v>46</v>
      </c>
      <c r="L62" s="6"/>
      <c r="M62" s="6">
        <v>7400</v>
      </c>
    </row>
    <row r="63" spans="1:14" x14ac:dyDescent="0.3">
      <c r="A63" s="5"/>
      <c r="B63" s="6"/>
      <c r="C63" s="6">
        <f>F63</f>
        <v>1926000</v>
      </c>
      <c r="D63" s="5"/>
      <c r="E63" s="6"/>
      <c r="F63" s="6">
        <f>SUM(F51:F62)</f>
        <v>1926000</v>
      </c>
      <c r="H63" s="5"/>
      <c r="I63" s="6"/>
      <c r="J63" s="6"/>
      <c r="K63" s="5" t="s">
        <v>42</v>
      </c>
      <c r="L63" s="6"/>
      <c r="M63" s="6">
        <v>500000</v>
      </c>
    </row>
    <row r="64" spans="1:14" x14ac:dyDescent="0.3">
      <c r="A64" s="5"/>
      <c r="B64" s="6"/>
      <c r="C64" s="6"/>
      <c r="D64" s="5"/>
      <c r="E64" s="6"/>
      <c r="F64" s="6"/>
      <c r="H64" s="5"/>
      <c r="I64" s="6"/>
      <c r="J64" s="6"/>
      <c r="K64" s="5"/>
      <c r="L64" s="6"/>
      <c r="M64" s="6"/>
    </row>
    <row r="65" spans="1:14" x14ac:dyDescent="0.3">
      <c r="H65" s="17"/>
      <c r="I65" s="18"/>
      <c r="J65" s="18">
        <f>SUM(J41:J64)</f>
        <v>3457400</v>
      </c>
      <c r="K65" s="17"/>
      <c r="L65" s="18"/>
      <c r="M65" s="18">
        <f>SUM(M41:M64)</f>
        <v>3457400</v>
      </c>
      <c r="N65" s="2">
        <f>M65-J65</f>
        <v>0</v>
      </c>
    </row>
    <row r="67" spans="1:14" x14ac:dyDescent="0.3">
      <c r="A67" s="1" t="s">
        <v>70</v>
      </c>
    </row>
    <row r="68" spans="1:14" x14ac:dyDescent="0.3">
      <c r="A68" s="1" t="s">
        <v>28</v>
      </c>
      <c r="H68" s="1" t="s">
        <v>9</v>
      </c>
    </row>
    <row r="69" spans="1:14" x14ac:dyDescent="0.3">
      <c r="A69" s="1" t="s">
        <v>0</v>
      </c>
      <c r="F69" s="2" t="s">
        <v>1</v>
      </c>
    </row>
    <row r="70" spans="1:14" x14ac:dyDescent="0.3">
      <c r="A70" s="3" t="s">
        <v>2</v>
      </c>
      <c r="B70" s="4" t="s">
        <v>3</v>
      </c>
      <c r="C70" s="4" t="s">
        <v>3</v>
      </c>
      <c r="D70" s="3" t="s">
        <v>2</v>
      </c>
      <c r="E70" s="4" t="s">
        <v>3</v>
      </c>
      <c r="F70" s="4" t="s">
        <v>3</v>
      </c>
      <c r="H70" s="3" t="s">
        <v>6</v>
      </c>
      <c r="I70" s="4" t="s">
        <v>3</v>
      </c>
      <c r="J70" s="4" t="s">
        <v>3</v>
      </c>
      <c r="K70" s="3" t="s">
        <v>4</v>
      </c>
      <c r="L70" s="4" t="s">
        <v>3</v>
      </c>
      <c r="M70" s="4" t="s">
        <v>3</v>
      </c>
    </row>
    <row r="71" spans="1:14" x14ac:dyDescent="0.3">
      <c r="A71" s="5" t="s">
        <v>23</v>
      </c>
      <c r="B71" s="6"/>
      <c r="C71" s="6">
        <v>42000</v>
      </c>
      <c r="D71" s="5" t="s">
        <v>71</v>
      </c>
      <c r="E71" s="6">
        <v>814000</v>
      </c>
      <c r="F71" s="6"/>
      <c r="H71" s="5" t="s">
        <v>21</v>
      </c>
      <c r="I71" s="6">
        <v>1035000</v>
      </c>
      <c r="J71" s="6"/>
      <c r="K71" s="7" t="s">
        <v>30</v>
      </c>
      <c r="L71" s="6"/>
      <c r="M71" s="6"/>
    </row>
    <row r="72" spans="1:14" x14ac:dyDescent="0.3">
      <c r="A72" s="5" t="s">
        <v>5</v>
      </c>
      <c r="B72" s="6">
        <v>250000</v>
      </c>
      <c r="C72" s="6"/>
      <c r="D72" s="5" t="s">
        <v>72</v>
      </c>
      <c r="E72" s="6">
        <v>4100</v>
      </c>
      <c r="F72" s="6">
        <f>E71-E72</f>
        <v>809900</v>
      </c>
      <c r="H72" s="7" t="s">
        <v>58</v>
      </c>
      <c r="I72" s="8">
        <f>C98</f>
        <v>176750</v>
      </c>
      <c r="J72" s="6">
        <f>I71+I72</f>
        <v>1211750</v>
      </c>
      <c r="K72" s="5" t="s">
        <v>73</v>
      </c>
      <c r="L72" s="6"/>
      <c r="M72" s="6">
        <v>1050000</v>
      </c>
    </row>
    <row r="73" spans="1:14" x14ac:dyDescent="0.3">
      <c r="A73" s="5" t="s">
        <v>72</v>
      </c>
      <c r="B73" s="6">
        <v>5000</v>
      </c>
      <c r="C73" s="6"/>
      <c r="D73" s="5"/>
      <c r="E73" s="6"/>
      <c r="F73" s="6"/>
      <c r="H73" s="5"/>
      <c r="I73" s="6"/>
      <c r="J73" s="6"/>
      <c r="K73" s="5" t="s">
        <v>74</v>
      </c>
      <c r="L73" s="6">
        <v>600000</v>
      </c>
      <c r="M73" s="6"/>
    </row>
    <row r="74" spans="1:14" x14ac:dyDescent="0.3">
      <c r="A74" s="5" t="s">
        <v>75</v>
      </c>
      <c r="B74" s="6">
        <v>20000</v>
      </c>
      <c r="C74" s="6">
        <f>B72-B73+B74</f>
        <v>265000</v>
      </c>
      <c r="D74" s="5"/>
      <c r="E74" s="6"/>
      <c r="F74" s="6"/>
      <c r="H74" s="5"/>
      <c r="I74" s="6"/>
      <c r="J74" s="6"/>
      <c r="K74" s="5" t="s">
        <v>54</v>
      </c>
      <c r="L74" s="6">
        <f>L73*10/100</f>
        <v>60000</v>
      </c>
      <c r="M74" s="6">
        <f>L73-L74</f>
        <v>540000</v>
      </c>
    </row>
    <row r="75" spans="1:14" x14ac:dyDescent="0.3">
      <c r="A75" s="5" t="s">
        <v>7</v>
      </c>
      <c r="B75" s="6"/>
      <c r="C75" s="6">
        <v>18000</v>
      </c>
      <c r="D75" s="5" t="s">
        <v>24</v>
      </c>
      <c r="E75" s="6"/>
      <c r="F75" s="6">
        <v>50000</v>
      </c>
      <c r="H75" s="5"/>
      <c r="I75" s="6"/>
      <c r="J75" s="6"/>
      <c r="K75" s="5" t="s">
        <v>36</v>
      </c>
      <c r="L75" s="6">
        <v>380000</v>
      </c>
      <c r="M75" s="6"/>
    </row>
    <row r="76" spans="1:14" x14ac:dyDescent="0.3">
      <c r="A76" s="5" t="s">
        <v>8</v>
      </c>
      <c r="B76" s="6"/>
      <c r="C76" s="6">
        <v>20000</v>
      </c>
      <c r="D76" s="5"/>
      <c r="E76" s="6"/>
      <c r="F76" s="6"/>
      <c r="H76" s="5"/>
      <c r="I76" s="6"/>
      <c r="J76" s="6"/>
      <c r="K76" s="5" t="s">
        <v>76</v>
      </c>
      <c r="L76" s="6">
        <f>L75*30/100</f>
        <v>114000</v>
      </c>
      <c r="M76" s="6">
        <f>L75-L76</f>
        <v>266000</v>
      </c>
    </row>
    <row r="77" spans="1:14" x14ac:dyDescent="0.3">
      <c r="A77" s="7" t="s">
        <v>10</v>
      </c>
      <c r="B77" s="8"/>
      <c r="C77" s="8">
        <f>C78-C76-C75-C74-C71</f>
        <v>514900</v>
      </c>
      <c r="D77" s="5"/>
      <c r="E77" s="6"/>
      <c r="F77" s="6"/>
      <c r="H77" s="5"/>
      <c r="I77" s="6"/>
      <c r="J77" s="6"/>
      <c r="K77" s="5" t="s">
        <v>77</v>
      </c>
      <c r="L77" s="6">
        <v>175000</v>
      </c>
      <c r="M77" s="6"/>
    </row>
    <row r="78" spans="1:14" x14ac:dyDescent="0.3">
      <c r="A78" s="7" t="s">
        <v>47</v>
      </c>
      <c r="B78" s="8"/>
      <c r="C78" s="8">
        <f>F78</f>
        <v>859900</v>
      </c>
      <c r="D78" s="7" t="s">
        <v>47</v>
      </c>
      <c r="E78" s="8"/>
      <c r="F78" s="8">
        <f>SUM(F71:F77)</f>
        <v>859900</v>
      </c>
      <c r="H78" s="5"/>
      <c r="I78" s="6"/>
      <c r="J78" s="6"/>
      <c r="K78" s="5" t="s">
        <v>78</v>
      </c>
      <c r="L78" s="6">
        <f>L77*40/100</f>
        <v>70000</v>
      </c>
      <c r="M78" s="6">
        <f>L77-L78</f>
        <v>105000</v>
      </c>
    </row>
    <row r="79" spans="1:14" x14ac:dyDescent="0.3">
      <c r="A79" s="5"/>
      <c r="B79" s="6"/>
      <c r="C79" s="6"/>
      <c r="D79" s="5"/>
      <c r="E79" s="6"/>
      <c r="F79" s="6"/>
      <c r="H79" s="5" t="s">
        <v>79</v>
      </c>
      <c r="I79" s="6">
        <v>1040200</v>
      </c>
      <c r="J79" s="6"/>
      <c r="K79" s="5"/>
      <c r="L79" s="6"/>
      <c r="M79" s="6"/>
    </row>
    <row r="80" spans="1:14" x14ac:dyDescent="0.3">
      <c r="A80" s="5"/>
      <c r="B80" s="6"/>
      <c r="C80" s="6"/>
      <c r="D80" s="5"/>
      <c r="E80" s="6"/>
      <c r="F80" s="6"/>
      <c r="H80" s="5" t="s">
        <v>80</v>
      </c>
      <c r="I80" s="6">
        <f>B92</f>
        <v>5000</v>
      </c>
      <c r="J80" s="6">
        <f>I79+I80</f>
        <v>1045200</v>
      </c>
      <c r="K80" s="5" t="s">
        <v>81</v>
      </c>
      <c r="L80" s="6">
        <v>90200</v>
      </c>
      <c r="M80" s="6"/>
    </row>
    <row r="81" spans="1:13" x14ac:dyDescent="0.3">
      <c r="A81" s="5"/>
      <c r="B81" s="6"/>
      <c r="C81" s="6"/>
      <c r="D81" s="5"/>
      <c r="E81" s="6"/>
      <c r="F81" s="6"/>
      <c r="H81" s="5"/>
      <c r="I81" s="6"/>
      <c r="J81" s="6"/>
      <c r="K81" s="5"/>
      <c r="L81" s="6"/>
      <c r="M81" s="6"/>
    </row>
    <row r="82" spans="1:13" x14ac:dyDescent="0.3">
      <c r="A82" s="5"/>
      <c r="B82" s="6"/>
      <c r="C82" s="6"/>
      <c r="D82" s="7" t="s">
        <v>11</v>
      </c>
      <c r="E82" s="8"/>
      <c r="F82" s="8">
        <f>C77</f>
        <v>514900</v>
      </c>
      <c r="H82" s="5"/>
      <c r="I82" s="6"/>
      <c r="J82" s="6"/>
      <c r="K82" s="5"/>
      <c r="L82" s="6"/>
      <c r="M82" s="6"/>
    </row>
    <row r="83" spans="1:13" x14ac:dyDescent="0.3">
      <c r="A83" s="5"/>
      <c r="B83" s="6"/>
      <c r="C83" s="6"/>
      <c r="D83" s="5" t="s">
        <v>82</v>
      </c>
      <c r="E83" s="6">
        <v>18000</v>
      </c>
      <c r="F83" s="6"/>
      <c r="H83" s="5"/>
      <c r="I83" s="6"/>
      <c r="J83" s="6"/>
      <c r="K83" s="5" t="s">
        <v>83</v>
      </c>
      <c r="L83" s="6">
        <f>L80*25/100</f>
        <v>22550</v>
      </c>
      <c r="M83" s="6">
        <f>L80-L83</f>
        <v>67650</v>
      </c>
    </row>
    <row r="84" spans="1:13" x14ac:dyDescent="0.3">
      <c r="A84" s="5" t="s">
        <v>84</v>
      </c>
      <c r="B84" s="6"/>
      <c r="C84" s="6">
        <v>10000</v>
      </c>
      <c r="D84" s="5" t="s">
        <v>85</v>
      </c>
      <c r="E84" s="6">
        <f>1500</f>
        <v>1500</v>
      </c>
      <c r="F84" s="6">
        <f>E83+E84</f>
        <v>19500</v>
      </c>
      <c r="H84" s="7" t="s">
        <v>37</v>
      </c>
      <c r="I84" s="6"/>
      <c r="J84" s="6"/>
      <c r="M84" s="6"/>
    </row>
    <row r="85" spans="1:13" x14ac:dyDescent="0.3">
      <c r="A85" s="5" t="s">
        <v>13</v>
      </c>
      <c r="B85" s="6">
        <v>58000</v>
      </c>
      <c r="C85" s="6"/>
      <c r="D85" s="5" t="s">
        <v>12</v>
      </c>
      <c r="E85" s="6"/>
      <c r="F85" s="6">
        <v>2000</v>
      </c>
      <c r="H85" s="5" t="s">
        <v>38</v>
      </c>
      <c r="I85" s="6">
        <v>56600</v>
      </c>
      <c r="J85" s="6"/>
      <c r="K85" s="5" t="s">
        <v>60</v>
      </c>
      <c r="L85" s="6"/>
      <c r="M85" s="6">
        <v>200000</v>
      </c>
    </row>
    <row r="86" spans="1:13" x14ac:dyDescent="0.3">
      <c r="A86" s="5" t="s">
        <v>86</v>
      </c>
      <c r="B86" s="6">
        <v>6000</v>
      </c>
      <c r="C86" s="6">
        <f>B85-B86</f>
        <v>52000</v>
      </c>
      <c r="D86" s="5"/>
      <c r="E86" s="6"/>
      <c r="F86" s="6"/>
      <c r="H86" s="5" t="s">
        <v>75</v>
      </c>
      <c r="I86" s="6">
        <f>B74</f>
        <v>20000</v>
      </c>
      <c r="J86" s="6">
        <f>I85+I86</f>
        <v>76600</v>
      </c>
      <c r="K86" s="7" t="s">
        <v>22</v>
      </c>
      <c r="L86" s="6"/>
      <c r="M86" s="6"/>
    </row>
    <row r="87" spans="1:13" x14ac:dyDescent="0.3">
      <c r="A87" s="5" t="s">
        <v>18</v>
      </c>
      <c r="B87" s="6"/>
      <c r="C87" s="6">
        <v>2000</v>
      </c>
      <c r="D87" s="5"/>
      <c r="E87" s="6"/>
      <c r="F87" s="6"/>
      <c r="H87" s="5" t="s">
        <v>41</v>
      </c>
      <c r="I87" s="6"/>
      <c r="J87" s="6">
        <v>23000</v>
      </c>
      <c r="K87" s="5" t="s">
        <v>40</v>
      </c>
      <c r="L87" s="6">
        <v>52000</v>
      </c>
      <c r="M87" s="6"/>
    </row>
    <row r="88" spans="1:13" x14ac:dyDescent="0.3">
      <c r="A88" s="5" t="s">
        <v>15</v>
      </c>
      <c r="B88" s="6"/>
      <c r="C88" s="6">
        <v>8300</v>
      </c>
      <c r="D88" s="5"/>
      <c r="E88" s="6"/>
      <c r="F88" s="6"/>
      <c r="H88" s="5"/>
      <c r="I88" s="6"/>
      <c r="J88" s="6"/>
      <c r="K88" s="5" t="s">
        <v>87</v>
      </c>
      <c r="L88" s="6">
        <v>2000</v>
      </c>
      <c r="M88" s="6">
        <f>L87-L88</f>
        <v>50000</v>
      </c>
    </row>
    <row r="89" spans="1:13" x14ac:dyDescent="0.3">
      <c r="A89" s="5" t="s">
        <v>43</v>
      </c>
      <c r="B89" s="6"/>
      <c r="C89" s="6">
        <v>100</v>
      </c>
      <c r="D89" s="5"/>
      <c r="E89" s="6"/>
      <c r="F89" s="6"/>
      <c r="H89" s="5"/>
      <c r="I89" s="6"/>
      <c r="J89" s="6"/>
      <c r="K89" s="5" t="s">
        <v>42</v>
      </c>
      <c r="L89" s="6"/>
      <c r="M89" s="6">
        <v>50000</v>
      </c>
    </row>
    <row r="90" spans="1:13" x14ac:dyDescent="0.3">
      <c r="A90" s="5" t="s">
        <v>27</v>
      </c>
      <c r="B90" s="6"/>
      <c r="C90" s="6">
        <v>5700</v>
      </c>
      <c r="D90" s="5"/>
      <c r="E90" s="6"/>
      <c r="F90" s="6"/>
      <c r="H90" s="5"/>
      <c r="I90" s="6"/>
      <c r="J90" s="6"/>
      <c r="K90" s="5" t="s">
        <v>88</v>
      </c>
      <c r="L90" s="6"/>
      <c r="M90" s="6">
        <f>B86</f>
        <v>6000</v>
      </c>
    </row>
    <row r="91" spans="1:13" x14ac:dyDescent="0.3">
      <c r="A91" s="5" t="s">
        <v>89</v>
      </c>
      <c r="B91" s="6">
        <v>10000</v>
      </c>
      <c r="C91" s="6"/>
      <c r="D91" s="5"/>
      <c r="E91" s="6"/>
      <c r="F91" s="6"/>
      <c r="H91" s="5"/>
      <c r="I91" s="6"/>
      <c r="J91" s="6"/>
      <c r="K91" s="5" t="s">
        <v>90</v>
      </c>
      <c r="L91" s="6"/>
      <c r="M91" s="6">
        <v>20000</v>
      </c>
    </row>
    <row r="92" spans="1:13" x14ac:dyDescent="0.3">
      <c r="A92" s="5" t="s">
        <v>34</v>
      </c>
      <c r="B92" s="6">
        <v>5000</v>
      </c>
      <c r="C92" s="6">
        <f>B91+B92</f>
        <v>15000</v>
      </c>
      <c r="D92" s="5"/>
      <c r="E92" s="6"/>
      <c r="F92" s="6"/>
      <c r="H92" s="5"/>
      <c r="I92" s="6"/>
      <c r="J92" s="6"/>
      <c r="K92" s="5" t="s">
        <v>46</v>
      </c>
      <c r="L92" s="6"/>
      <c r="M92" s="6">
        <v>400</v>
      </c>
    </row>
    <row r="93" spans="1:13" x14ac:dyDescent="0.3">
      <c r="A93" s="5" t="s">
        <v>17</v>
      </c>
      <c r="B93" s="6"/>
      <c r="C93" s="6"/>
      <c r="D93" s="5"/>
      <c r="E93" s="6"/>
      <c r="F93" s="6"/>
      <c r="H93" s="5"/>
      <c r="I93" s="6"/>
      <c r="J93" s="6"/>
      <c r="K93" s="5" t="s">
        <v>91</v>
      </c>
      <c r="L93" s="6"/>
      <c r="M93" s="6">
        <f>E84</f>
        <v>1500</v>
      </c>
    </row>
    <row r="94" spans="1:13" x14ac:dyDescent="0.3">
      <c r="A94" s="5" t="s">
        <v>92</v>
      </c>
      <c r="B94" s="6">
        <f>L74</f>
        <v>60000</v>
      </c>
      <c r="C94" s="6"/>
      <c r="D94" s="5"/>
      <c r="E94" s="6"/>
      <c r="F94" s="6"/>
      <c r="H94" s="5"/>
      <c r="I94" s="6"/>
      <c r="J94" s="6"/>
      <c r="K94" s="5"/>
      <c r="L94" s="6"/>
      <c r="M94" s="6"/>
    </row>
    <row r="95" spans="1:13" x14ac:dyDescent="0.3">
      <c r="A95" s="5" t="s">
        <v>68</v>
      </c>
      <c r="B95" s="6">
        <f>L76</f>
        <v>114000</v>
      </c>
      <c r="C95" s="6"/>
      <c r="D95" s="5"/>
      <c r="E95" s="6"/>
      <c r="F95" s="6"/>
      <c r="H95" s="7" t="s">
        <v>47</v>
      </c>
      <c r="I95" s="8"/>
      <c r="J95" s="8">
        <f>SUM(J71:J94)</f>
        <v>2356550</v>
      </c>
      <c r="K95" s="7" t="s">
        <v>47</v>
      </c>
      <c r="L95" s="8"/>
      <c r="M95" s="8">
        <f>SUM(M72:M94)</f>
        <v>2356550</v>
      </c>
    </row>
    <row r="96" spans="1:13" x14ac:dyDescent="0.3">
      <c r="A96" s="3" t="s">
        <v>93</v>
      </c>
      <c r="B96" s="4">
        <f>L78</f>
        <v>70000</v>
      </c>
      <c r="C96" s="4">
        <f>B94+B95+B96</f>
        <v>244000</v>
      </c>
      <c r="D96" s="3"/>
      <c r="E96" s="4"/>
      <c r="F96" s="4"/>
      <c r="H96" s="5"/>
      <c r="I96" s="6"/>
      <c r="J96" s="6"/>
      <c r="K96" s="5"/>
      <c r="L96" s="6"/>
      <c r="M96" s="6"/>
    </row>
    <row r="97" spans="1:13" x14ac:dyDescent="0.3">
      <c r="A97" s="5" t="s">
        <v>94</v>
      </c>
      <c r="B97" s="6"/>
      <c r="C97" s="6">
        <f>L83</f>
        <v>22550</v>
      </c>
      <c r="D97" s="5"/>
      <c r="E97" s="6"/>
      <c r="F97" s="6"/>
    </row>
    <row r="98" spans="1:13" x14ac:dyDescent="0.3">
      <c r="A98" s="7" t="s">
        <v>20</v>
      </c>
      <c r="B98" s="8"/>
      <c r="C98" s="8">
        <f>C100-C97-C96-C92-C90-C89-C88-C87-C86-C84</f>
        <v>176750</v>
      </c>
      <c r="D98" s="5"/>
      <c r="E98" s="6"/>
      <c r="F98" s="6"/>
    </row>
    <row r="99" spans="1:13" x14ac:dyDescent="0.3">
      <c r="A99" s="5"/>
      <c r="B99" s="6"/>
      <c r="C99" s="6"/>
      <c r="D99" s="5"/>
      <c r="E99" s="6"/>
      <c r="F99" s="6"/>
    </row>
    <row r="100" spans="1:13" x14ac:dyDescent="0.3">
      <c r="A100" s="7" t="s">
        <v>47</v>
      </c>
      <c r="B100" s="8"/>
      <c r="C100" s="8">
        <f>F100</f>
        <v>536400</v>
      </c>
      <c r="D100" s="7" t="s">
        <v>47</v>
      </c>
      <c r="E100" s="8"/>
      <c r="F100" s="8">
        <f>SUM(F82:F99)</f>
        <v>536400</v>
      </c>
    </row>
    <row r="102" spans="1:13" x14ac:dyDescent="0.3">
      <c r="A102" s="1" t="s">
        <v>95</v>
      </c>
    </row>
    <row r="103" spans="1:13" x14ac:dyDescent="0.3">
      <c r="A103" s="1" t="s">
        <v>28</v>
      </c>
      <c r="H103" s="1" t="s">
        <v>9</v>
      </c>
    </row>
    <row r="104" spans="1:13" x14ac:dyDescent="0.3">
      <c r="A104" s="1" t="s">
        <v>0</v>
      </c>
      <c r="F104" s="2" t="s">
        <v>1</v>
      </c>
    </row>
    <row r="105" spans="1:13" x14ac:dyDescent="0.3">
      <c r="A105" s="5" t="s">
        <v>2</v>
      </c>
      <c r="B105" s="6" t="s">
        <v>3</v>
      </c>
      <c r="C105" s="6" t="s">
        <v>3</v>
      </c>
      <c r="D105" s="5" t="s">
        <v>2</v>
      </c>
      <c r="E105" s="6" t="s">
        <v>3</v>
      </c>
      <c r="F105" s="6" t="s">
        <v>3</v>
      </c>
      <c r="H105" s="3" t="s">
        <v>6</v>
      </c>
      <c r="I105" s="4" t="s">
        <v>3</v>
      </c>
      <c r="J105" s="4" t="s">
        <v>3</v>
      </c>
      <c r="K105" s="3" t="s">
        <v>4</v>
      </c>
      <c r="L105" s="4" t="s">
        <v>3</v>
      </c>
      <c r="M105" s="4" t="s">
        <v>3</v>
      </c>
    </row>
    <row r="106" spans="1:13" x14ac:dyDescent="0.3">
      <c r="A106" s="5" t="s">
        <v>23</v>
      </c>
      <c r="B106" s="6"/>
      <c r="C106" s="6">
        <v>56200</v>
      </c>
      <c r="D106" s="5" t="s">
        <v>29</v>
      </c>
      <c r="E106" s="6"/>
      <c r="F106" s="6">
        <v>3748000</v>
      </c>
      <c r="H106" s="5" t="s">
        <v>21</v>
      </c>
      <c r="I106" s="6">
        <v>7000000</v>
      </c>
      <c r="J106" s="6"/>
      <c r="K106" s="7" t="s">
        <v>30</v>
      </c>
      <c r="L106" s="6"/>
      <c r="M106" s="6"/>
    </row>
    <row r="107" spans="1:13" x14ac:dyDescent="0.3">
      <c r="A107" s="5" t="s">
        <v>5</v>
      </c>
      <c r="B107" s="6">
        <v>1542000</v>
      </c>
      <c r="C107" s="6"/>
      <c r="D107" s="5"/>
      <c r="E107" s="6"/>
      <c r="F107" s="6"/>
      <c r="H107" s="5" t="s">
        <v>53</v>
      </c>
      <c r="I107" s="6">
        <v>4500</v>
      </c>
      <c r="J107" s="6"/>
      <c r="K107" s="5" t="s">
        <v>35</v>
      </c>
      <c r="L107" s="6">
        <v>6000000</v>
      </c>
      <c r="M107" s="6"/>
    </row>
    <row r="108" spans="1:13" x14ac:dyDescent="0.3">
      <c r="A108" s="5" t="s">
        <v>96</v>
      </c>
      <c r="B108" s="6">
        <v>2000</v>
      </c>
      <c r="C108" s="6">
        <f>B107-B108</f>
        <v>1540000</v>
      </c>
      <c r="D108" s="5" t="s">
        <v>24</v>
      </c>
      <c r="E108" s="6"/>
      <c r="F108" s="6">
        <v>128000</v>
      </c>
      <c r="H108" s="14"/>
      <c r="I108" s="15">
        <f>I106-I107</f>
        <v>6995500</v>
      </c>
      <c r="J108" s="15"/>
      <c r="K108" s="14" t="s">
        <v>54</v>
      </c>
      <c r="L108" s="15">
        <f>L107*10/100</f>
        <v>600000</v>
      </c>
      <c r="M108" s="15">
        <f>L107-L108</f>
        <v>5400000</v>
      </c>
    </row>
    <row r="109" spans="1:13" x14ac:dyDescent="0.3">
      <c r="A109" s="5" t="s">
        <v>8</v>
      </c>
      <c r="B109" s="6">
        <v>126000</v>
      </c>
      <c r="C109" s="6"/>
      <c r="D109" s="5"/>
      <c r="E109" s="6"/>
      <c r="F109" s="6"/>
      <c r="H109" s="7" t="s">
        <v>58</v>
      </c>
      <c r="I109" s="8">
        <f>C140</f>
        <v>992059</v>
      </c>
      <c r="J109" s="6">
        <f>I108+I109</f>
        <v>7987559</v>
      </c>
      <c r="K109" s="5" t="s">
        <v>36</v>
      </c>
      <c r="L109" s="6">
        <v>2000000</v>
      </c>
      <c r="M109" s="6"/>
    </row>
    <row r="110" spans="1:13" x14ac:dyDescent="0.3">
      <c r="A110" s="5" t="s">
        <v>97</v>
      </c>
      <c r="B110" s="6">
        <v>8000</v>
      </c>
      <c r="C110" s="6">
        <f>B109+B110</f>
        <v>134000</v>
      </c>
      <c r="D110" s="5"/>
      <c r="E110" s="6"/>
      <c r="F110" s="6"/>
      <c r="H110" s="5"/>
      <c r="I110" s="6"/>
      <c r="J110" s="6"/>
      <c r="K110" s="5" t="s">
        <v>98</v>
      </c>
      <c r="L110" s="6">
        <v>5000</v>
      </c>
      <c r="M110" s="6"/>
    </row>
    <row r="111" spans="1:13" x14ac:dyDescent="0.3">
      <c r="A111" s="5" t="s">
        <v>99</v>
      </c>
      <c r="B111" s="6"/>
      <c r="C111" s="6">
        <v>8000</v>
      </c>
      <c r="D111" s="5"/>
      <c r="E111" s="6"/>
      <c r="F111" s="6"/>
      <c r="H111" s="5"/>
      <c r="I111" s="6"/>
      <c r="J111" s="6"/>
      <c r="K111" s="5"/>
      <c r="L111" s="6">
        <f>L109+L110</f>
        <v>2005000</v>
      </c>
      <c r="M111" s="6"/>
    </row>
    <row r="112" spans="1:13" x14ac:dyDescent="0.3">
      <c r="A112" s="7" t="s">
        <v>10</v>
      </c>
      <c r="B112" s="8"/>
      <c r="C112" s="8">
        <f>C114-C111-C110-C108-C106</f>
        <v>2137800</v>
      </c>
      <c r="D112" s="5"/>
      <c r="E112" s="6"/>
      <c r="F112" s="6"/>
      <c r="H112" s="5"/>
      <c r="I112" s="6"/>
      <c r="J112" s="6"/>
      <c r="K112" s="5" t="s">
        <v>100</v>
      </c>
      <c r="L112" s="6">
        <f>L109*15/100</f>
        <v>300000</v>
      </c>
      <c r="M112" s="6"/>
    </row>
    <row r="113" spans="1:13" x14ac:dyDescent="0.3">
      <c r="A113" s="5"/>
      <c r="B113" s="6"/>
      <c r="C113" s="6"/>
      <c r="D113" s="5"/>
      <c r="E113" s="6"/>
      <c r="F113" s="6"/>
      <c r="H113" s="5"/>
      <c r="I113" s="6"/>
      <c r="J113" s="6"/>
      <c r="K113" s="5"/>
      <c r="L113" s="6">
        <f>L110*15/100*6/12</f>
        <v>375</v>
      </c>
      <c r="M113" s="6">
        <f>L111-L112-L113</f>
        <v>1704625</v>
      </c>
    </row>
    <row r="114" spans="1:13" x14ac:dyDescent="0.3">
      <c r="A114" s="5"/>
      <c r="B114" s="6"/>
      <c r="C114" s="6">
        <f>F114</f>
        <v>3876000</v>
      </c>
      <c r="D114" s="5"/>
      <c r="E114" s="6"/>
      <c r="F114" s="6">
        <f>SUM(F106:F113)</f>
        <v>3876000</v>
      </c>
      <c r="H114" s="7" t="s">
        <v>101</v>
      </c>
      <c r="I114" s="6"/>
      <c r="J114" s="6"/>
      <c r="K114" s="5" t="s">
        <v>33</v>
      </c>
      <c r="L114" s="6">
        <v>180000</v>
      </c>
      <c r="M114" s="6"/>
    </row>
    <row r="115" spans="1:13" x14ac:dyDescent="0.3">
      <c r="A115" s="5"/>
      <c r="B115" s="6"/>
      <c r="C115" s="6"/>
      <c r="D115" s="5"/>
      <c r="E115" s="6"/>
      <c r="F115" s="6"/>
      <c r="H115" s="5" t="s">
        <v>102</v>
      </c>
      <c r="I115" s="6">
        <v>92700</v>
      </c>
      <c r="J115" s="6"/>
      <c r="K115" s="5" t="s">
        <v>32</v>
      </c>
      <c r="L115" s="6">
        <f>L114*25/100</f>
        <v>45000</v>
      </c>
      <c r="M115" s="6">
        <f>L114-L115</f>
        <v>135000</v>
      </c>
    </row>
    <row r="116" spans="1:13" x14ac:dyDescent="0.3">
      <c r="A116" s="5"/>
      <c r="B116" s="6"/>
      <c r="C116" s="6"/>
      <c r="D116" s="5"/>
      <c r="E116" s="6"/>
      <c r="F116" s="6"/>
      <c r="H116" s="5" t="s">
        <v>103</v>
      </c>
      <c r="I116" s="6">
        <f>(I115*8/100)-5000</f>
        <v>2416</v>
      </c>
      <c r="J116" s="6">
        <f>I115+I116</f>
        <v>95116</v>
      </c>
      <c r="K116" s="5"/>
      <c r="L116" s="6"/>
      <c r="M116" s="6"/>
    </row>
    <row r="117" spans="1:13" x14ac:dyDescent="0.3">
      <c r="A117" s="5"/>
      <c r="B117" s="6"/>
      <c r="C117" s="6"/>
      <c r="D117" s="5"/>
      <c r="E117" s="6"/>
      <c r="F117" s="6"/>
      <c r="H117" s="5"/>
      <c r="I117" s="6"/>
      <c r="J117" s="6"/>
      <c r="K117" s="5" t="s">
        <v>104</v>
      </c>
      <c r="L117" s="6"/>
      <c r="M117" s="6">
        <v>1200000</v>
      </c>
    </row>
    <row r="118" spans="1:13" x14ac:dyDescent="0.3">
      <c r="A118" s="5"/>
      <c r="B118" s="6"/>
      <c r="C118" s="6"/>
      <c r="D118" s="7" t="s">
        <v>11</v>
      </c>
      <c r="E118" s="8"/>
      <c r="F118" s="8">
        <f>C112</f>
        <v>2137800</v>
      </c>
      <c r="H118" s="5"/>
      <c r="I118" s="6"/>
      <c r="J118" s="6"/>
      <c r="K118" s="5"/>
      <c r="L118" s="6"/>
      <c r="M118" s="6"/>
    </row>
    <row r="119" spans="1:13" x14ac:dyDescent="0.3">
      <c r="A119" s="5" t="s">
        <v>89</v>
      </c>
      <c r="B119" s="6">
        <v>5000</v>
      </c>
      <c r="C119" s="6"/>
      <c r="D119" s="5" t="s">
        <v>105</v>
      </c>
      <c r="E119" s="6"/>
      <c r="F119" s="6">
        <v>24000</v>
      </c>
      <c r="H119" s="7" t="s">
        <v>37</v>
      </c>
      <c r="I119" s="6"/>
      <c r="J119" s="6"/>
      <c r="K119" s="7" t="s">
        <v>22</v>
      </c>
      <c r="L119" s="6"/>
      <c r="M119" s="6"/>
    </row>
    <row r="120" spans="1:13" x14ac:dyDescent="0.3">
      <c r="A120" s="5" t="s">
        <v>103</v>
      </c>
      <c r="B120" s="6">
        <f>I116</f>
        <v>2416</v>
      </c>
      <c r="C120" s="6">
        <f>B119+B120</f>
        <v>7416</v>
      </c>
      <c r="D120" s="5" t="s">
        <v>25</v>
      </c>
      <c r="E120" s="6"/>
      <c r="F120" s="6">
        <v>8500</v>
      </c>
      <c r="H120" s="5" t="s">
        <v>39</v>
      </c>
      <c r="I120" s="6"/>
      <c r="J120" s="6">
        <v>300000</v>
      </c>
      <c r="K120" s="5" t="s">
        <v>106</v>
      </c>
      <c r="L120" s="6">
        <v>20000</v>
      </c>
      <c r="M120" s="6"/>
    </row>
    <row r="121" spans="1:13" x14ac:dyDescent="0.3">
      <c r="A121" s="5" t="s">
        <v>13</v>
      </c>
      <c r="B121" s="6"/>
      <c r="C121" s="6">
        <v>156000</v>
      </c>
      <c r="D121" s="5"/>
      <c r="E121" s="6"/>
      <c r="F121" s="6"/>
      <c r="H121" s="5" t="s">
        <v>41</v>
      </c>
      <c r="I121" s="6"/>
      <c r="J121" s="6">
        <v>20000</v>
      </c>
      <c r="K121" s="5" t="s">
        <v>87</v>
      </c>
      <c r="L121" s="6">
        <v>1000</v>
      </c>
      <c r="M121" s="6"/>
    </row>
    <row r="122" spans="1:13" x14ac:dyDescent="0.3">
      <c r="A122" s="5" t="s">
        <v>62</v>
      </c>
      <c r="B122" s="6"/>
      <c r="C122" s="6">
        <v>28000</v>
      </c>
      <c r="D122" s="5"/>
      <c r="E122" s="6"/>
      <c r="F122" s="6"/>
      <c r="H122" s="5" t="s">
        <v>107</v>
      </c>
      <c r="I122" s="6"/>
      <c r="J122" s="6">
        <v>40000</v>
      </c>
      <c r="K122" s="5"/>
      <c r="L122" s="6">
        <f>L120-L121</f>
        <v>19000</v>
      </c>
      <c r="M122" s="6"/>
    </row>
    <row r="123" spans="1:13" x14ac:dyDescent="0.3">
      <c r="A123" s="5" t="s">
        <v>26</v>
      </c>
      <c r="B123" s="6">
        <v>5000</v>
      </c>
      <c r="C123" s="6"/>
      <c r="D123" s="5"/>
      <c r="E123" s="6"/>
      <c r="F123" s="6"/>
      <c r="H123" s="5" t="s">
        <v>108</v>
      </c>
      <c r="I123" s="6">
        <v>150000</v>
      </c>
      <c r="J123" s="6"/>
      <c r="K123" s="5" t="s">
        <v>109</v>
      </c>
      <c r="L123" s="6">
        <f>L122*5/100</f>
        <v>950</v>
      </c>
      <c r="M123" s="6">
        <f>L122-L123</f>
        <v>18050</v>
      </c>
    </row>
    <row r="124" spans="1:13" x14ac:dyDescent="0.3">
      <c r="A124" s="5" t="s">
        <v>110</v>
      </c>
      <c r="B124" s="6">
        <v>5000</v>
      </c>
      <c r="C124" s="6">
        <f>B123-B124</f>
        <v>0</v>
      </c>
      <c r="D124" s="5"/>
      <c r="E124" s="6"/>
      <c r="F124" s="6"/>
      <c r="H124" s="5" t="s">
        <v>103</v>
      </c>
      <c r="I124" s="6">
        <f>I123*6/100</f>
        <v>9000</v>
      </c>
      <c r="J124" s="6">
        <f>I123+I124</f>
        <v>159000</v>
      </c>
      <c r="K124" s="5" t="s">
        <v>46</v>
      </c>
      <c r="L124" s="6"/>
      <c r="M124" s="6">
        <v>25000</v>
      </c>
    </row>
    <row r="125" spans="1:13" x14ac:dyDescent="0.3">
      <c r="A125" s="5" t="s">
        <v>111</v>
      </c>
      <c r="B125" s="6"/>
      <c r="C125" s="6">
        <v>6000</v>
      </c>
      <c r="D125" s="5"/>
      <c r="E125" s="6"/>
      <c r="F125" s="6"/>
      <c r="H125" s="5" t="s">
        <v>45</v>
      </c>
      <c r="I125" s="6"/>
      <c r="J125" s="6">
        <v>12000</v>
      </c>
      <c r="K125" s="5" t="s">
        <v>112</v>
      </c>
      <c r="L125" s="6"/>
      <c r="M125" s="6">
        <v>2000</v>
      </c>
    </row>
    <row r="126" spans="1:13" x14ac:dyDescent="0.3">
      <c r="A126" s="5" t="s">
        <v>43</v>
      </c>
      <c r="B126" s="6"/>
      <c r="C126" s="6">
        <v>500</v>
      </c>
      <c r="D126" s="5"/>
      <c r="E126" s="6"/>
      <c r="F126" s="6"/>
      <c r="H126" s="5" t="s">
        <v>44</v>
      </c>
      <c r="I126" s="6"/>
      <c r="J126" s="6">
        <v>8000</v>
      </c>
      <c r="K126" s="5" t="s">
        <v>113</v>
      </c>
      <c r="L126" s="6"/>
      <c r="M126" s="6">
        <v>2000</v>
      </c>
    </row>
    <row r="127" spans="1:13" x14ac:dyDescent="0.3">
      <c r="A127" s="5" t="s">
        <v>114</v>
      </c>
      <c r="B127" s="6"/>
      <c r="C127" s="6">
        <v>13000</v>
      </c>
      <c r="D127" s="5"/>
      <c r="E127" s="6"/>
      <c r="F127" s="6"/>
      <c r="H127" s="5"/>
      <c r="I127" s="6"/>
      <c r="J127" s="6"/>
      <c r="K127" s="5" t="s">
        <v>115</v>
      </c>
      <c r="L127" s="6"/>
      <c r="M127" s="6">
        <v>7000</v>
      </c>
    </row>
    <row r="128" spans="1:13" x14ac:dyDescent="0.3">
      <c r="A128" s="5" t="s">
        <v>18</v>
      </c>
      <c r="B128" s="6">
        <v>2000</v>
      </c>
      <c r="C128" s="6"/>
      <c r="D128" s="5"/>
      <c r="E128" s="6"/>
      <c r="F128" s="6"/>
      <c r="H128" s="5"/>
      <c r="I128" s="6"/>
      <c r="J128" s="6"/>
      <c r="K128" s="5" t="s">
        <v>42</v>
      </c>
      <c r="L128" s="6"/>
      <c r="M128" s="6">
        <f>F108</f>
        <v>128000</v>
      </c>
    </row>
    <row r="129" spans="1:13" x14ac:dyDescent="0.3">
      <c r="A129" s="5" t="s">
        <v>66</v>
      </c>
      <c r="B129" s="6">
        <v>1000</v>
      </c>
      <c r="C129" s="6"/>
      <c r="D129" s="5"/>
      <c r="E129" s="6"/>
      <c r="F129" s="6"/>
      <c r="H129" s="5"/>
      <c r="I129" s="6"/>
      <c r="J129" s="6"/>
      <c r="K129" s="5"/>
      <c r="L129" s="6"/>
      <c r="M129" s="6"/>
    </row>
    <row r="130" spans="1:13" x14ac:dyDescent="0.3">
      <c r="A130" s="5" t="s">
        <v>116</v>
      </c>
      <c r="B130" s="6">
        <f>L123</f>
        <v>950</v>
      </c>
      <c r="C130" s="6"/>
      <c r="D130" s="5"/>
      <c r="E130" s="6"/>
      <c r="F130" s="6"/>
      <c r="H130" s="5"/>
      <c r="I130" s="6"/>
      <c r="J130" s="6"/>
      <c r="K130" s="5"/>
      <c r="L130" s="6"/>
      <c r="M130" s="6"/>
    </row>
    <row r="131" spans="1:13" x14ac:dyDescent="0.3">
      <c r="A131" s="5"/>
      <c r="B131" s="6">
        <f>B128+B129+B130</f>
        <v>3950</v>
      </c>
      <c r="C131" s="6"/>
      <c r="D131" s="5"/>
      <c r="E131" s="6"/>
      <c r="F131" s="6"/>
      <c r="H131" s="5"/>
      <c r="I131" s="6"/>
      <c r="J131" s="6"/>
      <c r="K131" s="5"/>
      <c r="L131" s="6"/>
      <c r="M131" s="6"/>
    </row>
    <row r="132" spans="1:13" x14ac:dyDescent="0.3">
      <c r="A132" s="5" t="s">
        <v>117</v>
      </c>
      <c r="B132" s="6">
        <v>1000</v>
      </c>
      <c r="C132" s="6">
        <f>B131-B132</f>
        <v>2950</v>
      </c>
      <c r="D132" s="5"/>
      <c r="E132" s="6"/>
      <c r="F132" s="6"/>
      <c r="H132" s="5"/>
      <c r="I132" s="6"/>
      <c r="J132" s="6"/>
      <c r="K132" s="5"/>
      <c r="L132" s="6"/>
      <c r="M132" s="6"/>
    </row>
    <row r="133" spans="1:13" x14ac:dyDescent="0.3">
      <c r="A133" s="5" t="s">
        <v>118</v>
      </c>
      <c r="B133" s="6">
        <v>8000</v>
      </c>
      <c r="C133" s="6"/>
      <c r="D133" s="5"/>
      <c r="E133" s="6"/>
      <c r="F133" s="6"/>
      <c r="H133" s="5"/>
      <c r="I133" s="6"/>
      <c r="J133" s="6"/>
      <c r="K133" s="5"/>
      <c r="L133" s="6"/>
      <c r="M133" s="6"/>
    </row>
    <row r="134" spans="1:13" x14ac:dyDescent="0.3">
      <c r="A134" s="5" t="s">
        <v>119</v>
      </c>
      <c r="B134" s="6">
        <v>2000</v>
      </c>
      <c r="C134" s="6">
        <f>B133+B134</f>
        <v>10000</v>
      </c>
      <c r="D134" s="5" t="s">
        <v>197</v>
      </c>
      <c r="E134" s="6"/>
      <c r="F134" s="6"/>
      <c r="H134" s="7"/>
      <c r="I134" s="8"/>
      <c r="J134" s="8">
        <f>SUM(J106:J133)</f>
        <v>8621675</v>
      </c>
      <c r="K134" s="7"/>
      <c r="L134" s="8"/>
      <c r="M134" s="8">
        <f>SUM(M107:M133)</f>
        <v>8621675</v>
      </c>
    </row>
    <row r="135" spans="1:13" x14ac:dyDescent="0.3">
      <c r="A135" s="5" t="s">
        <v>17</v>
      </c>
      <c r="B135" s="6"/>
      <c r="C135" s="6"/>
      <c r="D135" s="5"/>
      <c r="E135" s="6"/>
      <c r="F135" s="6"/>
      <c r="H135" s="5"/>
      <c r="I135" s="6"/>
      <c r="J135" s="6"/>
      <c r="K135" s="5"/>
      <c r="L135" s="6"/>
      <c r="M135" s="6"/>
    </row>
    <row r="136" spans="1:13" x14ac:dyDescent="0.3">
      <c r="A136" s="5" t="s">
        <v>48</v>
      </c>
      <c r="B136" s="6">
        <f>L108</f>
        <v>600000</v>
      </c>
      <c r="C136" s="6"/>
      <c r="D136" s="5"/>
      <c r="E136" s="6"/>
      <c r="F136" s="6"/>
    </row>
    <row r="137" spans="1:13" x14ac:dyDescent="0.3">
      <c r="A137" s="3" t="s">
        <v>68</v>
      </c>
      <c r="B137" s="4">
        <f>L112+L113</f>
        <v>300375</v>
      </c>
      <c r="C137" s="4">
        <f>B136+B137</f>
        <v>900375</v>
      </c>
      <c r="D137" s="3"/>
      <c r="E137" s="4"/>
      <c r="F137" s="4"/>
    </row>
    <row r="138" spans="1:13" x14ac:dyDescent="0.3">
      <c r="A138" s="5" t="s">
        <v>120</v>
      </c>
      <c r="B138" s="6"/>
      <c r="C138" s="6">
        <f>I124</f>
        <v>9000</v>
      </c>
      <c r="D138" s="5"/>
      <c r="E138" s="6"/>
      <c r="F138" s="6"/>
    </row>
    <row r="139" spans="1:13" x14ac:dyDescent="0.3">
      <c r="A139" s="5" t="s">
        <v>49</v>
      </c>
      <c r="B139" s="6"/>
      <c r="C139" s="6">
        <f>L115</f>
        <v>45000</v>
      </c>
      <c r="D139" s="5"/>
      <c r="E139" s="6"/>
      <c r="F139" s="6"/>
    </row>
    <row r="140" spans="1:13" x14ac:dyDescent="0.3">
      <c r="A140" s="7" t="s">
        <v>121</v>
      </c>
      <c r="B140" s="8"/>
      <c r="C140" s="8">
        <f>C141-C139-C138-C137-C134-C132-C127-C126-C125-C122-C121-C120</f>
        <v>992059</v>
      </c>
      <c r="D140" s="5"/>
      <c r="E140" s="6"/>
      <c r="F140" s="6"/>
    </row>
    <row r="141" spans="1:13" x14ac:dyDescent="0.3">
      <c r="A141" s="5"/>
      <c r="B141" s="6"/>
      <c r="C141" s="6">
        <f>F141</f>
        <v>2170300</v>
      </c>
      <c r="D141" s="5"/>
      <c r="E141" s="6"/>
      <c r="F141" s="6">
        <f>SUM(F118:F140)</f>
        <v>2170300</v>
      </c>
    </row>
    <row r="142" spans="1:13" x14ac:dyDescent="0.3">
      <c r="A142" s="5"/>
      <c r="B142" s="6"/>
      <c r="C142" s="6"/>
      <c r="D142" s="5"/>
      <c r="E142" s="6"/>
      <c r="F142" s="6"/>
    </row>
    <row r="144" spans="1:13" x14ac:dyDescent="0.3">
      <c r="A144" s="1" t="s">
        <v>132</v>
      </c>
    </row>
    <row r="145" spans="1:13" x14ac:dyDescent="0.3">
      <c r="A145" s="1" t="s">
        <v>28</v>
      </c>
      <c r="H145" s="1" t="s">
        <v>9</v>
      </c>
    </row>
    <row r="146" spans="1:13" x14ac:dyDescent="0.3">
      <c r="A146" s="1" t="s">
        <v>0</v>
      </c>
      <c r="F146" s="2" t="s">
        <v>1</v>
      </c>
    </row>
    <row r="147" spans="1:13" x14ac:dyDescent="0.3">
      <c r="A147" s="3" t="s">
        <v>2</v>
      </c>
      <c r="B147" s="4" t="s">
        <v>3</v>
      </c>
      <c r="C147" s="4" t="s">
        <v>3</v>
      </c>
      <c r="D147" s="3" t="s">
        <v>2</v>
      </c>
      <c r="E147" s="4" t="s">
        <v>3</v>
      </c>
      <c r="F147" s="4" t="s">
        <v>3</v>
      </c>
      <c r="H147" s="3" t="s">
        <v>6</v>
      </c>
      <c r="I147" s="4" t="s">
        <v>3</v>
      </c>
      <c r="J147" s="4" t="s">
        <v>3</v>
      </c>
      <c r="K147" s="3" t="s">
        <v>4</v>
      </c>
      <c r="L147" s="4" t="s">
        <v>3</v>
      </c>
      <c r="M147" s="4" t="s">
        <v>3</v>
      </c>
    </row>
    <row r="148" spans="1:13" x14ac:dyDescent="0.3">
      <c r="A148" s="5" t="s">
        <v>23</v>
      </c>
      <c r="B148" s="6"/>
      <c r="C148" s="6">
        <v>413000</v>
      </c>
      <c r="D148" s="5" t="s">
        <v>29</v>
      </c>
      <c r="E148" s="6">
        <v>1926000</v>
      </c>
      <c r="F148" s="6"/>
      <c r="H148" s="5" t="s">
        <v>21</v>
      </c>
      <c r="I148" s="6">
        <v>4500000</v>
      </c>
      <c r="J148" s="6"/>
      <c r="K148" s="7" t="s">
        <v>30</v>
      </c>
      <c r="L148" s="6"/>
      <c r="M148" s="6"/>
    </row>
    <row r="149" spans="1:13" x14ac:dyDescent="0.3">
      <c r="A149" s="5" t="s">
        <v>5</v>
      </c>
      <c r="B149" s="6">
        <v>1400000</v>
      </c>
      <c r="C149" s="6"/>
      <c r="D149" s="5" t="s">
        <v>72</v>
      </c>
      <c r="E149" s="6">
        <v>16000</v>
      </c>
      <c r="F149" s="6">
        <f>E148-E149</f>
        <v>1910000</v>
      </c>
      <c r="H149" s="5" t="s">
        <v>53</v>
      </c>
      <c r="I149" s="6">
        <v>10000</v>
      </c>
      <c r="J149" s="6"/>
      <c r="K149" s="5" t="s">
        <v>133</v>
      </c>
      <c r="L149" s="6">
        <v>1525000</v>
      </c>
      <c r="M149" s="6"/>
    </row>
    <row r="150" spans="1:13" x14ac:dyDescent="0.3">
      <c r="A150" s="5" t="s">
        <v>134</v>
      </c>
      <c r="B150" s="6">
        <v>19500</v>
      </c>
      <c r="C150" s="6">
        <f>B149-B150</f>
        <v>1380500</v>
      </c>
      <c r="D150" s="5"/>
      <c r="E150" s="6"/>
      <c r="F150" s="6"/>
      <c r="H150" s="5"/>
      <c r="I150" s="6">
        <f>I148-I149</f>
        <v>4490000</v>
      </c>
      <c r="J150" s="6"/>
      <c r="K150" s="5" t="s">
        <v>135</v>
      </c>
      <c r="L150" s="6">
        <f>(1505000*15/100)+(20000*15/100*6/12)</f>
        <v>227250</v>
      </c>
      <c r="M150" s="6">
        <f>L149-L150</f>
        <v>1297750</v>
      </c>
    </row>
    <row r="151" spans="1:13" x14ac:dyDescent="0.3">
      <c r="A151" s="5" t="s">
        <v>8</v>
      </c>
      <c r="B151" s="6"/>
      <c r="C151" s="6">
        <v>48000</v>
      </c>
      <c r="D151" s="5"/>
      <c r="E151" s="6"/>
      <c r="F151" s="6"/>
      <c r="H151" s="5" t="s">
        <v>136</v>
      </c>
      <c r="I151" s="6">
        <v>2000</v>
      </c>
      <c r="J151" s="6"/>
      <c r="K151" s="5" t="s">
        <v>137</v>
      </c>
      <c r="L151" s="6">
        <v>3927000</v>
      </c>
      <c r="M151" s="6"/>
    </row>
    <row r="152" spans="1:13" x14ac:dyDescent="0.3">
      <c r="A152" s="5"/>
      <c r="B152" s="6"/>
      <c r="C152" s="6"/>
      <c r="D152" s="5" t="s">
        <v>24</v>
      </c>
      <c r="E152" s="6"/>
      <c r="F152" s="6">
        <v>68000</v>
      </c>
      <c r="H152" s="5"/>
      <c r="I152" s="6">
        <f>I150-I151</f>
        <v>4488000</v>
      </c>
      <c r="J152" s="6"/>
      <c r="K152" s="5" t="s">
        <v>135</v>
      </c>
      <c r="L152" s="6">
        <f>L151*10/100</f>
        <v>392700</v>
      </c>
      <c r="M152" s="6">
        <f>L151-L152</f>
        <v>3534300</v>
      </c>
    </row>
    <row r="153" spans="1:13" x14ac:dyDescent="0.3">
      <c r="A153" s="5" t="s">
        <v>138</v>
      </c>
      <c r="B153" s="6"/>
      <c r="C153" s="6">
        <f>C154-C151-C150-C148</f>
        <v>136500</v>
      </c>
      <c r="D153" s="5"/>
      <c r="E153" s="6"/>
      <c r="F153" s="6"/>
      <c r="H153" s="5"/>
      <c r="I153" s="6"/>
      <c r="J153" s="6"/>
      <c r="K153" s="5" t="s">
        <v>81</v>
      </c>
      <c r="L153" s="6">
        <v>540000</v>
      </c>
      <c r="M153" s="6"/>
    </row>
    <row r="154" spans="1:13" x14ac:dyDescent="0.3">
      <c r="A154" s="5"/>
      <c r="B154" s="6"/>
      <c r="C154" s="6">
        <f>F154</f>
        <v>1978000</v>
      </c>
      <c r="D154" s="5"/>
      <c r="E154" s="6"/>
      <c r="F154" s="6">
        <f>SUM(F148:F153)</f>
        <v>1978000</v>
      </c>
      <c r="H154" s="5" t="s">
        <v>31</v>
      </c>
      <c r="I154" s="6">
        <f>F161</f>
        <v>1245037.5</v>
      </c>
      <c r="J154" s="6">
        <f>I152-I154</f>
        <v>3242962.5</v>
      </c>
      <c r="K154" s="5" t="s">
        <v>123</v>
      </c>
      <c r="L154" s="6">
        <f>L153*25/100</f>
        <v>135000</v>
      </c>
      <c r="M154" s="6">
        <f>L153-L154</f>
        <v>405000</v>
      </c>
    </row>
    <row r="155" spans="1:13" x14ac:dyDescent="0.3">
      <c r="A155" s="5"/>
      <c r="B155" s="6"/>
      <c r="C155" s="6"/>
      <c r="D155" s="5"/>
      <c r="E155" s="6"/>
      <c r="F155" s="6"/>
      <c r="H155" s="5"/>
      <c r="I155" s="6"/>
      <c r="J155" s="6"/>
      <c r="K155" s="5"/>
      <c r="L155" s="6"/>
      <c r="M155" s="6"/>
    </row>
    <row r="156" spans="1:13" x14ac:dyDescent="0.3">
      <c r="A156" s="5"/>
      <c r="B156" s="6"/>
      <c r="C156" s="6"/>
      <c r="D156" s="5"/>
      <c r="E156" s="6"/>
      <c r="F156" s="6"/>
      <c r="H156" s="5"/>
      <c r="I156" s="6"/>
      <c r="J156" s="6"/>
      <c r="K156" s="5"/>
      <c r="L156" s="6"/>
      <c r="M156" s="6"/>
    </row>
    <row r="157" spans="1:13" x14ac:dyDescent="0.3">
      <c r="A157" s="5"/>
      <c r="B157" s="6"/>
      <c r="C157" s="6"/>
      <c r="D157" s="5" t="s">
        <v>139</v>
      </c>
      <c r="E157" s="6"/>
      <c r="F157" s="6">
        <f>C153</f>
        <v>136500</v>
      </c>
      <c r="H157" s="5" t="s">
        <v>140</v>
      </c>
      <c r="I157" s="6">
        <v>2000000</v>
      </c>
      <c r="J157" s="6"/>
      <c r="K157" s="7" t="s">
        <v>22</v>
      </c>
      <c r="L157" s="6"/>
      <c r="M157" s="6"/>
    </row>
    <row r="158" spans="1:13" x14ac:dyDescent="0.3">
      <c r="A158" s="5" t="s">
        <v>141</v>
      </c>
      <c r="B158" s="6"/>
      <c r="C158" s="6">
        <v>16750</v>
      </c>
      <c r="D158" s="5" t="s">
        <v>142</v>
      </c>
      <c r="E158" s="6"/>
      <c r="F158" s="6">
        <v>5300</v>
      </c>
      <c r="H158" s="5" t="s">
        <v>143</v>
      </c>
      <c r="I158" s="6">
        <f>(I157*12/100*9/12)-B161</f>
        <v>30000</v>
      </c>
      <c r="J158" s="6">
        <f>I157+I158</f>
        <v>2030000</v>
      </c>
      <c r="K158" s="5" t="s">
        <v>46</v>
      </c>
      <c r="L158" s="6"/>
      <c r="M158" s="6">
        <v>10000</v>
      </c>
    </row>
    <row r="159" spans="1:13" x14ac:dyDescent="0.3">
      <c r="A159" s="5" t="s">
        <v>18</v>
      </c>
      <c r="B159" s="6">
        <v>1600</v>
      </c>
      <c r="C159" s="6"/>
      <c r="D159" s="5"/>
      <c r="E159" s="6"/>
      <c r="F159" s="6"/>
      <c r="H159" s="5"/>
      <c r="I159" s="6"/>
      <c r="J159" s="6"/>
      <c r="K159" s="5" t="s">
        <v>40</v>
      </c>
      <c r="L159" s="6">
        <v>60750</v>
      </c>
      <c r="M159" s="6"/>
    </row>
    <row r="160" spans="1:13" x14ac:dyDescent="0.3">
      <c r="A160" s="5" t="s">
        <v>116</v>
      </c>
      <c r="B160" s="6">
        <f>L160</f>
        <v>3037.5</v>
      </c>
      <c r="C160" s="6">
        <f>B159+B160</f>
        <v>4637.5</v>
      </c>
      <c r="D160" s="5"/>
      <c r="E160" s="6"/>
      <c r="F160" s="6"/>
      <c r="H160" s="5"/>
      <c r="I160" s="6"/>
      <c r="J160" s="6"/>
      <c r="K160" s="5" t="s">
        <v>109</v>
      </c>
      <c r="L160" s="6">
        <f>L159*5/100</f>
        <v>3037.5</v>
      </c>
      <c r="M160" s="6">
        <f>L159-L160</f>
        <v>57712.5</v>
      </c>
    </row>
    <row r="161" spans="1:13" x14ac:dyDescent="0.3">
      <c r="A161" s="5" t="s">
        <v>16</v>
      </c>
      <c r="B161" s="6">
        <v>150000</v>
      </c>
      <c r="C161" s="6"/>
      <c r="D161" s="5" t="s">
        <v>144</v>
      </c>
      <c r="E161" s="6"/>
      <c r="F161" s="6">
        <f>F176-F158-F157</f>
        <v>1245037.5</v>
      </c>
      <c r="H161" s="7" t="s">
        <v>37</v>
      </c>
      <c r="I161" s="6"/>
      <c r="J161" s="6"/>
      <c r="K161" s="5"/>
      <c r="L161" s="6"/>
      <c r="M161" s="6"/>
    </row>
    <row r="162" spans="1:13" x14ac:dyDescent="0.3">
      <c r="A162" s="5" t="s">
        <v>143</v>
      </c>
      <c r="B162" s="6">
        <v>30000</v>
      </c>
      <c r="C162" s="6">
        <f>B161+B162</f>
        <v>180000</v>
      </c>
      <c r="D162" s="5" t="s">
        <v>198</v>
      </c>
      <c r="E162" s="6" t="s">
        <v>199</v>
      </c>
      <c r="F162" s="6"/>
      <c r="H162" s="5" t="s">
        <v>38</v>
      </c>
      <c r="I162" s="6"/>
      <c r="J162" s="6">
        <v>120000</v>
      </c>
      <c r="K162" s="5" t="s">
        <v>145</v>
      </c>
      <c r="L162" s="6"/>
      <c r="M162" s="6">
        <v>3600</v>
      </c>
    </row>
    <row r="163" spans="1:13" x14ac:dyDescent="0.3">
      <c r="A163" s="5" t="s">
        <v>13</v>
      </c>
      <c r="B163" s="6">
        <v>240000</v>
      </c>
      <c r="C163" s="6"/>
      <c r="D163" s="5"/>
      <c r="E163" s="6"/>
      <c r="F163" s="6"/>
      <c r="H163" s="5" t="s">
        <v>64</v>
      </c>
      <c r="I163" s="6"/>
      <c r="J163" s="6">
        <f>B164</f>
        <v>20000</v>
      </c>
      <c r="K163" s="5" t="s">
        <v>146</v>
      </c>
      <c r="L163" s="6"/>
      <c r="M163" s="6">
        <v>3600</v>
      </c>
    </row>
    <row r="164" spans="1:13" x14ac:dyDescent="0.3">
      <c r="A164" s="5" t="s">
        <v>147</v>
      </c>
      <c r="B164" s="6">
        <v>20000</v>
      </c>
      <c r="C164" s="6">
        <f>B163+B164</f>
        <v>260000</v>
      </c>
      <c r="D164" s="5"/>
      <c r="E164" s="6"/>
      <c r="F164" s="6"/>
      <c r="H164" s="5"/>
      <c r="I164" s="6"/>
      <c r="J164" s="6"/>
      <c r="K164" s="5" t="s">
        <v>42</v>
      </c>
      <c r="L164" s="6"/>
      <c r="M164" s="6">
        <v>68000</v>
      </c>
    </row>
    <row r="165" spans="1:13" x14ac:dyDescent="0.3">
      <c r="A165" s="5" t="s">
        <v>148</v>
      </c>
      <c r="B165" s="6"/>
      <c r="C165" s="6">
        <v>8500</v>
      </c>
      <c r="D165" s="5"/>
      <c r="E165" s="6"/>
      <c r="F165" s="6"/>
      <c r="H165" s="5"/>
      <c r="I165" s="6"/>
      <c r="J165" s="6"/>
      <c r="K165" s="5" t="s">
        <v>149</v>
      </c>
      <c r="L165" s="6"/>
      <c r="M165" s="6">
        <f>32000</f>
        <v>32000</v>
      </c>
    </row>
    <row r="166" spans="1:13" x14ac:dyDescent="0.3">
      <c r="A166" s="5" t="s">
        <v>150</v>
      </c>
      <c r="B166" s="6">
        <v>160000</v>
      </c>
      <c r="C166" s="6"/>
      <c r="D166" s="5"/>
      <c r="E166" s="6"/>
      <c r="F166" s="6"/>
      <c r="H166" s="5"/>
      <c r="I166" s="6"/>
      <c r="J166" s="6"/>
      <c r="K166" s="5" t="s">
        <v>151</v>
      </c>
      <c r="L166" s="6"/>
      <c r="M166" s="6">
        <v>1000</v>
      </c>
    </row>
    <row r="167" spans="1:13" x14ac:dyDescent="0.3">
      <c r="A167" s="5" t="s">
        <v>152</v>
      </c>
      <c r="B167" s="6">
        <f>B166*3/15</f>
        <v>32000</v>
      </c>
      <c r="C167" s="6">
        <f>B166-B167</f>
        <v>128000</v>
      </c>
      <c r="D167" s="5"/>
      <c r="E167" s="6"/>
      <c r="F167" s="6"/>
      <c r="H167" s="5"/>
      <c r="I167" s="6"/>
      <c r="J167" s="6"/>
      <c r="K167" s="5"/>
      <c r="L167" s="6"/>
      <c r="M167" s="6"/>
    </row>
    <row r="168" spans="1:13" x14ac:dyDescent="0.3">
      <c r="A168" s="5" t="s">
        <v>153</v>
      </c>
      <c r="B168" s="6">
        <v>24000</v>
      </c>
      <c r="C168" s="6"/>
      <c r="D168" s="5"/>
      <c r="E168" s="6"/>
      <c r="F168" s="6"/>
      <c r="H168" s="7"/>
      <c r="I168" s="8"/>
      <c r="J168" s="8">
        <f>SUM(J148:J167)</f>
        <v>5412962.5</v>
      </c>
      <c r="K168" s="7"/>
      <c r="L168" s="8"/>
      <c r="M168" s="8">
        <f>SUM(M148:M167)</f>
        <v>5412962.5</v>
      </c>
    </row>
    <row r="169" spans="1:13" x14ac:dyDescent="0.3">
      <c r="A169" s="5" t="s">
        <v>53</v>
      </c>
      <c r="B169" s="6">
        <v>2000</v>
      </c>
      <c r="C169" s="6">
        <f>B168-B169</f>
        <v>22000</v>
      </c>
      <c r="D169" s="5"/>
      <c r="E169" s="6"/>
      <c r="F169" s="6"/>
    </row>
    <row r="170" spans="1:13" x14ac:dyDescent="0.3">
      <c r="A170" s="5" t="s">
        <v>17</v>
      </c>
      <c r="B170" s="6"/>
      <c r="C170" s="6">
        <f>L150+L152</f>
        <v>619950</v>
      </c>
      <c r="D170" s="5"/>
      <c r="E170" s="6"/>
      <c r="F170" s="6"/>
      <c r="H170" s="1" t="s">
        <v>154</v>
      </c>
      <c r="M170" s="2">
        <f>J168-M168</f>
        <v>0</v>
      </c>
    </row>
    <row r="171" spans="1:13" x14ac:dyDescent="0.3">
      <c r="A171" s="3" t="s">
        <v>49</v>
      </c>
      <c r="B171" s="4"/>
      <c r="C171" s="4">
        <f>L154</f>
        <v>135000</v>
      </c>
      <c r="D171" s="3"/>
      <c r="E171" s="4"/>
      <c r="F171" s="4"/>
      <c r="H171" s="1" t="s">
        <v>155</v>
      </c>
      <c r="K171" s="1" t="s">
        <v>156</v>
      </c>
    </row>
    <row r="172" spans="1:13" x14ac:dyDescent="0.3">
      <c r="A172" s="5" t="s">
        <v>62</v>
      </c>
      <c r="B172" s="6">
        <v>13000</v>
      </c>
      <c r="C172" s="6"/>
      <c r="D172" s="5"/>
      <c r="E172" s="6"/>
      <c r="F172" s="6"/>
    </row>
    <row r="173" spans="1:13" x14ac:dyDescent="0.3">
      <c r="A173" s="5" t="s">
        <v>63</v>
      </c>
      <c r="B173" s="6">
        <v>1000</v>
      </c>
      <c r="C173" s="6">
        <f>B172-B173</f>
        <v>12000</v>
      </c>
      <c r="D173" s="5"/>
      <c r="E173" s="6"/>
      <c r="F173" s="6"/>
    </row>
    <row r="174" spans="1:13" x14ac:dyDescent="0.3">
      <c r="A174" s="5"/>
      <c r="B174" s="6"/>
      <c r="C174" s="6"/>
      <c r="D174" s="5"/>
      <c r="E174" s="6"/>
      <c r="F174" s="6"/>
    </row>
    <row r="175" spans="1:13" x14ac:dyDescent="0.3">
      <c r="A175" s="5"/>
      <c r="B175" s="6"/>
      <c r="C175" s="6"/>
      <c r="D175" s="5"/>
      <c r="E175" s="6"/>
      <c r="F175" s="6"/>
    </row>
    <row r="176" spans="1:13" x14ac:dyDescent="0.3">
      <c r="A176" s="5"/>
      <c r="B176" s="6"/>
      <c r="C176" s="6">
        <f>SUM(C157:C175)</f>
        <v>1386837.5</v>
      </c>
      <c r="D176" s="5"/>
      <c r="E176" s="6"/>
      <c r="F176" s="6">
        <f>C176</f>
        <v>1386837.5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D4330B47A513B4D8F0CC426C387B96C" ma:contentTypeVersion="2" ma:contentTypeDescription="Create a new document." ma:contentTypeScope="" ma:versionID="8bc5bd7374a7dd24a9671254090155ff">
  <xsd:schema xmlns:xsd="http://www.w3.org/2001/XMLSchema" xmlns:xs="http://www.w3.org/2001/XMLSchema" xmlns:p="http://schemas.microsoft.com/office/2006/metadata/properties" xmlns:ns2="d58f11bd-86fa-406c-a580-10f8ef03dd2e" targetNamespace="http://schemas.microsoft.com/office/2006/metadata/properties" ma:root="true" ma:fieldsID="9e4f135f258a4672aee5a76d326d3dfe" ns2:_="">
    <xsd:import namespace="d58f11bd-86fa-406c-a580-10f8ef03dd2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8f11bd-86fa-406c-a580-10f8ef03dd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4D8CBDF-6D84-455B-B81A-9D7EC27FA9C3}">
  <ds:schemaRefs>
    <ds:schemaRef ds:uri="http://schemas.microsoft.com/sharepoint/v3/contenttype/forms"/>
  </ds:schemaRefs>
</ds:datastoreItem>
</file>

<file path=customXml/itemProps2.xml><?xml version="1.0" encoding="utf-8"?>
<ds:datastoreItem xmlns:ds="http://schemas.openxmlformats.org/officeDocument/2006/customXml" ds:itemID="{A5B905ED-1A25-444D-8B0C-58CB2B260C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8f11bd-86fa-406c-a580-10f8ef03dd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DCAAA6-F9F0-41A7-9708-179572CB0A6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Sahhil Deshpandde</cp:lastModifiedBy>
  <cp:revision/>
  <dcterms:created xsi:type="dcterms:W3CDTF">2015-06-05T18:17:20Z</dcterms:created>
  <dcterms:modified xsi:type="dcterms:W3CDTF">2024-04-23T05:27:05Z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0x010100DD4330B47A513B4D8F0CC426C387B96C</vt:lpwstr>
  </property>
</Properties>
</file>