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19200" windowHeight="7210"/>
  </bookViews>
  <sheets>
    <sheet name="Sheet1" sheetId="1" r:id="rId1"/>
  </sheets>
  <externalReferences>
    <externalReference r:id="rId2"/>
  </externalReferences>
  <definedNames>
    <definedName name="\A">#REF!</definedName>
    <definedName name="\E">#REF!</definedName>
    <definedName name="\F">#REF!</definedName>
    <definedName name="\r">#N/A</definedName>
    <definedName name="____col13">#REF!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<sst xmlns="http://schemas.openxmlformats.org/spreadsheetml/2006/main" count="185" uniqueCount="121">
  <si>
    <t>2. Share capital</t>
  </si>
  <si>
    <t>Authorised shares</t>
  </si>
  <si>
    <t>75,70,000 (March 31, 2024 : 75,70,000) equity shares of ₹ 10/- each</t>
  </si>
  <si>
    <t>Issued, subscribed and fully paid-up shares</t>
  </si>
  <si>
    <t>54,25,210 (March 31, 2024 : 54,25,210) equity shares of ₹ 10/- each</t>
  </si>
  <si>
    <t>Total issued, subscribed and fully paid-up share capital</t>
  </si>
  <si>
    <t>(a) Reconciliation of the equity shares outstanding at the beginning and at the end of the year</t>
  </si>
  <si>
    <t>No's</t>
  </si>
  <si>
    <t>Amount</t>
  </si>
  <si>
    <t>Equity shares of ₹ 10/- each fully paid</t>
  </si>
  <si>
    <t>At the beginning of the year</t>
  </si>
  <si>
    <t>Outstanding at the end of the year</t>
  </si>
  <si>
    <t>(b) Terms/ rights attached to equity shares</t>
  </si>
  <si>
    <t>The Company has only one class of equity shares having par value of ₹ 10/- per share. Each holder of equity share is entitled to one vote per share. The Company declares and pays dividend in Indian Rupees. In the event of liquidation of the Company, the holders of equity shares will be entitled to receive remaining assets of the Company, after distribution of all preferential amounts. The distribution will be in proportion to the number of equity shares held by the shareholders.</t>
  </si>
  <si>
    <t>(c) Details of share holders holding more than 5% shares in the Company</t>
  </si>
  <si>
    <t>Name of the shareholder</t>
  </si>
  <si>
    <t>% holding</t>
  </si>
  <si>
    <t>Mr. Srinivas Ravuri</t>
  </si>
  <si>
    <t>Mr. Akula Thukaram Bapuji</t>
  </si>
  <si>
    <t>Mrs. Akula Indira Prasanna</t>
  </si>
  <si>
    <t>Mr. Rajesh Kumar Suvvaru</t>
  </si>
  <si>
    <t>Mrs. Paithrini Kota</t>
  </si>
  <si>
    <t>As per records of the Company, including its register of shareholders/ members and other declarations received from shareholders regarding beneficial interest, the above shareholding represents both legal and beneficial ownerships of shares.</t>
  </si>
  <si>
    <t>(d) Disclosure of Shareholding of Promoters</t>
  </si>
  <si>
    <t>Name of the Promoter</t>
  </si>
  <si>
    <t>No. of shares</t>
  </si>
  <si>
    <t>3. Reserves and surplus</t>
  </si>
  <si>
    <t>Opening balance</t>
  </si>
  <si>
    <t>Securities Premium</t>
  </si>
  <si>
    <t xml:space="preserve">  Balance as per the last financial statements</t>
  </si>
  <si>
    <t xml:space="preserve">  Add / Less : Changes during the year</t>
  </si>
  <si>
    <t xml:space="preserve">  Closing Balance</t>
  </si>
  <si>
    <t>Surplus in the statement of profit and loss</t>
  </si>
  <si>
    <t>Balance, at the beginning of the year</t>
  </si>
  <si>
    <t>Add: Profit for the Year</t>
  </si>
  <si>
    <t>Less:Transfered</t>
  </si>
  <si>
    <t>Less: Dividend Paid</t>
  </si>
  <si>
    <t>Net Surplus in the Statement of Profit &amp; Loss</t>
  </si>
  <si>
    <t>Balance, at the end of the year</t>
  </si>
  <si>
    <t>4. Long-Term Borrowings</t>
  </si>
  <si>
    <t>Andhra Pradesh State Financial Corporation</t>
  </si>
  <si>
    <t>State Bank of India - SME</t>
  </si>
  <si>
    <t>Loan From ICICI Bank 603090031420</t>
  </si>
  <si>
    <t>Diamler Financial Services India Private Limited</t>
  </si>
  <si>
    <t>5. Deferred Tax Liability / (Asset)</t>
  </si>
  <si>
    <t>Deferred tax liability</t>
  </si>
  <si>
    <t>6. Trade Payables</t>
  </si>
  <si>
    <t>Dues to Micro &amp; Small Enterprises</t>
  </si>
  <si>
    <t>For Capital expenditure</t>
  </si>
  <si>
    <t>For other expenses</t>
  </si>
  <si>
    <t>Dues to Others</t>
  </si>
  <si>
    <t>Sundry Creditors</t>
  </si>
  <si>
    <t>Age wise analysis of Trade payables as on 31.03.2024</t>
  </si>
  <si>
    <t>Particulars</t>
  </si>
  <si>
    <t>Outstanding for following periods from due date of payment</t>
  </si>
  <si>
    <t>0 - 1 Year</t>
  </si>
  <si>
    <t>1 - 2 Years</t>
  </si>
  <si>
    <t>2 - 3 Years</t>
  </si>
  <si>
    <t>More than 3 Years</t>
  </si>
  <si>
    <t>Total</t>
  </si>
  <si>
    <t>Undisputed dues</t>
  </si>
  <si>
    <t>- MSME</t>
  </si>
  <si>
    <t>- Others</t>
  </si>
  <si>
    <t>Disputed dues</t>
  </si>
  <si>
    <t>Age wise analysis of Trade payables as on 31.03.2023</t>
  </si>
  <si>
    <t>7. Other Current Liabilities</t>
  </si>
  <si>
    <t>Current Maturities of Long Term Borrowings</t>
  </si>
  <si>
    <t>Outstanding Liabilities for Expenses</t>
  </si>
  <si>
    <t>Statutory dues</t>
  </si>
  <si>
    <t>8. Short Term Provisions</t>
  </si>
  <si>
    <t>Provision for Taxation</t>
  </si>
  <si>
    <t>Note 9 : Fixed Assets</t>
  </si>
  <si>
    <t>Gross Carrying Value</t>
  </si>
  <si>
    <t>Accumulated Depreciation</t>
  </si>
  <si>
    <t>Net Carrying Value</t>
  </si>
  <si>
    <t>As at 1st April 2023</t>
  </si>
  <si>
    <t>Additions</t>
  </si>
  <si>
    <t>Deletion</t>
  </si>
  <si>
    <t>As at 31st March  2024</t>
  </si>
  <si>
    <t>For the year</t>
  </si>
  <si>
    <t>Tangible Assets</t>
  </si>
  <si>
    <t>Buildings</t>
  </si>
  <si>
    <t>Computers &amp; Peripherals</t>
  </si>
  <si>
    <t>Electrical installations</t>
  </si>
  <si>
    <t>Furniture &amp; Fixtures</t>
  </si>
  <si>
    <t>Office Equipment</t>
  </si>
  <si>
    <t>Plant &amp; machinery</t>
  </si>
  <si>
    <t>Motor Vehicle</t>
  </si>
  <si>
    <t>Intangible Assets</t>
  </si>
  <si>
    <t>Software</t>
  </si>
  <si>
    <t>Grand Total</t>
  </si>
  <si>
    <t>10. Long Term Loans and advances</t>
  </si>
  <si>
    <t>Unsecured, considered good</t>
  </si>
  <si>
    <t>Long Term - Security Deposits</t>
  </si>
  <si>
    <t>11. Inventories</t>
  </si>
  <si>
    <t>Consumables</t>
  </si>
  <si>
    <t>12. Trade receivables</t>
  </si>
  <si>
    <t>Outstanding for a period exceeding six months from the date they are due for payment</t>
  </si>
  <si>
    <t>Other receivables</t>
  </si>
  <si>
    <t>Age wise analysis of Trade receivables as on 31.03.2024</t>
  </si>
  <si>
    <t>0 - 6 months</t>
  </si>
  <si>
    <t>6 months - 1 Year</t>
  </si>
  <si>
    <t>Undisputed</t>
  </si>
  <si>
    <t>- Considered good</t>
  </si>
  <si>
    <t>- Considered doubtful</t>
  </si>
  <si>
    <t>Disputed</t>
  </si>
  <si>
    <t>Age wise analysis of Trade receivables as on 31.03.2023</t>
  </si>
  <si>
    <t>13. Cash and bank balances</t>
  </si>
  <si>
    <t>Cash and cash equivalents</t>
  </si>
  <si>
    <t>Balances with banks in current accounts</t>
  </si>
  <si>
    <t>Cash on hand</t>
  </si>
  <si>
    <t>Other Bank Balances</t>
  </si>
  <si>
    <t>Fixed Deposits with ICICI Bank</t>
  </si>
  <si>
    <t>14. Short Term Loans and Advances</t>
  </si>
  <si>
    <t>Prepaid Expenses</t>
  </si>
  <si>
    <t>Other Advances</t>
  </si>
  <si>
    <t>Other loans and advances</t>
  </si>
  <si>
    <t>Advance tax</t>
  </si>
  <si>
    <t>Balances with statutory/government authorities</t>
  </si>
  <si>
    <t>15. Other Current Assets</t>
  </si>
  <si>
    <t>Interest accrued on fixed deposits</t>
  </si>
</sst>
</file>

<file path=xl/styles.xml><?xml version="1.0" encoding="utf-8"?>
<styleSheet xmlns="http://schemas.openxmlformats.org/spreadsheetml/2006/main" xmlns:mc="http://schemas.openxmlformats.org/markup-compatibility/2006" xmlns:xr9="http://schemas.microsoft.com/office/spreadsheetml/2016/revision9" mc:Ignorable="xr9">
  <numFmts count="12">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_(* #,##0.00_);_(* \(#,##0.00\);_(* &quot;-&quot;??_);_(@_)"/>
    <numFmt numFmtId="181" formatCode="[$-409]mmmm\ d\,\ yyyy;@"/>
    <numFmt numFmtId="182" formatCode="_(* #,##0_);_(* \(#,##0\);_(* &quot;-&quot;??_);_(@_)"/>
    <numFmt numFmtId="183" formatCode="dd/mmm/yy"/>
    <numFmt numFmtId="184" formatCode="_(* #,##0_);_(* \(#,##0\);_(* &quot;-&quot;_);_(@_)"/>
    <numFmt numFmtId="185" formatCode="#\.00,;\(#\.00,\);&quot;-&quot;"/>
    <numFmt numFmtId="186" formatCode="_ * #,##0_ ;_ * \-#,##0_ ;_ * &quot;-&quot;??_ ;_ @_ "/>
    <numFmt numFmtId="187" formatCode="[$-409]d/mmm/yy;@"/>
  </numFmts>
  <fonts count="41">
    <font>
      <sz val="11"/>
      <color theme="1"/>
      <name val="Calibri"/>
      <charset val="134"/>
      <scheme val="minor"/>
    </font>
    <font>
      <b/>
      <sz val="11"/>
      <name val="Book Antiqua"/>
      <charset val="134"/>
    </font>
    <font>
      <sz val="10"/>
      <color indexed="8"/>
      <name val="Book Antiqua"/>
      <charset val="134"/>
    </font>
    <font>
      <sz val="10"/>
      <name val="Book Antiqua"/>
      <charset val="134"/>
    </font>
    <font>
      <b/>
      <i/>
      <sz val="10"/>
      <color indexed="8"/>
      <name val="Book Antiqua"/>
      <charset val="134"/>
    </font>
    <font>
      <b/>
      <sz val="11"/>
      <color indexed="8"/>
      <name val="Book Antiqua"/>
      <charset val="134"/>
    </font>
    <font>
      <i/>
      <sz val="11"/>
      <color indexed="8"/>
      <name val="Book Antiqua"/>
      <charset val="134"/>
    </font>
    <font>
      <sz val="11"/>
      <color indexed="8"/>
      <name val="Book Antiqua"/>
      <charset val="134"/>
    </font>
    <font>
      <b/>
      <sz val="11"/>
      <color theme="1"/>
      <name val="Book Antiqua"/>
      <charset val="134"/>
    </font>
    <font>
      <sz val="11"/>
      <name val="Book Antiqua"/>
      <charset val="134"/>
    </font>
    <font>
      <b/>
      <sz val="11"/>
      <color rgb="FF000000"/>
      <name val="Book Antiqua"/>
      <charset val="134"/>
    </font>
    <font>
      <sz val="11"/>
      <color theme="1"/>
      <name val="Book Antiqua"/>
      <charset val="134"/>
    </font>
    <font>
      <sz val="11"/>
      <color rgb="FF000000"/>
      <name val="Book Antiqua"/>
      <charset val="134"/>
    </font>
    <font>
      <u/>
      <sz val="11"/>
      <color theme="1"/>
      <name val="Book Antiqua"/>
      <charset val="134"/>
    </font>
    <font>
      <b/>
      <sz val="14"/>
      <name val="Book Antiqua"/>
      <charset val="134"/>
    </font>
    <font>
      <sz val="14"/>
      <name val="Book Antiqua"/>
      <charset val="134"/>
    </font>
    <font>
      <b/>
      <i/>
      <sz val="11"/>
      <name val="Book Antiqua"/>
      <charset val="134"/>
    </font>
    <font>
      <b/>
      <sz val="14"/>
      <color indexed="8"/>
      <name val="Book Antiqua"/>
      <charset val="134"/>
    </font>
    <font>
      <b/>
      <i/>
      <sz val="11"/>
      <color indexed="8"/>
      <name val="Book Antiqua"/>
      <charset val="134"/>
    </font>
    <font>
      <b/>
      <sz val="10"/>
      <color theme="1"/>
      <name val="Book Antiqua"/>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name val="Arial"/>
      <charset val="134"/>
    </font>
    <font>
      <sz val="11"/>
      <color indexed="8"/>
      <name val="Calibri"/>
      <charset val="134"/>
    </font>
  </fonts>
  <fills count="34">
    <fill>
      <patternFill patternType="none"/>
    </fill>
    <fill>
      <patternFill patternType="gray125"/>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1">
    <border>
      <left/>
      <right/>
      <top/>
      <bottom/>
      <diagonal/>
    </border>
    <border>
      <left/>
      <right/>
      <top style="thin">
        <color auto="1"/>
      </top>
      <bottom style="thin">
        <color auto="1"/>
      </bottom>
      <diagonal/>
    </border>
    <border>
      <left/>
      <right/>
      <top/>
      <bottom style="double">
        <color auto="1"/>
      </bottom>
      <diagonal/>
    </border>
    <border>
      <left/>
      <right/>
      <top/>
      <bottom style="thin">
        <color auto="1"/>
      </bottom>
      <diagonal/>
    </border>
    <border>
      <left/>
      <right/>
      <top style="thin">
        <color auto="1"/>
      </top>
      <bottom/>
      <diagonal/>
    </border>
    <border>
      <left/>
      <right/>
      <top style="thin">
        <color auto="1"/>
      </top>
      <bottom style="double">
        <color auto="1"/>
      </bottom>
      <diagonal/>
    </border>
    <border>
      <left/>
      <right/>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7">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0" fillId="3" borderId="23" applyNumberFormat="0" applyFon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24" applyNumberFormat="0" applyFill="0" applyAlignment="0" applyProtection="0">
      <alignment vertical="center"/>
    </xf>
    <xf numFmtId="0" fontId="26" fillId="0" borderId="24" applyNumberFormat="0" applyFill="0" applyAlignment="0" applyProtection="0">
      <alignment vertical="center"/>
    </xf>
    <xf numFmtId="0" fontId="27" fillId="0" borderId="25" applyNumberFormat="0" applyFill="0" applyAlignment="0" applyProtection="0">
      <alignment vertical="center"/>
    </xf>
    <xf numFmtId="0" fontId="27" fillId="0" borderId="0" applyNumberFormat="0" applyFill="0" applyBorder="0" applyAlignment="0" applyProtection="0">
      <alignment vertical="center"/>
    </xf>
    <xf numFmtId="0" fontId="28" fillId="4" borderId="26" applyNumberFormat="0" applyAlignment="0" applyProtection="0">
      <alignment vertical="center"/>
    </xf>
    <xf numFmtId="0" fontId="29" fillId="5" borderId="27" applyNumberFormat="0" applyAlignment="0" applyProtection="0">
      <alignment vertical="center"/>
    </xf>
    <xf numFmtId="0" fontId="30" fillId="5" borderId="26" applyNumberFormat="0" applyAlignment="0" applyProtection="0">
      <alignment vertical="center"/>
    </xf>
    <xf numFmtId="0" fontId="31" fillId="6" borderId="28" applyNumberFormat="0" applyAlignment="0" applyProtection="0">
      <alignment vertical="center"/>
    </xf>
    <xf numFmtId="0" fontId="32" fillId="0" borderId="29" applyNumberFormat="0" applyFill="0" applyAlignment="0" applyProtection="0">
      <alignment vertical="center"/>
    </xf>
    <xf numFmtId="0" fontId="33" fillId="0" borderId="30" applyNumberFormat="0" applyFill="0" applyAlignment="0" applyProtection="0">
      <alignment vertical="center"/>
    </xf>
    <xf numFmtId="0" fontId="34" fillId="7" borderId="0" applyNumberFormat="0" applyBorder="0" applyAlignment="0" applyProtection="0">
      <alignment vertical="center"/>
    </xf>
    <xf numFmtId="0" fontId="35" fillId="8" borderId="0" applyNumberFormat="0" applyBorder="0" applyAlignment="0" applyProtection="0">
      <alignment vertical="center"/>
    </xf>
    <xf numFmtId="0" fontId="36" fillId="9" borderId="0" applyNumberFormat="0" applyBorder="0" applyAlignment="0" applyProtection="0">
      <alignment vertical="center"/>
    </xf>
    <xf numFmtId="0" fontId="37" fillId="10" borderId="0" applyNumberFormat="0" applyBorder="0" applyAlignment="0" applyProtection="0">
      <alignment vertical="center"/>
    </xf>
    <xf numFmtId="0" fontId="38" fillId="11" borderId="0" applyNumberFormat="0" applyBorder="0" applyAlignment="0" applyProtection="0">
      <alignment vertical="center"/>
    </xf>
    <xf numFmtId="0" fontId="38" fillId="12" borderId="0" applyNumberFormat="0" applyBorder="0" applyAlignment="0" applyProtection="0">
      <alignment vertical="center"/>
    </xf>
    <xf numFmtId="0" fontId="37" fillId="13" borderId="0" applyNumberFormat="0" applyBorder="0" applyAlignment="0" applyProtection="0">
      <alignment vertical="center"/>
    </xf>
    <xf numFmtId="0" fontId="37" fillId="14" borderId="0" applyNumberFormat="0" applyBorder="0" applyAlignment="0" applyProtection="0">
      <alignment vertical="center"/>
    </xf>
    <xf numFmtId="0" fontId="38" fillId="15" borderId="0" applyNumberFormat="0" applyBorder="0" applyAlignment="0" applyProtection="0">
      <alignment vertical="center"/>
    </xf>
    <xf numFmtId="0" fontId="38" fillId="16" borderId="0" applyNumberFormat="0" applyBorder="0" applyAlignment="0" applyProtection="0">
      <alignment vertical="center"/>
    </xf>
    <xf numFmtId="0" fontId="37" fillId="17" borderId="0" applyNumberFormat="0" applyBorder="0" applyAlignment="0" applyProtection="0">
      <alignment vertical="center"/>
    </xf>
    <xf numFmtId="0" fontId="37" fillId="18" borderId="0" applyNumberFormat="0" applyBorder="0" applyAlignment="0" applyProtection="0">
      <alignment vertical="center"/>
    </xf>
    <xf numFmtId="0" fontId="38" fillId="19" borderId="0" applyNumberFormat="0" applyBorder="0" applyAlignment="0" applyProtection="0">
      <alignment vertical="center"/>
    </xf>
    <xf numFmtId="0" fontId="38" fillId="20" borderId="0" applyNumberFormat="0" applyBorder="0" applyAlignment="0" applyProtection="0">
      <alignment vertical="center"/>
    </xf>
    <xf numFmtId="0" fontId="37" fillId="21" borderId="0" applyNumberFormat="0" applyBorder="0" applyAlignment="0" applyProtection="0">
      <alignment vertical="center"/>
    </xf>
    <xf numFmtId="0" fontId="37" fillId="22" borderId="0" applyNumberFormat="0" applyBorder="0" applyAlignment="0" applyProtection="0">
      <alignment vertical="center"/>
    </xf>
    <xf numFmtId="0" fontId="38" fillId="23" borderId="0" applyNumberFormat="0" applyBorder="0" applyAlignment="0" applyProtection="0">
      <alignment vertical="center"/>
    </xf>
    <xf numFmtId="0" fontId="38" fillId="24" borderId="0" applyNumberFormat="0" applyBorder="0" applyAlignment="0" applyProtection="0">
      <alignment vertical="center"/>
    </xf>
    <xf numFmtId="0" fontId="37" fillId="25" borderId="0" applyNumberFormat="0" applyBorder="0" applyAlignment="0" applyProtection="0">
      <alignment vertical="center"/>
    </xf>
    <xf numFmtId="0" fontId="37" fillId="26" borderId="0" applyNumberFormat="0" applyBorder="0" applyAlignment="0" applyProtection="0">
      <alignment vertical="center"/>
    </xf>
    <xf numFmtId="0" fontId="38" fillId="27" borderId="0" applyNumberFormat="0" applyBorder="0" applyAlignment="0" applyProtection="0">
      <alignment vertical="center"/>
    </xf>
    <xf numFmtId="0" fontId="38" fillId="28" borderId="0" applyNumberFormat="0" applyBorder="0" applyAlignment="0" applyProtection="0">
      <alignment vertical="center"/>
    </xf>
    <xf numFmtId="0" fontId="37" fillId="29" borderId="0" applyNumberFormat="0" applyBorder="0" applyAlignment="0" applyProtection="0">
      <alignment vertical="center"/>
    </xf>
    <xf numFmtId="0" fontId="37" fillId="30" borderId="0" applyNumberFormat="0" applyBorder="0" applyAlignment="0" applyProtection="0">
      <alignment vertical="center"/>
    </xf>
    <xf numFmtId="0" fontId="38" fillId="31" borderId="0" applyNumberFormat="0" applyBorder="0" applyAlignment="0" applyProtection="0">
      <alignment vertical="center"/>
    </xf>
    <xf numFmtId="0" fontId="38" fillId="32" borderId="0" applyNumberFormat="0" applyBorder="0" applyAlignment="0" applyProtection="0">
      <alignment vertical="center"/>
    </xf>
    <xf numFmtId="0" fontId="37" fillId="33" borderId="0" applyNumberFormat="0" applyBorder="0" applyAlignment="0" applyProtection="0">
      <alignment vertical="center"/>
    </xf>
    <xf numFmtId="0" fontId="0" fillId="0" borderId="0"/>
    <xf numFmtId="180" fontId="39" fillId="0" borderId="0" applyFont="0" applyFill="0" applyBorder="0" applyAlignment="0" applyProtection="0"/>
    <xf numFmtId="176" fontId="0" fillId="0" borderId="0" applyFont="0" applyFill="0" applyBorder="0" applyAlignment="0" applyProtection="0"/>
    <xf numFmtId="0" fontId="39" fillId="0" borderId="0"/>
    <xf numFmtId="180" fontId="40" fillId="0" borderId="0" applyFont="0" applyFill="0" applyBorder="0" applyAlignment="0" applyProtection="0"/>
    <xf numFmtId="9" fontId="40" fillId="0" borderId="0" applyFont="0" applyFill="0" applyBorder="0" applyAlignment="0" applyProtection="0"/>
    <xf numFmtId="180" fontId="40" fillId="0" borderId="0" applyFont="0" applyFill="0" applyBorder="0" applyAlignment="0" applyProtection="0"/>
    <xf numFmtId="0" fontId="0" fillId="0" borderId="0"/>
  </cellStyleXfs>
  <cellXfs count="243">
    <xf numFmtId="0" fontId="0" fillId="0" borderId="0" xfId="0">
      <alignment vertical="center"/>
    </xf>
    <xf numFmtId="0" fontId="1" fillId="2" borderId="0" xfId="49" applyFont="1" applyFill="1"/>
    <xf numFmtId="0" fontId="2" fillId="2" borderId="0" xfId="49" applyFont="1" applyFill="1" applyAlignment="1">
      <alignment vertical="center"/>
    </xf>
    <xf numFmtId="49" fontId="3" fillId="2" borderId="0" xfId="49" applyNumberFormat="1" applyFont="1" applyFill="1"/>
    <xf numFmtId="0" fontId="4" fillId="2" borderId="0" xfId="49" applyFont="1" applyFill="1" applyAlignment="1">
      <alignment horizontal="right" vertical="center"/>
    </xf>
    <xf numFmtId="0" fontId="5" fillId="2" borderId="0" xfId="49" applyFont="1" applyFill="1" applyAlignment="1">
      <alignment vertical="center"/>
    </xf>
    <xf numFmtId="0" fontId="6" fillId="2" borderId="0" xfId="49" applyFont="1" applyFill="1" applyAlignment="1">
      <alignment horizontal="right" vertical="center"/>
    </xf>
    <xf numFmtId="0" fontId="7" fillId="2" borderId="1" xfId="49" applyFont="1" applyFill="1" applyBorder="1" applyAlignment="1">
      <alignment vertical="center"/>
    </xf>
    <xf numFmtId="0" fontId="2" fillId="2" borderId="1" xfId="49" applyFont="1" applyFill="1" applyBorder="1" applyAlignment="1">
      <alignment vertical="center"/>
    </xf>
    <xf numFmtId="181" fontId="8" fillId="2" borderId="1" xfId="49" applyNumberFormat="1" applyFont="1" applyFill="1" applyBorder="1" applyAlignment="1">
      <alignment horizontal="right"/>
    </xf>
    <xf numFmtId="0" fontId="5" fillId="2" borderId="0" xfId="49" applyFont="1" applyFill="1" applyAlignment="1">
      <alignment horizontal="left" vertical="center" indent="1"/>
    </xf>
    <xf numFmtId="0" fontId="7" fillId="2" borderId="0" xfId="49" applyFont="1" applyFill="1" applyAlignment="1">
      <alignment vertical="center"/>
    </xf>
    <xf numFmtId="0" fontId="9" fillId="2" borderId="0" xfId="49" applyFont="1" applyFill="1" applyAlignment="1">
      <alignment horizontal="left" vertical="center" indent="1"/>
    </xf>
    <xf numFmtId="180" fontId="7" fillId="2" borderId="2" xfId="1" applyNumberFormat="1" applyFont="1" applyFill="1" applyBorder="1" applyAlignment="1">
      <alignment vertical="center"/>
    </xf>
    <xf numFmtId="0" fontId="7" fillId="2" borderId="0" xfId="49" applyFont="1" applyFill="1" applyAlignment="1">
      <alignment horizontal="left" vertical="center" indent="1"/>
    </xf>
    <xf numFmtId="180" fontId="5" fillId="2" borderId="0" xfId="1" applyNumberFormat="1" applyFont="1" applyFill="1" applyAlignment="1">
      <alignment vertical="center"/>
    </xf>
    <xf numFmtId="180" fontId="7" fillId="2" borderId="0" xfId="1" applyNumberFormat="1" applyFont="1" applyFill="1" applyAlignment="1">
      <alignment vertical="center"/>
    </xf>
    <xf numFmtId="180" fontId="7" fillId="2" borderId="0" xfId="1" applyNumberFormat="1" applyFont="1" applyFill="1" applyBorder="1" applyAlignment="1">
      <alignment vertical="center"/>
    </xf>
    <xf numFmtId="0" fontId="1" fillId="2" borderId="1" xfId="49" applyFont="1" applyFill="1" applyBorder="1" applyAlignment="1">
      <alignment horizontal="left" vertical="center" indent="1"/>
    </xf>
    <xf numFmtId="180" fontId="5" fillId="2" borderId="1" xfId="1" applyNumberFormat="1" applyFont="1" applyFill="1" applyBorder="1" applyAlignment="1">
      <alignment vertical="center"/>
    </xf>
    <xf numFmtId="0" fontId="9" fillId="2" borderId="0" xfId="49" applyFont="1" applyFill="1" applyAlignment="1">
      <alignment vertical="center"/>
    </xf>
    <xf numFmtId="182" fontId="5" fillId="2" borderId="0" xfId="53" applyNumberFormat="1" applyFont="1" applyFill="1" applyBorder="1" applyAlignment="1">
      <alignment vertical="center"/>
    </xf>
    <xf numFmtId="182" fontId="7" fillId="2" borderId="0" xfId="53" applyNumberFormat="1" applyFont="1" applyFill="1" applyBorder="1" applyAlignment="1">
      <alignment vertical="center"/>
    </xf>
    <xf numFmtId="0" fontId="1" fillId="2" borderId="0" xfId="49" applyFont="1" applyFill="1" applyAlignment="1">
      <alignment horizontal="left" vertical="center"/>
    </xf>
    <xf numFmtId="182" fontId="5" fillId="2" borderId="3" xfId="53" applyNumberFormat="1" applyFont="1" applyFill="1" applyBorder="1" applyAlignment="1">
      <alignment vertical="center"/>
    </xf>
    <xf numFmtId="182" fontId="7" fillId="2" borderId="3" xfId="53" applyNumberFormat="1" applyFont="1" applyFill="1" applyBorder="1" applyAlignment="1">
      <alignment vertical="center"/>
    </xf>
    <xf numFmtId="0" fontId="7" fillId="2" borderId="3" xfId="49" applyFont="1" applyFill="1" applyBorder="1" applyAlignment="1">
      <alignment vertical="center"/>
    </xf>
    <xf numFmtId="0" fontId="9" fillId="2" borderId="4" xfId="49" applyFont="1" applyFill="1" applyBorder="1" applyAlignment="1">
      <alignment horizontal="left" vertical="top" wrapText="1" indent="1"/>
    </xf>
    <xf numFmtId="183" fontId="1" fillId="2" borderId="1" xfId="49" applyNumberFormat="1" applyFont="1" applyFill="1" applyBorder="1" applyAlignment="1">
      <alignment horizontal="center" vertical="top" wrapText="1"/>
    </xf>
    <xf numFmtId="0" fontId="0" fillId="2" borderId="1" xfId="49" applyFill="1" applyBorder="1" applyAlignment="1">
      <alignment horizontal="center"/>
    </xf>
    <xf numFmtId="0" fontId="9" fillId="2" borderId="3" xfId="49" applyFont="1" applyFill="1" applyBorder="1" applyAlignment="1">
      <alignment horizontal="left" indent="1"/>
    </xf>
    <xf numFmtId="0" fontId="1" fillId="2" borderId="1" xfId="49" applyFont="1" applyFill="1" applyBorder="1" applyAlignment="1">
      <alignment horizontal="right" vertical="top" wrapText="1"/>
    </xf>
    <xf numFmtId="0" fontId="1" fillId="2" borderId="4" xfId="49" applyFont="1" applyFill="1" applyBorder="1" applyAlignment="1">
      <alignment horizontal="left" indent="1"/>
    </xf>
    <xf numFmtId="0" fontId="1" fillId="2" borderId="0" xfId="49" applyFont="1" applyFill="1" applyAlignment="1">
      <alignment horizontal="right" vertical="top" wrapText="1"/>
    </xf>
    <xf numFmtId="0" fontId="9" fillId="2" borderId="0" xfId="49" applyFont="1" applyFill="1" applyAlignment="1">
      <alignment horizontal="left" vertical="top" wrapText="1" indent="1"/>
    </xf>
    <xf numFmtId="182" fontId="7" fillId="2" borderId="0" xfId="1" applyNumberFormat="1" applyFont="1" applyFill="1" applyBorder="1" applyAlignment="1">
      <alignment vertical="center"/>
    </xf>
    <xf numFmtId="182" fontId="2" fillId="2" borderId="0" xfId="49" applyNumberFormat="1" applyFont="1" applyFill="1" applyAlignment="1">
      <alignment vertical="center"/>
    </xf>
    <xf numFmtId="0" fontId="9" fillId="2" borderId="3" xfId="49" applyFont="1" applyFill="1" applyBorder="1" applyAlignment="1">
      <alignment horizontal="left" vertical="top" wrapText="1" indent="1"/>
    </xf>
    <xf numFmtId="182" fontId="7" fillId="2" borderId="3" xfId="1" applyNumberFormat="1" applyFont="1" applyFill="1" applyBorder="1" applyAlignment="1">
      <alignment vertical="center"/>
    </xf>
    <xf numFmtId="180" fontId="7" fillId="2" borderId="3" xfId="1" applyNumberFormat="1" applyFont="1" applyFill="1" applyBorder="1" applyAlignment="1">
      <alignment vertical="center"/>
    </xf>
    <xf numFmtId="0" fontId="1" fillId="2" borderId="0" xfId="49" applyFont="1" applyFill="1" applyAlignment="1">
      <alignment horizontal="left" vertical="top"/>
    </xf>
    <xf numFmtId="0" fontId="9" fillId="2" borderId="0" xfId="49" applyFont="1" applyFill="1" applyAlignment="1">
      <alignment horizontal="left" vertical="top" indent="1"/>
    </xf>
    <xf numFmtId="0" fontId="3" fillId="2" borderId="0" xfId="49" applyFont="1" applyFill="1" applyAlignment="1">
      <alignment horizontal="justify" vertical="top" wrapText="1"/>
    </xf>
    <xf numFmtId="182" fontId="1" fillId="2" borderId="3" xfId="50" applyNumberFormat="1" applyFont="1" applyFill="1" applyBorder="1" applyAlignment="1">
      <alignment horizontal="justify" vertical="top" wrapText="1"/>
    </xf>
    <xf numFmtId="182" fontId="9" fillId="2" borderId="3" xfId="50" applyNumberFormat="1" applyFont="1" applyFill="1" applyBorder="1" applyAlignment="1">
      <alignment horizontal="justify" vertical="top" wrapText="1"/>
    </xf>
    <xf numFmtId="0" fontId="1" fillId="2" borderId="4" xfId="49" applyFont="1" applyFill="1" applyBorder="1" applyAlignment="1">
      <alignment horizontal="center" vertical="center" wrapText="1"/>
    </xf>
    <xf numFmtId="0" fontId="1" fillId="2" borderId="3" xfId="49" applyFont="1" applyFill="1" applyBorder="1" applyAlignment="1">
      <alignment horizontal="center" vertical="center" wrapText="1"/>
    </xf>
    <xf numFmtId="182" fontId="1" fillId="2" borderId="1" xfId="50" applyNumberFormat="1" applyFont="1" applyFill="1" applyBorder="1" applyAlignment="1">
      <alignment horizontal="right" vertical="top" wrapText="1"/>
    </xf>
    <xf numFmtId="0" fontId="1" fillId="2" borderId="4" xfId="49" applyFont="1" applyFill="1" applyBorder="1" applyAlignment="1">
      <alignment horizontal="left" vertical="top" wrapText="1" indent="1"/>
    </xf>
    <xf numFmtId="182" fontId="1" fillId="2" borderId="0" xfId="50" applyNumberFormat="1" applyFont="1" applyFill="1" applyBorder="1" applyAlignment="1">
      <alignment horizontal="justify" vertical="top" wrapText="1"/>
    </xf>
    <xf numFmtId="0" fontId="9" fillId="2" borderId="0" xfId="49" applyFont="1" applyFill="1" applyAlignment="1">
      <alignment horizontal="left" vertical="center" indent="3"/>
    </xf>
    <xf numFmtId="10" fontId="7" fillId="2" borderId="0" xfId="54" applyNumberFormat="1" applyFont="1" applyFill="1" applyBorder="1" applyAlignment="1">
      <alignment vertical="center"/>
    </xf>
    <xf numFmtId="0" fontId="9" fillId="2" borderId="3" xfId="49" applyFont="1" applyFill="1" applyBorder="1" applyAlignment="1">
      <alignment horizontal="left" vertical="center" indent="3"/>
    </xf>
    <xf numFmtId="0" fontId="3" fillId="2" borderId="4" xfId="49" applyFont="1" applyFill="1" applyBorder="1" applyAlignment="1">
      <alignment horizontal="justify" vertical="top" wrapText="1"/>
    </xf>
    <xf numFmtId="0" fontId="1" fillId="2" borderId="3" xfId="49" applyFont="1" applyFill="1" applyBorder="1" applyAlignment="1">
      <alignment horizontal="left" vertical="top"/>
    </xf>
    <xf numFmtId="0" fontId="3" fillId="2" borderId="3" xfId="49" applyFont="1" applyFill="1" applyBorder="1" applyAlignment="1">
      <alignment horizontal="justify" vertical="top" wrapText="1"/>
    </xf>
    <xf numFmtId="0" fontId="1" fillId="2" borderId="0" xfId="49" applyFont="1" applyFill="1" applyAlignment="1">
      <alignment horizontal="center" vertical="center" wrapText="1"/>
    </xf>
    <xf numFmtId="183" fontId="1" fillId="2" borderId="3" xfId="49" applyNumberFormat="1" applyFont="1" applyFill="1" applyBorder="1" applyAlignment="1">
      <alignment horizontal="center" vertical="top" wrapText="1"/>
    </xf>
    <xf numFmtId="0" fontId="1" fillId="2" borderId="3" xfId="49" applyFont="1" applyFill="1" applyBorder="1" applyAlignment="1">
      <alignment horizontal="center" vertical="top" wrapText="1"/>
    </xf>
    <xf numFmtId="0" fontId="9" fillId="2" borderId="0" xfId="49" applyFont="1" applyFill="1" applyAlignment="1">
      <alignment horizontal="justify" vertical="top" wrapText="1"/>
    </xf>
    <xf numFmtId="0" fontId="9" fillId="2" borderId="0" xfId="49" applyFont="1" applyFill="1" applyAlignment="1">
      <alignment horizontal="left" vertical="top" wrapText="1" indent="3"/>
    </xf>
    <xf numFmtId="180" fontId="7" fillId="2" borderId="0" xfId="1" applyNumberFormat="1" applyFont="1" applyFill="1" applyBorder="1" applyAlignment="1">
      <alignment horizontal="center" vertical="center"/>
    </xf>
    <xf numFmtId="10" fontId="9" fillId="0" borderId="0" xfId="3" applyNumberFormat="1" applyFont="1" applyFill="1" applyBorder="1" applyAlignment="1">
      <alignment horizontal="center" vertical="top" wrapText="1"/>
    </xf>
    <xf numFmtId="180" fontId="7" fillId="0" borderId="0" xfId="1" applyNumberFormat="1" applyFont="1" applyFill="1" applyBorder="1" applyAlignment="1">
      <alignment horizontal="center" vertical="center"/>
    </xf>
    <xf numFmtId="180" fontId="7" fillId="2" borderId="3" xfId="1" applyNumberFormat="1" applyFont="1" applyFill="1" applyBorder="1" applyAlignment="1">
      <alignment horizontal="center" vertical="center"/>
    </xf>
    <xf numFmtId="180" fontId="7" fillId="0" borderId="3" xfId="1" applyNumberFormat="1" applyFont="1" applyFill="1" applyBorder="1" applyAlignment="1">
      <alignment horizontal="center" vertical="center"/>
    </xf>
    <xf numFmtId="0" fontId="9" fillId="2" borderId="3" xfId="49" applyFont="1" applyFill="1" applyBorder="1" applyAlignment="1">
      <alignment horizontal="justify" vertical="top" wrapText="1"/>
    </xf>
    <xf numFmtId="0" fontId="9" fillId="2" borderId="3" xfId="49" applyFont="1" applyFill="1" applyBorder="1" applyAlignment="1">
      <alignment horizontal="center" vertical="top" wrapText="1"/>
    </xf>
    <xf numFmtId="49" fontId="10" fillId="2" borderId="0" xfId="49" applyNumberFormat="1" applyFont="1" applyFill="1"/>
    <xf numFmtId="0" fontId="8" fillId="2" borderId="0" xfId="49" applyFont="1" applyFill="1"/>
    <xf numFmtId="184" fontId="8" fillId="2" borderId="0" xfId="49" applyNumberFormat="1" applyFont="1" applyFill="1"/>
    <xf numFmtId="0" fontId="8" fillId="2" borderId="1" xfId="49" applyFont="1" applyFill="1" applyBorder="1"/>
    <xf numFmtId="180" fontId="11" fillId="2" borderId="0" xfId="1" applyNumberFormat="1" applyFont="1" applyFill="1" applyBorder="1" applyAlignment="1">
      <alignment horizontal="right"/>
    </xf>
    <xf numFmtId="49" fontId="10" fillId="2" borderId="0" xfId="49" applyNumberFormat="1" applyFont="1" applyFill="1" applyAlignment="1">
      <alignment horizontal="left" indent="1"/>
    </xf>
    <xf numFmtId="180" fontId="8" fillId="2" borderId="0" xfId="1" applyNumberFormat="1" applyFont="1" applyFill="1" applyAlignment="1">
      <alignment horizontal="right"/>
    </xf>
    <xf numFmtId="49" fontId="12" fillId="2" borderId="0" xfId="49" applyNumberFormat="1" applyFont="1" applyFill="1" applyAlignment="1">
      <alignment horizontal="left" indent="1"/>
    </xf>
    <xf numFmtId="180" fontId="5" fillId="2" borderId="5" xfId="1" applyNumberFormat="1" applyFont="1" applyFill="1" applyBorder="1" applyAlignment="1">
      <alignment vertical="center"/>
    </xf>
    <xf numFmtId="180" fontId="2" fillId="2" borderId="0" xfId="49" applyNumberFormat="1" applyFont="1" applyFill="1" applyAlignment="1">
      <alignment vertical="center"/>
    </xf>
    <xf numFmtId="180" fontId="12" fillId="2" borderId="0" xfId="1" applyNumberFormat="1" applyFont="1" applyFill="1" applyBorder="1" applyAlignment="1"/>
    <xf numFmtId="184" fontId="2" fillId="2" borderId="0" xfId="49" applyNumberFormat="1" applyFont="1" applyFill="1" applyAlignment="1">
      <alignment vertical="center"/>
    </xf>
    <xf numFmtId="180" fontId="12" fillId="2" borderId="4" xfId="1" applyNumberFormat="1" applyFont="1" applyFill="1" applyBorder="1" applyAlignment="1"/>
    <xf numFmtId="180" fontId="12" fillId="2" borderId="3" xfId="1" applyNumberFormat="1" applyFont="1" applyFill="1" applyBorder="1" applyAlignment="1"/>
    <xf numFmtId="180" fontId="10" fillId="2" borderId="2" xfId="1" applyNumberFormat="1" applyFont="1" applyFill="1" applyBorder="1" applyAlignment="1"/>
    <xf numFmtId="180" fontId="10" fillId="2" borderId="5" xfId="1" applyNumberFormat="1" applyFont="1" applyFill="1" applyBorder="1" applyAlignment="1"/>
    <xf numFmtId="49" fontId="12" fillId="2" borderId="1" xfId="49" applyNumberFormat="1" applyFont="1" applyFill="1" applyBorder="1" applyAlignment="1">
      <alignment horizontal="left" indent="1"/>
    </xf>
    <xf numFmtId="180" fontId="10" fillId="2" borderId="1" xfId="1" applyNumberFormat="1" applyFont="1" applyFill="1" applyBorder="1"/>
    <xf numFmtId="49" fontId="10" fillId="2" borderId="0" xfId="52" applyNumberFormat="1" applyFont="1" applyFill="1"/>
    <xf numFmtId="49" fontId="10" fillId="2" borderId="3" xfId="52" applyNumberFormat="1" applyFont="1" applyFill="1" applyBorder="1" applyAlignment="1">
      <alignment horizontal="center"/>
    </xf>
    <xf numFmtId="0" fontId="2" fillId="2" borderId="0" xfId="52" applyFont="1" applyFill="1" applyAlignment="1">
      <alignment vertical="center"/>
    </xf>
    <xf numFmtId="0" fontId="8" fillId="2" borderId="1" xfId="52" applyFont="1" applyFill="1" applyBorder="1"/>
    <xf numFmtId="181" fontId="8" fillId="2" borderId="1" xfId="52" applyNumberFormat="1" applyFont="1" applyFill="1" applyBorder="1" applyAlignment="1">
      <alignment horizontal="right"/>
    </xf>
    <xf numFmtId="0" fontId="11" fillId="2" borderId="0" xfId="52" applyFont="1" applyFill="1" applyAlignment="1">
      <alignment horizontal="left" vertical="top" wrapText="1" indent="1"/>
    </xf>
    <xf numFmtId="184" fontId="8" fillId="2" borderId="0" xfId="52" applyNumberFormat="1" applyFont="1" applyFill="1" applyAlignment="1">
      <alignment vertical="top"/>
    </xf>
    <xf numFmtId="180" fontId="2" fillId="2" borderId="0" xfId="1" applyNumberFormat="1" applyFont="1" applyFill="1" applyAlignment="1">
      <alignment vertical="center"/>
    </xf>
    <xf numFmtId="184" fontId="10" fillId="2" borderId="1" xfId="55" applyNumberFormat="1" applyFont="1" applyFill="1" applyBorder="1" applyAlignment="1"/>
    <xf numFmtId="180" fontId="10" fillId="2" borderId="1" xfId="1" applyNumberFormat="1" applyFont="1" applyFill="1" applyBorder="1" applyAlignment="1"/>
    <xf numFmtId="184" fontId="2" fillId="2" borderId="0" xfId="52" applyNumberFormat="1" applyFont="1" applyFill="1" applyAlignment="1">
      <alignment vertical="center"/>
    </xf>
    <xf numFmtId="0" fontId="2" fillId="0" borderId="4" xfId="52" applyFont="1" applyBorder="1" applyAlignment="1">
      <alignment horizontal="justify" vertical="center" wrapText="1"/>
    </xf>
    <xf numFmtId="181" fontId="8" fillId="2" borderId="3" xfId="52" applyNumberFormat="1" applyFont="1" applyFill="1" applyBorder="1" applyAlignment="1">
      <alignment horizontal="right"/>
    </xf>
    <xf numFmtId="0" fontId="11" fillId="2" borderId="1" xfId="52" applyFont="1" applyFill="1" applyBorder="1" applyAlignment="1">
      <alignment horizontal="left" vertical="top" wrapText="1" indent="1"/>
    </xf>
    <xf numFmtId="180" fontId="9" fillId="0" borderId="0" xfId="1" applyNumberFormat="1" applyFont="1" applyFill="1" applyAlignment="1">
      <alignment vertical="top"/>
    </xf>
    <xf numFmtId="180" fontId="11" fillId="2" borderId="0" xfId="1" applyNumberFormat="1" applyFont="1" applyFill="1" applyAlignment="1">
      <alignment vertical="top"/>
    </xf>
    <xf numFmtId="0" fontId="7" fillId="2" borderId="0" xfId="52" applyFont="1" applyFill="1" applyAlignment="1">
      <alignment vertical="center" wrapText="1"/>
    </xf>
    <xf numFmtId="0" fontId="11" fillId="2" borderId="0" xfId="49" applyFont="1" applyFill="1" applyAlignment="1">
      <alignment horizontal="left" wrapText="1" indent="1"/>
    </xf>
    <xf numFmtId="185" fontId="12" fillId="2" borderId="0" xfId="53" applyNumberFormat="1" applyFont="1" applyFill="1"/>
    <xf numFmtId="184" fontId="12" fillId="2" borderId="0" xfId="53" applyNumberFormat="1" applyFont="1" applyFill="1"/>
    <xf numFmtId="0" fontId="11" fillId="2" borderId="0" xfId="49" applyFont="1" applyFill="1" applyAlignment="1">
      <alignment horizontal="left" wrapText="1" indent="4"/>
    </xf>
    <xf numFmtId="180" fontId="12" fillId="2" borderId="0" xfId="1" applyNumberFormat="1" applyFont="1" applyFill="1"/>
    <xf numFmtId="0" fontId="11" fillId="2" borderId="1" xfId="49" applyFont="1" applyFill="1" applyBorder="1"/>
    <xf numFmtId="180" fontId="8" fillId="2" borderId="1" xfId="1" applyNumberFormat="1" applyFont="1" applyFill="1" applyBorder="1" applyAlignment="1">
      <alignment horizontal="right"/>
    </xf>
    <xf numFmtId="0" fontId="11" fillId="2" borderId="0" xfId="49" applyFont="1" applyFill="1"/>
    <xf numFmtId="184" fontId="8" fillId="2" borderId="0" xfId="49" applyNumberFormat="1" applyFont="1" applyFill="1" applyAlignment="1">
      <alignment horizontal="right"/>
    </xf>
    <xf numFmtId="0" fontId="8" fillId="0" borderId="0" xfId="0" applyFont="1" applyFill="1" applyAlignment="1">
      <alignment horizontal="left" indent="1"/>
    </xf>
    <xf numFmtId="186" fontId="11" fillId="0" borderId="0" xfId="51" applyNumberFormat="1" applyFont="1" applyFill="1"/>
    <xf numFmtId="0" fontId="8" fillId="0" borderId="4" xfId="0" applyFont="1" applyFill="1" applyBorder="1" applyAlignment="1">
      <alignment horizontal="center" vertical="center"/>
    </xf>
    <xf numFmtId="0" fontId="8" fillId="0" borderId="1" xfId="0" applyFont="1" applyFill="1" applyBorder="1" applyAlignment="1"/>
    <xf numFmtId="0" fontId="8" fillId="0" borderId="6" xfId="0" applyFont="1" applyFill="1" applyBorder="1" applyAlignment="1">
      <alignment horizontal="center" vertical="center"/>
    </xf>
    <xf numFmtId="0" fontId="8" fillId="0" borderId="6" xfId="0" applyFont="1" applyFill="1" applyBorder="1" applyAlignment="1">
      <alignment horizontal="center" vertical="center" wrapText="1"/>
    </xf>
    <xf numFmtId="186" fontId="8" fillId="0" borderId="6" xfId="51" applyNumberFormat="1" applyFont="1" applyFill="1" applyBorder="1" applyAlignment="1">
      <alignment horizontal="center" vertical="center" wrapText="1"/>
    </xf>
    <xf numFmtId="0" fontId="13" fillId="0" borderId="0" xfId="0" applyFont="1" applyFill="1" applyAlignment="1">
      <alignment horizontal="left" indent="1"/>
    </xf>
    <xf numFmtId="0" fontId="11" fillId="0" borderId="0" xfId="0" applyFont="1" applyFill="1" applyAlignment="1">
      <alignment horizontal="left" indent="3"/>
    </xf>
    <xf numFmtId="180" fontId="12" fillId="2" borderId="0" xfId="1" applyNumberFormat="1" applyFont="1" applyFill="1" applyAlignment="1">
      <alignment horizontal="center"/>
    </xf>
    <xf numFmtId="180" fontId="11" fillId="0" borderId="0" xfId="1" applyNumberFormat="1" applyFont="1" applyFill="1" applyAlignment="1">
      <alignment horizontal="center"/>
    </xf>
    <xf numFmtId="0" fontId="11" fillId="0" borderId="0" xfId="0" applyFont="1" applyFill="1" applyAlignment="1"/>
    <xf numFmtId="180" fontId="11" fillId="0" borderId="0" xfId="1" applyNumberFormat="1" applyFont="1" applyFill="1"/>
    <xf numFmtId="0" fontId="8" fillId="0" borderId="1" xfId="0" applyFont="1" applyFill="1" applyBorder="1" applyAlignment="1">
      <alignment horizontal="center"/>
    </xf>
    <xf numFmtId="180" fontId="8" fillId="2" borderId="1" xfId="1" applyNumberFormat="1" applyFont="1" applyFill="1" applyBorder="1" applyAlignment="1">
      <alignment horizontal="center"/>
    </xf>
    <xf numFmtId="0" fontId="8" fillId="0" borderId="1" xfId="0" applyFont="1" applyFill="1" applyBorder="1" applyAlignment="1">
      <alignment horizontal="center" vertical="center" wrapText="1"/>
    </xf>
    <xf numFmtId="0" fontId="8" fillId="0" borderId="7" xfId="0" applyFont="1" applyFill="1" applyBorder="1" applyAlignment="1">
      <alignment horizontal="center"/>
    </xf>
    <xf numFmtId="180" fontId="8" fillId="2" borderId="7" xfId="1" applyNumberFormat="1" applyFont="1" applyFill="1" applyBorder="1" applyAlignment="1">
      <alignment horizontal="center"/>
    </xf>
    <xf numFmtId="184" fontId="5" fillId="2" borderId="0" xfId="53" applyNumberFormat="1" applyFont="1" applyFill="1" applyBorder="1" applyAlignment="1">
      <alignment vertical="center"/>
    </xf>
    <xf numFmtId="184" fontId="7" fillId="2" borderId="0" xfId="53" applyNumberFormat="1" applyFont="1" applyFill="1" applyBorder="1" applyAlignment="1">
      <alignment vertical="center"/>
    </xf>
    <xf numFmtId="180" fontId="9" fillId="2" borderId="0" xfId="1" applyNumberFormat="1" applyFont="1" applyFill="1" applyBorder="1" applyAlignment="1">
      <alignment vertical="center"/>
    </xf>
    <xf numFmtId="0" fontId="5" fillId="2" borderId="1" xfId="49" applyFont="1" applyFill="1" applyBorder="1" applyAlignment="1">
      <alignment horizontal="left" vertical="center"/>
    </xf>
    <xf numFmtId="0" fontId="7" fillId="2" borderId="0" xfId="49" applyFont="1" applyFill="1" applyAlignment="1">
      <alignment horizontal="left" vertical="center"/>
    </xf>
    <xf numFmtId="0" fontId="1" fillId="2" borderId="3" xfId="49" applyFont="1" applyFill="1" applyBorder="1" applyAlignment="1">
      <alignment vertical="top"/>
    </xf>
    <xf numFmtId="182" fontId="1" fillId="2" borderId="3" xfId="50" applyNumberFormat="1" applyFont="1" applyFill="1" applyBorder="1" applyAlignment="1">
      <alignment vertical="top"/>
    </xf>
    <xf numFmtId="182" fontId="9" fillId="2" borderId="3" xfId="50" applyNumberFormat="1" applyFont="1" applyFill="1" applyBorder="1" applyAlignment="1">
      <alignment vertical="top"/>
    </xf>
    <xf numFmtId="0" fontId="9" fillId="2" borderId="3" xfId="49" applyFont="1" applyFill="1" applyBorder="1"/>
    <xf numFmtId="181" fontId="1" fillId="2" borderId="3" xfId="50" applyNumberFormat="1" applyFont="1" applyFill="1" applyBorder="1" applyAlignment="1">
      <alignment horizontal="right"/>
    </xf>
    <xf numFmtId="187" fontId="1" fillId="2" borderId="3" xfId="50" applyNumberFormat="1" applyFont="1" applyFill="1" applyBorder="1" applyAlignment="1">
      <alignment horizontal="right"/>
    </xf>
    <xf numFmtId="0" fontId="9" fillId="2" borderId="1" xfId="49" applyFont="1" applyFill="1" applyBorder="1" applyAlignment="1">
      <alignment vertical="top"/>
    </xf>
    <xf numFmtId="184" fontId="1" fillId="2" borderId="1" xfId="50" applyNumberFormat="1" applyFont="1" applyFill="1" applyBorder="1" applyAlignment="1">
      <alignment vertical="top"/>
    </xf>
    <xf numFmtId="180" fontId="1" fillId="2" borderId="1" xfId="1" applyNumberFormat="1" applyFont="1" applyFill="1" applyBorder="1" applyAlignment="1">
      <alignment vertical="top"/>
    </xf>
    <xf numFmtId="0" fontId="14" fillId="2" borderId="0" xfId="49" applyFont="1" applyFill="1" applyAlignment="1">
      <alignment vertical="center"/>
    </xf>
    <xf numFmtId="0" fontId="3" fillId="2" borderId="0" xfId="52" applyFont="1" applyFill="1"/>
    <xf numFmtId="0" fontId="15" fillId="2" borderId="0" xfId="52" applyFont="1" applyFill="1" applyAlignment="1">
      <alignment horizontal="left"/>
    </xf>
    <xf numFmtId="0" fontId="15" fillId="2" borderId="0" xfId="52" applyFont="1" applyFill="1" applyAlignment="1">
      <alignment horizontal="center"/>
    </xf>
    <xf numFmtId="0" fontId="16" fillId="2" borderId="0" xfId="52" applyFont="1" applyFill="1" applyAlignment="1">
      <alignment horizontal="right"/>
    </xf>
    <xf numFmtId="0" fontId="1" fillId="2" borderId="8" xfId="52" applyFont="1" applyFill="1" applyBorder="1" applyAlignment="1">
      <alignment horizontal="left"/>
    </xf>
    <xf numFmtId="0" fontId="1" fillId="2" borderId="1" xfId="52" applyFont="1" applyFill="1" applyBorder="1" applyAlignment="1">
      <alignment horizontal="left"/>
    </xf>
    <xf numFmtId="0" fontId="1" fillId="2" borderId="9" xfId="52" applyFont="1" applyFill="1" applyBorder="1" applyAlignment="1">
      <alignment horizontal="center" vertical="center" wrapText="1"/>
    </xf>
    <xf numFmtId="0" fontId="1" fillId="2" borderId="10" xfId="52" applyFont="1" applyFill="1" applyBorder="1" applyAlignment="1">
      <alignment horizontal="center" vertical="center" wrapText="1"/>
    </xf>
    <xf numFmtId="0" fontId="1" fillId="2" borderId="11" xfId="52" applyFont="1" applyFill="1" applyBorder="1" applyAlignment="1">
      <alignment horizontal="center" vertical="center" wrapText="1"/>
    </xf>
    <xf numFmtId="0" fontId="1" fillId="2" borderId="12" xfId="52" applyFont="1" applyFill="1" applyBorder="1" applyAlignment="1">
      <alignment horizontal="center" vertical="center" wrapText="1"/>
    </xf>
    <xf numFmtId="0" fontId="1" fillId="2" borderId="13" xfId="52" applyFont="1" applyFill="1" applyBorder="1" applyAlignment="1">
      <alignment horizontal="center" vertical="center" wrapText="1"/>
    </xf>
    <xf numFmtId="0" fontId="9" fillId="2" borderId="14" xfId="52" applyFont="1" applyFill="1" applyBorder="1" applyAlignment="1">
      <alignment horizontal="center" vertical="center" wrapText="1"/>
    </xf>
    <xf numFmtId="0" fontId="9" fillId="2" borderId="15" xfId="52" applyFont="1" applyFill="1" applyBorder="1" applyAlignment="1">
      <alignment horizontal="center" vertical="center" wrapText="1"/>
    </xf>
    <xf numFmtId="0" fontId="1" fillId="2" borderId="9" xfId="52" applyFont="1" applyFill="1" applyBorder="1" applyAlignment="1">
      <alignment vertical="center"/>
    </xf>
    <xf numFmtId="0" fontId="1" fillId="2" borderId="10" xfId="52" applyFont="1" applyFill="1" applyBorder="1" applyAlignment="1">
      <alignment vertical="center"/>
    </xf>
    <xf numFmtId="182" fontId="9" fillId="2" borderId="16" xfId="1" applyNumberFormat="1" applyFont="1" applyFill="1" applyBorder="1" applyAlignment="1">
      <alignment horizontal="center" vertical="center" wrapText="1"/>
    </xf>
    <xf numFmtId="182" fontId="9" fillId="2" borderId="17" xfId="1" applyNumberFormat="1" applyFont="1" applyFill="1" applyBorder="1" applyAlignment="1">
      <alignment horizontal="center" vertical="center" wrapText="1"/>
    </xf>
    <xf numFmtId="182" fontId="1" fillId="2" borderId="11" xfId="1" applyNumberFormat="1" applyFont="1" applyFill="1" applyBorder="1" applyAlignment="1">
      <alignment horizontal="center" vertical="center" wrapText="1"/>
    </xf>
    <xf numFmtId="0" fontId="9" fillId="2" borderId="18" xfId="52" applyFont="1" applyFill="1" applyBorder="1" applyAlignment="1">
      <alignment horizontal="center" vertical="center"/>
    </xf>
    <xf numFmtId="0" fontId="9" fillId="2" borderId="17" xfId="52" applyFont="1" applyFill="1" applyBorder="1" applyAlignment="1">
      <alignment vertical="center"/>
    </xf>
    <xf numFmtId="180" fontId="9" fillId="2" borderId="16" xfId="1" applyNumberFormat="1" applyFont="1" applyFill="1" applyBorder="1" applyAlignment="1">
      <alignment vertical="center"/>
    </xf>
    <xf numFmtId="180" fontId="9" fillId="2" borderId="19" xfId="1" applyNumberFormat="1" applyFont="1" applyFill="1" applyBorder="1" applyAlignment="1">
      <alignment vertical="center"/>
    </xf>
    <xf numFmtId="0" fontId="1" fillId="2" borderId="8" xfId="52" applyFont="1" applyFill="1" applyBorder="1" applyAlignment="1">
      <alignment vertical="center" wrapText="1"/>
    </xf>
    <xf numFmtId="0" fontId="1" fillId="2" borderId="15" xfId="52" applyFont="1" applyFill="1" applyBorder="1" applyAlignment="1">
      <alignment vertical="center" wrapText="1"/>
    </xf>
    <xf numFmtId="180" fontId="1" fillId="2" borderId="14" xfId="1" applyNumberFormat="1" applyFont="1" applyFill="1" applyBorder="1" applyAlignment="1">
      <alignment vertical="center" wrapText="1"/>
    </xf>
    <xf numFmtId="180" fontId="1" fillId="2" borderId="15" xfId="1" applyNumberFormat="1" applyFont="1" applyFill="1" applyBorder="1" applyAlignment="1">
      <alignment horizontal="right" vertical="center" wrapText="1"/>
    </xf>
    <xf numFmtId="0" fontId="1" fillId="2" borderId="18" xfId="52" applyFont="1" applyFill="1" applyBorder="1" applyAlignment="1">
      <alignment vertical="center"/>
    </xf>
    <xf numFmtId="0" fontId="1" fillId="2" borderId="17" xfId="52" applyFont="1" applyFill="1" applyBorder="1" applyAlignment="1">
      <alignment vertical="center"/>
    </xf>
    <xf numFmtId="180" fontId="9" fillId="2" borderId="16" xfId="1" applyNumberFormat="1" applyFont="1" applyFill="1" applyBorder="1" applyAlignment="1">
      <alignment horizontal="center" vertical="center" wrapText="1"/>
    </xf>
    <xf numFmtId="180" fontId="9" fillId="2" borderId="17" xfId="1" applyNumberFormat="1" applyFont="1" applyFill="1" applyBorder="1" applyAlignment="1">
      <alignment horizontal="center" vertical="center" wrapText="1"/>
    </xf>
    <xf numFmtId="180" fontId="1" fillId="2" borderId="16" xfId="1" applyNumberFormat="1" applyFont="1" applyFill="1" applyBorder="1" applyAlignment="1">
      <alignment horizontal="center" vertical="center" wrapText="1"/>
    </xf>
    <xf numFmtId="180" fontId="9" fillId="2" borderId="11" xfId="1" applyNumberFormat="1" applyFont="1" applyFill="1" applyBorder="1" applyAlignment="1">
      <alignment horizontal="center" vertical="center" wrapText="1"/>
    </xf>
    <xf numFmtId="0" fontId="9" fillId="2" borderId="18" xfId="52" applyFont="1" applyFill="1" applyBorder="1"/>
    <xf numFmtId="0" fontId="9" fillId="2" borderId="0" xfId="52" applyFont="1" applyFill="1"/>
    <xf numFmtId="180" fontId="9" fillId="2" borderId="14" xfId="1" applyNumberFormat="1" applyFont="1" applyFill="1" applyBorder="1"/>
    <xf numFmtId="180" fontId="9" fillId="2" borderId="0" xfId="1" applyNumberFormat="1" applyFont="1" applyFill="1"/>
    <xf numFmtId="0" fontId="1" fillId="2" borderId="20" xfId="52" applyFont="1" applyFill="1" applyBorder="1" applyAlignment="1">
      <alignment vertical="center" wrapText="1"/>
    </xf>
    <xf numFmtId="0" fontId="1" fillId="2" borderId="21" xfId="52" applyFont="1" applyFill="1" applyBorder="1" applyAlignment="1">
      <alignment vertical="center" wrapText="1"/>
    </xf>
    <xf numFmtId="180" fontId="1" fillId="2" borderId="22" xfId="1" applyNumberFormat="1" applyFont="1" applyFill="1" applyBorder="1" applyAlignment="1">
      <alignment vertical="center" wrapText="1"/>
    </xf>
    <xf numFmtId="0" fontId="17" fillId="0" borderId="0" xfId="49" applyFont="1" applyAlignment="1">
      <alignment vertical="center"/>
    </xf>
    <xf numFmtId="0" fontId="2" fillId="0" borderId="0" xfId="56" applyFont="1" applyAlignment="1">
      <alignment vertical="top"/>
    </xf>
    <xf numFmtId="0" fontId="1" fillId="0" borderId="0" xfId="56" applyFont="1" applyAlignment="1">
      <alignment vertical="top"/>
    </xf>
    <xf numFmtId="0" fontId="7" fillId="0" borderId="0" xfId="56" applyFont="1" applyAlignment="1">
      <alignment vertical="top"/>
    </xf>
    <xf numFmtId="49" fontId="9" fillId="0" borderId="0" xfId="56" applyNumberFormat="1" applyFont="1" applyAlignment="1">
      <alignment vertical="top"/>
    </xf>
    <xf numFmtId="0" fontId="18" fillId="0" borderId="0" xfId="56" applyFont="1" applyAlignment="1">
      <alignment horizontal="right" vertical="top"/>
    </xf>
    <xf numFmtId="49" fontId="10" fillId="0" borderId="0" xfId="56" applyNumberFormat="1" applyFont="1" applyAlignment="1">
      <alignment vertical="top"/>
    </xf>
    <xf numFmtId="0" fontId="7" fillId="2" borderId="0" xfId="56" applyFont="1" applyFill="1" applyAlignment="1">
      <alignment vertical="top"/>
    </xf>
    <xf numFmtId="0" fontId="6" fillId="0" borderId="0" xfId="56" applyFont="1" applyAlignment="1">
      <alignment horizontal="right" vertical="top"/>
    </xf>
    <xf numFmtId="0" fontId="8" fillId="0" borderId="1" xfId="56" applyFont="1" applyBorder="1" applyAlignment="1">
      <alignment vertical="top"/>
    </xf>
    <xf numFmtId="0" fontId="8" fillId="0" borderId="0" xfId="56" applyFont="1" applyAlignment="1">
      <alignment vertical="top"/>
    </xf>
    <xf numFmtId="182" fontId="8" fillId="2" borderId="0" xfId="1" applyNumberFormat="1" applyFont="1" applyFill="1" applyAlignment="1">
      <alignment horizontal="right" vertical="top"/>
    </xf>
    <xf numFmtId="182" fontId="8" fillId="0" borderId="0" xfId="1" applyNumberFormat="1" applyFont="1" applyAlignment="1">
      <alignment horizontal="right" vertical="top"/>
    </xf>
    <xf numFmtId="49" fontId="12" fillId="0" borderId="0" xfId="56" applyNumberFormat="1" applyFont="1" applyAlignment="1">
      <alignment vertical="top"/>
    </xf>
    <xf numFmtId="180" fontId="12" fillId="0" borderId="0" xfId="1" applyNumberFormat="1" applyFont="1" applyFill="1" applyBorder="1" applyAlignment="1">
      <alignment vertical="top"/>
    </xf>
    <xf numFmtId="49" fontId="10" fillId="0" borderId="1" xfId="56" applyNumberFormat="1" applyFont="1" applyBorder="1" applyAlignment="1">
      <alignment vertical="top"/>
    </xf>
    <xf numFmtId="180" fontId="10" fillId="2" borderId="1" xfId="1" applyNumberFormat="1" applyFont="1" applyFill="1" applyBorder="1" applyAlignment="1">
      <alignment vertical="top"/>
    </xf>
    <xf numFmtId="180" fontId="10" fillId="0" borderId="1" xfId="1" applyNumberFormat="1" applyFont="1" applyFill="1" applyBorder="1" applyAlignment="1">
      <alignment vertical="top"/>
    </xf>
    <xf numFmtId="184" fontId="10" fillId="2" borderId="0" xfId="55" applyNumberFormat="1" applyFont="1" applyFill="1" applyBorder="1" applyAlignment="1">
      <alignment vertical="top"/>
    </xf>
    <xf numFmtId="184" fontId="10" fillId="0" borderId="0" xfId="55" applyNumberFormat="1" applyFont="1" applyFill="1" applyBorder="1" applyAlignment="1">
      <alignment vertical="top"/>
    </xf>
    <xf numFmtId="180" fontId="9" fillId="0" borderId="0" xfId="1" applyNumberFormat="1" applyFont="1" applyFill="1" applyBorder="1" applyAlignment="1">
      <alignment vertical="center"/>
    </xf>
    <xf numFmtId="184" fontId="11" fillId="2" borderId="0" xfId="56" applyNumberFormat="1" applyFont="1" applyFill="1" applyAlignment="1">
      <alignment vertical="top"/>
    </xf>
    <xf numFmtId="184" fontId="11" fillId="0" borderId="0" xfId="56" applyNumberFormat="1" applyFont="1" applyAlignment="1">
      <alignment vertical="top"/>
    </xf>
    <xf numFmtId="49" fontId="10" fillId="0" borderId="1" xfId="56" applyNumberFormat="1" applyFont="1" applyBorder="1" applyAlignment="1">
      <alignment vertical="top" wrapText="1"/>
    </xf>
    <xf numFmtId="49" fontId="10" fillId="0" borderId="0" xfId="56" applyNumberFormat="1" applyFont="1" applyAlignment="1">
      <alignment horizontal="justify" vertical="top" wrapText="1"/>
    </xf>
    <xf numFmtId="49" fontId="12" fillId="0" borderId="0" xfId="56" applyNumberFormat="1" applyFont="1" applyAlignment="1">
      <alignment horizontal="left" vertical="top" wrapText="1" indent="2"/>
    </xf>
    <xf numFmtId="180" fontId="12" fillId="0" borderId="0" xfId="1" applyNumberFormat="1" applyFont="1" applyFill="1" applyAlignment="1">
      <alignment vertical="top"/>
    </xf>
    <xf numFmtId="180" fontId="2" fillId="0" borderId="0" xfId="1" applyNumberFormat="1" applyFont="1" applyAlignment="1">
      <alignment vertical="top"/>
    </xf>
    <xf numFmtId="0" fontId="8" fillId="0" borderId="1" xfId="56" applyFont="1" applyBorder="1" applyAlignment="1">
      <alignment horizontal="left" vertical="top"/>
    </xf>
    <xf numFmtId="180" fontId="5" fillId="0" borderId="1" xfId="1" applyNumberFormat="1" applyFont="1" applyFill="1" applyBorder="1" applyAlignment="1">
      <alignment vertical="top"/>
    </xf>
    <xf numFmtId="0" fontId="8" fillId="0" borderId="0" xfId="56" applyFont="1" applyAlignment="1">
      <alignment horizontal="left" vertical="top"/>
    </xf>
    <xf numFmtId="184" fontId="10" fillId="2" borderId="0" xfId="55" applyNumberFormat="1" applyFont="1" applyFill="1" applyAlignment="1">
      <alignment vertical="top"/>
    </xf>
    <xf numFmtId="184" fontId="10" fillId="0" borderId="0" xfId="55" applyNumberFormat="1" applyFont="1" applyFill="1" applyAlignment="1">
      <alignment vertical="top"/>
    </xf>
    <xf numFmtId="186" fontId="8" fillId="0" borderId="1" xfId="51" applyNumberFormat="1" applyFont="1" applyFill="1" applyBorder="1" applyAlignment="1">
      <alignment horizontal="center"/>
    </xf>
    <xf numFmtId="186" fontId="19" fillId="0" borderId="4" xfId="51" applyNumberFormat="1" applyFont="1" applyFill="1" applyBorder="1" applyAlignment="1">
      <alignment horizontal="center" vertical="center" wrapText="1"/>
    </xf>
    <xf numFmtId="186" fontId="19" fillId="0" borderId="6" xfId="51" applyNumberFormat="1" applyFont="1" applyFill="1" applyBorder="1" applyAlignment="1">
      <alignment horizontal="center" vertical="center" wrapText="1"/>
    </xf>
    <xf numFmtId="180" fontId="8" fillId="0" borderId="7" xfId="1" applyNumberFormat="1" applyFont="1" applyFill="1" applyBorder="1" applyAlignment="1">
      <alignment horizontal="right"/>
    </xf>
    <xf numFmtId="0" fontId="1" fillId="2" borderId="15" xfId="52" applyFont="1" applyFill="1" applyBorder="1" applyAlignment="1">
      <alignment horizontal="left"/>
    </xf>
    <xf numFmtId="182" fontId="1" fillId="2" borderId="18" xfId="1" applyNumberFormat="1" applyFont="1" applyFill="1" applyBorder="1" applyAlignment="1">
      <alignment horizontal="center" vertical="center" wrapText="1"/>
    </xf>
    <xf numFmtId="182" fontId="9" fillId="2" borderId="11" xfId="1" applyNumberFormat="1" applyFont="1" applyFill="1" applyBorder="1" applyAlignment="1">
      <alignment horizontal="center" vertical="center" wrapText="1"/>
    </xf>
    <xf numFmtId="180" fontId="1" fillId="2" borderId="11" xfId="1" applyNumberFormat="1" applyFont="1" applyFill="1" applyBorder="1" applyAlignment="1">
      <alignment horizontal="center" vertical="center" wrapText="1"/>
    </xf>
    <xf numFmtId="180" fontId="9" fillId="2" borderId="17" xfId="1" applyNumberFormat="1" applyFont="1" applyFill="1" applyBorder="1"/>
    <xf numFmtId="49" fontId="12" fillId="0" borderId="0" xfId="56" applyNumberFormat="1" applyFont="1" applyAlignment="1">
      <alignment horizontal="left" vertical="top"/>
    </xf>
    <xf numFmtId="180" fontId="7" fillId="0" borderId="0" xfId="1" applyNumberFormat="1" applyFont="1" applyFill="1" applyBorder="1" applyAlignment="1">
      <alignment vertical="top"/>
    </xf>
    <xf numFmtId="180" fontId="7" fillId="2" borderId="0" xfId="1" applyNumberFormat="1" applyFont="1" applyFill="1" applyBorder="1" applyAlignment="1">
      <alignment vertical="top"/>
    </xf>
    <xf numFmtId="49" fontId="10" fillId="0" borderId="0" xfId="56" applyNumberFormat="1" applyFont="1" applyAlignment="1">
      <alignment horizontal="left" vertical="top"/>
    </xf>
    <xf numFmtId="49" fontId="9" fillId="0" borderId="0" xfId="56" applyNumberFormat="1" applyFont="1" applyAlignment="1">
      <alignment horizontal="left" vertical="top" indent="1"/>
    </xf>
    <xf numFmtId="180" fontId="11" fillId="0" borderId="0" xfId="1" applyNumberFormat="1" applyFont="1" applyFill="1" applyBorder="1" applyAlignment="1">
      <alignment vertical="top"/>
    </xf>
    <xf numFmtId="180" fontId="8" fillId="2" borderId="1" xfId="1" applyNumberFormat="1" applyFont="1" applyFill="1" applyBorder="1" applyAlignment="1">
      <alignment vertical="top"/>
    </xf>
    <xf numFmtId="180" fontId="8" fillId="0" borderId="1" xfId="1" applyNumberFormat="1" applyFont="1" applyFill="1" applyBorder="1" applyAlignment="1">
      <alignment vertical="top"/>
    </xf>
    <xf numFmtId="184" fontId="8" fillId="2" borderId="0" xfId="55" applyNumberFormat="1" applyFont="1" applyFill="1" applyBorder="1" applyAlignment="1">
      <alignment vertical="top"/>
    </xf>
    <xf numFmtId="184" fontId="8" fillId="0" borderId="0" xfId="55" applyNumberFormat="1" applyFont="1" applyFill="1" applyBorder="1" applyAlignment="1">
      <alignment vertical="top"/>
    </xf>
    <xf numFmtId="184" fontId="2" fillId="0" borderId="0" xfId="56" applyNumberFormat="1" applyFont="1" applyAlignment="1">
      <alignment vertical="top"/>
    </xf>
    <xf numFmtId="180" fontId="9" fillId="0" borderId="0" xfId="1" applyNumberFormat="1" applyFont="1" applyFill="1" applyBorder="1" applyAlignment="1">
      <alignment vertical="top"/>
    </xf>
    <xf numFmtId="180" fontId="11" fillId="0" borderId="0" xfId="1" applyNumberFormat="1" applyFont="1" applyFill="1" applyAlignment="1">
      <alignment vertical="top"/>
    </xf>
    <xf numFmtId="184" fontId="10" fillId="0" borderId="3" xfId="55" applyNumberFormat="1" applyFont="1" applyFill="1" applyBorder="1" applyAlignment="1">
      <alignment vertical="top"/>
    </xf>
    <xf numFmtId="180" fontId="12" fillId="0" borderId="3" xfId="1" applyNumberFormat="1" applyFont="1" applyFill="1" applyBorder="1" applyAlignment="1">
      <alignment vertical="top"/>
    </xf>
    <xf numFmtId="180" fontId="10" fillId="0" borderId="3" xfId="1" applyNumberFormat="1" applyFont="1" applyFill="1" applyBorder="1" applyAlignment="1">
      <alignment vertical="top"/>
    </xf>
    <xf numFmtId="176" fontId="2" fillId="0" borderId="0" xfId="56" applyNumberFormat="1" applyFont="1" applyAlignment="1">
      <alignment vertical="top"/>
    </xf>
    <xf numFmtId="0" fontId="1" fillId="2" borderId="0" xfId="49" applyFont="1" applyFill="1" quotePrefix="1"/>
    <xf numFmtId="0" fontId="11" fillId="0" borderId="0" xfId="0" applyFont="1" applyFill="1" applyAlignment="1" quotePrefix="1">
      <alignment horizontal="left" indent="3"/>
    </xf>
  </cellXfs>
  <cellStyles count="57">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2" xfId="49"/>
    <cellStyle name="Comma 3 2" xfId="50"/>
    <cellStyle name="Comma 89" xfId="51"/>
    <cellStyle name="Normal 2 3" xfId="52"/>
    <cellStyle name="Comma 3" xfId="53"/>
    <cellStyle name="Percent 2" xfId="54"/>
    <cellStyle name="Comma 2 2" xfId="55"/>
    <cellStyle name="Normal 11" xfId="56"/>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KIIT0001\Desktop\schedule-iii-agent\data\raw\In%20Lakhs%20%20BS_FY%2023-24%20V5%20-%20Fina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Queries"/>
      <sheetName val="Computation"/>
      <sheetName val="BS"/>
      <sheetName val="P&amp;L"/>
      <sheetName val="CFS"/>
      <sheetName val="Note 1"/>
      <sheetName val="Note 2 - 8"/>
      <sheetName val="Note 9"/>
      <sheetName val="Note 10-15"/>
      <sheetName val="Note 16-23"/>
      <sheetName val="Note 24-30"/>
      <sheetName val="Deferred Tax"/>
      <sheetName val="Key financial ratios"/>
      <sheetName val="IT dep 23-24"/>
      <sheetName val="Sechdules"/>
      <sheetName val="Trial Balance"/>
      <sheetName val="Trial Balance CB"/>
      <sheetName val="Creditors"/>
      <sheetName val="Debtors"/>
      <sheetName val="MAT"/>
      <sheetName val="Tally Balance Sheet"/>
      <sheetName val="Workings"/>
      <sheetName val="GST"/>
      <sheetName val="New Building"/>
      <sheetName val="GST INPUT"/>
      <sheetName val="FA Register Companies Act"/>
      <sheetName val="Tally P &amp; L Old"/>
      <sheetName val="TB 23-24Old"/>
      <sheetName val="FA Summary"/>
      <sheetName val="TB closing Bal Old"/>
      <sheetName val="Working"/>
      <sheetName val="age wise Debtors 31-03-23"/>
      <sheetName val="Creditors MSME Classification"/>
      <sheetName val="TB_BS 2021-22"/>
      <sheetName val="TB_PL 2021-22"/>
    </sheetNames>
    <sheetDataSet>
      <sheetData sheetId="0"/>
      <sheetData sheetId="1"/>
      <sheetData sheetId="2"/>
      <sheetData sheetId="3">
        <row r="22">
          <cell r="C22">
            <v>179.27262</v>
          </cell>
        </row>
        <row r="28">
          <cell r="C28">
            <v>672.2785998</v>
          </cell>
          <cell r="D28">
            <v>1026.8468727</v>
          </cell>
        </row>
      </sheetData>
      <sheetData sheetId="4">
        <row r="4">
          <cell r="F4" t="str">
            <v>In Lakhs</v>
          </cell>
        </row>
      </sheetData>
      <sheetData sheetId="5">
        <row r="1">
          <cell r="B1">
            <v>0</v>
          </cell>
        </row>
        <row r="2">
          <cell r="B2">
            <v>0</v>
          </cell>
        </row>
        <row r="3">
          <cell r="B3" t="str">
            <v>Notes to financial statements for the year ended March 31, 2024</v>
          </cell>
        </row>
      </sheetData>
      <sheetData sheetId="6"/>
      <sheetData sheetId="7"/>
      <sheetData sheetId="8"/>
      <sheetData sheetId="9"/>
      <sheetData sheetId="10"/>
      <sheetData sheetId="11">
        <row r="10">
          <cell r="C10">
            <v>49</v>
          </cell>
        </row>
      </sheetData>
      <sheetData sheetId="12"/>
      <sheetData sheetId="13"/>
      <sheetData sheetId="14">
        <row r="77">
          <cell r="B77">
            <v>7935166.72</v>
          </cell>
        </row>
        <row r="232">
          <cell r="B232">
            <v>59753.46</v>
          </cell>
        </row>
      </sheetData>
      <sheetData sheetId="15">
        <row r="11">
          <cell r="B11">
            <v>17546161</v>
          </cell>
        </row>
        <row r="77">
          <cell r="D77">
            <v>16275630</v>
          </cell>
        </row>
      </sheetData>
      <sheetData sheetId="16">
        <row r="117">
          <cell r="C117">
            <v>4145.34</v>
          </cell>
        </row>
        <row r="193">
          <cell r="C193">
            <v>184767</v>
          </cell>
        </row>
        <row r="243">
          <cell r="C243">
            <v>4361763</v>
          </cell>
        </row>
        <row r="275">
          <cell r="C275">
            <v>36816</v>
          </cell>
        </row>
        <row r="285">
          <cell r="C285">
            <v>12074</v>
          </cell>
        </row>
      </sheetData>
      <sheetData sheetId="17">
        <row r="19">
          <cell r="M19">
            <v>31510</v>
          </cell>
          <cell r="N19">
            <v>1332103</v>
          </cell>
          <cell r="O19">
            <v>1363613</v>
          </cell>
        </row>
        <row r="20">
          <cell r="M20">
            <v>900056</v>
          </cell>
          <cell r="N20">
            <v>3696911</v>
          </cell>
          <cell r="O20">
            <v>4596967</v>
          </cell>
        </row>
        <row r="21">
          <cell r="M21">
            <v>287205</v>
          </cell>
          <cell r="N21">
            <v>153362</v>
          </cell>
          <cell r="O21">
            <v>440567</v>
          </cell>
        </row>
        <row r="22">
          <cell r="M22">
            <v>288138</v>
          </cell>
          <cell r="N22">
            <v>3733854</v>
          </cell>
          <cell r="O22">
            <v>4021992</v>
          </cell>
        </row>
        <row r="107">
          <cell r="C107">
            <v>4278204.6</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14"/>
  <sheetViews>
    <sheetView tabSelected="1" zoomScale="70" zoomScaleNormal="70" topLeftCell="A84" workbookViewId="0">
      <selection activeCell="H5" sqref="H5"/>
    </sheetView>
  </sheetViews>
  <sheetFormatPr defaultColWidth="8.72727272727273" defaultRowHeight="14.5"/>
  <cols>
    <col min="1" max="1" width="27.6363636363636" customWidth="1"/>
    <col min="2" max="2" width="27.1818181818182" customWidth="1"/>
    <col min="3" max="3" width="22.8181818181818" customWidth="1"/>
    <col min="4" max="4" width="21.9090909090909" customWidth="1"/>
    <col min="5" max="5" width="21.5454545454545" customWidth="1"/>
  </cols>
  <sheetData>
    <row r="1" spans="1:6">
      <c r="A1" s="1">
        <f>+'[1]Note 1'!B1</f>
        <v>0</v>
      </c>
      <c r="B1" s="2"/>
      <c r="C1" s="2"/>
      <c r="D1" s="2"/>
      <c r="E1" s="2"/>
      <c r="F1" s="2"/>
    </row>
    <row r="2" spans="1:6">
      <c r="A2" s="1">
        <f>+'[1]Note 1'!B2</f>
        <v>0</v>
      </c>
      <c r="B2" s="2"/>
      <c r="C2" s="2"/>
      <c r="D2" s="2"/>
      <c r="E2" s="2"/>
      <c r="F2" s="2"/>
    </row>
    <row r="3" spans="1:6">
      <c r="A3" s="243" t="str">
        <f>+'[1]Note 1'!B3</f>
        <v>Notes to financial statements for the year ended March 31, 2024</v>
      </c>
      <c r="B3" s="2"/>
      <c r="C3" s="2"/>
      <c r="D3" s="2"/>
      <c r="E3" s="2"/>
      <c r="F3" s="2"/>
    </row>
    <row r="4" spans="1:6">
      <c r="A4" s="3"/>
      <c r="B4" s="2"/>
      <c r="C4" s="2"/>
      <c r="D4" s="2"/>
      <c r="E4" s="4"/>
      <c r="F4" s="2"/>
    </row>
    <row r="5" spans="1:6">
      <c r="A5" s="5" t="s">
        <v>0</v>
      </c>
      <c r="B5" s="2"/>
      <c r="C5" s="2"/>
      <c r="D5" s="2"/>
      <c r="E5" s="6" t="str">
        <f>[1]CFS!F4</f>
        <v>In Lakhs</v>
      </c>
      <c r="F5" s="2"/>
    </row>
    <row r="6" spans="1:6">
      <c r="A6" s="7"/>
      <c r="B6" s="8"/>
      <c r="C6" s="8"/>
      <c r="D6" s="9">
        <v>45382</v>
      </c>
      <c r="E6" s="9">
        <v>45016</v>
      </c>
      <c r="F6" s="2"/>
    </row>
    <row r="7" spans="1:6">
      <c r="A7" s="10" t="s">
        <v>1</v>
      </c>
      <c r="B7" s="2"/>
      <c r="C7" s="2"/>
      <c r="D7" s="5"/>
      <c r="E7" s="11"/>
      <c r="F7" s="2"/>
    </row>
    <row r="8" ht="15.25" spans="1:6">
      <c r="A8" s="12" t="s">
        <v>2</v>
      </c>
      <c r="B8" s="2"/>
      <c r="C8" s="2"/>
      <c r="D8" s="13">
        <v>757</v>
      </c>
      <c r="E8" s="13">
        <v>757</v>
      </c>
      <c r="F8" s="2"/>
    </row>
    <row r="9" ht="15.25" spans="1:6">
      <c r="A9" s="14"/>
      <c r="B9" s="2"/>
      <c r="C9" s="2"/>
      <c r="D9" s="15"/>
      <c r="E9" s="16"/>
      <c r="F9" s="2"/>
    </row>
    <row r="10" spans="1:6">
      <c r="A10" s="10" t="s">
        <v>3</v>
      </c>
      <c r="B10" s="2"/>
      <c r="C10" s="2"/>
      <c r="D10" s="15"/>
      <c r="E10" s="16"/>
      <c r="F10" s="2"/>
    </row>
    <row r="11" spans="1:6">
      <c r="A11" s="12" t="s">
        <v>4</v>
      </c>
      <c r="B11" s="2"/>
      <c r="C11" s="2"/>
      <c r="D11" s="17">
        <v>542.521</v>
      </c>
      <c r="E11" s="17">
        <v>542.521</v>
      </c>
      <c r="F11" s="2"/>
    </row>
    <row r="12" spans="1:6">
      <c r="A12" s="18" t="s">
        <v>5</v>
      </c>
      <c r="B12" s="8"/>
      <c r="C12" s="8"/>
      <c r="D12" s="19">
        <v>542.521</v>
      </c>
      <c r="E12" s="19">
        <v>542.521</v>
      </c>
      <c r="F12" s="2"/>
    </row>
    <row r="13" spans="1:6">
      <c r="A13" s="20"/>
      <c r="B13" s="21"/>
      <c r="C13" s="22"/>
      <c r="D13" s="11"/>
      <c r="E13" s="11"/>
      <c r="F13" s="2"/>
    </row>
    <row r="14" spans="1:6">
      <c r="A14" s="23" t="s">
        <v>6</v>
      </c>
      <c r="B14" s="24"/>
      <c r="C14" s="25"/>
      <c r="D14" s="26"/>
      <c r="E14" s="26"/>
      <c r="F14" s="2"/>
    </row>
    <row r="15" spans="1:6">
      <c r="A15" s="27"/>
      <c r="B15" s="28">
        <v>45382</v>
      </c>
      <c r="C15" s="29"/>
      <c r="D15" s="28">
        <v>45016</v>
      </c>
      <c r="E15" s="29"/>
      <c r="F15" s="2"/>
    </row>
    <row r="16" spans="1:6">
      <c r="A16" s="30"/>
      <c r="B16" s="31" t="s">
        <v>7</v>
      </c>
      <c r="C16" s="31" t="s">
        <v>8</v>
      </c>
      <c r="D16" s="31" t="s">
        <v>7</v>
      </c>
      <c r="E16" s="31" t="s">
        <v>8</v>
      </c>
      <c r="F16" s="2"/>
    </row>
    <row r="17" spans="1:6">
      <c r="A17" s="32" t="s">
        <v>9</v>
      </c>
      <c r="B17" s="33"/>
      <c r="C17" s="33"/>
      <c r="D17" s="33"/>
      <c r="E17" s="33"/>
      <c r="F17" s="2"/>
    </row>
    <row r="18" ht="72.5" spans="1:6">
      <c r="A18" s="34" t="s">
        <v>10</v>
      </c>
      <c r="B18" s="35">
        <v>54.2521</v>
      </c>
      <c r="C18" s="17">
        <v>543</v>
      </c>
      <c r="D18" s="35">
        <v>54.2521</v>
      </c>
      <c r="E18" s="17">
        <v>543</v>
      </c>
      <c r="F18" s="36"/>
    </row>
    <row r="19" ht="87" spans="1:6">
      <c r="A19" s="37" t="s">
        <v>11</v>
      </c>
      <c r="B19" s="38">
        <v>54.2521</v>
      </c>
      <c r="C19" s="39">
        <v>543</v>
      </c>
      <c r="D19" s="38">
        <v>54.2521</v>
      </c>
      <c r="E19" s="39">
        <v>543</v>
      </c>
      <c r="F19" s="2"/>
    </row>
    <row r="20" spans="1:6">
      <c r="A20" s="20"/>
      <c r="B20" s="21"/>
      <c r="C20" s="22"/>
      <c r="D20" s="11"/>
      <c r="E20" s="11"/>
      <c r="F20" s="2"/>
    </row>
    <row r="21" spans="1:6">
      <c r="A21" s="40" t="s">
        <v>12</v>
      </c>
      <c r="B21" s="41"/>
      <c r="C21" s="41"/>
      <c r="D21" s="41"/>
      <c r="E21" s="41"/>
      <c r="F21" s="2"/>
    </row>
    <row r="22" spans="1:6">
      <c r="A22" s="42" t="s">
        <v>13</v>
      </c>
      <c r="B22" s="42"/>
      <c r="C22" s="42"/>
      <c r="D22" s="42"/>
      <c r="E22" s="42"/>
      <c r="F22" s="2"/>
    </row>
    <row r="23" spans="1:6">
      <c r="A23" s="20"/>
      <c r="B23" s="21"/>
      <c r="C23" s="22"/>
      <c r="D23" s="11"/>
      <c r="E23" s="11"/>
      <c r="F23" s="2"/>
    </row>
    <row r="24" spans="1:6">
      <c r="A24" s="40" t="s">
        <v>14</v>
      </c>
      <c r="B24" s="43"/>
      <c r="C24" s="43"/>
      <c r="D24" s="44"/>
      <c r="E24" s="44"/>
      <c r="F24" s="2"/>
    </row>
    <row r="25" spans="1:6">
      <c r="A25" s="45" t="s">
        <v>15</v>
      </c>
      <c r="B25" s="28">
        <v>45382</v>
      </c>
      <c r="C25" s="29"/>
      <c r="D25" s="28">
        <v>45016</v>
      </c>
      <c r="E25" s="29"/>
      <c r="F25" s="2"/>
    </row>
    <row r="26" ht="29" spans="1:6">
      <c r="A26" s="46"/>
      <c r="B26" s="47" t="s">
        <v>7</v>
      </c>
      <c r="C26" s="47" t="s">
        <v>16</v>
      </c>
      <c r="D26" s="47" t="s">
        <v>7</v>
      </c>
      <c r="E26" s="47" t="s">
        <v>16</v>
      </c>
      <c r="F26" s="2"/>
    </row>
    <row r="27" ht="101.5" spans="1:6">
      <c r="A27" s="48" t="s">
        <v>9</v>
      </c>
      <c r="B27" s="49"/>
      <c r="C27" s="49"/>
      <c r="D27" s="49"/>
      <c r="E27" s="49"/>
      <c r="F27" s="2"/>
    </row>
    <row r="28" spans="1:6">
      <c r="A28" s="50" t="s">
        <v>17</v>
      </c>
      <c r="B28" s="17">
        <v>18.94771</v>
      </c>
      <c r="C28" s="51">
        <v>0.349253024306893</v>
      </c>
      <c r="D28" s="17">
        <v>18.94771</v>
      </c>
      <c r="E28" s="51">
        <v>0.349253024306893</v>
      </c>
      <c r="F28" s="2"/>
    </row>
    <row r="29" spans="1:6">
      <c r="A29" s="50" t="s">
        <v>18</v>
      </c>
      <c r="B29" s="17">
        <v>9.4985</v>
      </c>
      <c r="C29" s="51">
        <v>0.17508078028316</v>
      </c>
      <c r="D29" s="17">
        <v>9.4985</v>
      </c>
      <c r="E29" s="51">
        <v>0.17508078028316</v>
      </c>
      <c r="F29" s="2"/>
    </row>
    <row r="30" spans="1:6">
      <c r="A30" s="50" t="s">
        <v>19</v>
      </c>
      <c r="B30" s="17">
        <v>9.15378</v>
      </c>
      <c r="C30" s="51">
        <v>0.168726740531703</v>
      </c>
      <c r="D30" s="17">
        <v>9.15378</v>
      </c>
      <c r="E30" s="51">
        <v>0.168726740531703</v>
      </c>
      <c r="F30" s="2"/>
    </row>
    <row r="31" spans="1:6">
      <c r="A31" s="50" t="s">
        <v>20</v>
      </c>
      <c r="B31" s="17">
        <v>9.0176</v>
      </c>
      <c r="C31" s="51">
        <v>0.166216607283405</v>
      </c>
      <c r="D31" s="17">
        <v>9.0176</v>
      </c>
      <c r="E31" s="51">
        <v>0.166216607283405</v>
      </c>
      <c r="F31" s="2"/>
    </row>
    <row r="32" spans="1:6">
      <c r="A32" s="52" t="s">
        <v>21</v>
      </c>
      <c r="B32" s="17">
        <v>3.12194</v>
      </c>
      <c r="C32" s="51">
        <v>0.0575450535555306</v>
      </c>
      <c r="D32" s="17">
        <v>3.12194</v>
      </c>
      <c r="E32" s="51">
        <v>0.0575450535555306</v>
      </c>
      <c r="F32" s="2"/>
    </row>
    <row r="33" spans="1:6">
      <c r="A33" s="53" t="s">
        <v>22</v>
      </c>
      <c r="B33" s="53"/>
      <c r="C33" s="53"/>
      <c r="D33" s="53"/>
      <c r="E33" s="53"/>
      <c r="F33" s="2"/>
    </row>
    <row r="34" spans="1:6">
      <c r="A34" s="42"/>
      <c r="B34" s="42"/>
      <c r="C34" s="42"/>
      <c r="D34" s="42"/>
      <c r="E34" s="42"/>
      <c r="F34" s="2"/>
    </row>
    <row r="35" spans="1:6">
      <c r="A35" s="54" t="s">
        <v>23</v>
      </c>
      <c r="B35" s="55"/>
      <c r="C35" s="55"/>
      <c r="D35" s="55"/>
      <c r="E35" s="55"/>
      <c r="F35" s="2"/>
    </row>
    <row r="36" spans="1:6">
      <c r="A36" s="56" t="s">
        <v>24</v>
      </c>
      <c r="B36" s="57">
        <f>+B25</f>
        <v>45382</v>
      </c>
      <c r="C36" s="58"/>
      <c r="D36" s="57">
        <f>+D25</f>
        <v>45016</v>
      </c>
      <c r="E36" s="58"/>
      <c r="F36" s="11"/>
    </row>
    <row r="37" ht="29" spans="1:6">
      <c r="A37" s="46"/>
      <c r="B37" s="58" t="s">
        <v>25</v>
      </c>
      <c r="C37" s="58" t="s">
        <v>16</v>
      </c>
      <c r="D37" s="58" t="s">
        <v>25</v>
      </c>
      <c r="E37" s="58" t="s">
        <v>16</v>
      </c>
      <c r="F37" s="11"/>
    </row>
    <row r="38" ht="101.5" spans="1:6">
      <c r="A38" s="48" t="s">
        <v>9</v>
      </c>
      <c r="B38" s="59"/>
      <c r="C38" s="59"/>
      <c r="D38" s="59"/>
      <c r="E38" s="59"/>
      <c r="F38" s="11"/>
    </row>
    <row r="39" ht="203" spans="1:6">
      <c r="A39" s="60" t="s">
        <v>17</v>
      </c>
      <c r="B39" s="61">
        <f>1894771/100000</f>
        <v>18.94771</v>
      </c>
      <c r="C39" s="62">
        <f t="shared" ref="C39:C42" si="0">+B39/$B$19</f>
        <v>0.349253024306893</v>
      </c>
      <c r="D39" s="63">
        <f>1894771/100000</f>
        <v>18.94771</v>
      </c>
      <c r="E39" s="62">
        <f t="shared" ref="E39:E42" si="1">+D39/$D$19</f>
        <v>0.349253024306893</v>
      </c>
      <c r="F39" s="11"/>
    </row>
    <row r="40" ht="275.5" spans="1:6">
      <c r="A40" s="60" t="s">
        <v>18</v>
      </c>
      <c r="B40" s="61">
        <f>949850/100000</f>
        <v>9.4985</v>
      </c>
      <c r="C40" s="62">
        <f t="shared" si="0"/>
        <v>0.17508078028316</v>
      </c>
      <c r="D40" s="63">
        <f>949850/100000</f>
        <v>9.4985</v>
      </c>
      <c r="E40" s="62">
        <f t="shared" si="1"/>
        <v>0.17508078028316</v>
      </c>
      <c r="F40" s="11"/>
    </row>
    <row r="41" ht="290" spans="1:6">
      <c r="A41" s="60" t="s">
        <v>19</v>
      </c>
      <c r="B41" s="61">
        <f>915378/100000</f>
        <v>9.15378</v>
      </c>
      <c r="C41" s="62">
        <f t="shared" si="0"/>
        <v>0.168726740531703</v>
      </c>
      <c r="D41" s="63">
        <f>915378/100000</f>
        <v>9.15378</v>
      </c>
      <c r="E41" s="62">
        <f t="shared" si="1"/>
        <v>0.168726740531703</v>
      </c>
      <c r="F41" s="11"/>
    </row>
    <row r="42" ht="275.5" spans="1:6">
      <c r="A42" s="60" t="s">
        <v>20</v>
      </c>
      <c r="B42" s="64">
        <f>901760/100000</f>
        <v>9.0176</v>
      </c>
      <c r="C42" s="62">
        <f t="shared" si="0"/>
        <v>0.166216607283405</v>
      </c>
      <c r="D42" s="65">
        <f>901760/100000</f>
        <v>9.0176</v>
      </c>
      <c r="E42" s="62">
        <f t="shared" si="1"/>
        <v>0.166216607283405</v>
      </c>
      <c r="F42" s="11"/>
    </row>
    <row r="43" spans="1:6">
      <c r="A43" s="66"/>
      <c r="B43" s="64">
        <f>SUM(B39:B42)</f>
        <v>46.61759</v>
      </c>
      <c r="C43" s="67"/>
      <c r="D43" s="64">
        <f>SUM(D39:D42)</f>
        <v>46.61759</v>
      </c>
      <c r="E43" s="67"/>
      <c r="F43" s="11"/>
    </row>
    <row r="44" spans="1:6">
      <c r="A44" s="42"/>
      <c r="B44" s="42"/>
      <c r="C44" s="42"/>
      <c r="D44" s="42"/>
      <c r="E44" s="42"/>
      <c r="F44" s="2"/>
    </row>
    <row r="45" spans="1:6">
      <c r="A45" s="68" t="s">
        <v>26</v>
      </c>
      <c r="B45" s="69"/>
      <c r="C45" s="70"/>
      <c r="D45" s="11"/>
      <c r="E45" s="11"/>
      <c r="F45" s="2"/>
    </row>
    <row r="46" spans="1:6">
      <c r="A46" s="71"/>
      <c r="B46" s="8"/>
      <c r="C46" s="8"/>
      <c r="D46" s="9">
        <v>45382</v>
      </c>
      <c r="E46" s="9">
        <v>45016</v>
      </c>
      <c r="F46" s="2"/>
    </row>
    <row r="47" spans="1:6">
      <c r="A47" s="69" t="s">
        <v>27</v>
      </c>
      <c r="B47" s="2"/>
      <c r="C47" s="2"/>
      <c r="D47" s="17">
        <f>E51</f>
        <v>175.46161</v>
      </c>
      <c r="E47" s="72"/>
      <c r="F47" s="2"/>
    </row>
    <row r="48" spans="1:6">
      <c r="A48" s="73" t="s">
        <v>28</v>
      </c>
      <c r="B48" s="2"/>
      <c r="C48" s="2"/>
      <c r="D48" s="74"/>
      <c r="E48" s="74"/>
      <c r="F48" s="2"/>
    </row>
    <row r="49" spans="1:6">
      <c r="A49" s="75" t="s">
        <v>29</v>
      </c>
      <c r="B49" s="2"/>
      <c r="C49" s="2"/>
      <c r="D49" s="17">
        <f>+'[1]Trial Balance'!B11/100000</f>
        <v>175.46161</v>
      </c>
      <c r="E49" s="17">
        <f>17546161/100000</f>
        <v>175.46161</v>
      </c>
      <c r="F49" s="2"/>
    </row>
    <row r="50" spans="1:6">
      <c r="A50" s="75" t="s">
        <v>30</v>
      </c>
      <c r="B50" s="2"/>
      <c r="C50" s="2"/>
      <c r="D50" s="39">
        <v>0</v>
      </c>
      <c r="E50" s="39">
        <v>0</v>
      </c>
      <c r="F50" s="2"/>
    </row>
    <row r="51" ht="15.25" spans="1:6">
      <c r="A51" s="73" t="s">
        <v>31</v>
      </c>
      <c r="B51" s="2"/>
      <c r="C51" s="2"/>
      <c r="D51" s="76">
        <f>SUM(D49:D50)</f>
        <v>175.46161</v>
      </c>
      <c r="E51" s="76">
        <f>SUM(E49:E50)</f>
        <v>175.46161</v>
      </c>
      <c r="F51" s="2"/>
    </row>
    <row r="52" ht="15.25" spans="1:6">
      <c r="A52" s="73"/>
      <c r="B52" s="2"/>
      <c r="C52" s="2"/>
      <c r="D52" s="17"/>
      <c r="E52" s="17"/>
      <c r="F52" s="2"/>
    </row>
    <row r="53" spans="1:6">
      <c r="A53" s="73" t="s">
        <v>32</v>
      </c>
      <c r="B53" s="2"/>
      <c r="C53" s="2"/>
      <c r="D53" s="15"/>
      <c r="E53" s="16"/>
      <c r="F53" s="2"/>
    </row>
    <row r="54" spans="1:6">
      <c r="A54" s="75" t="s">
        <v>33</v>
      </c>
      <c r="B54" s="2"/>
      <c r="C54" s="2"/>
      <c r="D54" s="17">
        <f>E59</f>
        <v>2467.40870102698</v>
      </c>
      <c r="E54" s="17">
        <f>144056182.832698/100000</f>
        <v>1440.56182832698</v>
      </c>
      <c r="F54" s="77"/>
    </row>
    <row r="55" spans="1:6">
      <c r="A55" s="75" t="s">
        <v>34</v>
      </c>
      <c r="B55" s="2"/>
      <c r="C55" s="2"/>
      <c r="D55" s="78">
        <f>'[1]P&amp;L'!C28</f>
        <v>672.2785998</v>
      </c>
      <c r="E55" s="78">
        <f>'[1]P&amp;L'!D28</f>
        <v>1026.8468727</v>
      </c>
      <c r="F55" s="79"/>
    </row>
    <row r="56" spans="1:6">
      <c r="A56" s="75" t="s">
        <v>35</v>
      </c>
      <c r="B56" s="2"/>
      <c r="C56" s="2"/>
      <c r="D56" s="78"/>
      <c r="E56" s="78"/>
      <c r="F56" s="79"/>
    </row>
    <row r="57" spans="1:6">
      <c r="A57" s="75"/>
      <c r="B57" s="2"/>
      <c r="C57" s="2"/>
      <c r="D57" s="80">
        <f>SUM(D54:D56)</f>
        <v>3139.68730082698</v>
      </c>
      <c r="E57" s="80">
        <f>SUM(E54:E55)</f>
        <v>2467.40870102698</v>
      </c>
      <c r="F57" s="79"/>
    </row>
    <row r="58" spans="1:6">
      <c r="A58" s="75" t="s">
        <v>36</v>
      </c>
      <c r="B58" s="2"/>
      <c r="C58" s="2"/>
      <c r="D58" s="81">
        <f>+'[1]Trial Balance'!D77/100000</f>
        <v>162.7563</v>
      </c>
      <c r="E58" s="81">
        <v>0</v>
      </c>
      <c r="F58" s="2"/>
    </row>
    <row r="59" ht="15.25" spans="1:6">
      <c r="A59" s="75" t="s">
        <v>37</v>
      </c>
      <c r="B59" s="2"/>
      <c r="C59" s="2"/>
      <c r="D59" s="82">
        <f>+D57-D58</f>
        <v>2976.93100082698</v>
      </c>
      <c r="E59" s="83">
        <f>+E57</f>
        <v>2467.40870102698</v>
      </c>
      <c r="F59" s="2"/>
    </row>
    <row r="60" ht="15.25" spans="1:6">
      <c r="A60" s="75"/>
      <c r="B60" s="2"/>
      <c r="C60" s="2"/>
      <c r="D60" s="78"/>
      <c r="E60" s="78"/>
      <c r="F60" s="79"/>
    </row>
    <row r="61" spans="1:6">
      <c r="A61" s="84" t="s">
        <v>38</v>
      </c>
      <c r="B61" s="8"/>
      <c r="C61" s="8"/>
      <c r="D61" s="85">
        <f>+D51+D59+E47</f>
        <v>3152.39261082698</v>
      </c>
      <c r="E61" s="85">
        <f>+E51+E59</f>
        <v>2642.87031102698</v>
      </c>
      <c r="F61" s="36"/>
    </row>
    <row r="62" spans="1:6">
      <c r="A62" s="11"/>
      <c r="B62" s="21"/>
      <c r="C62" s="21"/>
      <c r="D62" s="11"/>
      <c r="E62" s="11"/>
      <c r="F62" s="2"/>
    </row>
    <row r="63" spans="1:6">
      <c r="A63" s="86" t="s">
        <v>39</v>
      </c>
      <c r="B63" s="87"/>
      <c r="C63" s="87"/>
      <c r="D63" s="87"/>
      <c r="E63" s="87"/>
      <c r="F63" s="88"/>
    </row>
    <row r="64" spans="1:6">
      <c r="A64" s="89"/>
      <c r="B64" s="90"/>
      <c r="C64" s="90"/>
      <c r="D64" s="9">
        <v>45382</v>
      </c>
      <c r="E64" s="9">
        <v>45016</v>
      </c>
      <c r="F64" s="88"/>
    </row>
    <row r="65" spans="1:6">
      <c r="A65" s="75" t="s">
        <v>40</v>
      </c>
      <c r="B65" s="91"/>
      <c r="C65" s="92"/>
      <c r="D65" s="17">
        <f>19799790/100000</f>
        <v>197.9979</v>
      </c>
      <c r="E65" s="17">
        <f>27641940/100000</f>
        <v>276.4194</v>
      </c>
      <c r="F65" s="88"/>
    </row>
    <row r="66" spans="1:6">
      <c r="A66" s="75" t="s">
        <v>41</v>
      </c>
      <c r="B66" s="91"/>
      <c r="C66" s="92"/>
      <c r="D66" s="17">
        <f>'[1]TB 23-24Old'!D19</f>
        <v>0</v>
      </c>
      <c r="E66" s="17">
        <v>0</v>
      </c>
      <c r="F66" s="88"/>
    </row>
    <row r="67" spans="1:6">
      <c r="A67" s="75" t="s">
        <v>42</v>
      </c>
      <c r="B67" s="91"/>
      <c r="C67" s="92"/>
      <c r="D67" s="17">
        <f>(80785714.32-12428568)/100000</f>
        <v>683.5714632</v>
      </c>
      <c r="E67" s="93"/>
      <c r="F67" s="88"/>
    </row>
    <row r="68" spans="1:6">
      <c r="A68" s="75" t="s">
        <v>43</v>
      </c>
      <c r="B68" s="91"/>
      <c r="C68" s="92"/>
      <c r="D68" s="17">
        <f>(4469387-1180044)/100000</f>
        <v>32.89343</v>
      </c>
      <c r="E68" s="17">
        <f>4494277/100000</f>
        <v>44.94277</v>
      </c>
      <c r="F68" s="88"/>
    </row>
    <row r="69" spans="1:6">
      <c r="A69" s="89"/>
      <c r="B69" s="94"/>
      <c r="C69" s="94"/>
      <c r="D69" s="95">
        <f>SUM(D65:D68)</f>
        <v>914.4627932</v>
      </c>
      <c r="E69" s="95">
        <f>SUM(E65:E68)</f>
        <v>321.36217</v>
      </c>
      <c r="F69" s="96"/>
    </row>
    <row r="70" spans="1:6">
      <c r="A70" s="97"/>
      <c r="B70" s="97"/>
      <c r="C70" s="97"/>
      <c r="D70" s="97"/>
      <c r="E70" s="97"/>
      <c r="F70" s="88"/>
    </row>
    <row r="71" spans="1:6">
      <c r="A71" s="86" t="s">
        <v>44</v>
      </c>
      <c r="B71" s="87"/>
      <c r="C71" s="87"/>
      <c r="D71" s="87"/>
      <c r="E71" s="87"/>
      <c r="F71" s="88"/>
    </row>
    <row r="72" spans="1:6">
      <c r="A72" s="89"/>
      <c r="B72" s="98"/>
      <c r="C72" s="98"/>
      <c r="D72" s="9">
        <v>45382</v>
      </c>
      <c r="E72" s="9">
        <v>45016</v>
      </c>
      <c r="F72" s="88"/>
    </row>
    <row r="73" spans="1:6">
      <c r="A73" s="99" t="s">
        <v>45</v>
      </c>
      <c r="B73" s="99"/>
      <c r="C73" s="99"/>
      <c r="D73" s="100">
        <f>+'[1]Deferred Tax'!C10</f>
        <v>49</v>
      </c>
      <c r="E73" s="101">
        <f>4318647/100000</f>
        <v>43.18647</v>
      </c>
      <c r="F73" s="88"/>
    </row>
    <row r="74" spans="1:6">
      <c r="A74" s="89"/>
      <c r="B74" s="94"/>
      <c r="C74" s="94"/>
      <c r="D74" s="95">
        <f>SUM(D73:D73)</f>
        <v>49</v>
      </c>
      <c r="E74" s="95">
        <f>SUM(E73:E73)</f>
        <v>43.18647</v>
      </c>
      <c r="F74" s="88"/>
    </row>
    <row r="75" spans="1:6">
      <c r="A75" s="102"/>
      <c r="B75" s="102"/>
      <c r="C75" s="102"/>
      <c r="D75" s="102"/>
      <c r="E75" s="102"/>
      <c r="F75" s="93"/>
    </row>
    <row r="76" spans="1:6">
      <c r="A76" s="69" t="s">
        <v>46</v>
      </c>
      <c r="B76" s="2"/>
      <c r="C76" s="2"/>
      <c r="D76" s="21"/>
      <c r="E76" s="22"/>
      <c r="F76" s="2"/>
    </row>
    <row r="77" spans="1:6">
      <c r="A77" s="8"/>
      <c r="B77" s="8"/>
      <c r="C77" s="8"/>
      <c r="D77" s="9">
        <v>45382</v>
      </c>
      <c r="E77" s="9">
        <v>45016</v>
      </c>
      <c r="F77" s="2"/>
    </row>
    <row r="78" ht="101.5" spans="1:6">
      <c r="A78" s="103" t="s">
        <v>47</v>
      </c>
      <c r="B78" s="2"/>
      <c r="C78" s="2"/>
      <c r="D78" s="104"/>
      <c r="E78" s="104"/>
      <c r="F78" s="105"/>
    </row>
    <row r="79" ht="304.5" spans="1:6">
      <c r="A79" s="106" t="s">
        <v>48</v>
      </c>
      <c r="B79" s="2"/>
      <c r="C79" s="2"/>
      <c r="D79" s="107">
        <f>+[1]Creditors!O19/100000</f>
        <v>13.63613</v>
      </c>
      <c r="E79" s="107">
        <f>1074255.06/100000</f>
        <v>10.7425506</v>
      </c>
      <c r="F79" s="105"/>
    </row>
    <row r="80" ht="232" spans="1:6">
      <c r="A80" s="106" t="s">
        <v>49</v>
      </c>
      <c r="B80" s="2"/>
      <c r="C80" s="2"/>
      <c r="D80" s="107">
        <f>+[1]Creditors!O20/100000</f>
        <v>45.96967</v>
      </c>
      <c r="E80" s="107">
        <f>5808383.25/100000</f>
        <v>58.0838325</v>
      </c>
      <c r="F80" s="105"/>
    </row>
    <row r="81" spans="1:6">
      <c r="A81" s="103"/>
      <c r="B81" s="2"/>
      <c r="C81" s="2"/>
      <c r="D81" s="107"/>
      <c r="E81" s="107"/>
      <c r="F81" s="105"/>
    </row>
    <row r="82" ht="58" spans="1:6">
      <c r="A82" s="103" t="s">
        <v>50</v>
      </c>
      <c r="B82" s="2"/>
      <c r="C82" s="2"/>
      <c r="D82" s="107"/>
      <c r="E82" s="107"/>
      <c r="F82" s="105"/>
    </row>
    <row r="83" ht="304.5" spans="1:6">
      <c r="A83" s="106" t="s">
        <v>48</v>
      </c>
      <c r="B83" s="2"/>
      <c r="C83" s="2"/>
      <c r="D83" s="107">
        <f>+[1]Creditors!O21/100000</f>
        <v>4.40567</v>
      </c>
      <c r="E83" s="107">
        <f>723695/100000</f>
        <v>7.23695</v>
      </c>
      <c r="F83" s="105"/>
    </row>
    <row r="84" ht="232" spans="1:6">
      <c r="A84" s="106" t="s">
        <v>49</v>
      </c>
      <c r="B84" s="2"/>
      <c r="C84" s="2"/>
      <c r="D84" s="107">
        <f>+[1]Creditors!O22/100000</f>
        <v>40.21992</v>
      </c>
      <c r="E84" s="107">
        <f>6283371.6/100000</f>
        <v>62.833716</v>
      </c>
      <c r="F84" s="105"/>
    </row>
    <row r="85" ht="58" spans="1:6">
      <c r="A85" s="103" t="s">
        <v>51</v>
      </c>
      <c r="B85" s="2"/>
      <c r="C85" s="2"/>
      <c r="D85" s="107">
        <f>+[1]Creditors!C107/100000</f>
        <v>42.782046</v>
      </c>
      <c r="E85" s="107"/>
      <c r="F85" s="105"/>
    </row>
    <row r="86" spans="1:6">
      <c r="A86" s="108"/>
      <c r="B86" s="8"/>
      <c r="C86" s="8"/>
      <c r="D86" s="109">
        <f>SUM(D79:D85)</f>
        <v>147.013436</v>
      </c>
      <c r="E86" s="109">
        <f>SUM(E79:E85)</f>
        <v>138.8970491</v>
      </c>
      <c r="F86" s="2"/>
    </row>
    <row r="87" spans="1:6">
      <c r="A87" s="110"/>
      <c r="B87" s="2"/>
      <c r="C87" s="2"/>
      <c r="D87" s="111"/>
      <c r="E87" s="111"/>
      <c r="F87" s="2"/>
    </row>
    <row r="88" spans="1:6">
      <c r="A88" s="112" t="s">
        <v>52</v>
      </c>
      <c r="B88" s="113"/>
      <c r="C88" s="113"/>
      <c r="D88" s="113"/>
      <c r="E88" s="113"/>
      <c r="F88" s="113"/>
    </row>
    <row r="89" spans="1:6">
      <c r="A89" s="114" t="s">
        <v>53</v>
      </c>
      <c r="B89" s="115" t="s">
        <v>54</v>
      </c>
      <c r="C89" s="115"/>
      <c r="D89" s="115"/>
      <c r="E89" s="115"/>
      <c r="F89" s="115"/>
    </row>
    <row r="90" ht="44.25" spans="1:6">
      <c r="A90" s="116"/>
      <c r="B90" s="117" t="s">
        <v>55</v>
      </c>
      <c r="C90" s="118" t="s">
        <v>56</v>
      </c>
      <c r="D90" s="118" t="s">
        <v>57</v>
      </c>
      <c r="E90" s="118" t="s">
        <v>58</v>
      </c>
      <c r="F90" s="118" t="s">
        <v>59</v>
      </c>
    </row>
    <row r="91" spans="1:6">
      <c r="A91" s="119" t="s">
        <v>60</v>
      </c>
      <c r="B91" s="113"/>
      <c r="C91" s="113"/>
      <c r="D91" s="113"/>
      <c r="E91" s="113"/>
      <c r="F91" s="113"/>
    </row>
    <row r="92" spans="1:6">
      <c r="A92" s="244" t="s">
        <v>61</v>
      </c>
      <c r="B92" s="121">
        <f>(+[1]Creditors!N19+[1]Creditors!N20)/100000</f>
        <v>50.29014</v>
      </c>
      <c r="C92" s="121">
        <f>(+[1]Creditors!M19+[1]Creditors!M20)/100000</f>
        <v>9.31566</v>
      </c>
      <c r="D92" s="121">
        <v>0</v>
      </c>
      <c r="E92" s="121">
        <v>0</v>
      </c>
      <c r="F92" s="122"/>
    </row>
    <row r="93" spans="1:6">
      <c r="A93" s="244" t="s">
        <v>62</v>
      </c>
      <c r="B93" s="121">
        <f>(+[1]Creditors!N21+[1]Creditors!N22)/100000</f>
        <v>38.87216</v>
      </c>
      <c r="C93" s="121">
        <f>(+[1]Creditors!M21+[1]Creditors!M22)/100000</f>
        <v>5.75343</v>
      </c>
      <c r="D93" s="121">
        <v>0</v>
      </c>
      <c r="E93" s="121">
        <v>0</v>
      </c>
      <c r="F93" s="121">
        <f t="shared" ref="F93:F96" si="2">SUM(B92:E92)</f>
        <v>59.6058</v>
      </c>
    </row>
    <row r="94" spans="1:6">
      <c r="A94" s="119" t="s">
        <v>63</v>
      </c>
      <c r="B94" s="121"/>
      <c r="C94" s="121"/>
      <c r="D94" s="121"/>
      <c r="E94" s="121"/>
      <c r="F94" s="121">
        <f t="shared" si="2"/>
        <v>44.62559</v>
      </c>
    </row>
    <row r="95" spans="1:6">
      <c r="A95" s="244" t="s">
        <v>61</v>
      </c>
      <c r="B95" s="122">
        <v>0</v>
      </c>
      <c r="C95" s="121">
        <v>0</v>
      </c>
      <c r="D95" s="121">
        <v>0</v>
      </c>
      <c r="E95" s="121">
        <v>0</v>
      </c>
      <c r="F95" s="121">
        <f t="shared" si="2"/>
        <v>0</v>
      </c>
    </row>
    <row r="96" spans="1:6">
      <c r="A96" s="244" t="s">
        <v>62</v>
      </c>
      <c r="B96" s="122">
        <v>0</v>
      </c>
      <c r="C96" s="121">
        <v>0</v>
      </c>
      <c r="D96" s="121">
        <v>0</v>
      </c>
      <c r="E96" s="121">
        <v>0</v>
      </c>
      <c r="F96" s="121">
        <f t="shared" si="2"/>
        <v>0</v>
      </c>
    </row>
    <row r="97" spans="1:6">
      <c r="A97" s="123" t="s">
        <v>51</v>
      </c>
      <c r="B97" s="122">
        <f>D85</f>
        <v>42.782046</v>
      </c>
      <c r="C97" s="122"/>
      <c r="D97" s="124"/>
      <c r="E97" s="124"/>
      <c r="F97" s="121">
        <f>SUM(B97:E97)</f>
        <v>42.782046</v>
      </c>
    </row>
    <row r="98" spans="1:6">
      <c r="A98" s="125" t="s">
        <v>59</v>
      </c>
      <c r="B98" s="126">
        <f>SUM(B92:B97)</f>
        <v>131.944346</v>
      </c>
      <c r="C98" s="126">
        <f>SUM(C92:C96)</f>
        <v>15.06909</v>
      </c>
      <c r="D98" s="109">
        <f>SUM(D92:D96)</f>
        <v>0</v>
      </c>
      <c r="E98" s="109">
        <f>SUM(E92:E96)</f>
        <v>0</v>
      </c>
      <c r="F98" s="126">
        <f>SUM(F93:F97)</f>
        <v>147.013436</v>
      </c>
    </row>
    <row r="99" spans="1:6">
      <c r="A99" s="110"/>
      <c r="B99" s="11"/>
      <c r="C99" s="11"/>
      <c r="D99" s="111"/>
      <c r="E99" s="111"/>
      <c r="F99" s="11"/>
    </row>
    <row r="100" spans="1:6">
      <c r="A100" s="112" t="s">
        <v>64</v>
      </c>
      <c r="B100" s="113"/>
      <c r="C100" s="113"/>
      <c r="D100" s="113"/>
      <c r="E100" s="113"/>
      <c r="F100" s="113"/>
    </row>
    <row r="101" spans="1:6">
      <c r="A101" s="114" t="s">
        <v>53</v>
      </c>
      <c r="B101" s="125" t="s">
        <v>54</v>
      </c>
      <c r="C101" s="125"/>
      <c r="D101" s="125"/>
      <c r="E101" s="125"/>
      <c r="F101" s="127" t="s">
        <v>59</v>
      </c>
    </row>
    <row r="102" ht="44.25" spans="1:6">
      <c r="A102" s="116"/>
      <c r="B102" s="117" t="s">
        <v>55</v>
      </c>
      <c r="C102" s="118" t="s">
        <v>56</v>
      </c>
      <c r="D102" s="118" t="s">
        <v>57</v>
      </c>
      <c r="E102" s="118" t="s">
        <v>58</v>
      </c>
      <c r="F102" s="117"/>
    </row>
    <row r="103" spans="1:6">
      <c r="A103" s="119" t="s">
        <v>60</v>
      </c>
      <c r="B103" s="113"/>
      <c r="C103" s="113"/>
      <c r="D103" s="113"/>
      <c r="E103" s="113"/>
      <c r="F103" s="113"/>
    </row>
    <row r="104" spans="1:6">
      <c r="A104" s="244" t="s">
        <v>61</v>
      </c>
      <c r="B104" s="121">
        <f>6851128.31/100000</f>
        <v>68.5112831</v>
      </c>
      <c r="C104" s="121">
        <f>31510/100000</f>
        <v>0.3151</v>
      </c>
      <c r="D104" s="121">
        <v>0</v>
      </c>
      <c r="E104" s="121">
        <v>0</v>
      </c>
      <c r="F104" s="121">
        <f t="shared" ref="F104:F108" si="3">SUM(B104:E104)</f>
        <v>68.8263831</v>
      </c>
    </row>
    <row r="105" spans="1:6">
      <c r="A105" s="244" t="s">
        <v>62</v>
      </c>
      <c r="B105" s="121">
        <f>6662871.6/100000</f>
        <v>66.628716</v>
      </c>
      <c r="C105" s="121">
        <f>344195/100000</f>
        <v>3.44195</v>
      </c>
      <c r="D105" s="121">
        <v>0</v>
      </c>
      <c r="E105" s="121">
        <v>0</v>
      </c>
      <c r="F105" s="121">
        <f t="shared" si="3"/>
        <v>70.070666</v>
      </c>
    </row>
    <row r="106" spans="1:6">
      <c r="A106" s="119" t="s">
        <v>63</v>
      </c>
      <c r="B106" s="121"/>
      <c r="C106" s="121"/>
      <c r="D106" s="121"/>
      <c r="E106" s="121"/>
      <c r="F106" s="121"/>
    </row>
    <row r="107" spans="1:6">
      <c r="A107" s="244" t="s">
        <v>61</v>
      </c>
      <c r="B107" s="121">
        <v>0</v>
      </c>
      <c r="C107" s="121">
        <v>0</v>
      </c>
      <c r="D107" s="121">
        <v>0</v>
      </c>
      <c r="E107" s="121">
        <v>0</v>
      </c>
      <c r="F107" s="121">
        <f t="shared" si="3"/>
        <v>0</v>
      </c>
    </row>
    <row r="108" spans="1:6">
      <c r="A108" s="244" t="s">
        <v>62</v>
      </c>
      <c r="B108" s="121">
        <v>0</v>
      </c>
      <c r="C108" s="121">
        <v>0</v>
      </c>
      <c r="D108" s="121">
        <v>0</v>
      </c>
      <c r="E108" s="121">
        <v>0</v>
      </c>
      <c r="F108" s="121">
        <f t="shared" si="3"/>
        <v>0</v>
      </c>
    </row>
    <row r="109" spans="1:6">
      <c r="A109" s="123"/>
      <c r="B109" s="124"/>
      <c r="C109" s="124"/>
      <c r="D109" s="124"/>
      <c r="E109" s="124"/>
      <c r="F109" s="124"/>
    </row>
    <row r="110" ht="15.25" spans="1:6">
      <c r="A110" s="128" t="s">
        <v>59</v>
      </c>
      <c r="B110" s="129">
        <f t="shared" ref="B110:F110" si="4">SUM(B104:B108)</f>
        <v>135.1399991</v>
      </c>
      <c r="C110" s="129">
        <f t="shared" si="4"/>
        <v>3.75705</v>
      </c>
      <c r="D110" s="129">
        <f t="shared" si="4"/>
        <v>0</v>
      </c>
      <c r="E110" s="129">
        <f t="shared" si="4"/>
        <v>0</v>
      </c>
      <c r="F110" s="129">
        <f t="shared" si="4"/>
        <v>138.8970491</v>
      </c>
    </row>
    <row r="111" spans="1:6">
      <c r="A111" s="110"/>
      <c r="B111" s="2"/>
      <c r="C111" s="2"/>
      <c r="D111" s="111"/>
      <c r="E111" s="111"/>
      <c r="F111" s="2"/>
    </row>
    <row r="112" spans="1:6">
      <c r="A112" s="68" t="s">
        <v>65</v>
      </c>
      <c r="B112" s="2"/>
      <c r="C112" s="2"/>
      <c r="D112" s="130"/>
      <c r="E112" s="131"/>
      <c r="F112" s="2"/>
    </row>
    <row r="113" spans="1:6">
      <c r="A113" s="8"/>
      <c r="B113" s="8"/>
      <c r="C113" s="8"/>
      <c r="D113" s="9">
        <v>45382</v>
      </c>
      <c r="E113" s="9">
        <v>45016</v>
      </c>
      <c r="F113" s="2"/>
    </row>
    <row r="114" spans="1:6">
      <c r="A114" s="75" t="s">
        <v>66</v>
      </c>
      <c r="B114" s="2"/>
      <c r="C114" s="2"/>
      <c r="D114" s="17">
        <f>G69/100000</f>
        <v>0</v>
      </c>
      <c r="E114" s="17">
        <f>13920441/100000</f>
        <v>139.20441</v>
      </c>
      <c r="F114" s="79"/>
    </row>
    <row r="115" spans="1:6">
      <c r="A115" s="75" t="s">
        <v>67</v>
      </c>
      <c r="B115" s="2"/>
      <c r="C115" s="2"/>
      <c r="D115" s="132">
        <f>(+'[1]Trial Balance CB'!C243+'[1]Trial Balance CB'!C285+'[1]Trial Balance CB'!C275+'[1]Trial Balance CB'!C117+'[1]Trial Balance CB'!C193)/100000</f>
        <v>45.9956534</v>
      </c>
      <c r="E115" s="17">
        <f>15688272/100000</f>
        <v>156.88272</v>
      </c>
      <c r="F115" s="79"/>
    </row>
    <row r="116" spans="1:6">
      <c r="A116" s="75" t="s">
        <v>68</v>
      </c>
      <c r="B116" s="2"/>
      <c r="C116" s="2"/>
      <c r="D116" s="17">
        <f>[1]Sechdules!B77/100000</f>
        <v>79.3516672</v>
      </c>
      <c r="E116" s="17">
        <f>4803131.66/100000</f>
        <v>48.0313166</v>
      </c>
      <c r="F116" s="79"/>
    </row>
    <row r="117" spans="1:6">
      <c r="A117" s="133"/>
      <c r="B117" s="8"/>
      <c r="C117" s="8"/>
      <c r="D117" s="19">
        <f>SUM(D114:D116)</f>
        <v>125.3473206</v>
      </c>
      <c r="E117" s="19">
        <f>SUM(E114:E116)</f>
        <v>344.1184466</v>
      </c>
      <c r="F117" s="2"/>
    </row>
    <row r="118" spans="1:6">
      <c r="A118" s="134"/>
      <c r="B118" s="21"/>
      <c r="C118" s="22"/>
      <c r="D118" s="11"/>
      <c r="E118" s="11"/>
      <c r="F118" s="2"/>
    </row>
    <row r="119" spans="1:6">
      <c r="A119" s="135" t="s">
        <v>69</v>
      </c>
      <c r="B119" s="136"/>
      <c r="C119" s="136"/>
      <c r="D119" s="137"/>
      <c r="E119" s="137"/>
      <c r="F119" s="2"/>
    </row>
    <row r="120" spans="1:6">
      <c r="A120" s="138"/>
      <c r="B120" s="139"/>
      <c r="C120" s="140"/>
      <c r="D120" s="9">
        <v>45382</v>
      </c>
      <c r="E120" s="9">
        <v>45016</v>
      </c>
      <c r="F120" s="2"/>
    </row>
    <row r="121" spans="1:6">
      <c r="A121" s="75" t="s">
        <v>70</v>
      </c>
      <c r="B121" s="79"/>
      <c r="C121" s="79"/>
      <c r="D121" s="17">
        <f>+'[1]P&amp;L'!C22</f>
        <v>179.27262</v>
      </c>
      <c r="E121" s="17">
        <f>69225399/100000</f>
        <v>692.25399</v>
      </c>
      <c r="F121" s="2"/>
    </row>
    <row r="122" spans="1:6">
      <c r="A122" s="141"/>
      <c r="B122" s="142"/>
      <c r="C122" s="142"/>
      <c r="D122" s="143">
        <f>SUM(D121:D121)</f>
        <v>179.27262</v>
      </c>
      <c r="E122" s="143">
        <f>SUM(E121:E121)</f>
        <v>692.25399</v>
      </c>
      <c r="F122" s="2"/>
    </row>
    <row r="123" spans="1:6">
      <c r="A123" s="2"/>
      <c r="B123" s="2"/>
      <c r="C123" s="2"/>
      <c r="D123" s="2"/>
      <c r="E123" s="2"/>
      <c r="F123" s="2"/>
    </row>
    <row r="124" ht="18" spans="1:12">
      <c r="A124" s="144">
        <f>'[1]Note 1'!B124</f>
        <v>0</v>
      </c>
      <c r="B124" s="145"/>
      <c r="C124" s="145"/>
      <c r="D124" s="145"/>
      <c r="E124" s="145"/>
      <c r="F124" s="145"/>
      <c r="G124" s="145"/>
      <c r="H124" s="145"/>
      <c r="I124" s="145"/>
      <c r="J124" s="145"/>
      <c r="K124" s="145"/>
      <c r="L124" s="145"/>
    </row>
    <row r="125" spans="1:12">
      <c r="A125" s="1">
        <f>+'[1]Note 2 - 8'!A125</f>
        <v>0</v>
      </c>
      <c r="B125" s="145"/>
      <c r="C125" s="145"/>
      <c r="D125" s="145"/>
      <c r="E125" s="145"/>
      <c r="F125" s="145"/>
      <c r="G125" s="145"/>
      <c r="H125" s="145"/>
      <c r="I125" s="145"/>
      <c r="J125" s="145"/>
      <c r="K125" s="145"/>
      <c r="L125" s="145"/>
    </row>
    <row r="126" spans="1:12">
      <c r="A126" s="1">
        <f>+'[1]Note 2 - 8'!A126</f>
        <v>0</v>
      </c>
      <c r="B126" s="145"/>
      <c r="C126" s="145"/>
      <c r="D126" s="145"/>
      <c r="E126" s="145"/>
      <c r="F126" s="145"/>
      <c r="G126" s="145"/>
      <c r="H126" s="145"/>
      <c r="I126" s="145"/>
      <c r="J126" s="145"/>
      <c r="K126" s="145"/>
      <c r="L126" s="145"/>
    </row>
    <row r="127" spans="1:12">
      <c r="A127" s="3"/>
      <c r="B127" s="145"/>
      <c r="C127" s="145"/>
      <c r="D127" s="145"/>
      <c r="E127" s="145"/>
      <c r="F127" s="145"/>
      <c r="G127" s="145"/>
      <c r="H127" s="145"/>
      <c r="I127" s="145"/>
      <c r="J127" s="145"/>
      <c r="K127" s="145"/>
      <c r="L127" s="145"/>
    </row>
    <row r="128" ht="18.5" spans="1:12">
      <c r="A128" s="145"/>
      <c r="B128" s="146"/>
      <c r="C128" s="146"/>
      <c r="D128" s="147"/>
      <c r="E128" s="147"/>
      <c r="F128" s="147"/>
      <c r="G128" s="147"/>
      <c r="H128" s="147"/>
      <c r="I128" s="145"/>
      <c r="J128" s="147"/>
      <c r="K128" s="145"/>
      <c r="L128" s="148">
        <f>'[1]Note 2 - 8'!E128</f>
        <v>0</v>
      </c>
    </row>
    <row r="129" spans="1:12">
      <c r="A129" s="149" t="s">
        <v>71</v>
      </c>
      <c r="B129" s="150"/>
      <c r="C129" s="150"/>
      <c r="D129" s="150"/>
      <c r="E129" s="150"/>
      <c r="F129" s="150"/>
      <c r="G129" s="150"/>
      <c r="H129" s="150"/>
      <c r="I129" s="150"/>
      <c r="J129" s="150"/>
      <c r="K129" s="150"/>
      <c r="L129" s="221"/>
    </row>
    <row r="130" spans="1:12">
      <c r="A130" s="151" t="s">
        <v>53</v>
      </c>
      <c r="B130" s="152"/>
      <c r="C130" s="153" t="s">
        <v>72</v>
      </c>
      <c r="D130" s="153"/>
      <c r="E130" s="153"/>
      <c r="F130" s="153"/>
      <c r="G130" s="153" t="s">
        <v>73</v>
      </c>
      <c r="H130" s="153"/>
      <c r="I130" s="153"/>
      <c r="J130" s="153"/>
      <c r="K130" s="153" t="s">
        <v>74</v>
      </c>
      <c r="L130" s="153"/>
    </row>
    <row r="131" ht="58" spans="1:12">
      <c r="A131" s="154"/>
      <c r="B131" s="155"/>
      <c r="C131" s="156" t="s">
        <v>75</v>
      </c>
      <c r="D131" s="157" t="s">
        <v>76</v>
      </c>
      <c r="E131" s="156" t="s">
        <v>77</v>
      </c>
      <c r="F131" s="156" t="s">
        <v>78</v>
      </c>
      <c r="G131" s="156" t="str">
        <f>C131</f>
        <v>As at 1st April 2023</v>
      </c>
      <c r="H131" s="157" t="s">
        <v>79</v>
      </c>
      <c r="I131" s="156" t="s">
        <v>77</v>
      </c>
      <c r="J131" s="156" t="str">
        <f>F131</f>
        <v>As at 31st March  2024</v>
      </c>
      <c r="K131" s="156" t="str">
        <f>J131</f>
        <v>As at 31st March  2024</v>
      </c>
      <c r="L131" s="156" t="str">
        <f>G131</f>
        <v>As at 1st April 2023</v>
      </c>
    </row>
    <row r="132" spans="1:12">
      <c r="A132" s="158" t="s">
        <v>80</v>
      </c>
      <c r="B132" s="159"/>
      <c r="C132" s="160"/>
      <c r="D132" s="161"/>
      <c r="E132" s="160"/>
      <c r="F132" s="162"/>
      <c r="G132" s="160"/>
      <c r="H132" s="161"/>
      <c r="I132" s="160"/>
      <c r="J132" s="222"/>
      <c r="K132" s="162"/>
      <c r="L132" s="223"/>
    </row>
    <row r="133" spans="1:12">
      <c r="A133" s="163">
        <v>1</v>
      </c>
      <c r="B133" s="164" t="s">
        <v>81</v>
      </c>
      <c r="C133" s="165">
        <f>+'[1]FA Register Companies Act'!I685/100000</f>
        <v>0</v>
      </c>
      <c r="D133" s="132">
        <f>+'[1]FA Register Companies Act'!J685/100000</f>
        <v>0</v>
      </c>
      <c r="E133" s="165">
        <f>+'[1]FA Register Companies Act'!L685</f>
        <v>0</v>
      </c>
      <c r="F133" s="165">
        <f t="shared" ref="F133:F139" si="5">+C133+D133-E133</f>
        <v>0</v>
      </c>
      <c r="G133" s="165">
        <f>+'[1]FA Register Companies Act'!N685/100000</f>
        <v>0</v>
      </c>
      <c r="H133" s="132">
        <f>+'[1]FA Register Companies Act'!O685/100000</f>
        <v>0</v>
      </c>
      <c r="I133" s="165">
        <f>+'[1]FA Register Companies Act'!P685</f>
        <v>0</v>
      </c>
      <c r="J133" s="132">
        <f t="shared" ref="J133:J139" si="6">+G133+H133-I133</f>
        <v>0</v>
      </c>
      <c r="K133" s="165">
        <f t="shared" ref="K133:K139" si="7">+F133-J133</f>
        <v>0</v>
      </c>
      <c r="L133" s="165">
        <f t="shared" ref="L133:L139" si="8">+C133-G133</f>
        <v>0</v>
      </c>
    </row>
    <row r="134" spans="1:12">
      <c r="A134" s="163">
        <v>2</v>
      </c>
      <c r="B134" s="164" t="s">
        <v>82</v>
      </c>
      <c r="C134" s="165">
        <f>+'[1]FA Register Companies Act'!I686/100000</f>
        <v>0</v>
      </c>
      <c r="D134" s="132">
        <f>+'[1]FA Register Companies Act'!J686/100000</f>
        <v>0</v>
      </c>
      <c r="E134" s="165">
        <f>+'[1]FA Register Companies Act'!L686/100000</f>
        <v>0</v>
      </c>
      <c r="F134" s="165">
        <f t="shared" si="5"/>
        <v>0</v>
      </c>
      <c r="G134" s="165">
        <f>+'[1]FA Register Companies Act'!N686/100000</f>
        <v>0</v>
      </c>
      <c r="H134" s="132">
        <f>+'[1]FA Register Companies Act'!O686/100000</f>
        <v>0</v>
      </c>
      <c r="I134" s="165">
        <f>+'[1]FA Register Companies Act'!P686/100000</f>
        <v>0</v>
      </c>
      <c r="J134" s="132">
        <f t="shared" si="6"/>
        <v>0</v>
      </c>
      <c r="K134" s="165">
        <f t="shared" si="7"/>
        <v>0</v>
      </c>
      <c r="L134" s="165">
        <f t="shared" si="8"/>
        <v>0</v>
      </c>
    </row>
    <row r="135" spans="1:12">
      <c r="A135" s="163">
        <v>3</v>
      </c>
      <c r="B135" s="164" t="s">
        <v>83</v>
      </c>
      <c r="C135" s="165">
        <f>+'[1]FA Register Companies Act'!I687/100000</f>
        <v>0</v>
      </c>
      <c r="D135" s="132">
        <f>+'[1]FA Register Companies Act'!J687/100000</f>
        <v>0</v>
      </c>
      <c r="E135" s="165">
        <v>0</v>
      </c>
      <c r="F135" s="165">
        <f t="shared" si="5"/>
        <v>0</v>
      </c>
      <c r="G135" s="165">
        <f>+'[1]FA Register Companies Act'!N687/100000</f>
        <v>0</v>
      </c>
      <c r="H135" s="132">
        <f>+'[1]FA Register Companies Act'!O687/100000</f>
        <v>0</v>
      </c>
      <c r="I135" s="165">
        <f>+'[1]FA Register Companies Act'!P687</f>
        <v>0</v>
      </c>
      <c r="J135" s="132">
        <f t="shared" si="6"/>
        <v>0</v>
      </c>
      <c r="K135" s="165">
        <f t="shared" si="7"/>
        <v>0</v>
      </c>
      <c r="L135" s="165">
        <f t="shared" si="8"/>
        <v>0</v>
      </c>
    </row>
    <row r="136" spans="1:12">
      <c r="A136" s="163">
        <v>4</v>
      </c>
      <c r="B136" s="164" t="s">
        <v>84</v>
      </c>
      <c r="C136" s="165">
        <f>+'[1]FA Register Companies Act'!I688/100000</f>
        <v>0</v>
      </c>
      <c r="D136" s="132">
        <f>+'[1]FA Register Companies Act'!J688/100000</f>
        <v>0</v>
      </c>
      <c r="E136" s="165">
        <v>0</v>
      </c>
      <c r="F136" s="165">
        <f t="shared" si="5"/>
        <v>0</v>
      </c>
      <c r="G136" s="165">
        <f>+'[1]FA Register Companies Act'!N688/100000</f>
        <v>0</v>
      </c>
      <c r="H136" s="132">
        <f>+'[1]FA Register Companies Act'!O688/100000</f>
        <v>0</v>
      </c>
      <c r="I136" s="165">
        <f>+'[1]FA Register Companies Act'!P688</f>
        <v>0</v>
      </c>
      <c r="J136" s="132">
        <f t="shared" si="6"/>
        <v>0</v>
      </c>
      <c r="K136" s="165">
        <f t="shared" si="7"/>
        <v>0</v>
      </c>
      <c r="L136" s="165">
        <f t="shared" si="8"/>
        <v>0</v>
      </c>
    </row>
    <row r="137" spans="1:12">
      <c r="A137" s="163">
        <v>5</v>
      </c>
      <c r="B137" s="164" t="s">
        <v>85</v>
      </c>
      <c r="C137" s="165">
        <f>+'[1]FA Register Companies Act'!I689/100000</f>
        <v>0</v>
      </c>
      <c r="D137" s="132">
        <f>+'[1]FA Register Companies Act'!J689/100000</f>
        <v>0</v>
      </c>
      <c r="E137" s="165">
        <v>0</v>
      </c>
      <c r="F137" s="165">
        <f t="shared" si="5"/>
        <v>0</v>
      </c>
      <c r="G137" s="165">
        <f>+'[1]FA Register Companies Act'!N689/100000</f>
        <v>0</v>
      </c>
      <c r="H137" s="132">
        <f>+'[1]FA Register Companies Act'!O689/100000</f>
        <v>0</v>
      </c>
      <c r="I137" s="165">
        <f>+'[1]FA Register Companies Act'!P689</f>
        <v>0</v>
      </c>
      <c r="J137" s="132">
        <f t="shared" si="6"/>
        <v>0</v>
      </c>
      <c r="K137" s="165">
        <f t="shared" si="7"/>
        <v>0</v>
      </c>
      <c r="L137" s="165">
        <f t="shared" si="8"/>
        <v>0</v>
      </c>
    </row>
    <row r="138" spans="1:12">
      <c r="A138" s="163">
        <v>6</v>
      </c>
      <c r="B138" s="164" t="s">
        <v>86</v>
      </c>
      <c r="C138" s="165">
        <f>+'[1]FA Register Companies Act'!I690/100000</f>
        <v>0</v>
      </c>
      <c r="D138" s="132">
        <f>+'[1]FA Register Companies Act'!J690/100000</f>
        <v>0</v>
      </c>
      <c r="E138" s="165">
        <v>0</v>
      </c>
      <c r="F138" s="165">
        <f t="shared" si="5"/>
        <v>0</v>
      </c>
      <c r="G138" s="165">
        <f>+'[1]FA Register Companies Act'!N690/100000</f>
        <v>0</v>
      </c>
      <c r="H138" s="132">
        <f>+'[1]FA Register Companies Act'!O690/100000</f>
        <v>0</v>
      </c>
      <c r="I138" s="165">
        <v>0</v>
      </c>
      <c r="J138" s="132">
        <f t="shared" si="6"/>
        <v>0</v>
      </c>
      <c r="K138" s="165">
        <f t="shared" si="7"/>
        <v>0</v>
      </c>
      <c r="L138" s="165">
        <f t="shared" si="8"/>
        <v>0</v>
      </c>
    </row>
    <row r="139" spans="1:12">
      <c r="A139" s="163">
        <v>7</v>
      </c>
      <c r="B139" s="164" t="s">
        <v>87</v>
      </c>
      <c r="C139" s="165">
        <f>+'[1]FA Register Companies Act'!I691/100000</f>
        <v>0</v>
      </c>
      <c r="D139" s="132">
        <f>+'[1]FA Register Companies Act'!J691</f>
        <v>0</v>
      </c>
      <c r="E139" s="165">
        <v>0</v>
      </c>
      <c r="F139" s="166">
        <f t="shared" si="5"/>
        <v>0</v>
      </c>
      <c r="G139" s="165">
        <f>+'[1]FA Register Companies Act'!N691/100000</f>
        <v>0</v>
      </c>
      <c r="H139" s="132">
        <f>+'[1]FA Register Companies Act'!O691/100000</f>
        <v>0</v>
      </c>
      <c r="I139" s="165">
        <v>0</v>
      </c>
      <c r="J139" s="132">
        <f t="shared" si="6"/>
        <v>0</v>
      </c>
      <c r="K139" s="166">
        <f t="shared" si="7"/>
        <v>0</v>
      </c>
      <c r="L139" s="166">
        <f t="shared" si="8"/>
        <v>0</v>
      </c>
    </row>
    <row r="140" spans="1:12">
      <c r="A140" s="167"/>
      <c r="B140" s="168" t="s">
        <v>59</v>
      </c>
      <c r="C140" s="169">
        <f t="shared" ref="C140:L140" si="9">SUM(C133:C139)</f>
        <v>0</v>
      </c>
      <c r="D140" s="170">
        <f t="shared" si="9"/>
        <v>0</v>
      </c>
      <c r="E140" s="169">
        <f t="shared" si="9"/>
        <v>0</v>
      </c>
      <c r="F140" s="169">
        <f t="shared" si="9"/>
        <v>0</v>
      </c>
      <c r="G140" s="169">
        <f t="shared" si="9"/>
        <v>0</v>
      </c>
      <c r="H140" s="169">
        <f t="shared" si="9"/>
        <v>0</v>
      </c>
      <c r="I140" s="169">
        <f t="shared" si="9"/>
        <v>0</v>
      </c>
      <c r="J140" s="169">
        <f t="shared" si="9"/>
        <v>0</v>
      </c>
      <c r="K140" s="169">
        <f t="shared" si="9"/>
        <v>0</v>
      </c>
      <c r="L140" s="169">
        <f t="shared" si="9"/>
        <v>0</v>
      </c>
    </row>
    <row r="141" spans="1:12">
      <c r="A141" s="171" t="s">
        <v>88</v>
      </c>
      <c r="B141" s="172"/>
      <c r="C141" s="173"/>
      <c r="D141" s="174"/>
      <c r="E141" s="173"/>
      <c r="F141" s="175"/>
      <c r="G141" s="176"/>
      <c r="H141" s="176"/>
      <c r="I141" s="176"/>
      <c r="J141" s="224"/>
      <c r="K141" s="224"/>
      <c r="L141" s="176"/>
    </row>
    <row r="142" spans="1:12">
      <c r="A142" s="163">
        <v>1</v>
      </c>
      <c r="B142" s="164" t="s">
        <v>89</v>
      </c>
      <c r="C142" s="165">
        <f>+'[1]FA Register Companies Act'!I692/100000</f>
        <v>0</v>
      </c>
      <c r="D142" s="132">
        <f>+'[1]FA Register Companies Act'!J692/100000</f>
        <v>0</v>
      </c>
      <c r="E142" s="165"/>
      <c r="F142" s="166">
        <f>+C142+D142-E142</f>
        <v>0</v>
      </c>
      <c r="G142" s="166">
        <f>+'[1]FA Register Companies Act'!N692/100000</f>
        <v>0</v>
      </c>
      <c r="H142" s="166">
        <f>+'[1]FA Register Companies Act'!O692/100000</f>
        <v>0</v>
      </c>
      <c r="I142" s="166">
        <v>0</v>
      </c>
      <c r="J142" s="166">
        <f>+G142+H142-I142</f>
        <v>0</v>
      </c>
      <c r="K142" s="166">
        <f>+F142-J142</f>
        <v>0</v>
      </c>
      <c r="L142" s="166">
        <f>+C142-G142</f>
        <v>0</v>
      </c>
    </row>
    <row r="143" spans="1:12">
      <c r="A143" s="167"/>
      <c r="B143" s="168" t="s">
        <v>59</v>
      </c>
      <c r="C143" s="169">
        <f t="shared" ref="C143:L143" si="10">SUM(C142:C142)</f>
        <v>0</v>
      </c>
      <c r="D143" s="170">
        <f t="shared" si="10"/>
        <v>0</v>
      </c>
      <c r="E143" s="169">
        <f t="shared" si="10"/>
        <v>0</v>
      </c>
      <c r="F143" s="169">
        <f t="shared" si="10"/>
        <v>0</v>
      </c>
      <c r="G143" s="169">
        <f t="shared" si="10"/>
        <v>0</v>
      </c>
      <c r="H143" s="169">
        <f t="shared" si="10"/>
        <v>0</v>
      </c>
      <c r="I143" s="169">
        <f t="shared" si="10"/>
        <v>0</v>
      </c>
      <c r="J143" s="169">
        <f t="shared" si="10"/>
        <v>0</v>
      </c>
      <c r="K143" s="169">
        <f t="shared" si="10"/>
        <v>0</v>
      </c>
      <c r="L143" s="169">
        <f t="shared" si="10"/>
        <v>0</v>
      </c>
    </row>
    <row r="144" spans="1:12">
      <c r="A144" s="177"/>
      <c r="B144" s="178"/>
      <c r="C144" s="179"/>
      <c r="D144" s="179"/>
      <c r="E144" s="179"/>
      <c r="F144" s="179"/>
      <c r="G144" s="180"/>
      <c r="H144" s="180"/>
      <c r="I144" s="180"/>
      <c r="J144" s="180"/>
      <c r="K144" s="180"/>
      <c r="L144" s="225"/>
    </row>
    <row r="145" ht="15.25" spans="1:12">
      <c r="A145" s="181"/>
      <c r="B145" s="182" t="s">
        <v>90</v>
      </c>
      <c r="C145" s="183">
        <f t="shared" ref="C145:L145" si="11">+C140+C143</f>
        <v>0</v>
      </c>
      <c r="D145" s="183">
        <f t="shared" si="11"/>
        <v>0</v>
      </c>
      <c r="E145" s="183">
        <f t="shared" si="11"/>
        <v>0</v>
      </c>
      <c r="F145" s="183">
        <f t="shared" si="11"/>
        <v>0</v>
      </c>
      <c r="G145" s="183">
        <f t="shared" si="11"/>
        <v>0</v>
      </c>
      <c r="H145" s="183">
        <f t="shared" si="11"/>
        <v>0</v>
      </c>
      <c r="I145" s="183">
        <f t="shared" si="11"/>
        <v>0</v>
      </c>
      <c r="J145" s="183">
        <f t="shared" si="11"/>
        <v>0</v>
      </c>
      <c r="K145" s="183">
        <f t="shared" si="11"/>
        <v>0</v>
      </c>
      <c r="L145" s="183">
        <f t="shared" si="11"/>
        <v>0</v>
      </c>
    </row>
    <row r="147" ht="18" spans="1:7">
      <c r="A147" s="184">
        <f>+'[1]Note 9'!A147</f>
        <v>0</v>
      </c>
      <c r="B147" s="185"/>
      <c r="C147" s="185"/>
      <c r="D147" s="185"/>
      <c r="E147" s="185"/>
      <c r="F147" s="185"/>
      <c r="G147" s="185"/>
    </row>
    <row r="148" spans="1:7">
      <c r="A148" s="186">
        <f>+'[1]Note 9'!A148</f>
        <v>0</v>
      </c>
      <c r="B148" s="187"/>
      <c r="C148" s="187"/>
      <c r="D148" s="185"/>
      <c r="E148" s="185"/>
      <c r="F148" s="185"/>
      <c r="G148" s="185"/>
    </row>
    <row r="149" spans="1:7">
      <c r="A149" s="186">
        <f>+'[1]Note 9'!A149</f>
        <v>0</v>
      </c>
      <c r="B149" s="187"/>
      <c r="C149" s="187"/>
      <c r="D149" s="185"/>
      <c r="E149" s="185"/>
      <c r="F149" s="185"/>
      <c r="G149" s="185"/>
    </row>
    <row r="150" spans="1:7">
      <c r="A150" s="188"/>
      <c r="B150" s="187"/>
      <c r="C150" s="189"/>
      <c r="D150" s="185"/>
      <c r="E150" s="185"/>
      <c r="F150" s="185"/>
      <c r="G150" s="185"/>
    </row>
    <row r="151" spans="1:7">
      <c r="A151" s="190" t="s">
        <v>91</v>
      </c>
      <c r="B151" s="191"/>
      <c r="C151" s="192">
        <f>'[1]Note 9'!L151</f>
        <v>0</v>
      </c>
      <c r="D151" s="185"/>
      <c r="E151" s="185"/>
      <c r="F151" s="185"/>
      <c r="G151" s="185"/>
    </row>
    <row r="152" spans="1:7">
      <c r="A152" s="193"/>
      <c r="B152" s="9">
        <v>45382</v>
      </c>
      <c r="C152" s="9">
        <v>45016</v>
      </c>
      <c r="D152" s="185"/>
      <c r="E152" s="185"/>
      <c r="F152" s="185"/>
      <c r="G152" s="185"/>
    </row>
    <row r="153" spans="1:7">
      <c r="A153" s="194" t="s">
        <v>92</v>
      </c>
      <c r="B153" s="195"/>
      <c r="C153" s="196"/>
      <c r="D153" s="185"/>
      <c r="E153" s="185"/>
      <c r="F153" s="185"/>
      <c r="G153" s="185"/>
    </row>
    <row r="154" spans="1:7">
      <c r="A154" s="197" t="s">
        <v>93</v>
      </c>
      <c r="B154" s="198">
        <f>[1]Sechdules!B232/100000</f>
        <v>0.5975346</v>
      </c>
      <c r="C154" s="198">
        <f>(+'[1]TB_BS 2021-22'!B216+'[1]TB_BS 2021-22'!B327+'[1]TB_BS 2021-22'!B288+'[1]TB_BS 2021-22'!B375+'[1]TB_BS 2021-22'!B224)/100000</f>
        <v>0</v>
      </c>
      <c r="D154" s="185"/>
      <c r="E154" s="185"/>
      <c r="F154" s="185"/>
      <c r="G154" s="185"/>
    </row>
    <row r="155" spans="1:7">
      <c r="A155" s="199"/>
      <c r="B155" s="200">
        <f>SUM(B154:B154)</f>
        <v>0.5975346</v>
      </c>
      <c r="C155" s="201">
        <f>SUM(C154:C154)</f>
        <v>0</v>
      </c>
      <c r="D155" s="185"/>
      <c r="E155" s="185"/>
      <c r="F155" s="185"/>
      <c r="G155" s="185"/>
    </row>
    <row r="156" spans="1:7">
      <c r="A156" s="190"/>
      <c r="B156" s="202"/>
      <c r="C156" s="203"/>
      <c r="D156" s="185"/>
      <c r="E156" s="185"/>
      <c r="F156" s="185"/>
      <c r="G156" s="185"/>
    </row>
    <row r="157" spans="1:7">
      <c r="A157" s="135" t="s">
        <v>94</v>
      </c>
      <c r="B157" s="136"/>
      <c r="C157" s="136"/>
      <c r="D157" s="185"/>
      <c r="E157" s="185"/>
      <c r="F157" s="2"/>
      <c r="G157" s="2"/>
    </row>
    <row r="158" spans="1:7">
      <c r="A158" s="138"/>
      <c r="B158" s="9">
        <v>45382</v>
      </c>
      <c r="C158" s="9">
        <v>45016</v>
      </c>
      <c r="D158" s="185"/>
      <c r="E158" s="185"/>
      <c r="F158" s="2"/>
      <c r="G158" s="2"/>
    </row>
    <row r="159" spans="1:7">
      <c r="A159" s="75" t="s">
        <v>95</v>
      </c>
      <c r="B159" s="204">
        <f>992170/100000</f>
        <v>9.9217</v>
      </c>
      <c r="C159" s="17">
        <f>1013265/100000</f>
        <v>10.13265</v>
      </c>
      <c r="D159" s="185"/>
      <c r="E159" s="185"/>
      <c r="F159" s="2"/>
      <c r="G159" s="2"/>
    </row>
    <row r="160" spans="1:7">
      <c r="A160" s="141"/>
      <c r="B160" s="143">
        <f>SUM(B159:B159)</f>
        <v>9.9217</v>
      </c>
      <c r="C160" s="143">
        <f>SUM(C159:C159)</f>
        <v>10.13265</v>
      </c>
      <c r="D160" s="185"/>
      <c r="E160" s="185"/>
      <c r="F160" s="2"/>
      <c r="G160" s="2"/>
    </row>
    <row r="161" spans="1:7">
      <c r="A161" s="2"/>
      <c r="B161" s="2"/>
      <c r="C161" s="2"/>
      <c r="D161" s="185"/>
      <c r="E161" s="185"/>
      <c r="F161" s="2"/>
      <c r="G161" s="2"/>
    </row>
    <row r="162" spans="1:7">
      <c r="A162" s="194" t="s">
        <v>96</v>
      </c>
      <c r="B162" s="205"/>
      <c r="C162" s="206"/>
      <c r="D162" s="185"/>
      <c r="E162" s="185"/>
      <c r="F162" s="185"/>
      <c r="G162" s="185"/>
    </row>
    <row r="163" spans="1:7">
      <c r="A163" s="207"/>
      <c r="B163" s="9">
        <v>45382</v>
      </c>
      <c r="C163" s="9">
        <v>45016</v>
      </c>
      <c r="D163" s="185"/>
      <c r="E163" s="185"/>
      <c r="F163" s="185"/>
      <c r="G163" s="185"/>
    </row>
    <row r="164" spans="1:7">
      <c r="A164" s="208" t="s">
        <v>92</v>
      </c>
      <c r="B164" s="205"/>
      <c r="C164" s="206"/>
      <c r="D164" s="185"/>
      <c r="E164" s="185"/>
      <c r="F164" s="185"/>
      <c r="G164" s="185"/>
    </row>
    <row r="165" ht="58" spans="1:7">
      <c r="A165" s="209" t="s">
        <v>97</v>
      </c>
      <c r="B165" s="210">
        <f>B173</f>
        <v>769.7080509</v>
      </c>
      <c r="C165" s="210">
        <f>93293111/100000</f>
        <v>932.93111</v>
      </c>
      <c r="D165" s="185"/>
      <c r="E165" s="185"/>
      <c r="F165" s="185"/>
      <c r="G165" s="185"/>
    </row>
    <row r="166" spans="1:7">
      <c r="A166" s="209" t="s">
        <v>98</v>
      </c>
      <c r="B166" s="211">
        <f>C173+D173</f>
        <v>64.0810122</v>
      </c>
      <c r="C166" s="210">
        <f>10485535.86/100000</f>
        <v>104.8553586</v>
      </c>
      <c r="D166" s="185"/>
      <c r="E166" s="185"/>
      <c r="F166" s="185"/>
      <c r="G166" s="185"/>
    </row>
    <row r="167" spans="1:7">
      <c r="A167" s="212"/>
      <c r="B167" s="213">
        <f>SUM(B165:B166)</f>
        <v>833.7890631</v>
      </c>
      <c r="C167" s="213">
        <f>SUM(C165:C166)</f>
        <v>1037.7864686</v>
      </c>
      <c r="D167" s="211"/>
      <c r="E167" s="185"/>
      <c r="F167" s="185"/>
      <c r="G167" s="185"/>
    </row>
    <row r="168" spans="1:7">
      <c r="A168" s="214"/>
      <c r="B168" s="215"/>
      <c r="C168" s="216"/>
      <c r="D168" s="185"/>
      <c r="E168" s="185"/>
      <c r="F168" s="185"/>
      <c r="G168" s="185"/>
    </row>
    <row r="169" spans="1:7">
      <c r="A169" s="112" t="s">
        <v>99</v>
      </c>
      <c r="B169" s="113"/>
      <c r="C169" s="113"/>
      <c r="D169" s="113"/>
      <c r="E169" s="113"/>
      <c r="F169" s="113"/>
      <c r="G169" s="113"/>
    </row>
    <row r="170" spans="1:7">
      <c r="A170" s="114" t="s">
        <v>53</v>
      </c>
      <c r="B170" s="217" t="s">
        <v>54</v>
      </c>
      <c r="C170" s="217"/>
      <c r="D170" s="217"/>
      <c r="E170" s="217"/>
      <c r="F170" s="217"/>
      <c r="G170" s="218" t="s">
        <v>59</v>
      </c>
    </row>
    <row r="171" ht="39.75" spans="1:7">
      <c r="A171" s="116"/>
      <c r="B171" s="219" t="s">
        <v>100</v>
      </c>
      <c r="C171" s="219" t="s">
        <v>101</v>
      </c>
      <c r="D171" s="219" t="s">
        <v>56</v>
      </c>
      <c r="E171" s="219" t="s">
        <v>57</v>
      </c>
      <c r="F171" s="219" t="s">
        <v>58</v>
      </c>
      <c r="G171" s="219"/>
    </row>
    <row r="172" spans="1:7">
      <c r="A172" s="119" t="s">
        <v>102</v>
      </c>
      <c r="B172" s="113"/>
      <c r="C172" s="113"/>
      <c r="D172" s="113"/>
      <c r="E172" s="113"/>
      <c r="F172" s="113"/>
      <c r="G172" s="113"/>
    </row>
    <row r="173" spans="1:7">
      <c r="A173" s="244" t="s">
        <v>103</v>
      </c>
      <c r="B173" s="124">
        <f>76970805.09/100000</f>
        <v>769.7080509</v>
      </c>
      <c r="C173" s="124">
        <f>4266422/100000</f>
        <v>42.66422</v>
      </c>
      <c r="D173" s="124">
        <f>2141679.22/100000</f>
        <v>21.4167922</v>
      </c>
      <c r="E173" s="124">
        <v>0</v>
      </c>
      <c r="F173" s="124">
        <v>0</v>
      </c>
      <c r="G173" s="124">
        <f t="shared" ref="G173:G177" si="12">SUM(B173:F173)</f>
        <v>833.7890631</v>
      </c>
    </row>
    <row r="174" spans="1:7">
      <c r="A174" s="244" t="s">
        <v>104</v>
      </c>
      <c r="B174" s="124">
        <v>0</v>
      </c>
      <c r="C174" s="124">
        <v>0</v>
      </c>
      <c r="D174" s="124">
        <v>0</v>
      </c>
      <c r="E174" s="124">
        <v>0</v>
      </c>
      <c r="F174" s="124">
        <v>0</v>
      </c>
      <c r="G174" s="124">
        <f t="shared" si="12"/>
        <v>0</v>
      </c>
    </row>
    <row r="175" spans="1:7">
      <c r="A175" s="119" t="s">
        <v>105</v>
      </c>
      <c r="B175" s="124"/>
      <c r="C175" s="124"/>
      <c r="D175" s="124"/>
      <c r="E175" s="124"/>
      <c r="F175" s="124"/>
      <c r="G175" s="124"/>
    </row>
    <row r="176" spans="1:7">
      <c r="A176" s="244" t="s">
        <v>103</v>
      </c>
      <c r="B176" s="124">
        <v>0</v>
      </c>
      <c r="C176" s="124">
        <v>0</v>
      </c>
      <c r="D176" s="124">
        <v>0</v>
      </c>
      <c r="E176" s="124">
        <v>0</v>
      </c>
      <c r="F176" s="124">
        <v>0</v>
      </c>
      <c r="G176" s="124">
        <f t="shared" si="12"/>
        <v>0</v>
      </c>
    </row>
    <row r="177" spans="1:7">
      <c r="A177" s="244" t="s">
        <v>104</v>
      </c>
      <c r="B177" s="124">
        <v>0</v>
      </c>
      <c r="C177" s="124">
        <v>0</v>
      </c>
      <c r="D177" s="124">
        <v>0</v>
      </c>
      <c r="E177" s="124">
        <v>0</v>
      </c>
      <c r="F177" s="124">
        <v>0</v>
      </c>
      <c r="G177" s="124">
        <f t="shared" si="12"/>
        <v>0</v>
      </c>
    </row>
    <row r="178" ht="15.25" spans="1:7">
      <c r="A178" s="128" t="s">
        <v>59</v>
      </c>
      <c r="B178" s="220">
        <f t="shared" ref="B178:G178" si="13">SUM(B173:B177)</f>
        <v>769.7080509</v>
      </c>
      <c r="C178" s="220">
        <f t="shared" si="13"/>
        <v>42.66422</v>
      </c>
      <c r="D178" s="220">
        <f t="shared" si="13"/>
        <v>21.4167922</v>
      </c>
      <c r="E178" s="220">
        <f t="shared" si="13"/>
        <v>0</v>
      </c>
      <c r="F178" s="220">
        <f t="shared" si="13"/>
        <v>0</v>
      </c>
      <c r="G178" s="220">
        <f t="shared" si="13"/>
        <v>833.7890631</v>
      </c>
    </row>
    <row r="179" spans="1:7">
      <c r="A179" s="214"/>
      <c r="B179" s="215"/>
      <c r="C179" s="216"/>
      <c r="D179" s="185"/>
      <c r="E179" s="185"/>
      <c r="F179" s="185"/>
      <c r="G179" s="185"/>
    </row>
    <row r="180" spans="1:7">
      <c r="A180" s="112" t="s">
        <v>106</v>
      </c>
      <c r="B180" s="113"/>
      <c r="C180" s="113"/>
      <c r="D180" s="113"/>
      <c r="E180" s="113"/>
      <c r="F180" s="113"/>
      <c r="G180" s="113"/>
    </row>
    <row r="181" spans="1:7">
      <c r="A181" s="114" t="s">
        <v>53</v>
      </c>
      <c r="B181" s="217" t="s">
        <v>54</v>
      </c>
      <c r="C181" s="217"/>
      <c r="D181" s="217"/>
      <c r="E181" s="217"/>
      <c r="F181" s="217"/>
      <c r="G181" s="218" t="s">
        <v>59</v>
      </c>
    </row>
    <row r="182" ht="39.75" spans="1:7">
      <c r="A182" s="116"/>
      <c r="B182" s="219" t="s">
        <v>100</v>
      </c>
      <c r="C182" s="219" t="s">
        <v>101</v>
      </c>
      <c r="D182" s="219" t="s">
        <v>56</v>
      </c>
      <c r="E182" s="219" t="s">
        <v>57</v>
      </c>
      <c r="F182" s="219" t="s">
        <v>58</v>
      </c>
      <c r="G182" s="219"/>
    </row>
    <row r="183" spans="1:7">
      <c r="A183" s="119" t="s">
        <v>102</v>
      </c>
      <c r="B183" s="113"/>
      <c r="C183" s="113"/>
      <c r="D183" s="113"/>
      <c r="E183" s="113"/>
      <c r="F183" s="113"/>
      <c r="G183" s="113"/>
    </row>
    <row r="184" spans="1:7">
      <c r="A184" s="244" t="s">
        <v>103</v>
      </c>
      <c r="B184" s="124">
        <f>93293485/100000</f>
        <v>932.93485</v>
      </c>
      <c r="C184" s="124">
        <f>10485535.86/100000</f>
        <v>104.8553586</v>
      </c>
      <c r="D184" s="124">
        <v>0</v>
      </c>
      <c r="E184" s="124">
        <v>0</v>
      </c>
      <c r="F184" s="124">
        <v>0</v>
      </c>
      <c r="G184" s="124">
        <f t="shared" ref="G184:G188" si="14">SUM(B184:F184)</f>
        <v>1037.7902086</v>
      </c>
    </row>
    <row r="185" spans="1:7">
      <c r="A185" s="244" t="s">
        <v>104</v>
      </c>
      <c r="B185" s="124">
        <v>0</v>
      </c>
      <c r="C185" s="124">
        <v>0</v>
      </c>
      <c r="D185" s="124">
        <v>0</v>
      </c>
      <c r="E185" s="124">
        <v>0</v>
      </c>
      <c r="F185" s="124">
        <v>0</v>
      </c>
      <c r="G185" s="124">
        <f t="shared" si="14"/>
        <v>0</v>
      </c>
    </row>
    <row r="186" spans="1:7">
      <c r="A186" s="119" t="s">
        <v>105</v>
      </c>
      <c r="B186" s="124"/>
      <c r="C186" s="124"/>
      <c r="D186" s="124"/>
      <c r="E186" s="124"/>
      <c r="F186" s="124"/>
      <c r="G186" s="124"/>
    </row>
    <row r="187" spans="1:7">
      <c r="A187" s="244" t="s">
        <v>103</v>
      </c>
      <c r="B187" s="124">
        <v>0</v>
      </c>
      <c r="C187" s="124">
        <v>0</v>
      </c>
      <c r="D187" s="124">
        <v>0</v>
      </c>
      <c r="E187" s="124">
        <v>0</v>
      </c>
      <c r="F187" s="124">
        <v>0</v>
      </c>
      <c r="G187" s="124">
        <f t="shared" si="14"/>
        <v>0</v>
      </c>
    </row>
    <row r="188" spans="1:7">
      <c r="A188" s="244" t="s">
        <v>104</v>
      </c>
      <c r="B188" s="124">
        <v>0</v>
      </c>
      <c r="C188" s="124">
        <v>0</v>
      </c>
      <c r="D188" s="124">
        <v>0</v>
      </c>
      <c r="E188" s="124">
        <v>0</v>
      </c>
      <c r="F188" s="124">
        <v>0</v>
      </c>
      <c r="G188" s="124">
        <f t="shared" si="14"/>
        <v>0</v>
      </c>
    </row>
    <row r="189" ht="15.25" spans="1:7">
      <c r="A189" s="128" t="s">
        <v>59</v>
      </c>
      <c r="B189" s="220">
        <f t="shared" ref="B189:G189" si="15">SUM(B184:B188)</f>
        <v>932.93485</v>
      </c>
      <c r="C189" s="220">
        <f t="shared" si="15"/>
        <v>104.8553586</v>
      </c>
      <c r="D189" s="220">
        <f t="shared" si="15"/>
        <v>0</v>
      </c>
      <c r="E189" s="220">
        <f t="shared" si="15"/>
        <v>0</v>
      </c>
      <c r="F189" s="220">
        <f t="shared" si="15"/>
        <v>0</v>
      </c>
      <c r="G189" s="220">
        <f t="shared" si="15"/>
        <v>1037.7902086</v>
      </c>
    </row>
    <row r="190" spans="1:7">
      <c r="A190" s="214"/>
      <c r="B190" s="215"/>
      <c r="C190" s="216"/>
      <c r="D190" s="185"/>
      <c r="E190" s="185"/>
      <c r="F190" s="185"/>
      <c r="G190" s="185"/>
    </row>
    <row r="191" spans="1:7">
      <c r="A191" s="190" t="s">
        <v>107</v>
      </c>
      <c r="B191" s="191"/>
      <c r="C191" s="187"/>
      <c r="D191" s="185"/>
      <c r="E191" s="185"/>
      <c r="F191" s="185"/>
      <c r="G191" s="185"/>
    </row>
    <row r="192" spans="1:7">
      <c r="A192" s="199"/>
      <c r="B192" s="9">
        <v>45382</v>
      </c>
      <c r="C192" s="9">
        <v>45016</v>
      </c>
      <c r="D192" s="185"/>
      <c r="E192" s="185"/>
      <c r="F192" s="185"/>
      <c r="G192" s="185"/>
    </row>
    <row r="193" spans="1:7">
      <c r="A193" s="190" t="s">
        <v>108</v>
      </c>
      <c r="B193" s="205"/>
      <c r="C193" s="206"/>
      <c r="D193" s="185"/>
      <c r="E193" s="185"/>
      <c r="F193" s="185"/>
      <c r="G193" s="185"/>
    </row>
    <row r="194" spans="1:7">
      <c r="A194" s="226" t="s">
        <v>109</v>
      </c>
      <c r="B194" s="210">
        <f>+'[1]Trial Balance'!D184/100000</f>
        <v>0</v>
      </c>
      <c r="C194" s="210">
        <f>56450901.6/100000</f>
        <v>564.509016</v>
      </c>
      <c r="D194" s="185"/>
      <c r="E194" s="185"/>
      <c r="F194" s="185"/>
      <c r="G194" s="185"/>
    </row>
    <row r="195" spans="1:7">
      <c r="A195" s="226" t="s">
        <v>110</v>
      </c>
      <c r="B195" s="227">
        <f>(+'[1]Trial Balance'!D183+2)/100000</f>
        <v>2e-5</v>
      </c>
      <c r="C195" s="228">
        <f>387068/100000</f>
        <v>3.87068</v>
      </c>
      <c r="D195" s="185"/>
      <c r="E195" s="185"/>
      <c r="F195" s="185"/>
      <c r="G195" s="185"/>
    </row>
    <row r="196" spans="1:7">
      <c r="A196" s="229" t="s">
        <v>111</v>
      </c>
      <c r="B196" s="198"/>
      <c r="C196" s="210"/>
      <c r="D196" s="185"/>
      <c r="E196" s="185"/>
      <c r="F196" s="185"/>
      <c r="G196" s="185"/>
    </row>
    <row r="197" spans="1:7">
      <c r="A197" s="230" t="s">
        <v>112</v>
      </c>
      <c r="B197" s="231">
        <f>(40517061-218107)/100000</f>
        <v>402.98954</v>
      </c>
      <c r="C197" s="231">
        <f>55406937/100000</f>
        <v>554.06937</v>
      </c>
      <c r="D197" s="185"/>
      <c r="E197" s="185"/>
      <c r="F197" s="185"/>
      <c r="G197" s="185"/>
    </row>
    <row r="198" spans="1:7">
      <c r="A198" s="193"/>
      <c r="B198" s="232">
        <f>SUM(B194:B197)</f>
        <v>402.98956</v>
      </c>
      <c r="C198" s="233">
        <f>SUM(C194:C197)</f>
        <v>1122.449066</v>
      </c>
      <c r="D198" s="185"/>
      <c r="E198" s="185"/>
      <c r="F198" s="185"/>
      <c r="G198" s="185"/>
    </row>
    <row r="199" spans="1:7">
      <c r="A199" s="194"/>
      <c r="B199" s="234"/>
      <c r="C199" s="235"/>
      <c r="D199" s="185"/>
      <c r="E199" s="185"/>
      <c r="F199" s="185"/>
      <c r="G199" s="185"/>
    </row>
    <row r="200" spans="1:7">
      <c r="A200" s="190" t="s">
        <v>113</v>
      </c>
      <c r="B200" s="191"/>
      <c r="C200" s="187"/>
      <c r="D200" s="185"/>
      <c r="E200" s="185"/>
      <c r="F200" s="185"/>
      <c r="G200" s="185"/>
    </row>
    <row r="201" spans="1:7">
      <c r="A201" s="193"/>
      <c r="B201" s="9">
        <v>45382</v>
      </c>
      <c r="C201" s="9">
        <v>45016</v>
      </c>
      <c r="D201" s="185"/>
      <c r="E201" s="185"/>
      <c r="F201" s="185"/>
      <c r="G201" s="185"/>
    </row>
    <row r="202" spans="1:7">
      <c r="A202" s="194" t="s">
        <v>92</v>
      </c>
      <c r="B202" s="195"/>
      <c r="C202" s="196"/>
      <c r="D202" s="185"/>
      <c r="E202" s="185"/>
      <c r="F202" s="185"/>
      <c r="G202" s="185"/>
    </row>
    <row r="203" spans="1:7">
      <c r="A203" s="197" t="s">
        <v>114</v>
      </c>
      <c r="B203" s="198">
        <f>+'[1]Trial Balance'!D187/100000</f>
        <v>0</v>
      </c>
      <c r="C203" s="198">
        <f>1267096/100000</f>
        <v>12.67096</v>
      </c>
      <c r="D203" s="185"/>
      <c r="E203" s="236"/>
      <c r="F203" s="185"/>
      <c r="G203" s="185"/>
    </row>
    <row r="204" spans="1:7">
      <c r="A204" s="197" t="s">
        <v>115</v>
      </c>
      <c r="B204" s="237">
        <f>[1]Sechdules!B295/100000</f>
        <v>0</v>
      </c>
      <c r="C204" s="198">
        <f>516976/100000</f>
        <v>5.16976</v>
      </c>
      <c r="D204" s="185"/>
      <c r="E204" s="236"/>
      <c r="F204" s="185"/>
      <c r="G204" s="185"/>
    </row>
    <row r="205" spans="1:7">
      <c r="A205" s="190" t="s">
        <v>116</v>
      </c>
      <c r="B205" s="238"/>
      <c r="C205" s="238"/>
      <c r="D205" s="185"/>
      <c r="E205" s="236"/>
      <c r="F205" s="185"/>
      <c r="G205" s="185"/>
    </row>
    <row r="206" spans="1:7">
      <c r="A206" s="226" t="s">
        <v>117</v>
      </c>
      <c r="B206" s="198">
        <f>'[1]Trial Balance CB'!B486/100000</f>
        <v>0</v>
      </c>
      <c r="C206" s="210">
        <f>25130000/100000</f>
        <v>251.3</v>
      </c>
      <c r="D206" s="236"/>
      <c r="E206" s="236"/>
      <c r="F206" s="185"/>
      <c r="G206" s="185"/>
    </row>
    <row r="207" spans="1:7">
      <c r="A207" s="226" t="s">
        <v>118</v>
      </c>
      <c r="B207" s="237">
        <f>[1]Sechdules!B312/100000</f>
        <v>0</v>
      </c>
      <c r="C207" s="198">
        <f>52013407.34/100000</f>
        <v>520.1340734</v>
      </c>
      <c r="D207" s="185"/>
      <c r="E207" s="236"/>
      <c r="F207" s="185"/>
      <c r="G207" s="185"/>
    </row>
    <row r="208" spans="1:7">
      <c r="A208" s="199"/>
      <c r="B208" s="200">
        <f>SUM(B203:B207)</f>
        <v>0</v>
      </c>
      <c r="C208" s="201">
        <f>SUM(C203:C207)</f>
        <v>789.2747934</v>
      </c>
      <c r="D208" s="211"/>
      <c r="E208" s="185"/>
      <c r="F208" s="185"/>
      <c r="G208" s="185"/>
    </row>
    <row r="209" spans="1:7">
      <c r="A209" s="190"/>
      <c r="B209" s="202"/>
      <c r="C209" s="203"/>
      <c r="D209" s="211"/>
      <c r="E209" s="185"/>
      <c r="F209" s="185"/>
      <c r="G209" s="185"/>
    </row>
    <row r="210" spans="1:7">
      <c r="A210" s="214" t="s">
        <v>119</v>
      </c>
      <c r="B210" s="215"/>
      <c r="C210" s="239"/>
      <c r="D210" s="211"/>
      <c r="E210" s="185"/>
      <c r="F210" s="185"/>
      <c r="G210" s="185"/>
    </row>
    <row r="211" spans="1:7">
      <c r="A211" s="199"/>
      <c r="B211" s="9">
        <v>45382</v>
      </c>
      <c r="C211" s="9">
        <v>45016</v>
      </c>
      <c r="D211" s="211"/>
      <c r="E211" s="185"/>
      <c r="F211" s="185"/>
      <c r="G211" s="185"/>
    </row>
    <row r="212" spans="1:7">
      <c r="A212" s="226" t="s">
        <v>120</v>
      </c>
      <c r="B212" s="210">
        <f>218107/100000</f>
        <v>2.18107</v>
      </c>
      <c r="C212" s="240">
        <f>101368/100000</f>
        <v>1.01368</v>
      </c>
      <c r="D212" s="211"/>
      <c r="E212" s="185"/>
      <c r="F212" s="185"/>
      <c r="G212" s="185"/>
    </row>
    <row r="213" spans="1:7">
      <c r="A213" s="199"/>
      <c r="B213" s="201">
        <f>SUM(B212:B212)</f>
        <v>2.18107</v>
      </c>
      <c r="C213" s="241">
        <f>SUM(C212:C212)</f>
        <v>1.01368</v>
      </c>
      <c r="D213" s="211"/>
      <c r="E213" s="185"/>
      <c r="F213" s="185"/>
      <c r="G213" s="185"/>
    </row>
    <row r="214" spans="1:7">
      <c r="A214" s="187"/>
      <c r="B214" s="191"/>
      <c r="C214" s="187"/>
      <c r="D214" s="242"/>
      <c r="E214" s="185"/>
      <c r="F214" s="185"/>
      <c r="G214" s="185"/>
    </row>
  </sheetData>
  <mergeCells count="33">
    <mergeCell ref="B15:C15"/>
    <mergeCell ref="D15:E15"/>
    <mergeCell ref="A22:E22"/>
    <mergeCell ref="B25:C25"/>
    <mergeCell ref="D25:E25"/>
    <mergeCell ref="B36:C36"/>
    <mergeCell ref="D36:E36"/>
    <mergeCell ref="B63:C63"/>
    <mergeCell ref="D63:E63"/>
    <mergeCell ref="A70:E70"/>
    <mergeCell ref="B71:C71"/>
    <mergeCell ref="D71:E71"/>
    <mergeCell ref="A73:C73"/>
    <mergeCell ref="A75:E75"/>
    <mergeCell ref="B101:E101"/>
    <mergeCell ref="B128:C128"/>
    <mergeCell ref="A129:L129"/>
    <mergeCell ref="C130:F130"/>
    <mergeCell ref="G130:J130"/>
    <mergeCell ref="K130:L130"/>
    <mergeCell ref="B170:F170"/>
    <mergeCell ref="B181:F181"/>
    <mergeCell ref="A15:A16"/>
    <mergeCell ref="A25:A26"/>
    <mergeCell ref="A36:A37"/>
    <mergeCell ref="A89:A90"/>
    <mergeCell ref="A101:A102"/>
    <mergeCell ref="A170:A171"/>
    <mergeCell ref="A181:A182"/>
    <mergeCell ref="G170:G171"/>
    <mergeCell ref="G181:G182"/>
    <mergeCell ref="A33:E34"/>
    <mergeCell ref="A130:B131"/>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KIIT0001</dc:creator>
  <cp:lastModifiedBy>DIPAN GIRI</cp:lastModifiedBy>
  <dcterms:created xsi:type="dcterms:W3CDTF">2025-07-25T11:36:18Z</dcterms:created>
  <dcterms:modified xsi:type="dcterms:W3CDTF">2025-07-25T11:39:58Z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70A6D11BECC94333824B3A476C5CF565_11</vt:lpwstr>
  </property>
  <property fmtid="{D5CDD505-2E9C-101B-9397-08002B2CF9AE}" pid="3" name="KSOProductBuildVer">
    <vt:lpwstr>1033-12.2.0.21931</vt:lpwstr>
  </property>
</Properties>
</file>