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s>
  <definedNames/>
  <calcPr/>
</workbook>
</file>

<file path=xl/sharedStrings.xml><?xml version="1.0" encoding="utf-8"?>
<sst xmlns="http://schemas.openxmlformats.org/spreadsheetml/2006/main" count="185" uniqueCount="121">
  <si>
    <t>2. Share capital</t>
  </si>
  <si>
    <t>Authorised shares</t>
  </si>
  <si>
    <t>75,70,000 (March 31, 2024 : 75,70,000) equity shares of ₹ 10/- each</t>
  </si>
  <si>
    <t>Issued, subscribed and fully paid-up shares</t>
  </si>
  <si>
    <t>54,25,210 (March 31, 2024 : 54,25,210) equity shares of ₹ 10/- each</t>
  </si>
  <si>
    <t>Total issued, subscribed and fully paid-up share capital</t>
  </si>
  <si>
    <t>(a) Reconciliation of the equity shares outstanding at the beginning and at the end of the year</t>
  </si>
  <si>
    <t>No's</t>
  </si>
  <si>
    <t>Amount</t>
  </si>
  <si>
    <t>Equity shares of ₹ 10/- each fully paid</t>
  </si>
  <si>
    <t>At the beginning of the year</t>
  </si>
  <si>
    <t>Outstanding at the end of the year</t>
  </si>
  <si>
    <t>(b) Terms/ rights attached to equity shares</t>
  </si>
  <si>
    <t>The Company has only one class of equity shares having par value of ₹ 10/- per share. Each holder of equity share is entitled to one vote per share. The Company declares and pays dividend in Indian Rupees. In the event of liquidation of the Company, the holders of equity shares will be entitled to receive remaining assets of the Company, after distribution of all preferential amounts. The distribution will be in proportion to the number of equity shares held by the shareholders.</t>
  </si>
  <si>
    <t>(c) Details of share holders holding more than 5% shares in the Company</t>
  </si>
  <si>
    <t>Name of the shareholder</t>
  </si>
  <si>
    <t>% holding</t>
  </si>
  <si>
    <t>Mr. Srinivas Ravuri</t>
  </si>
  <si>
    <t>Mr. Akula Thukaram Bapuji</t>
  </si>
  <si>
    <t>Mrs. Akula Indira Prasanna</t>
  </si>
  <si>
    <t>Mr. Rajesh Kumar Suvvaru</t>
  </si>
  <si>
    <t>Mrs. Paithrini Kota</t>
  </si>
  <si>
    <t>As per records of the Company, including its register of shareholders/ members and other declarations received from shareholders regarding beneficial interest, the above shareholding represents both legal and beneficial ownerships of shares.</t>
  </si>
  <si>
    <t>(d) Disclosure of Shareholding of Promoters</t>
  </si>
  <si>
    <t>Name of the Promoter</t>
  </si>
  <si>
    <t>No. of shares</t>
  </si>
  <si>
    <t>3. Reserves and surplus</t>
  </si>
  <si>
    <t>Opening balance</t>
  </si>
  <si>
    <t>Securities Premium</t>
  </si>
  <si>
    <t xml:space="preserve">  Balance as per the last financial statements</t>
  </si>
  <si>
    <t xml:space="preserve">  Add / Less : Changes during the year</t>
  </si>
  <si>
    <t xml:space="preserve">  Closing Balance</t>
  </si>
  <si>
    <t>Surplus in the statement of profit and loss</t>
  </si>
  <si>
    <t>Balance, at the beginning of the year</t>
  </si>
  <si>
    <t>Add: Profit for the Year</t>
  </si>
  <si>
    <t>Less:Transfered</t>
  </si>
  <si>
    <t>Less: Dividend Paid</t>
  </si>
  <si>
    <t>Net Surplus in the Statement of Profit &amp; Loss</t>
  </si>
  <si>
    <t>Balance, at the end of the year</t>
  </si>
  <si>
    <t>4. Long-Term Borrowings</t>
  </si>
  <si>
    <t>Andhra Pradesh State Financial Corporation</t>
  </si>
  <si>
    <t>State Bank of India - SME</t>
  </si>
  <si>
    <t>Loan From ICICI Bank 603090031420</t>
  </si>
  <si>
    <t>Diamler Financial Services India Private Limited</t>
  </si>
  <si>
    <t>5. Deferred Tax Liability / (Asset)</t>
  </si>
  <si>
    <t>Deferred tax liability</t>
  </si>
  <si>
    <t>6. Trade Payables</t>
  </si>
  <si>
    <t>Dues to Micro &amp; Small Enterprises</t>
  </si>
  <si>
    <t>For Capital expenditure</t>
  </si>
  <si>
    <t>For other expenses</t>
  </si>
  <si>
    <t>Dues to Others</t>
  </si>
  <si>
    <t>Sundry Creditors</t>
  </si>
  <si>
    <t>Age wise analysis of Trade payables as on 31.03.2024</t>
  </si>
  <si>
    <t>Particulars</t>
  </si>
  <si>
    <t>Outstanding for following periods from due date of payment</t>
  </si>
  <si>
    <t>0 - 1 Year</t>
  </si>
  <si>
    <t>1 - 2 Years</t>
  </si>
  <si>
    <t>2 - 3 Years</t>
  </si>
  <si>
    <t>More than 3 Years</t>
  </si>
  <si>
    <t>Total</t>
  </si>
  <si>
    <t>Undisputed dues</t>
  </si>
  <si>
    <t>- MSME</t>
  </si>
  <si>
    <t>- Others</t>
  </si>
  <si>
    <t>Disputed dues</t>
  </si>
  <si>
    <t>Age wise analysis of Trade payables as on 31.03.2023</t>
  </si>
  <si>
    <t>7. Other Current Liabilities</t>
  </si>
  <si>
    <t>Current Maturities of Long Term Borrowings</t>
  </si>
  <si>
    <t>Outstanding Liabilities for Expenses</t>
  </si>
  <si>
    <t>Statutory dues</t>
  </si>
  <si>
    <t>8. Short Term Provisions</t>
  </si>
  <si>
    <t>Provision for Taxation</t>
  </si>
  <si>
    <t>Note 9 : Fixed Assets</t>
  </si>
  <si>
    <t>Gross Carrying Value</t>
  </si>
  <si>
    <t>Accumulated Depreciation</t>
  </si>
  <si>
    <t>Net Carrying Value</t>
  </si>
  <si>
    <t>As at 1st April 2023</t>
  </si>
  <si>
    <t>Additions</t>
  </si>
  <si>
    <t>Deletion</t>
  </si>
  <si>
    <t>As at 31st March  2024</t>
  </si>
  <si>
    <t>For the year</t>
  </si>
  <si>
    <t>Tangible Assets</t>
  </si>
  <si>
    <t>Buildings</t>
  </si>
  <si>
    <t>Computers &amp; Peripherals</t>
  </si>
  <si>
    <t>Electrical installations</t>
  </si>
  <si>
    <t>Furniture &amp; Fixtures</t>
  </si>
  <si>
    <t>Office Equipment</t>
  </si>
  <si>
    <t>Plant &amp; machinery</t>
  </si>
  <si>
    <t>Motor Vehicle</t>
  </si>
  <si>
    <t>Intangible Assets</t>
  </si>
  <si>
    <t>Software</t>
  </si>
  <si>
    <t>Grand Total</t>
  </si>
  <si>
    <t>10. Long Term Loans and advances</t>
  </si>
  <si>
    <t>Unsecured, considered good</t>
  </si>
  <si>
    <t>Long Term - Security Deposits</t>
  </si>
  <si>
    <t>11. Inventories</t>
  </si>
  <si>
    <t>Consumables</t>
  </si>
  <si>
    <t>12. Trade receivables</t>
  </si>
  <si>
    <t>Outstanding for a period exceeding six months from the date they are due for payment</t>
  </si>
  <si>
    <t>Other receivables</t>
  </si>
  <si>
    <t>Age wise analysis of Trade receivables as on 31.03.2024</t>
  </si>
  <si>
    <t>0 - 6 months</t>
  </si>
  <si>
    <t>6 months - 1 Year</t>
  </si>
  <si>
    <t>Undisputed</t>
  </si>
  <si>
    <t>- Considered good</t>
  </si>
  <si>
    <t>- Considered doubtful</t>
  </si>
  <si>
    <t>Disputed</t>
  </si>
  <si>
    <t>Age wise analysis of Trade receivables as on 31.03.2023</t>
  </si>
  <si>
    <t>13. Cash and bank balances</t>
  </si>
  <si>
    <t>Cash and cash equivalents</t>
  </si>
  <si>
    <t>Balances with banks in current accounts</t>
  </si>
  <si>
    <t>Cash on hand</t>
  </si>
  <si>
    <t>Other Bank Balances</t>
  </si>
  <si>
    <t>Fixed Deposits with ICICI Bank</t>
  </si>
  <si>
    <t>14. Short Term Loans and Advances</t>
  </si>
  <si>
    <t>Prepaid Expenses</t>
  </si>
  <si>
    <t>Other Advances</t>
  </si>
  <si>
    <t>Other loans and advances</t>
  </si>
  <si>
    <t>Advance tax</t>
  </si>
  <si>
    <t>Balances with statutory/government authorities</t>
  </si>
  <si>
    <t>15. Other Current Assets</t>
  </si>
  <si>
    <t>Interest accrued on fixed deposits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</si>
</sst>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_ * #,##0_ ;_ * \-#,##0_ ;_ * &quot;-&quot;??_ ;_ @_ "/>
    <numFmt numFmtId="165" formatCode="[$-409]mmmm\ d\,\ yyyy"/>
    <numFmt numFmtId="166" formatCode="_(* #,##0.00_);_(* \(#,##0.00\);_(* &quot;-&quot;??_);_(@_)"/>
    <numFmt numFmtId="167" formatCode="_(* #,##0_);_(* \(#,##0\);_(* &quot;-&quot;??_);_(@_)"/>
    <numFmt numFmtId="168" formatCode="_(* #,##0_);_(* \(#,##0\);_(* &quot;-&quot;_);_(@_)"/>
    <numFmt numFmtId="169" formatCode="#\.00,;\(#\.00,\);&quot;-&quot;"/>
    <numFmt numFmtId="170" formatCode="[$-409]d\-mmm\-yy"/>
  </numFmts>
  <fonts count="9">
    <font>
      <sz val="10.0"/>
      <color rgb="FF000000"/>
      <name val="Arial"/>
      <scheme val="minor"/>
    </font>
    <font>
      <b/>
      <sz val="11.0"/>
      <color theme="1"/>
      <name val="Book Antiqua"/>
    </font>
    <font>
      <sz val="11.0"/>
      <color theme="1"/>
      <name val="Calibri"/>
    </font>
    <font>
      <i/>
      <sz val="11.0"/>
      <color theme="1"/>
      <name val="Book Antiqua"/>
    </font>
    <font>
      <sz val="11.0"/>
      <color theme="1"/>
      <name val="Book Antiqua"/>
    </font>
    <font/>
    <font>
      <color theme="1"/>
      <name val="Book Antiqua"/>
    </font>
    <font>
      <u/>
      <sz val="11.0"/>
      <color theme="1"/>
      <name val="Book Antiqua"/>
    </font>
    <font>
      <b/>
      <color theme="1"/>
      <name val="Book Antiqua"/>
    </font>
  </fonts>
  <fills count="3">
    <fill>
      <patternFill patternType="none"/>
    </fill>
    <fill>
      <patternFill patternType="lightGray"/>
    </fill>
    <fill>
      <patternFill patternType="solid">
        <fgColor rgb="FFFFFFFF"/>
        <bgColor rgb="FFFFFFFF"/>
      </patternFill>
    </fill>
  </fills>
  <borders count="50">
    <border/>
    <border>
      <left/>
      <right/>
      <top/>
      <bottom/>
    </border>
    <border>
      <left/>
      <right/>
      <top style="thin">
        <color rgb="FF000000"/>
      </top>
      <bottom style="thin">
        <color rgb="FF000000"/>
      </bottom>
    </border>
    <border>
      <left/>
      <right/>
      <top/>
      <bottom style="double">
        <color rgb="FF000000"/>
      </bottom>
    </border>
    <border>
      <left/>
      <right/>
      <top/>
      <bottom style="thin">
        <color rgb="FF000000"/>
      </bottom>
    </border>
    <border>
      <left/>
      <right/>
      <top style="thin">
        <color rgb="FF000000"/>
      </top>
    </border>
    <border>
      <left/>
      <top style="thin">
        <color rgb="FF000000"/>
      </top>
      <bottom style="thin">
        <color rgb="FF000000"/>
      </bottom>
    </border>
    <border>
      <right/>
      <top style="thin">
        <color rgb="FF000000"/>
      </top>
      <bottom style="thin">
        <color rgb="FF000000"/>
      </bottom>
    </border>
    <border>
      <left/>
      <right/>
      <bottom style="thin">
        <color rgb="FF000000"/>
      </bottom>
    </border>
    <border>
      <left/>
      <right/>
      <top style="thin">
        <color rgb="FF000000"/>
      </top>
      <bottom/>
    </border>
    <border>
      <left/>
      <top/>
      <bottom/>
    </border>
    <border>
      <top/>
      <bottom/>
    </border>
    <border>
      <right/>
      <top/>
      <bottom/>
    </border>
    <border>
      <left/>
      <top style="thin">
        <color rgb="FF000000"/>
      </top>
    </border>
    <border>
      <top style="thin">
        <color rgb="FF000000"/>
      </top>
    </border>
    <border>
      <right/>
      <top style="thin">
        <color rgb="FF000000"/>
      </top>
    </border>
    <border>
      <left/>
      <bottom/>
    </border>
    <border>
      <bottom/>
    </border>
    <border>
      <right/>
      <bottom/>
    </border>
    <border>
      <left/>
      <right/>
      <top/>
    </border>
    <border>
      <left/>
      <top/>
      <bottom style="thin">
        <color rgb="FF000000"/>
      </bottom>
    </border>
    <border>
      <right/>
      <top/>
      <bottom style="thin">
        <color rgb="FF000000"/>
      </bottom>
    </border>
    <border>
      <bottom style="thin">
        <color rgb="FF000000"/>
      </bottom>
    </border>
    <border>
      <left/>
      <right/>
      <top style="thin">
        <color rgb="FF000000"/>
      </top>
      <bottom style="double">
        <color rgb="FF000000"/>
      </bottom>
    </border>
    <border>
      <top style="thin">
        <color rgb="FF000000"/>
      </top>
      <bottom style="thin">
        <color rgb="FF000000"/>
      </bottom>
    </border>
    <border>
      <bottom style="medium">
        <color rgb="FF000000"/>
      </bottom>
    </border>
    <border>
      <top style="thin">
        <color rgb="FF000000"/>
      </top>
      <bottom style="medium">
        <color rgb="FF000000"/>
      </bottom>
    </border>
    <border>
      <left/>
      <right/>
      <top style="thin">
        <color rgb="FF000000"/>
      </top>
      <bottom style="medium">
        <color rgb="FF000000"/>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left style="thin">
        <color rgb="FF000000"/>
      </left>
      <top style="thin">
        <color rgb="FF000000"/>
      </top>
    </border>
    <border>
      <right style="thin">
        <color rgb="FF000000"/>
      </right>
      <top style="thin">
        <color rgb="FF000000"/>
      </top>
    </border>
    <border>
      <left style="thin">
        <color rgb="FF000000"/>
      </left>
      <top style="thin">
        <color rgb="FF000000"/>
      </top>
      <bottom/>
    </border>
    <border>
      <top style="thin">
        <color rgb="FF000000"/>
      </top>
      <bottom/>
    </border>
    <border>
      <right style="thin">
        <color rgb="FF000000"/>
      </right>
      <top style="thin">
        <color rgb="FF000000"/>
      </top>
      <bottom/>
    </border>
    <border>
      <left style="thin">
        <color rgb="FF000000"/>
      </left>
      <bottom style="thin">
        <color rgb="FF000000"/>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style="thin">
        <color rgb="FF000000"/>
      </top>
      <bottom/>
    </border>
    <border>
      <left/>
      <right style="thin">
        <color rgb="FF000000"/>
      </right>
      <top style="thin">
        <color rgb="FF000000"/>
      </top>
      <bottom/>
    </border>
    <border>
      <left style="thin">
        <color rgb="FF000000"/>
      </left>
      <right style="thin">
        <color rgb="FF000000"/>
      </right>
      <top/>
      <bottom/>
    </border>
    <border>
      <left/>
      <right style="thin">
        <color rgb="FF000000"/>
      </right>
      <top/>
      <bottom/>
    </border>
    <border>
      <left style="thin">
        <color rgb="FF000000"/>
      </left>
      <right style="thin">
        <color rgb="FF000000"/>
      </right>
      <top style="thin">
        <color rgb="FF000000"/>
      </top>
      <bottom/>
    </border>
    <border>
      <left style="thin">
        <color rgb="FF000000"/>
      </left>
      <right/>
      <top/>
      <bottom/>
    </border>
    <border>
      <left style="thin">
        <color rgb="FF000000"/>
      </left>
      <right style="thin">
        <color rgb="FF000000"/>
      </right>
      <top/>
      <bottom style="thin">
        <color rgb="FF000000"/>
      </bottom>
    </border>
    <border>
      <left style="thin">
        <color rgb="FF000000"/>
      </left>
      <right/>
      <top style="thin">
        <color rgb="FF000000"/>
      </top>
      <bottom style="thin">
        <color rgb="FF000000"/>
      </bottom>
    </border>
    <border>
      <left style="thin">
        <color rgb="FF000000"/>
      </left>
      <right/>
      <top style="thin">
        <color rgb="FF000000"/>
      </top>
      <bottom style="medium">
        <color rgb="FF000000"/>
      </bottom>
    </border>
    <border>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s>
  <cellStyleXfs count="1">
    <xf borderId="0" fillId="0" fontId="0" numFmtId="0" applyAlignment="1" applyFont="1"/>
  </cellStyleXfs>
  <cellXfs count="171">
    <xf borderId="0" fillId="0" fontId="0" numFmtId="0" xfId="0" applyAlignment="1" applyFont="1">
      <alignment readingOrder="0" shrinkToFit="0" vertical="bottom" wrapText="0"/>
    </xf>
    <xf borderId="1" fillId="2" fontId="1" numFmtId="0" xfId="0" applyAlignment="1" applyBorder="1" applyFill="1" applyFont="1">
      <alignment vertical="bottom"/>
    </xf>
    <xf borderId="1" fillId="2" fontId="2" numFmtId="0" xfId="0" applyBorder="1" applyFont="1"/>
    <xf borderId="1" fillId="2" fontId="2" numFmtId="49" xfId="0" applyAlignment="1" applyBorder="1" applyFont="1" applyNumberFormat="1">
      <alignment vertical="bottom"/>
    </xf>
    <xf borderId="1" fillId="2" fontId="1" numFmtId="0" xfId="0" applyBorder="1" applyFont="1"/>
    <xf borderId="1" fillId="2" fontId="3" numFmtId="164" xfId="0" applyAlignment="1" applyBorder="1" applyFont="1" applyNumberFormat="1">
      <alignment horizontal="right"/>
    </xf>
    <xf borderId="2" fillId="2" fontId="2" numFmtId="0" xfId="0" applyBorder="1" applyFont="1"/>
    <xf borderId="2" fillId="2" fontId="1" numFmtId="165" xfId="0" applyAlignment="1" applyBorder="1" applyFont="1" applyNumberFormat="1">
      <alignment horizontal="right" vertical="bottom"/>
    </xf>
    <xf borderId="1" fillId="2" fontId="4" numFmtId="0" xfId="0" applyBorder="1" applyFont="1"/>
    <xf borderId="3" fillId="2" fontId="4" numFmtId="166" xfId="0" applyAlignment="1" applyBorder="1" applyFont="1" applyNumberFormat="1">
      <alignment horizontal="right"/>
    </xf>
    <xf borderId="1" fillId="2" fontId="2" numFmtId="166" xfId="0" applyBorder="1" applyFont="1" applyNumberFormat="1"/>
    <xf borderId="1" fillId="2" fontId="4" numFmtId="166" xfId="0" applyAlignment="1" applyBorder="1" applyFont="1" applyNumberFormat="1">
      <alignment horizontal="right"/>
    </xf>
    <xf borderId="2" fillId="2" fontId="1" numFmtId="0" xfId="0" applyBorder="1" applyFont="1"/>
    <xf borderId="2" fillId="2" fontId="1" numFmtId="166" xfId="0" applyAlignment="1" applyBorder="1" applyFont="1" applyNumberFormat="1">
      <alignment horizontal="right"/>
    </xf>
    <xf borderId="1" fillId="2" fontId="2" numFmtId="167" xfId="0" applyBorder="1" applyFont="1" applyNumberFormat="1"/>
    <xf borderId="4" fillId="2" fontId="2" numFmtId="167" xfId="0" applyBorder="1" applyFont="1" applyNumberFormat="1"/>
    <xf borderId="4" fillId="2" fontId="2" numFmtId="0" xfId="0" applyBorder="1" applyFont="1"/>
    <xf borderId="5" fillId="2" fontId="2" numFmtId="0" xfId="0" applyAlignment="1" applyBorder="1" applyFont="1">
      <alignment vertical="top"/>
    </xf>
    <xf borderId="6" fillId="2" fontId="1" numFmtId="15" xfId="0" applyAlignment="1" applyBorder="1" applyFont="1" applyNumberFormat="1">
      <alignment horizontal="center" shrinkToFit="0" vertical="top" wrapText="1"/>
    </xf>
    <xf borderId="7" fillId="0" fontId="5" numFmtId="0" xfId="0" applyBorder="1" applyFont="1"/>
    <xf borderId="8" fillId="0" fontId="5" numFmtId="0" xfId="0" applyBorder="1" applyFont="1"/>
    <xf borderId="2" fillId="2" fontId="1" numFmtId="0" xfId="0" applyAlignment="1" applyBorder="1" applyFont="1">
      <alignment horizontal="right" shrinkToFit="0" vertical="top" wrapText="1"/>
    </xf>
    <xf borderId="9" fillId="2" fontId="1" numFmtId="0" xfId="0" applyAlignment="1" applyBorder="1" applyFont="1">
      <alignment vertical="bottom"/>
    </xf>
    <xf borderId="1" fillId="2" fontId="2" numFmtId="0" xfId="0" applyAlignment="1" applyBorder="1" applyFont="1">
      <alignment vertical="top"/>
    </xf>
    <xf borderId="1" fillId="2" fontId="4" numFmtId="0" xfId="0" applyAlignment="1" applyBorder="1" applyFont="1">
      <alignment shrinkToFit="0" vertical="top" wrapText="1"/>
    </xf>
    <xf borderId="1" fillId="2" fontId="4" numFmtId="167" xfId="0" applyAlignment="1" applyBorder="1" applyFont="1" applyNumberFormat="1">
      <alignment horizontal="right"/>
    </xf>
    <xf borderId="4" fillId="2" fontId="4" numFmtId="0" xfId="0" applyAlignment="1" applyBorder="1" applyFont="1">
      <alignment shrinkToFit="0" vertical="top" wrapText="1"/>
    </xf>
    <xf borderId="4" fillId="2" fontId="4" numFmtId="167" xfId="0" applyAlignment="1" applyBorder="1" applyFont="1" applyNumberFormat="1">
      <alignment horizontal="right"/>
    </xf>
    <xf borderId="4" fillId="2" fontId="4" numFmtId="166" xfId="0" applyAlignment="1" applyBorder="1" applyFont="1" applyNumberFormat="1">
      <alignment horizontal="right"/>
    </xf>
    <xf borderId="1" fillId="2" fontId="1" numFmtId="0" xfId="0" applyAlignment="1" applyBorder="1" applyFont="1">
      <alignment vertical="top"/>
    </xf>
    <xf borderId="10" fillId="2" fontId="6" numFmtId="0" xfId="0" applyAlignment="1" applyBorder="1" applyFont="1">
      <alignment shrinkToFit="0" vertical="top" wrapText="1"/>
    </xf>
    <xf borderId="11" fillId="0" fontId="5" numFmtId="0" xfId="0" applyBorder="1" applyFont="1"/>
    <xf borderId="12" fillId="0" fontId="5" numFmtId="0" xfId="0" applyBorder="1" applyFont="1"/>
    <xf borderId="4" fillId="2" fontId="2" numFmtId="167" xfId="0" applyAlignment="1" applyBorder="1" applyFont="1" applyNumberFormat="1">
      <alignment vertical="top"/>
    </xf>
    <xf borderId="5" fillId="2" fontId="1" numFmtId="0" xfId="0" applyAlignment="1" applyBorder="1" applyFont="1">
      <alignment horizontal="center" shrinkToFit="0" wrapText="1"/>
    </xf>
    <xf borderId="2" fillId="2" fontId="1" numFmtId="167" xfId="0" applyAlignment="1" applyBorder="1" applyFont="1" applyNumberFormat="1">
      <alignment horizontal="right" shrinkToFit="0" vertical="top" wrapText="1"/>
    </xf>
    <xf borderId="9" fillId="2" fontId="1" numFmtId="0" xfId="0" applyAlignment="1" applyBorder="1" applyFont="1">
      <alignment shrinkToFit="0" vertical="top" wrapText="1"/>
    </xf>
    <xf borderId="1" fillId="2" fontId="2" numFmtId="167" xfId="0" applyAlignment="1" applyBorder="1" applyFont="1" applyNumberFormat="1">
      <alignment vertical="top"/>
    </xf>
    <xf borderId="1" fillId="2" fontId="4" numFmtId="10" xfId="0" applyAlignment="1" applyBorder="1" applyFont="1" applyNumberFormat="1">
      <alignment horizontal="right"/>
    </xf>
    <xf borderId="4" fillId="2" fontId="4" numFmtId="0" xfId="0" applyBorder="1" applyFont="1"/>
    <xf borderId="13" fillId="2" fontId="6" numFmtId="0" xfId="0" applyAlignment="1" applyBorder="1" applyFont="1">
      <alignment shrinkToFit="0" vertical="top" wrapText="1"/>
    </xf>
    <xf borderId="14" fillId="0" fontId="5" numFmtId="0" xfId="0" applyBorder="1" applyFont="1"/>
    <xf borderId="15" fillId="0" fontId="5" numFmtId="0" xfId="0" applyBorder="1" applyFont="1"/>
    <xf borderId="16" fillId="0" fontId="5" numFmtId="0" xfId="0" applyBorder="1" applyFont="1"/>
    <xf borderId="17" fillId="0" fontId="5" numFmtId="0" xfId="0" applyBorder="1" applyFont="1"/>
    <xf borderId="18" fillId="0" fontId="5" numFmtId="0" xfId="0" applyBorder="1" applyFont="1"/>
    <xf borderId="4" fillId="2" fontId="1" numFmtId="0" xfId="0" applyAlignment="1" applyBorder="1" applyFont="1">
      <alignment vertical="top"/>
    </xf>
    <xf borderId="4" fillId="2" fontId="2" numFmtId="0" xfId="0" applyAlignment="1" applyBorder="1" applyFont="1">
      <alignment vertical="top"/>
    </xf>
    <xf borderId="19" fillId="2" fontId="1" numFmtId="0" xfId="0" applyAlignment="1" applyBorder="1" applyFont="1">
      <alignment horizontal="center" shrinkToFit="0" wrapText="1"/>
    </xf>
    <xf borderId="20" fillId="2" fontId="1" numFmtId="15" xfId="0" applyAlignment="1" applyBorder="1" applyFont="1" applyNumberFormat="1">
      <alignment horizontal="center" shrinkToFit="0" vertical="top" wrapText="1"/>
    </xf>
    <xf borderId="21" fillId="0" fontId="5" numFmtId="0" xfId="0" applyBorder="1" applyFont="1"/>
    <xf borderId="4" fillId="2" fontId="1" numFmtId="0" xfId="0" applyAlignment="1" applyBorder="1" applyFont="1">
      <alignment horizontal="center" shrinkToFit="0" vertical="top" wrapText="1"/>
    </xf>
    <xf borderId="1" fillId="2" fontId="4" numFmtId="166" xfId="0" applyAlignment="1" applyBorder="1" applyFont="1" applyNumberFormat="1">
      <alignment horizontal="center"/>
    </xf>
    <xf borderId="0" fillId="0" fontId="4" numFmtId="10" xfId="0" applyAlignment="1" applyFont="1" applyNumberFormat="1">
      <alignment horizontal="center" shrinkToFit="0" vertical="top" wrapText="1"/>
    </xf>
    <xf borderId="0" fillId="0" fontId="4" numFmtId="166" xfId="0" applyAlignment="1" applyFont="1" applyNumberFormat="1">
      <alignment horizontal="center"/>
    </xf>
    <xf borderId="4" fillId="2" fontId="4" numFmtId="166" xfId="0" applyAlignment="1" applyBorder="1" applyFont="1" applyNumberFormat="1">
      <alignment horizontal="center"/>
    </xf>
    <xf borderId="22" fillId="0" fontId="4" numFmtId="166" xfId="0" applyAlignment="1" applyBorder="1" applyFont="1" applyNumberFormat="1">
      <alignment horizontal="center"/>
    </xf>
    <xf borderId="1" fillId="2" fontId="1" numFmtId="49" xfId="0" applyAlignment="1" applyBorder="1" applyFont="1" applyNumberFormat="1">
      <alignment vertical="bottom"/>
    </xf>
    <xf borderId="1" fillId="2" fontId="2" numFmtId="0" xfId="0" applyAlignment="1" applyBorder="1" applyFont="1">
      <alignment vertical="bottom"/>
    </xf>
    <xf borderId="1" fillId="2" fontId="2" numFmtId="168" xfId="0" applyAlignment="1" applyBorder="1" applyFont="1" applyNumberFormat="1">
      <alignment vertical="bottom"/>
    </xf>
    <xf borderId="2" fillId="2" fontId="2" numFmtId="0" xfId="0" applyAlignment="1" applyBorder="1" applyFont="1">
      <alignment vertical="bottom"/>
    </xf>
    <xf borderId="1" fillId="2" fontId="2" numFmtId="166" xfId="0" applyAlignment="1" applyBorder="1" applyFont="1" applyNumberFormat="1">
      <alignment vertical="bottom"/>
    </xf>
    <xf borderId="1" fillId="2" fontId="4" numFmtId="49" xfId="0" applyAlignment="1" applyBorder="1" applyFont="1" applyNumberFormat="1">
      <alignment vertical="bottom"/>
    </xf>
    <xf borderId="23" fillId="2" fontId="1" numFmtId="166" xfId="0" applyAlignment="1" applyBorder="1" applyFont="1" applyNumberFormat="1">
      <alignment horizontal="right"/>
    </xf>
    <xf borderId="1" fillId="2" fontId="4" numFmtId="166" xfId="0" applyAlignment="1" applyBorder="1" applyFont="1" applyNumberFormat="1">
      <alignment horizontal="right" vertical="bottom"/>
    </xf>
    <xf borderId="1" fillId="2" fontId="2" numFmtId="168" xfId="0" applyBorder="1" applyFont="1" applyNumberFormat="1"/>
    <xf borderId="9" fillId="2" fontId="4" numFmtId="166" xfId="0" applyAlignment="1" applyBorder="1" applyFont="1" applyNumberFormat="1">
      <alignment horizontal="right" vertical="bottom"/>
    </xf>
    <xf borderId="4" fillId="2" fontId="4" numFmtId="166" xfId="0" applyAlignment="1" applyBorder="1" applyFont="1" applyNumberFormat="1">
      <alignment horizontal="right" vertical="bottom"/>
    </xf>
    <xf borderId="3" fillId="2" fontId="1" numFmtId="166" xfId="0" applyAlignment="1" applyBorder="1" applyFont="1" applyNumberFormat="1">
      <alignment horizontal="right" vertical="bottom"/>
    </xf>
    <xf borderId="23" fillId="2" fontId="1" numFmtId="166" xfId="0" applyAlignment="1" applyBorder="1" applyFont="1" applyNumberFormat="1">
      <alignment horizontal="right" vertical="bottom"/>
    </xf>
    <xf borderId="2" fillId="2" fontId="4" numFmtId="49" xfId="0" applyAlignment="1" applyBorder="1" applyFont="1" applyNumberFormat="1">
      <alignment vertical="bottom"/>
    </xf>
    <xf borderId="2" fillId="2" fontId="1" numFmtId="166" xfId="0" applyAlignment="1" applyBorder="1" applyFont="1" applyNumberFormat="1">
      <alignment horizontal="right" vertical="bottom"/>
    </xf>
    <xf borderId="20" fillId="2" fontId="2" numFmtId="49" xfId="0" applyAlignment="1" applyBorder="1" applyFont="1" applyNumberFormat="1">
      <alignment vertical="bottom"/>
    </xf>
    <xf borderId="2" fillId="2" fontId="2" numFmtId="165" xfId="0" applyAlignment="1" applyBorder="1" applyFont="1" applyNumberFormat="1">
      <alignment vertical="bottom"/>
    </xf>
    <xf borderId="1" fillId="2" fontId="2" numFmtId="168" xfId="0" applyAlignment="1" applyBorder="1" applyFont="1" applyNumberFormat="1">
      <alignment vertical="top"/>
    </xf>
    <xf borderId="2" fillId="2" fontId="2" numFmtId="168" xfId="0" applyAlignment="1" applyBorder="1" applyFont="1" applyNumberFormat="1">
      <alignment vertical="bottom"/>
    </xf>
    <xf borderId="14" fillId="0" fontId="2" numFmtId="0" xfId="0" applyBorder="1" applyFont="1"/>
    <xf borderId="4" fillId="2" fontId="2" numFmtId="165" xfId="0" applyAlignment="1" applyBorder="1" applyFont="1" applyNumberFormat="1">
      <alignment vertical="bottom"/>
    </xf>
    <xf borderId="6" fillId="2" fontId="4" numFmtId="0" xfId="0" applyAlignment="1" applyBorder="1" applyFont="1">
      <alignment shrinkToFit="0" vertical="top" wrapText="1"/>
    </xf>
    <xf borderId="24" fillId="0" fontId="5" numFmtId="0" xfId="0" applyBorder="1" applyFont="1"/>
    <xf borderId="0" fillId="0" fontId="4" numFmtId="166" xfId="0" applyAlignment="1" applyFont="1" applyNumberFormat="1">
      <alignment horizontal="right" vertical="top"/>
    </xf>
    <xf borderId="1" fillId="2" fontId="4" numFmtId="166" xfId="0" applyAlignment="1" applyBorder="1" applyFont="1" applyNumberFormat="1">
      <alignment horizontal="right" vertical="top"/>
    </xf>
    <xf borderId="10" fillId="2" fontId="2" numFmtId="0" xfId="0" applyBorder="1" applyFont="1"/>
    <xf borderId="1" fillId="2" fontId="4" numFmtId="0" xfId="0" applyAlignment="1" applyBorder="1" applyFont="1">
      <alignment shrinkToFit="0" vertical="bottom" wrapText="1"/>
    </xf>
    <xf borderId="1" fillId="2" fontId="2" numFmtId="169" xfId="0" applyAlignment="1" applyBorder="1" applyFont="1" applyNumberFormat="1">
      <alignment vertical="bottom"/>
    </xf>
    <xf borderId="0" fillId="0" fontId="1" numFmtId="0" xfId="0" applyAlignment="1" applyFont="1">
      <alignment vertical="bottom"/>
    </xf>
    <xf borderId="0" fillId="0" fontId="2" numFmtId="164" xfId="0" applyAlignment="1" applyFont="1" applyNumberFormat="1">
      <alignment vertical="bottom"/>
    </xf>
    <xf borderId="14" fillId="0" fontId="1" numFmtId="0" xfId="0" applyAlignment="1" applyBorder="1" applyFont="1">
      <alignment horizontal="center"/>
    </xf>
    <xf borderId="24" fillId="0" fontId="1" numFmtId="0" xfId="0" applyAlignment="1" applyBorder="1" applyFont="1">
      <alignment vertical="bottom"/>
    </xf>
    <xf borderId="24" fillId="0" fontId="2" numFmtId="0" xfId="0" applyAlignment="1" applyBorder="1" applyFont="1">
      <alignment vertical="bottom"/>
    </xf>
    <xf borderId="25" fillId="0" fontId="5" numFmtId="0" xfId="0" applyBorder="1" applyFont="1"/>
    <xf borderId="25" fillId="0" fontId="1" numFmtId="0" xfId="0" applyAlignment="1" applyBorder="1" applyFont="1">
      <alignment horizontal="center" shrinkToFit="0" wrapText="1"/>
    </xf>
    <xf borderId="25" fillId="0" fontId="1" numFmtId="164" xfId="0" applyAlignment="1" applyBorder="1" applyFont="1" applyNumberFormat="1">
      <alignment horizontal="center" shrinkToFit="0" wrapText="1"/>
    </xf>
    <xf borderId="0" fillId="0" fontId="7" numFmtId="0" xfId="0" applyAlignment="1" applyFont="1">
      <alignment vertical="bottom"/>
    </xf>
    <xf quotePrefix="1" borderId="0" fillId="0" fontId="4" numFmtId="0" xfId="0" applyAlignment="1" applyFont="1">
      <alignment vertical="bottom"/>
    </xf>
    <xf borderId="1" fillId="2" fontId="4" numFmtId="166" xfId="0" applyAlignment="1" applyBorder="1" applyFont="1" applyNumberFormat="1">
      <alignment horizontal="center" vertical="bottom"/>
    </xf>
    <xf borderId="0" fillId="0" fontId="2" numFmtId="166" xfId="0" applyAlignment="1" applyFont="1" applyNumberFormat="1">
      <alignment vertical="bottom"/>
    </xf>
    <xf borderId="0" fillId="0" fontId="4" numFmtId="166" xfId="0" applyAlignment="1" applyFont="1" applyNumberFormat="1">
      <alignment horizontal="center" vertical="bottom"/>
    </xf>
    <xf borderId="0" fillId="0" fontId="4" numFmtId="0" xfId="0" applyAlignment="1" applyFont="1">
      <alignment vertical="bottom"/>
    </xf>
    <xf borderId="24" fillId="0" fontId="1" numFmtId="0" xfId="0" applyAlignment="1" applyBorder="1" applyFont="1">
      <alignment horizontal="center" vertical="bottom"/>
    </xf>
    <xf borderId="2" fillId="2" fontId="1" numFmtId="166" xfId="0" applyAlignment="1" applyBorder="1" applyFont="1" applyNumberFormat="1">
      <alignment horizontal="center" vertical="bottom"/>
    </xf>
    <xf borderId="24" fillId="0" fontId="1" numFmtId="0" xfId="0" applyAlignment="1" applyBorder="1" applyFont="1">
      <alignment horizontal="center" shrinkToFit="0" wrapText="1"/>
    </xf>
    <xf borderId="25" fillId="0" fontId="2" numFmtId="0" xfId="0" applyBorder="1" applyFont="1"/>
    <xf borderId="0" fillId="0" fontId="2" numFmtId="0" xfId="0" applyAlignment="1" applyFont="1">
      <alignment vertical="bottom"/>
    </xf>
    <xf borderId="26" fillId="0" fontId="1" numFmtId="0" xfId="0" applyAlignment="1" applyBorder="1" applyFont="1">
      <alignment horizontal="center" vertical="bottom"/>
    </xf>
    <xf borderId="27" fillId="2" fontId="1" numFmtId="166" xfId="0" applyAlignment="1" applyBorder="1" applyFont="1" applyNumberFormat="1">
      <alignment horizontal="center" vertical="bottom"/>
    </xf>
    <xf borderId="4" fillId="2" fontId="2" numFmtId="0" xfId="0" applyAlignment="1" applyBorder="1" applyFont="1">
      <alignment vertical="bottom"/>
    </xf>
    <xf borderId="4" fillId="2" fontId="2" numFmtId="170" xfId="0" applyAlignment="1" applyBorder="1" applyFont="1" applyNumberFormat="1">
      <alignment vertical="bottom"/>
    </xf>
    <xf borderId="2" fillId="2" fontId="2" numFmtId="0" xfId="0" applyAlignment="1" applyBorder="1" applyFont="1">
      <alignment vertical="top"/>
    </xf>
    <xf borderId="2" fillId="2" fontId="2" numFmtId="168" xfId="0" applyAlignment="1" applyBorder="1" applyFont="1" applyNumberFormat="1">
      <alignment vertical="top"/>
    </xf>
    <xf borderId="2" fillId="2" fontId="1" numFmtId="166" xfId="0" applyAlignment="1" applyBorder="1" applyFont="1" applyNumberFormat="1">
      <alignment horizontal="right" vertical="top"/>
    </xf>
    <xf borderId="28" fillId="2" fontId="1" numFmtId="0" xfId="0" applyAlignment="1" applyBorder="1" applyFont="1">
      <alignment vertical="bottom"/>
    </xf>
    <xf borderId="29" fillId="0" fontId="5" numFmtId="0" xfId="0" applyBorder="1" applyFont="1"/>
    <xf borderId="30" fillId="2" fontId="1" numFmtId="0" xfId="0" applyAlignment="1" applyBorder="1" applyFont="1">
      <alignment horizontal="center" shrinkToFit="0" wrapText="1"/>
    </xf>
    <xf borderId="31" fillId="0" fontId="5" numFmtId="0" xfId="0" applyBorder="1" applyFont="1"/>
    <xf borderId="32" fillId="2" fontId="1" numFmtId="0" xfId="0" applyAlignment="1" applyBorder="1" applyFont="1">
      <alignment horizontal="center" shrinkToFit="0" wrapText="1"/>
    </xf>
    <xf borderId="33" fillId="0" fontId="5" numFmtId="0" xfId="0" applyBorder="1" applyFont="1"/>
    <xf borderId="34" fillId="0" fontId="5" numFmtId="0" xfId="0" applyBorder="1" applyFont="1"/>
    <xf borderId="35" fillId="0" fontId="5" numFmtId="0" xfId="0" applyBorder="1" applyFont="1"/>
    <xf borderId="36" fillId="0" fontId="5" numFmtId="0" xfId="0" applyBorder="1" applyFont="1"/>
    <xf borderId="37" fillId="2" fontId="4" numFmtId="0" xfId="0" applyAlignment="1" applyBorder="1" applyFont="1">
      <alignment horizontal="center" shrinkToFit="0" wrapText="1"/>
    </xf>
    <xf borderId="38" fillId="2" fontId="4" numFmtId="0" xfId="0" applyAlignment="1" applyBorder="1" applyFont="1">
      <alignment horizontal="center" shrinkToFit="0" wrapText="1"/>
    </xf>
    <xf borderId="39" fillId="2" fontId="1" numFmtId="0" xfId="0" applyBorder="1" applyFont="1"/>
    <xf borderId="40" fillId="2" fontId="2" numFmtId="0" xfId="0" applyBorder="1" applyFont="1"/>
    <xf borderId="41" fillId="2" fontId="2" numFmtId="167" xfId="0" applyBorder="1" applyFont="1" applyNumberFormat="1"/>
    <xf borderId="42" fillId="2" fontId="2" numFmtId="167" xfId="0" applyBorder="1" applyFont="1" applyNumberFormat="1"/>
    <xf borderId="43" fillId="2" fontId="2" numFmtId="167" xfId="0" applyBorder="1" applyFont="1" applyNumberFormat="1"/>
    <xf borderId="44" fillId="2" fontId="2" numFmtId="167" xfId="0" applyBorder="1" applyFont="1" applyNumberFormat="1"/>
    <xf borderId="44" fillId="2" fontId="4" numFmtId="0" xfId="0" applyAlignment="1" applyBorder="1" applyFont="1">
      <alignment horizontal="center"/>
    </xf>
    <xf borderId="42" fillId="2" fontId="4" numFmtId="0" xfId="0" applyBorder="1" applyFont="1"/>
    <xf borderId="41" fillId="2" fontId="4" numFmtId="166" xfId="0" applyAlignment="1" applyBorder="1" applyFont="1" applyNumberFormat="1">
      <alignment horizontal="right"/>
    </xf>
    <xf borderId="45" fillId="2" fontId="4" numFmtId="166" xfId="0" applyAlignment="1" applyBorder="1" applyFont="1" applyNumberFormat="1">
      <alignment horizontal="right"/>
    </xf>
    <xf borderId="46" fillId="2" fontId="2" numFmtId="0" xfId="0" applyBorder="1" applyFont="1"/>
    <xf borderId="38" fillId="2" fontId="1" numFmtId="0" xfId="0" applyAlignment="1" applyBorder="1" applyFont="1">
      <alignment shrinkToFit="0" wrapText="1"/>
    </xf>
    <xf borderId="37" fillId="2" fontId="1" numFmtId="166" xfId="0" applyAlignment="1" applyBorder="1" applyFont="1" applyNumberFormat="1">
      <alignment horizontal="right" shrinkToFit="0" wrapText="1"/>
    </xf>
    <xf borderId="38" fillId="2" fontId="1" numFmtId="166" xfId="0" applyAlignment="1" applyBorder="1" applyFont="1" applyNumberFormat="1">
      <alignment horizontal="right" shrinkToFit="0" wrapText="1"/>
    </xf>
    <xf borderId="44" fillId="2" fontId="1" numFmtId="0" xfId="0" applyBorder="1" applyFont="1"/>
    <xf borderId="42" fillId="2" fontId="2" numFmtId="0" xfId="0" applyBorder="1" applyFont="1"/>
    <xf borderId="41" fillId="2" fontId="2" numFmtId="166" xfId="0" applyBorder="1" applyFont="1" applyNumberFormat="1"/>
    <xf borderId="42" fillId="2" fontId="2" numFmtId="166" xfId="0" applyBorder="1" applyFont="1" applyNumberFormat="1"/>
    <xf borderId="43" fillId="2" fontId="2" numFmtId="166" xfId="0" applyBorder="1" applyFont="1" applyNumberFormat="1"/>
    <xf borderId="44" fillId="2" fontId="2" numFmtId="0" xfId="0" applyAlignment="1" applyBorder="1" applyFont="1">
      <alignment vertical="bottom"/>
    </xf>
    <xf borderId="37" fillId="2" fontId="2" numFmtId="166" xfId="0" applyAlignment="1" applyBorder="1" applyFont="1" applyNumberFormat="1">
      <alignment vertical="bottom"/>
    </xf>
    <xf borderId="42" fillId="2" fontId="2" numFmtId="166" xfId="0" applyAlignment="1" applyBorder="1" applyFont="1" applyNumberFormat="1">
      <alignment vertical="bottom"/>
    </xf>
    <xf borderId="47" fillId="2" fontId="2" numFmtId="0" xfId="0" applyBorder="1" applyFont="1"/>
    <xf borderId="48" fillId="2" fontId="1" numFmtId="0" xfId="0" applyAlignment="1" applyBorder="1" applyFont="1">
      <alignment shrinkToFit="0" wrapText="1"/>
    </xf>
    <xf borderId="49" fillId="2" fontId="1" numFmtId="166" xfId="0" applyAlignment="1" applyBorder="1" applyFont="1" applyNumberFormat="1">
      <alignment horizontal="right" shrinkToFit="0" wrapText="1"/>
    </xf>
    <xf borderId="0" fillId="0" fontId="1" numFmtId="49" xfId="0" applyAlignment="1" applyFont="1" applyNumberFormat="1">
      <alignment vertical="top"/>
    </xf>
    <xf borderId="0" fillId="0" fontId="3" numFmtId="164" xfId="0" applyAlignment="1" applyFont="1" applyNumberFormat="1">
      <alignment horizontal="right" vertical="top"/>
    </xf>
    <xf borderId="0" fillId="0" fontId="2" numFmtId="0" xfId="0" applyAlignment="1" applyFont="1">
      <alignment vertical="top"/>
    </xf>
    <xf borderId="24" fillId="0" fontId="2" numFmtId="0" xfId="0" applyAlignment="1" applyBorder="1" applyFont="1">
      <alignment vertical="top"/>
    </xf>
    <xf borderId="0" fillId="0" fontId="1" numFmtId="0" xfId="0" applyAlignment="1" applyFont="1">
      <alignment vertical="top"/>
    </xf>
    <xf borderId="0" fillId="0" fontId="2" numFmtId="167" xfId="0" applyAlignment="1" applyFont="1" applyNumberFormat="1">
      <alignment vertical="top"/>
    </xf>
    <xf borderId="0" fillId="0" fontId="4" numFmtId="49" xfId="0" applyAlignment="1" applyFont="1" applyNumberFormat="1">
      <alignment vertical="top"/>
    </xf>
    <xf borderId="24" fillId="0" fontId="2" numFmtId="49" xfId="0" applyAlignment="1" applyBorder="1" applyFont="1" applyNumberFormat="1">
      <alignment vertical="top"/>
    </xf>
    <xf borderId="24" fillId="0" fontId="1" numFmtId="166" xfId="0" applyAlignment="1" applyBorder="1" applyFont="1" applyNumberFormat="1">
      <alignment horizontal="right" vertical="top"/>
    </xf>
    <xf borderId="0" fillId="0" fontId="2" numFmtId="49" xfId="0" applyAlignment="1" applyFont="1" applyNumberFormat="1">
      <alignment vertical="top"/>
    </xf>
    <xf borderId="0" fillId="0" fontId="2" numFmtId="168" xfId="0" applyAlignment="1" applyFont="1" applyNumberFormat="1">
      <alignment vertical="top"/>
    </xf>
    <xf borderId="0" fillId="0" fontId="4" numFmtId="166" xfId="0" applyAlignment="1" applyFont="1" applyNumberFormat="1">
      <alignment horizontal="right"/>
    </xf>
    <xf borderId="0" fillId="0" fontId="1" numFmtId="49" xfId="0" applyAlignment="1" applyFont="1" applyNumberFormat="1">
      <alignment shrinkToFit="0" vertical="top" wrapText="1"/>
    </xf>
    <xf borderId="0" fillId="0" fontId="4" numFmtId="49" xfId="0" applyAlignment="1" applyFont="1" applyNumberFormat="1">
      <alignment shrinkToFit="0" vertical="top" wrapText="1"/>
    </xf>
    <xf borderId="0" fillId="0" fontId="6" numFmtId="166" xfId="0" applyAlignment="1" applyFont="1" applyNumberFormat="1">
      <alignment horizontal="right" vertical="top"/>
    </xf>
    <xf borderId="0" fillId="0" fontId="2" numFmtId="166" xfId="0" applyAlignment="1" applyFont="1" applyNumberFormat="1">
      <alignment vertical="top"/>
    </xf>
    <xf borderId="24" fillId="0" fontId="1" numFmtId="164" xfId="0" applyAlignment="1" applyBorder="1" applyFont="1" applyNumberFormat="1">
      <alignment horizontal="center" vertical="bottom"/>
    </xf>
    <xf borderId="14" fillId="0" fontId="8" numFmtId="164" xfId="0" applyAlignment="1" applyBorder="1" applyFont="1" applyNumberFormat="1">
      <alignment horizontal="center" shrinkToFit="0" wrapText="1"/>
    </xf>
    <xf borderId="25" fillId="0" fontId="8" numFmtId="164" xfId="0" applyAlignment="1" applyBorder="1" applyFont="1" applyNumberFormat="1">
      <alignment horizontal="center" shrinkToFit="0" wrapText="1"/>
    </xf>
    <xf borderId="0" fillId="0" fontId="4" numFmtId="166" xfId="0" applyAlignment="1" applyFont="1" applyNumberFormat="1">
      <alignment horizontal="right" vertical="bottom"/>
    </xf>
    <xf borderId="26" fillId="0" fontId="1" numFmtId="166" xfId="0" applyAlignment="1" applyBorder="1" applyFont="1" applyNumberFormat="1">
      <alignment horizontal="right" vertical="bottom"/>
    </xf>
    <xf borderId="22" fillId="0" fontId="2" numFmtId="168" xfId="0" applyAlignment="1" applyBorder="1" applyFont="1" applyNumberFormat="1">
      <alignment vertical="top"/>
    </xf>
    <xf borderId="22" fillId="0" fontId="4" numFmtId="166" xfId="0" applyAlignment="1" applyBorder="1" applyFont="1" applyNumberFormat="1">
      <alignment horizontal="right" vertical="top"/>
    </xf>
    <xf borderId="22" fillId="0" fontId="1" numFmtId="166" xfId="0" applyAlignment="1" applyBorder="1" applyFont="1" applyNumberFormat="1">
      <alignment horizontal="right" vertical="top"/>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tr">
        <f>IFERROR(__xludf.DUMMYFUNCTION("+'Note 1'!B1"),"#REF!")</f>
        <v>#REF!</v>
      </c>
      <c r="B1" s="2"/>
      <c r="C1" s="2"/>
      <c r="D1" s="2"/>
      <c r="E1" s="2"/>
      <c r="F1" s="2"/>
    </row>
    <row r="2">
      <c r="A2" s="3"/>
      <c r="B2" s="2"/>
      <c r="C2" s="2"/>
      <c r="D2" s="2"/>
      <c r="E2" s="2"/>
      <c r="F2" s="2"/>
    </row>
    <row r="3">
      <c r="A3" s="4" t="s">
        <v>0</v>
      </c>
      <c r="B3" s="2"/>
      <c r="C3" s="2"/>
      <c r="D3" s="2"/>
      <c r="E3" s="5" t="str">
        <f>CFS!F2</f>
        <v>#REF!</v>
      </c>
      <c r="F3" s="2"/>
    </row>
    <row r="4">
      <c r="A4" s="6"/>
      <c r="B4" s="6"/>
      <c r="C4" s="6"/>
      <c r="D4" s="7">
        <v>45382.0</v>
      </c>
      <c r="E4" s="7">
        <v>45016.0</v>
      </c>
      <c r="F4" s="2"/>
    </row>
    <row r="5">
      <c r="A5" s="4" t="s">
        <v>1</v>
      </c>
      <c r="B5" s="2"/>
      <c r="C5" s="2"/>
      <c r="D5" s="2"/>
      <c r="E5" s="2"/>
      <c r="F5" s="2"/>
    </row>
    <row r="6">
      <c r="A6" s="8" t="s">
        <v>2</v>
      </c>
      <c r="B6" s="2"/>
      <c r="C6" s="2"/>
      <c r="D6" s="9">
        <v>757.0</v>
      </c>
      <c r="E6" s="9">
        <v>757.0</v>
      </c>
      <c r="F6" s="2"/>
    </row>
    <row r="7">
      <c r="A7" s="2"/>
      <c r="B7" s="2"/>
      <c r="C7" s="2"/>
      <c r="D7" s="10"/>
      <c r="E7" s="10"/>
      <c r="F7" s="2"/>
    </row>
    <row r="8">
      <c r="A8" s="4" t="s">
        <v>3</v>
      </c>
      <c r="B8" s="2"/>
      <c r="C8" s="2"/>
      <c r="D8" s="10"/>
      <c r="E8" s="10"/>
      <c r="F8" s="2"/>
    </row>
    <row r="9">
      <c r="A9" s="8" t="s">
        <v>4</v>
      </c>
      <c r="B9" s="2"/>
      <c r="C9" s="2"/>
      <c r="D9" s="11">
        <v>542.521</v>
      </c>
      <c r="E9" s="11">
        <v>542.521</v>
      </c>
      <c r="F9" s="2"/>
    </row>
    <row r="10">
      <c r="A10" s="12" t="s">
        <v>5</v>
      </c>
      <c r="B10" s="6"/>
      <c r="C10" s="6"/>
      <c r="D10" s="13">
        <v>542.521</v>
      </c>
      <c r="E10" s="13">
        <v>542.521</v>
      </c>
      <c r="F10" s="2"/>
    </row>
    <row r="11">
      <c r="A11" s="2"/>
      <c r="B11" s="14"/>
      <c r="C11" s="14"/>
      <c r="D11" s="2"/>
      <c r="E11" s="2"/>
      <c r="F11" s="2"/>
    </row>
    <row r="12">
      <c r="A12" s="4" t="s">
        <v>6</v>
      </c>
      <c r="B12" s="15"/>
      <c r="C12" s="15"/>
      <c r="D12" s="16"/>
      <c r="E12" s="16"/>
      <c r="F12" s="2"/>
    </row>
    <row r="13">
      <c r="A13" s="17"/>
      <c r="B13" s="18">
        <v>45382.0</v>
      </c>
      <c r="C13" s="19"/>
      <c r="D13" s="18">
        <v>45016.0</v>
      </c>
      <c r="E13" s="19"/>
      <c r="F13" s="2"/>
    </row>
    <row r="14">
      <c r="A14" s="20"/>
      <c r="B14" s="21" t="s">
        <v>7</v>
      </c>
      <c r="C14" s="21" t="s">
        <v>8</v>
      </c>
      <c r="D14" s="21" t="s">
        <v>7</v>
      </c>
      <c r="E14" s="21" t="s">
        <v>8</v>
      </c>
      <c r="F14" s="2"/>
    </row>
    <row r="15">
      <c r="A15" s="22" t="s">
        <v>9</v>
      </c>
      <c r="B15" s="23"/>
      <c r="C15" s="23"/>
      <c r="D15" s="23"/>
      <c r="E15" s="23"/>
      <c r="F15" s="2"/>
    </row>
    <row r="16">
      <c r="A16" s="24" t="s">
        <v>10</v>
      </c>
      <c r="B16" s="25">
        <v>54.2521</v>
      </c>
      <c r="C16" s="11">
        <v>543.0</v>
      </c>
      <c r="D16" s="25">
        <v>54.2521</v>
      </c>
      <c r="E16" s="11">
        <v>543.0</v>
      </c>
      <c r="F16" s="14"/>
    </row>
    <row r="17">
      <c r="A17" s="26" t="s">
        <v>11</v>
      </c>
      <c r="B17" s="27">
        <v>54.2521</v>
      </c>
      <c r="C17" s="28">
        <v>543.0</v>
      </c>
      <c r="D17" s="27">
        <v>54.2521</v>
      </c>
      <c r="E17" s="28">
        <v>543.0</v>
      </c>
      <c r="F17" s="2"/>
    </row>
    <row r="18">
      <c r="A18" s="2"/>
      <c r="B18" s="14"/>
      <c r="C18" s="14"/>
      <c r="D18" s="2"/>
      <c r="E18" s="2"/>
      <c r="F18" s="2"/>
    </row>
    <row r="19">
      <c r="A19" s="29" t="s">
        <v>12</v>
      </c>
      <c r="B19" s="23"/>
      <c r="C19" s="23"/>
      <c r="D19" s="23"/>
      <c r="E19" s="23"/>
      <c r="F19" s="2"/>
    </row>
    <row r="20">
      <c r="A20" s="30" t="s">
        <v>13</v>
      </c>
      <c r="B20" s="31"/>
      <c r="C20" s="31"/>
      <c r="D20" s="31"/>
      <c r="E20" s="32"/>
      <c r="F20" s="2"/>
    </row>
    <row r="21">
      <c r="A21" s="2"/>
      <c r="B21" s="14"/>
      <c r="C21" s="14"/>
      <c r="D21" s="2"/>
      <c r="E21" s="2"/>
      <c r="F21" s="2"/>
    </row>
    <row r="22">
      <c r="A22" s="29" t="s">
        <v>14</v>
      </c>
      <c r="B22" s="33"/>
      <c r="C22" s="33"/>
      <c r="D22" s="33"/>
      <c r="E22" s="33"/>
      <c r="F22" s="2"/>
    </row>
    <row r="23">
      <c r="A23" s="34" t="s">
        <v>15</v>
      </c>
      <c r="B23" s="18">
        <v>45382.0</v>
      </c>
      <c r="C23" s="19"/>
      <c r="D23" s="18">
        <v>45016.0</v>
      </c>
      <c r="E23" s="19"/>
      <c r="F23" s="2"/>
    </row>
    <row r="24">
      <c r="A24" s="20"/>
      <c r="B24" s="35" t="s">
        <v>7</v>
      </c>
      <c r="C24" s="35" t="s">
        <v>16</v>
      </c>
      <c r="D24" s="35" t="s">
        <v>7</v>
      </c>
      <c r="E24" s="35" t="s">
        <v>16</v>
      </c>
      <c r="F24" s="2"/>
    </row>
    <row r="25">
      <c r="A25" s="36" t="s">
        <v>9</v>
      </c>
      <c r="B25" s="37"/>
      <c r="C25" s="37"/>
      <c r="D25" s="37"/>
      <c r="E25" s="37"/>
      <c r="F25" s="2"/>
    </row>
    <row r="26">
      <c r="A26" s="8" t="s">
        <v>17</v>
      </c>
      <c r="B26" s="11">
        <v>18.94771</v>
      </c>
      <c r="C26" s="38">
        <v>0.3492530243068932</v>
      </c>
      <c r="D26" s="11">
        <v>18.94771</v>
      </c>
      <c r="E26" s="38">
        <v>0.3492530243068932</v>
      </c>
      <c r="F26" s="2"/>
    </row>
    <row r="27">
      <c r="A27" s="8" t="s">
        <v>18</v>
      </c>
      <c r="B27" s="11">
        <v>9.4985</v>
      </c>
      <c r="C27" s="38">
        <v>0.17508078028315954</v>
      </c>
      <c r="D27" s="11">
        <v>9.4985</v>
      </c>
      <c r="E27" s="38">
        <v>0.17508078028315954</v>
      </c>
      <c r="F27" s="2"/>
    </row>
    <row r="28">
      <c r="A28" s="8" t="s">
        <v>19</v>
      </c>
      <c r="B28" s="11">
        <v>9.15378</v>
      </c>
      <c r="C28" s="38">
        <v>0.16872674053170292</v>
      </c>
      <c r="D28" s="11">
        <v>9.15378</v>
      </c>
      <c r="E28" s="38">
        <v>0.16872674053170292</v>
      </c>
      <c r="F28" s="2"/>
    </row>
    <row r="29">
      <c r="A29" s="8" t="s">
        <v>20</v>
      </c>
      <c r="B29" s="11">
        <v>9.0176</v>
      </c>
      <c r="C29" s="38">
        <v>0.1662166072834047</v>
      </c>
      <c r="D29" s="11">
        <v>9.0176</v>
      </c>
      <c r="E29" s="38">
        <v>0.1662166072834047</v>
      </c>
      <c r="F29" s="2"/>
    </row>
    <row r="30">
      <c r="A30" s="39" t="s">
        <v>21</v>
      </c>
      <c r="B30" s="11">
        <v>3.12194</v>
      </c>
      <c r="C30" s="38">
        <v>0.05754505355553057</v>
      </c>
      <c r="D30" s="11">
        <v>3.12194</v>
      </c>
      <c r="E30" s="38">
        <v>0.05754505355553057</v>
      </c>
      <c r="F30" s="2"/>
    </row>
    <row r="31">
      <c r="A31" s="40" t="s">
        <v>22</v>
      </c>
      <c r="B31" s="41"/>
      <c r="C31" s="41"/>
      <c r="D31" s="41"/>
      <c r="E31" s="42"/>
      <c r="F31" s="2"/>
    </row>
    <row r="32">
      <c r="A32" s="43"/>
      <c r="B32" s="44"/>
      <c r="C32" s="44"/>
      <c r="D32" s="44"/>
      <c r="E32" s="45"/>
      <c r="F32" s="2"/>
    </row>
    <row r="33">
      <c r="A33" s="46" t="s">
        <v>23</v>
      </c>
      <c r="B33" s="47"/>
      <c r="C33" s="47"/>
      <c r="D33" s="47"/>
      <c r="E33" s="47"/>
      <c r="F33" s="2"/>
    </row>
    <row r="34">
      <c r="A34" s="48" t="s">
        <v>24</v>
      </c>
      <c r="B34" s="49">
        <f>IFERROR(__xludf.DUMMYFUNCTION("+B23"),45382.0)</f>
        <v>45382</v>
      </c>
      <c r="C34" s="50"/>
      <c r="D34" s="49">
        <f>IFERROR(__xludf.DUMMYFUNCTION("+D23"),45016.0)</f>
        <v>45016</v>
      </c>
      <c r="E34" s="50"/>
      <c r="F34" s="2"/>
    </row>
    <row r="35">
      <c r="A35" s="20"/>
      <c r="B35" s="51" t="s">
        <v>25</v>
      </c>
      <c r="C35" s="51" t="s">
        <v>16</v>
      </c>
      <c r="D35" s="51" t="s">
        <v>25</v>
      </c>
      <c r="E35" s="51" t="s">
        <v>16</v>
      </c>
      <c r="F35" s="2"/>
    </row>
    <row r="36">
      <c r="A36" s="36" t="s">
        <v>9</v>
      </c>
      <c r="B36" s="23"/>
      <c r="C36" s="23"/>
      <c r="D36" s="23"/>
      <c r="E36" s="23"/>
      <c r="F36" s="2"/>
    </row>
    <row r="37">
      <c r="A37" s="24" t="s">
        <v>17</v>
      </c>
      <c r="B37" s="52">
        <f>1894771/100000</f>
        <v>18.94771</v>
      </c>
      <c r="C37" s="53" t="str">
        <f>IFERROR(__xludf.DUMMYFUNCTION("+B37/$B$19"),"#DIV/0!")</f>
        <v>#DIV/0!</v>
      </c>
      <c r="D37" s="54">
        <f>1894771/100000</f>
        <v>18.94771</v>
      </c>
      <c r="E37" s="53" t="str">
        <f>IFERROR(__xludf.DUMMYFUNCTION("+D37/$D$19"),"#DIV/0!")</f>
        <v>#DIV/0!</v>
      </c>
      <c r="F37" s="2"/>
    </row>
    <row r="38">
      <c r="A38" s="24" t="s">
        <v>18</v>
      </c>
      <c r="B38" s="52">
        <f>949850/100000</f>
        <v>9.4985</v>
      </c>
      <c r="C38" s="53" t="str">
        <f>IFERROR(__xludf.DUMMYFUNCTION("+B38/$B$19"),"#DIV/0!")</f>
        <v>#DIV/0!</v>
      </c>
      <c r="D38" s="54">
        <f>949850/100000</f>
        <v>9.4985</v>
      </c>
      <c r="E38" s="53" t="str">
        <f>IFERROR(__xludf.DUMMYFUNCTION("+D38/$D$19"),"#DIV/0!")</f>
        <v>#DIV/0!</v>
      </c>
      <c r="F38" s="2"/>
    </row>
    <row r="39">
      <c r="A39" s="24" t="s">
        <v>19</v>
      </c>
      <c r="B39" s="52">
        <f>915378/100000</f>
        <v>9.15378</v>
      </c>
      <c r="C39" s="53" t="str">
        <f>IFERROR(__xludf.DUMMYFUNCTION("+B39/$B$19"),"#DIV/0!")</f>
        <v>#DIV/0!</v>
      </c>
      <c r="D39" s="54">
        <f>915378/100000</f>
        <v>9.15378</v>
      </c>
      <c r="E39" s="53" t="str">
        <f>IFERROR(__xludf.DUMMYFUNCTION("+D39/$D$19"),"#DIV/0!")</f>
        <v>#DIV/0!</v>
      </c>
      <c r="F39" s="2"/>
    </row>
    <row r="40">
      <c r="A40" s="24" t="s">
        <v>20</v>
      </c>
      <c r="B40" s="55">
        <f>901760/100000</f>
        <v>9.0176</v>
      </c>
      <c r="C40" s="53" t="str">
        <f>IFERROR(__xludf.DUMMYFUNCTION("+B40/$B$19"),"#DIV/0!")</f>
        <v>#DIV/0!</v>
      </c>
      <c r="D40" s="56">
        <f>901760/100000</f>
        <v>9.0176</v>
      </c>
      <c r="E40" s="53" t="str">
        <f>IFERROR(__xludf.DUMMYFUNCTION("+D40/$D$19"),"#DIV/0!")</f>
        <v>#DIV/0!</v>
      </c>
      <c r="F40" s="2"/>
    </row>
    <row r="41">
      <c r="A41" s="47"/>
      <c r="B41" s="55">
        <f>SUM(B37:B40)</f>
        <v>46.61759</v>
      </c>
      <c r="C41" s="47"/>
      <c r="D41" s="55">
        <f>SUM(D37:D40)</f>
        <v>46.61759</v>
      </c>
      <c r="E41" s="47"/>
      <c r="F41" s="2"/>
    </row>
    <row r="42">
      <c r="A42" s="23"/>
      <c r="B42" s="23"/>
      <c r="C42" s="23"/>
      <c r="D42" s="23"/>
      <c r="E42" s="23"/>
      <c r="F42" s="2"/>
    </row>
    <row r="43">
      <c r="A43" s="57" t="s">
        <v>26</v>
      </c>
      <c r="B43" s="58"/>
      <c r="C43" s="59"/>
      <c r="D43" s="2"/>
      <c r="E43" s="2"/>
      <c r="F43" s="2"/>
    </row>
    <row r="44">
      <c r="A44" s="60"/>
      <c r="B44" s="6"/>
      <c r="C44" s="6"/>
      <c r="D44" s="7">
        <v>45382.0</v>
      </c>
      <c r="E44" s="7">
        <v>45016.0</v>
      </c>
      <c r="F44" s="2"/>
    </row>
    <row r="45">
      <c r="A45" s="1" t="s">
        <v>27</v>
      </c>
      <c r="B45" s="2"/>
      <c r="C45" s="2"/>
      <c r="D45" s="11">
        <f>E49</f>
        <v>175.46161</v>
      </c>
      <c r="E45" s="61"/>
      <c r="F45" s="2"/>
    </row>
    <row r="46">
      <c r="A46" s="57" t="s">
        <v>28</v>
      </c>
      <c r="B46" s="2"/>
      <c r="C46" s="2"/>
      <c r="D46" s="61"/>
      <c r="E46" s="61"/>
      <c r="F46" s="2"/>
    </row>
    <row r="47">
      <c r="A47" s="62" t="s">
        <v>29</v>
      </c>
      <c r="B47" s="2"/>
      <c r="C47" s="2"/>
      <c r="D47" s="11" t="str">
        <f>IFERROR(__xludf.DUMMYFUNCTION("+'Trial Balance'!B9/100000"),"#REF!")</f>
        <v>#REF!</v>
      </c>
      <c r="E47" s="11">
        <f>17546161/100000</f>
        <v>175.46161</v>
      </c>
      <c r="F47" s="2"/>
    </row>
    <row r="48">
      <c r="A48" s="62" t="s">
        <v>30</v>
      </c>
      <c r="B48" s="2"/>
      <c r="C48" s="2"/>
      <c r="D48" s="28">
        <v>0.0</v>
      </c>
      <c r="E48" s="28">
        <v>0.0</v>
      </c>
      <c r="F48" s="2"/>
    </row>
    <row r="49">
      <c r="A49" s="57" t="s">
        <v>31</v>
      </c>
      <c r="B49" s="2"/>
      <c r="C49" s="2"/>
      <c r="D49" s="63" t="str">
        <f t="shared" ref="D49:E49" si="1">SUM(D47:D48)</f>
        <v>#REF!</v>
      </c>
      <c r="E49" s="63">
        <f t="shared" si="1"/>
        <v>175.46161</v>
      </c>
      <c r="F49" s="2"/>
    </row>
    <row r="50">
      <c r="A50" s="3"/>
      <c r="B50" s="2"/>
      <c r="C50" s="2"/>
      <c r="D50" s="10"/>
      <c r="E50" s="10"/>
      <c r="F50" s="2"/>
    </row>
    <row r="51">
      <c r="A51" s="57" t="s">
        <v>32</v>
      </c>
      <c r="B51" s="2"/>
      <c r="C51" s="2"/>
      <c r="D51" s="10"/>
      <c r="E51" s="10"/>
      <c r="F51" s="2"/>
    </row>
    <row r="52">
      <c r="A52" s="62" t="s">
        <v>33</v>
      </c>
      <c r="B52" s="2"/>
      <c r="C52" s="2"/>
      <c r="D52" s="11" t="str">
        <f>E57</f>
        <v>#REF!</v>
      </c>
      <c r="E52" s="11">
        <f>144056182.832698/100000</f>
        <v>1440.561828</v>
      </c>
      <c r="F52" s="10"/>
    </row>
    <row r="53">
      <c r="A53" s="62" t="s">
        <v>34</v>
      </c>
      <c r="B53" s="2"/>
      <c r="C53" s="2"/>
      <c r="D53" s="64" t="str">
        <f t="shared" ref="D53:E53" si="2">'P&amp;L'!C26</f>
        <v>#REF!</v>
      </c>
      <c r="E53" s="64" t="str">
        <f t="shared" si="2"/>
        <v>#REF!</v>
      </c>
      <c r="F53" s="65"/>
    </row>
    <row r="54">
      <c r="A54" s="62" t="s">
        <v>35</v>
      </c>
      <c r="B54" s="2"/>
      <c r="C54" s="2"/>
      <c r="D54" s="61"/>
      <c r="E54" s="61"/>
      <c r="F54" s="65"/>
    </row>
    <row r="55">
      <c r="A55" s="3"/>
      <c r="B55" s="2"/>
      <c r="C55" s="2"/>
      <c r="D55" s="66" t="str">
        <f>SUM(D52:D54)</f>
        <v>#REF!</v>
      </c>
      <c r="E55" s="66" t="str">
        <f>SUM(E52:E53)</f>
        <v>#REF!</v>
      </c>
      <c r="F55" s="65"/>
    </row>
    <row r="56">
      <c r="A56" s="62" t="s">
        <v>36</v>
      </c>
      <c r="B56" s="2"/>
      <c r="C56" s="2"/>
      <c r="D56" s="67" t="str">
        <f>IFERROR(__xludf.DUMMYFUNCTION("+'Trial Balance'!D75/100000"),"#REF!")</f>
        <v>#REF!</v>
      </c>
      <c r="E56" s="67">
        <v>0.0</v>
      </c>
      <c r="F56" s="2"/>
    </row>
    <row r="57">
      <c r="A57" s="62" t="s">
        <v>37</v>
      </c>
      <c r="B57" s="2"/>
      <c r="C57" s="2"/>
      <c r="D57" s="68" t="str">
        <f>IFERROR(__xludf.DUMMYFUNCTION("+D55-D56"),"#REF!")</f>
        <v>#REF!</v>
      </c>
      <c r="E57" s="69" t="str">
        <f>IFERROR(__xludf.DUMMYFUNCTION("+E55"),"#REF!")</f>
        <v>#REF!</v>
      </c>
      <c r="F57" s="2"/>
    </row>
    <row r="58">
      <c r="A58" s="3"/>
      <c r="B58" s="2"/>
      <c r="C58" s="2"/>
      <c r="D58" s="61"/>
      <c r="E58" s="61"/>
      <c r="F58" s="65"/>
    </row>
    <row r="59">
      <c r="A59" s="70" t="s">
        <v>38</v>
      </c>
      <c r="B59" s="6"/>
      <c r="C59" s="6"/>
      <c r="D59" s="71" t="str">
        <f>IFERROR(__xludf.DUMMYFUNCTION("+D49+D57+E45"),"#REF!")</f>
        <v>#REF!</v>
      </c>
      <c r="E59" s="71" t="str">
        <f>IFERROR(__xludf.DUMMYFUNCTION("+E49+E57"),"#REF!")</f>
        <v>#REF!</v>
      </c>
      <c r="F59" s="14"/>
    </row>
    <row r="60">
      <c r="A60" s="2"/>
      <c r="B60" s="14"/>
      <c r="C60" s="14"/>
      <c r="D60" s="2"/>
      <c r="E60" s="2"/>
      <c r="F60" s="2"/>
    </row>
    <row r="61">
      <c r="A61" s="57" t="s">
        <v>39</v>
      </c>
      <c r="B61" s="72"/>
      <c r="C61" s="50"/>
      <c r="D61" s="72"/>
      <c r="E61" s="50"/>
      <c r="F61" s="2"/>
    </row>
    <row r="62">
      <c r="A62" s="60"/>
      <c r="B62" s="73"/>
      <c r="C62" s="73"/>
      <c r="D62" s="7">
        <v>45382.0</v>
      </c>
      <c r="E62" s="7">
        <v>45016.0</v>
      </c>
      <c r="F62" s="2"/>
    </row>
    <row r="63">
      <c r="A63" s="62" t="s">
        <v>40</v>
      </c>
      <c r="B63" s="23"/>
      <c r="C63" s="74"/>
      <c r="D63" s="11">
        <f>19799790/100000</f>
        <v>197.9979</v>
      </c>
      <c r="E63" s="11">
        <f>27641940/100000</f>
        <v>276.4194</v>
      </c>
      <c r="F63" s="2"/>
    </row>
    <row r="64">
      <c r="A64" s="62" t="s">
        <v>41</v>
      </c>
      <c r="B64" s="23"/>
      <c r="C64" s="74"/>
      <c r="D64" s="10" t="str">
        <f>'TB 23-24Old'!D17</f>
        <v>#REF!</v>
      </c>
      <c r="E64" s="11">
        <v>0.0</v>
      </c>
      <c r="F64" s="2"/>
    </row>
    <row r="65">
      <c r="A65" s="62" t="s">
        <v>42</v>
      </c>
      <c r="B65" s="23"/>
      <c r="C65" s="74"/>
      <c r="D65" s="11">
        <f>(80785714.32-12428568)/100000</f>
        <v>683.5714632</v>
      </c>
      <c r="E65" s="10"/>
      <c r="F65" s="2"/>
    </row>
    <row r="66">
      <c r="A66" s="62" t="s">
        <v>43</v>
      </c>
      <c r="B66" s="23"/>
      <c r="C66" s="74"/>
      <c r="D66" s="11">
        <f>(4469387-1180044)/100000</f>
        <v>32.89343</v>
      </c>
      <c r="E66" s="11">
        <f>4494277/100000</f>
        <v>44.94277</v>
      </c>
      <c r="F66" s="2"/>
    </row>
    <row r="67">
      <c r="A67" s="60"/>
      <c r="B67" s="75"/>
      <c r="C67" s="75"/>
      <c r="D67" s="71" t="str">
        <f t="shared" ref="D67:E67" si="3">SUM(D63:D66)</f>
        <v>#REF!</v>
      </c>
      <c r="E67" s="71">
        <f t="shared" si="3"/>
        <v>321.36217</v>
      </c>
      <c r="F67" s="65"/>
    </row>
    <row r="68">
      <c r="A68" s="76"/>
      <c r="B68" s="41"/>
      <c r="C68" s="41"/>
      <c r="D68" s="41"/>
      <c r="E68" s="41"/>
      <c r="F68" s="2"/>
    </row>
    <row r="69">
      <c r="A69" s="57" t="s">
        <v>44</v>
      </c>
      <c r="B69" s="72"/>
      <c r="C69" s="50"/>
      <c r="D69" s="72"/>
      <c r="E69" s="50"/>
      <c r="F69" s="2"/>
    </row>
    <row r="70">
      <c r="A70" s="60"/>
      <c r="B70" s="77"/>
      <c r="C70" s="77"/>
      <c r="D70" s="7">
        <v>45382.0</v>
      </c>
      <c r="E70" s="7">
        <v>45016.0</v>
      </c>
      <c r="F70" s="2"/>
    </row>
    <row r="71">
      <c r="A71" s="78" t="s">
        <v>45</v>
      </c>
      <c r="B71" s="79"/>
      <c r="C71" s="19"/>
      <c r="D71" s="80" t="str">
        <f>IFERROR(__xludf.DUMMYFUNCTION("+'Deferred Tax'!C8"),"#REF!")</f>
        <v>#REF!</v>
      </c>
      <c r="E71" s="81">
        <f>4318647/100000</f>
        <v>43.18647</v>
      </c>
      <c r="F71" s="2"/>
    </row>
    <row r="72">
      <c r="A72" s="60"/>
      <c r="B72" s="75"/>
      <c r="C72" s="75"/>
      <c r="D72" s="71" t="str">
        <f t="shared" ref="D72:E72" si="4">SUM(D71)</f>
        <v>#REF!</v>
      </c>
      <c r="E72" s="71">
        <f t="shared" si="4"/>
        <v>43.18647</v>
      </c>
      <c r="F72" s="2"/>
    </row>
    <row r="73">
      <c r="A73" s="82"/>
      <c r="B73" s="31"/>
      <c r="C73" s="31"/>
      <c r="D73" s="31"/>
      <c r="E73" s="32"/>
      <c r="F73" s="10"/>
    </row>
    <row r="74">
      <c r="A74" s="1" t="s">
        <v>46</v>
      </c>
      <c r="B74" s="2"/>
      <c r="C74" s="2"/>
      <c r="D74" s="14"/>
      <c r="E74" s="14"/>
      <c r="F74" s="2"/>
    </row>
    <row r="75">
      <c r="A75" s="6"/>
      <c r="B75" s="6"/>
      <c r="C75" s="6"/>
      <c r="D75" s="7">
        <v>45382.0</v>
      </c>
      <c r="E75" s="7">
        <v>45016.0</v>
      </c>
      <c r="F75" s="2"/>
    </row>
    <row r="76">
      <c r="A76" s="83" t="s">
        <v>47</v>
      </c>
      <c r="B76" s="2"/>
      <c r="C76" s="2"/>
      <c r="D76" s="84"/>
      <c r="E76" s="84"/>
      <c r="F76" s="59"/>
    </row>
    <row r="77">
      <c r="A77" s="83" t="s">
        <v>48</v>
      </c>
      <c r="B77" s="2"/>
      <c r="C77" s="2"/>
      <c r="D77" s="64" t="str">
        <f>IFERROR(__xludf.DUMMYFUNCTION("+Creditors!O17/100000"),"#REF!")</f>
        <v>#REF!</v>
      </c>
      <c r="E77" s="64">
        <f>1074255.06/100000</f>
        <v>10.7425506</v>
      </c>
      <c r="F77" s="59"/>
    </row>
    <row r="78">
      <c r="A78" s="83" t="s">
        <v>49</v>
      </c>
      <c r="B78" s="2"/>
      <c r="C78" s="2"/>
      <c r="D78" s="64" t="str">
        <f>IFERROR(__xludf.DUMMYFUNCTION("+Creditors!O18/100000"),"#REF!")</f>
        <v>#REF!</v>
      </c>
      <c r="E78" s="64">
        <f>5808383.25/100000</f>
        <v>58.0838325</v>
      </c>
      <c r="F78" s="59"/>
    </row>
    <row r="79">
      <c r="A79" s="58"/>
      <c r="B79" s="2"/>
      <c r="C79" s="2"/>
      <c r="D79" s="61"/>
      <c r="E79" s="61"/>
      <c r="F79" s="59"/>
    </row>
    <row r="80">
      <c r="A80" s="83" t="s">
        <v>50</v>
      </c>
      <c r="B80" s="2"/>
      <c r="C80" s="2"/>
      <c r="D80" s="61"/>
      <c r="E80" s="61"/>
      <c r="F80" s="59"/>
    </row>
    <row r="81">
      <c r="A81" s="83" t="s">
        <v>48</v>
      </c>
      <c r="B81" s="2"/>
      <c r="C81" s="2"/>
      <c r="D81" s="64" t="str">
        <f>IFERROR(__xludf.DUMMYFUNCTION("+Creditors!O19/100000"),"#REF!")</f>
        <v>#REF!</v>
      </c>
      <c r="E81" s="64">
        <f>723695/100000</f>
        <v>7.23695</v>
      </c>
      <c r="F81" s="59"/>
    </row>
    <row r="82">
      <c r="A82" s="83" t="s">
        <v>49</v>
      </c>
      <c r="B82" s="2"/>
      <c r="C82" s="2"/>
      <c r="D82" s="64" t="str">
        <f>IFERROR(__xludf.DUMMYFUNCTION("+Creditors!O20/100000"),"#REF!")</f>
        <v>#REF!</v>
      </c>
      <c r="E82" s="64">
        <f>6283371.6/100000</f>
        <v>62.833716</v>
      </c>
      <c r="F82" s="59"/>
    </row>
    <row r="83">
      <c r="A83" s="83" t="s">
        <v>51</v>
      </c>
      <c r="B83" s="2"/>
      <c r="C83" s="2"/>
      <c r="D83" s="64" t="str">
        <f>IFERROR(__xludf.DUMMYFUNCTION("+Creditors!C105/100000"),"#REF!")</f>
        <v>#REF!</v>
      </c>
      <c r="E83" s="61"/>
      <c r="F83" s="59"/>
    </row>
    <row r="84">
      <c r="A84" s="60"/>
      <c r="B84" s="6"/>
      <c r="C84" s="6"/>
      <c r="D84" s="71" t="str">
        <f t="shared" ref="D84:E84" si="5">SUM(D77:D83)</f>
        <v>#REF!</v>
      </c>
      <c r="E84" s="71">
        <f t="shared" si="5"/>
        <v>138.8970491</v>
      </c>
      <c r="F84" s="2"/>
    </row>
    <row r="85">
      <c r="A85" s="58"/>
      <c r="B85" s="2"/>
      <c r="C85" s="2"/>
      <c r="D85" s="59"/>
      <c r="E85" s="59"/>
      <c r="F85" s="2"/>
    </row>
    <row r="86">
      <c r="A86" s="85" t="s">
        <v>52</v>
      </c>
      <c r="B86" s="86"/>
      <c r="C86" s="86"/>
      <c r="D86" s="86"/>
      <c r="E86" s="86"/>
      <c r="F86" s="86"/>
    </row>
    <row r="87">
      <c r="A87" s="87" t="s">
        <v>53</v>
      </c>
      <c r="B87" s="88" t="s">
        <v>54</v>
      </c>
      <c r="C87" s="89"/>
      <c r="D87" s="89"/>
      <c r="E87" s="89"/>
      <c r="F87" s="89"/>
    </row>
    <row r="88">
      <c r="A88" s="90"/>
      <c r="B88" s="91" t="s">
        <v>55</v>
      </c>
      <c r="C88" s="92" t="s">
        <v>56</v>
      </c>
      <c r="D88" s="92" t="s">
        <v>57</v>
      </c>
      <c r="E88" s="92" t="s">
        <v>58</v>
      </c>
      <c r="F88" s="92" t="s">
        <v>59</v>
      </c>
    </row>
    <row r="89">
      <c r="A89" s="93" t="s">
        <v>60</v>
      </c>
      <c r="B89" s="86"/>
      <c r="C89" s="86"/>
      <c r="D89" s="86"/>
      <c r="E89" s="86"/>
      <c r="F89" s="86"/>
    </row>
    <row r="90">
      <c r="A90" s="94" t="s">
        <v>61</v>
      </c>
      <c r="B90" s="95" t="str">
        <f>IFERROR(__xludf.DUMMYFUNCTION("(+Creditors!N17+Creditors!N18)/100000"),"#REF!")</f>
        <v>#REF!</v>
      </c>
      <c r="C90" s="95" t="str">
        <f>IFERROR(__xludf.DUMMYFUNCTION("(+Creditors!M17+Creditors!M18)/100000"),"#REF!")</f>
        <v>#REF!</v>
      </c>
      <c r="D90" s="95">
        <v>0.0</v>
      </c>
      <c r="E90" s="95">
        <v>0.0</v>
      </c>
      <c r="F90" s="96"/>
    </row>
    <row r="91">
      <c r="A91" s="94" t="s">
        <v>62</v>
      </c>
      <c r="B91" s="95" t="str">
        <f>IFERROR(__xludf.DUMMYFUNCTION("(+Creditors!N19+Creditors!N20)/100000"),"#REF!")</f>
        <v>#REF!</v>
      </c>
      <c r="C91" s="95" t="str">
        <f>IFERROR(__xludf.DUMMYFUNCTION("(+Creditors!M19+Creditors!M20)/100000"),"#REF!")</f>
        <v>#REF!</v>
      </c>
      <c r="D91" s="95">
        <v>0.0</v>
      </c>
      <c r="E91" s="95">
        <v>0.0</v>
      </c>
      <c r="F91" s="95" t="str">
        <f t="shared" ref="F91:F94" si="6">SUM(B90:E90)</f>
        <v>#REF!</v>
      </c>
    </row>
    <row r="92">
      <c r="A92" s="93" t="s">
        <v>63</v>
      </c>
      <c r="B92" s="61"/>
      <c r="C92" s="61"/>
      <c r="D92" s="61"/>
      <c r="E92" s="61"/>
      <c r="F92" s="95" t="str">
        <f t="shared" si="6"/>
        <v>#REF!</v>
      </c>
    </row>
    <row r="93">
      <c r="A93" s="94" t="s">
        <v>61</v>
      </c>
      <c r="B93" s="97">
        <v>0.0</v>
      </c>
      <c r="C93" s="95">
        <v>0.0</v>
      </c>
      <c r="D93" s="95">
        <v>0.0</v>
      </c>
      <c r="E93" s="95">
        <v>0.0</v>
      </c>
      <c r="F93" s="95">
        <f t="shared" si="6"/>
        <v>0</v>
      </c>
    </row>
    <row r="94">
      <c r="A94" s="94" t="s">
        <v>62</v>
      </c>
      <c r="B94" s="97">
        <v>0.0</v>
      </c>
      <c r="C94" s="95">
        <v>0.0</v>
      </c>
      <c r="D94" s="95">
        <v>0.0</v>
      </c>
      <c r="E94" s="95">
        <v>0.0</v>
      </c>
      <c r="F94" s="95">
        <f t="shared" si="6"/>
        <v>0</v>
      </c>
    </row>
    <row r="95">
      <c r="A95" s="98" t="s">
        <v>51</v>
      </c>
      <c r="B95" s="97" t="str">
        <f>D83</f>
        <v>#REF!</v>
      </c>
      <c r="C95" s="96"/>
      <c r="D95" s="96"/>
      <c r="E95" s="96"/>
      <c r="F95" s="95" t="str">
        <f>SUM(B95:E95)</f>
        <v>#REF!</v>
      </c>
    </row>
    <row r="96">
      <c r="A96" s="99" t="s">
        <v>59</v>
      </c>
      <c r="B96" s="100" t="str">
        <f>SUM(B90:B95)</f>
        <v>#REF!</v>
      </c>
      <c r="C96" s="100" t="str">
        <f t="shared" ref="C96:E96" si="7">SUM(C90:C94)</f>
        <v>#REF!</v>
      </c>
      <c r="D96" s="71">
        <f t="shared" si="7"/>
        <v>0</v>
      </c>
      <c r="E96" s="71">
        <f t="shared" si="7"/>
        <v>0</v>
      </c>
      <c r="F96" s="100" t="str">
        <f>SUM(F91:F95)</f>
        <v>#REF!</v>
      </c>
    </row>
    <row r="97">
      <c r="A97" s="58"/>
      <c r="B97" s="2"/>
      <c r="C97" s="2"/>
      <c r="D97" s="59"/>
      <c r="E97" s="59"/>
      <c r="F97" s="2"/>
    </row>
    <row r="98">
      <c r="A98" s="85" t="s">
        <v>64</v>
      </c>
      <c r="B98" s="86"/>
      <c r="C98" s="86"/>
      <c r="D98" s="86"/>
      <c r="E98" s="86"/>
      <c r="F98" s="86"/>
    </row>
    <row r="99">
      <c r="A99" s="87" t="s">
        <v>53</v>
      </c>
      <c r="B99" s="99" t="s">
        <v>54</v>
      </c>
      <c r="C99" s="79"/>
      <c r="D99" s="79"/>
      <c r="E99" s="79"/>
      <c r="F99" s="101" t="s">
        <v>59</v>
      </c>
    </row>
    <row r="100">
      <c r="A100" s="90"/>
      <c r="B100" s="91" t="s">
        <v>55</v>
      </c>
      <c r="C100" s="92" t="s">
        <v>56</v>
      </c>
      <c r="D100" s="92" t="s">
        <v>57</v>
      </c>
      <c r="E100" s="92" t="s">
        <v>58</v>
      </c>
      <c r="F100" s="102"/>
    </row>
    <row r="101">
      <c r="A101" s="93" t="s">
        <v>60</v>
      </c>
      <c r="B101" s="86"/>
      <c r="C101" s="86"/>
      <c r="D101" s="86"/>
      <c r="E101" s="86"/>
      <c r="F101" s="86"/>
    </row>
    <row r="102">
      <c r="A102" s="94" t="s">
        <v>61</v>
      </c>
      <c r="B102" s="95">
        <f>6851128.31/100000</f>
        <v>68.5112831</v>
      </c>
      <c r="C102" s="95">
        <f>31510/100000</f>
        <v>0.3151</v>
      </c>
      <c r="D102" s="95">
        <v>0.0</v>
      </c>
      <c r="E102" s="95">
        <v>0.0</v>
      </c>
      <c r="F102" s="95">
        <f t="shared" ref="F102:F103" si="8">SUM(B102:E102)</f>
        <v>68.8263831</v>
      </c>
    </row>
    <row r="103">
      <c r="A103" s="94" t="s">
        <v>62</v>
      </c>
      <c r="B103" s="95">
        <f>6662871.6/100000</f>
        <v>66.628716</v>
      </c>
      <c r="C103" s="95">
        <f>344195/100000</f>
        <v>3.44195</v>
      </c>
      <c r="D103" s="95">
        <v>0.0</v>
      </c>
      <c r="E103" s="95">
        <v>0.0</v>
      </c>
      <c r="F103" s="95">
        <f t="shared" si="8"/>
        <v>70.070666</v>
      </c>
    </row>
    <row r="104">
      <c r="A104" s="93" t="s">
        <v>63</v>
      </c>
      <c r="B104" s="61"/>
      <c r="C104" s="61"/>
      <c r="D104" s="61"/>
      <c r="E104" s="61"/>
      <c r="F104" s="61"/>
    </row>
    <row r="105">
      <c r="A105" s="94" t="s">
        <v>61</v>
      </c>
      <c r="B105" s="95">
        <v>0.0</v>
      </c>
      <c r="C105" s="95">
        <v>0.0</v>
      </c>
      <c r="D105" s="95">
        <v>0.0</v>
      </c>
      <c r="E105" s="95">
        <v>0.0</v>
      </c>
      <c r="F105" s="95">
        <f t="shared" ref="F105:F106" si="9">SUM(B105:E105)</f>
        <v>0</v>
      </c>
    </row>
    <row r="106">
      <c r="A106" s="94" t="s">
        <v>62</v>
      </c>
      <c r="B106" s="95">
        <v>0.0</v>
      </c>
      <c r="C106" s="95">
        <v>0.0</v>
      </c>
      <c r="D106" s="95">
        <v>0.0</v>
      </c>
      <c r="E106" s="95">
        <v>0.0</v>
      </c>
      <c r="F106" s="95">
        <f t="shared" si="9"/>
        <v>0</v>
      </c>
    </row>
    <row r="107">
      <c r="A107" s="103"/>
      <c r="B107" s="96"/>
      <c r="C107" s="96"/>
      <c r="D107" s="96"/>
      <c r="E107" s="96"/>
      <c r="F107" s="96"/>
    </row>
    <row r="108">
      <c r="A108" s="104" t="s">
        <v>59</v>
      </c>
      <c r="B108" s="105">
        <f t="shared" ref="B108:F108" si="10">SUM(B102:B106)</f>
        <v>135.1399991</v>
      </c>
      <c r="C108" s="105">
        <f t="shared" si="10"/>
        <v>3.75705</v>
      </c>
      <c r="D108" s="105">
        <f t="shared" si="10"/>
        <v>0</v>
      </c>
      <c r="E108" s="105">
        <f t="shared" si="10"/>
        <v>0</v>
      </c>
      <c r="F108" s="105">
        <f t="shared" si="10"/>
        <v>138.8970491</v>
      </c>
    </row>
    <row r="109">
      <c r="A109" s="58"/>
      <c r="B109" s="2"/>
      <c r="C109" s="2"/>
      <c r="D109" s="59"/>
      <c r="E109" s="59"/>
      <c r="F109" s="2"/>
    </row>
    <row r="110">
      <c r="A110" s="57" t="s">
        <v>65</v>
      </c>
      <c r="B110" s="2"/>
      <c r="C110" s="2"/>
      <c r="D110" s="65"/>
      <c r="E110" s="65"/>
      <c r="F110" s="2"/>
    </row>
    <row r="111">
      <c r="A111" s="6"/>
      <c r="B111" s="6"/>
      <c r="C111" s="6"/>
      <c r="D111" s="7">
        <v>45382.0</v>
      </c>
      <c r="E111" s="7">
        <v>45016.0</v>
      </c>
      <c r="F111" s="2"/>
    </row>
    <row r="112">
      <c r="A112" s="62" t="s">
        <v>66</v>
      </c>
      <c r="B112" s="2"/>
      <c r="C112" s="2"/>
      <c r="D112" s="11">
        <f>G67/100000</f>
        <v>0</v>
      </c>
      <c r="E112" s="11">
        <f>13920441/100000</f>
        <v>139.20441</v>
      </c>
      <c r="F112" s="65"/>
    </row>
    <row r="113">
      <c r="A113" s="62" t="s">
        <v>67</v>
      </c>
      <c r="B113" s="2"/>
      <c r="C113" s="2"/>
      <c r="D113" s="11" t="str">
        <f>IFERROR(__xludf.DUMMYFUNCTION("(+'Trial Balance CB'!C241+'Trial Balance CB'!C283+'Trial Balance CB'!C273+'Trial Balance CB'!C115+'Trial Balance CB'!C191)/100000"),"#REF!")</f>
        <v>#REF!</v>
      </c>
      <c r="E113" s="11">
        <f>15688272/100000</f>
        <v>156.88272</v>
      </c>
      <c r="F113" s="65"/>
    </row>
    <row r="114">
      <c r="A114" s="62" t="s">
        <v>68</v>
      </c>
      <c r="B114" s="2"/>
      <c r="C114" s="2"/>
      <c r="D114" s="11" t="str">
        <f>Sechdules!B75/100000</f>
        <v>#REF!</v>
      </c>
      <c r="E114" s="11">
        <f>4803131.66/100000</f>
        <v>48.0313166</v>
      </c>
      <c r="F114" s="65"/>
    </row>
    <row r="115">
      <c r="A115" s="6"/>
      <c r="B115" s="6"/>
      <c r="C115" s="6"/>
      <c r="D115" s="13" t="str">
        <f t="shared" ref="D115:E115" si="11">SUM(D112:D114)</f>
        <v>#REF!</v>
      </c>
      <c r="E115" s="13">
        <f t="shared" si="11"/>
        <v>344.1184466</v>
      </c>
      <c r="F115" s="2"/>
    </row>
    <row r="116">
      <c r="A116" s="2"/>
      <c r="B116" s="14"/>
      <c r="C116" s="14"/>
      <c r="D116" s="2"/>
      <c r="E116" s="2"/>
      <c r="F116" s="2"/>
    </row>
    <row r="117">
      <c r="A117" s="46" t="s">
        <v>69</v>
      </c>
      <c r="B117" s="33"/>
      <c r="C117" s="33"/>
      <c r="D117" s="33"/>
      <c r="E117" s="33"/>
      <c r="F117" s="2"/>
    </row>
    <row r="118">
      <c r="A118" s="106"/>
      <c r="B118" s="77"/>
      <c r="C118" s="107"/>
      <c r="D118" s="7">
        <v>45382.0</v>
      </c>
      <c r="E118" s="7">
        <v>45016.0</v>
      </c>
      <c r="F118" s="2"/>
    </row>
    <row r="119">
      <c r="A119" s="62" t="s">
        <v>70</v>
      </c>
      <c r="B119" s="65"/>
      <c r="C119" s="65"/>
      <c r="D119" s="11" t="str">
        <f>IFERROR(__xludf.DUMMYFUNCTION("+'P&amp;L'!C20"),"#REF!")</f>
        <v>#REF!</v>
      </c>
      <c r="E119" s="11">
        <f>69225399/100000</f>
        <v>692.25399</v>
      </c>
      <c r="F119" s="2"/>
    </row>
    <row r="120">
      <c r="A120" s="108"/>
      <c r="B120" s="109"/>
      <c r="C120" s="109"/>
      <c r="D120" s="110" t="str">
        <f t="shared" ref="D120:E120" si="12">SUM(D119)</f>
        <v>#REF!</v>
      </c>
      <c r="E120" s="110">
        <f t="shared" si="12"/>
        <v>692.25399</v>
      </c>
      <c r="F120" s="2"/>
    </row>
    <row r="122">
      <c r="A122" s="111" t="s">
        <v>71</v>
      </c>
      <c r="B122" s="79"/>
      <c r="C122" s="79"/>
      <c r="D122" s="79"/>
      <c r="E122" s="79"/>
      <c r="F122" s="79"/>
      <c r="G122" s="79"/>
      <c r="H122" s="79"/>
      <c r="I122" s="79"/>
      <c r="J122" s="79"/>
      <c r="K122" s="79"/>
      <c r="L122" s="112"/>
    </row>
    <row r="123">
      <c r="A123" s="113" t="s">
        <v>53</v>
      </c>
      <c r="B123" s="114"/>
      <c r="C123" s="115" t="s">
        <v>72</v>
      </c>
      <c r="D123" s="116"/>
      <c r="E123" s="116"/>
      <c r="F123" s="117"/>
      <c r="G123" s="115" t="s">
        <v>73</v>
      </c>
      <c r="H123" s="116"/>
      <c r="I123" s="116"/>
      <c r="J123" s="117"/>
      <c r="K123" s="115" t="s">
        <v>74</v>
      </c>
      <c r="L123" s="117"/>
    </row>
    <row r="124">
      <c r="A124" s="118"/>
      <c r="B124" s="119"/>
      <c r="C124" s="120" t="s">
        <v>75</v>
      </c>
      <c r="D124" s="121" t="s">
        <v>76</v>
      </c>
      <c r="E124" s="120" t="s">
        <v>77</v>
      </c>
      <c r="F124" s="120" t="s">
        <v>78</v>
      </c>
      <c r="G124" s="120" t="str">
        <f>C124</f>
        <v>As at 1st April 2023</v>
      </c>
      <c r="H124" s="121" t="s">
        <v>79</v>
      </c>
      <c r="I124" s="120" t="s">
        <v>77</v>
      </c>
      <c r="J124" s="120" t="str">
        <f>F124</f>
        <v>As at 31st March  2024</v>
      </c>
      <c r="K124" s="120" t="str">
        <f>J124</f>
        <v>As at 31st March  2024</v>
      </c>
      <c r="L124" s="120" t="str">
        <f>G124</f>
        <v>As at 1st April 2023</v>
      </c>
    </row>
    <row r="125">
      <c r="A125" s="122" t="s">
        <v>80</v>
      </c>
      <c r="B125" s="123"/>
      <c r="C125" s="124"/>
      <c r="D125" s="125"/>
      <c r="E125" s="124"/>
      <c r="F125" s="126"/>
      <c r="G125" s="124"/>
      <c r="H125" s="125"/>
      <c r="I125" s="124"/>
      <c r="J125" s="127"/>
      <c r="K125" s="126"/>
      <c r="L125" s="126"/>
    </row>
    <row r="126">
      <c r="A126" s="128">
        <v>1.0</v>
      </c>
      <c r="B126" s="129" t="s">
        <v>81</v>
      </c>
      <c r="C126" s="130" t="str">
        <f>IFERROR(__xludf.DUMMYFUNCTION("+'FA Register Companies Act'!I678/100000"),"#REF!")</f>
        <v>#REF!</v>
      </c>
      <c r="D126" s="11" t="str">
        <f>IFERROR(__xludf.DUMMYFUNCTION("+'FA Register Companies Act'!J678/100000"),"#REF!")</f>
        <v>#REF!</v>
      </c>
      <c r="E126" s="130" t="str">
        <f>IFERROR(__xludf.DUMMYFUNCTION("+'FA Register Companies Act'!L678"),"#REF!")</f>
        <v>#REF!</v>
      </c>
      <c r="F126" s="130" t="str">
        <f>IFERROR(__xludf.DUMMYFUNCTION("+C126+D126-E126"),"#REF!")</f>
        <v>#REF!</v>
      </c>
      <c r="G126" s="130" t="str">
        <f>IFERROR(__xludf.DUMMYFUNCTION("+'FA Register Companies Act'!N678/100000"),"#REF!")</f>
        <v>#REF!</v>
      </c>
      <c r="H126" s="11" t="str">
        <f>IFERROR(__xludf.DUMMYFUNCTION("+'FA Register Companies Act'!O678/100000"),"#REF!")</f>
        <v>#REF!</v>
      </c>
      <c r="I126" s="130" t="str">
        <f>IFERROR(__xludf.DUMMYFUNCTION("+'FA Register Companies Act'!P678"),"#REF!")</f>
        <v>#REF!</v>
      </c>
      <c r="J126" s="11" t="str">
        <f>IFERROR(__xludf.DUMMYFUNCTION("+G126+H126-I126"),"#REF!")</f>
        <v>#REF!</v>
      </c>
      <c r="K126" s="130" t="str">
        <f>IFERROR(__xludf.DUMMYFUNCTION("+F126-J126"),"#REF!")</f>
        <v>#REF!</v>
      </c>
      <c r="L126" s="130" t="str">
        <f>IFERROR(__xludf.DUMMYFUNCTION("+C126-G126"),"#REF!")</f>
        <v>#REF!</v>
      </c>
    </row>
    <row r="127">
      <c r="A127" s="128">
        <v>2.0</v>
      </c>
      <c r="B127" s="129" t="s">
        <v>82</v>
      </c>
      <c r="C127" s="130" t="str">
        <f>IFERROR(__xludf.DUMMYFUNCTION("+'FA Register Companies Act'!I679/100000"),"#REF!")</f>
        <v>#REF!</v>
      </c>
      <c r="D127" s="11" t="str">
        <f>IFERROR(__xludf.DUMMYFUNCTION("+'FA Register Companies Act'!J679/100000"),"#REF!")</f>
        <v>#REF!</v>
      </c>
      <c r="E127" s="130" t="str">
        <f>IFERROR(__xludf.DUMMYFUNCTION("+'FA Register Companies Act'!L679/100000"),"#REF!")</f>
        <v>#REF!</v>
      </c>
      <c r="F127" s="130" t="str">
        <f>IFERROR(__xludf.DUMMYFUNCTION("+C127+D127-E127"),"#REF!")</f>
        <v>#REF!</v>
      </c>
      <c r="G127" s="130" t="str">
        <f>IFERROR(__xludf.DUMMYFUNCTION("+'FA Register Companies Act'!N679/100000"),"#REF!")</f>
        <v>#REF!</v>
      </c>
      <c r="H127" s="11" t="str">
        <f>IFERROR(__xludf.DUMMYFUNCTION("+'FA Register Companies Act'!O679/100000"),"#REF!")</f>
        <v>#REF!</v>
      </c>
      <c r="I127" s="130" t="str">
        <f>IFERROR(__xludf.DUMMYFUNCTION("+'FA Register Companies Act'!P679/100000"),"#REF!")</f>
        <v>#REF!</v>
      </c>
      <c r="J127" s="11" t="str">
        <f>IFERROR(__xludf.DUMMYFUNCTION("+G127+H127-I127"),"#REF!")</f>
        <v>#REF!</v>
      </c>
      <c r="K127" s="130" t="str">
        <f>IFERROR(__xludf.DUMMYFUNCTION("+F127-J127"),"#REF!")</f>
        <v>#REF!</v>
      </c>
      <c r="L127" s="130" t="str">
        <f>IFERROR(__xludf.DUMMYFUNCTION("+C127-G127"),"#REF!")</f>
        <v>#REF!</v>
      </c>
    </row>
    <row r="128">
      <c r="A128" s="128">
        <v>3.0</v>
      </c>
      <c r="B128" s="129" t="s">
        <v>83</v>
      </c>
      <c r="C128" s="130" t="str">
        <f>IFERROR(__xludf.DUMMYFUNCTION("+'FA Register Companies Act'!I680/100000"),"#REF!")</f>
        <v>#REF!</v>
      </c>
      <c r="D128" s="11" t="str">
        <f>IFERROR(__xludf.DUMMYFUNCTION("+'FA Register Companies Act'!J680/100000"),"#REF!")</f>
        <v>#REF!</v>
      </c>
      <c r="E128" s="130">
        <v>0.0</v>
      </c>
      <c r="F128" s="130" t="str">
        <f>IFERROR(__xludf.DUMMYFUNCTION("+C128+D128-E128"),"#REF!")</f>
        <v>#REF!</v>
      </c>
      <c r="G128" s="130" t="str">
        <f>IFERROR(__xludf.DUMMYFUNCTION("+'FA Register Companies Act'!N680/100000"),"#REF!")</f>
        <v>#REF!</v>
      </c>
      <c r="H128" s="11" t="str">
        <f>IFERROR(__xludf.DUMMYFUNCTION("+'FA Register Companies Act'!O680/100000"),"#REF!")</f>
        <v>#REF!</v>
      </c>
      <c r="I128" s="130" t="str">
        <f>IFERROR(__xludf.DUMMYFUNCTION("+'FA Register Companies Act'!P680"),"#REF!")</f>
        <v>#REF!</v>
      </c>
      <c r="J128" s="11" t="str">
        <f>IFERROR(__xludf.DUMMYFUNCTION("+G128+H128-I128"),"#REF!")</f>
        <v>#REF!</v>
      </c>
      <c r="K128" s="130" t="str">
        <f>IFERROR(__xludf.DUMMYFUNCTION("+F128-J128"),"#REF!")</f>
        <v>#REF!</v>
      </c>
      <c r="L128" s="130" t="str">
        <f>IFERROR(__xludf.DUMMYFUNCTION("+C128-G128"),"#REF!")</f>
        <v>#REF!</v>
      </c>
    </row>
    <row r="129">
      <c r="A129" s="128">
        <v>4.0</v>
      </c>
      <c r="B129" s="129" t="s">
        <v>84</v>
      </c>
      <c r="C129" s="130" t="str">
        <f>IFERROR(__xludf.DUMMYFUNCTION("+'FA Register Companies Act'!I681/100000"),"#REF!")</f>
        <v>#REF!</v>
      </c>
      <c r="D129" s="11" t="str">
        <f>IFERROR(__xludf.DUMMYFUNCTION("+'FA Register Companies Act'!J681/100000"),"#REF!")</f>
        <v>#REF!</v>
      </c>
      <c r="E129" s="130">
        <v>0.0</v>
      </c>
      <c r="F129" s="130" t="str">
        <f>IFERROR(__xludf.DUMMYFUNCTION("+C129+D129-E129"),"#REF!")</f>
        <v>#REF!</v>
      </c>
      <c r="G129" s="130" t="str">
        <f>IFERROR(__xludf.DUMMYFUNCTION("+'FA Register Companies Act'!N681/100000"),"#REF!")</f>
        <v>#REF!</v>
      </c>
      <c r="H129" s="11" t="str">
        <f>IFERROR(__xludf.DUMMYFUNCTION("+'FA Register Companies Act'!O681/100000"),"#REF!")</f>
        <v>#REF!</v>
      </c>
      <c r="I129" s="130" t="str">
        <f>IFERROR(__xludf.DUMMYFUNCTION("+'FA Register Companies Act'!P681"),"#REF!")</f>
        <v>#REF!</v>
      </c>
      <c r="J129" s="11" t="str">
        <f>IFERROR(__xludf.DUMMYFUNCTION("+G129+H129-I129"),"#REF!")</f>
        <v>#REF!</v>
      </c>
      <c r="K129" s="130" t="str">
        <f>IFERROR(__xludf.DUMMYFUNCTION("+F129-J129"),"#REF!")</f>
        <v>#REF!</v>
      </c>
      <c r="L129" s="130" t="str">
        <f>IFERROR(__xludf.DUMMYFUNCTION("+C129-G129"),"#REF!")</f>
        <v>#REF!</v>
      </c>
    </row>
    <row r="130">
      <c r="A130" s="128">
        <v>5.0</v>
      </c>
      <c r="B130" s="129" t="s">
        <v>85</v>
      </c>
      <c r="C130" s="130" t="str">
        <f>IFERROR(__xludf.DUMMYFUNCTION("+'FA Register Companies Act'!I682/100000"),"#REF!")</f>
        <v>#REF!</v>
      </c>
      <c r="D130" s="11" t="str">
        <f>IFERROR(__xludf.DUMMYFUNCTION("+'FA Register Companies Act'!J682/100000"),"#REF!")</f>
        <v>#REF!</v>
      </c>
      <c r="E130" s="130">
        <v>0.0</v>
      </c>
      <c r="F130" s="130" t="str">
        <f>IFERROR(__xludf.DUMMYFUNCTION("+C130+D130-E130"),"#REF!")</f>
        <v>#REF!</v>
      </c>
      <c r="G130" s="130" t="str">
        <f>IFERROR(__xludf.DUMMYFUNCTION("+'FA Register Companies Act'!N682/100000"),"#REF!")</f>
        <v>#REF!</v>
      </c>
      <c r="H130" s="11" t="str">
        <f>IFERROR(__xludf.DUMMYFUNCTION("+'FA Register Companies Act'!O682/100000"),"#REF!")</f>
        <v>#REF!</v>
      </c>
      <c r="I130" s="130" t="str">
        <f>IFERROR(__xludf.DUMMYFUNCTION("+'FA Register Companies Act'!P682"),"#REF!")</f>
        <v>#REF!</v>
      </c>
      <c r="J130" s="11" t="str">
        <f>IFERROR(__xludf.DUMMYFUNCTION("+G130+H130-I130"),"#REF!")</f>
        <v>#REF!</v>
      </c>
      <c r="K130" s="130" t="str">
        <f>IFERROR(__xludf.DUMMYFUNCTION("+F130-J130"),"#REF!")</f>
        <v>#REF!</v>
      </c>
      <c r="L130" s="130" t="str">
        <f>IFERROR(__xludf.DUMMYFUNCTION("+C130-G130"),"#REF!")</f>
        <v>#REF!</v>
      </c>
    </row>
    <row r="131">
      <c r="A131" s="128">
        <v>6.0</v>
      </c>
      <c r="B131" s="129" t="s">
        <v>86</v>
      </c>
      <c r="C131" s="130" t="str">
        <f>IFERROR(__xludf.DUMMYFUNCTION("+'FA Register Companies Act'!I683/100000"),"#REF!")</f>
        <v>#REF!</v>
      </c>
      <c r="D131" s="11" t="str">
        <f>IFERROR(__xludf.DUMMYFUNCTION("+'FA Register Companies Act'!J683/100000"),"#REF!")</f>
        <v>#REF!</v>
      </c>
      <c r="E131" s="130">
        <v>0.0</v>
      </c>
      <c r="F131" s="130" t="str">
        <f>IFERROR(__xludf.DUMMYFUNCTION("+C131+D131-E131"),"#REF!")</f>
        <v>#REF!</v>
      </c>
      <c r="G131" s="130" t="str">
        <f>IFERROR(__xludf.DUMMYFUNCTION("+'FA Register Companies Act'!N683/100000"),"#REF!")</f>
        <v>#REF!</v>
      </c>
      <c r="H131" s="11" t="str">
        <f>IFERROR(__xludf.DUMMYFUNCTION("+'FA Register Companies Act'!O683/100000"),"#REF!")</f>
        <v>#REF!</v>
      </c>
      <c r="I131" s="130">
        <v>0.0</v>
      </c>
      <c r="J131" s="11" t="str">
        <f>IFERROR(__xludf.DUMMYFUNCTION("+G131+H131-I131"),"#REF!")</f>
        <v>#REF!</v>
      </c>
      <c r="K131" s="130" t="str">
        <f>IFERROR(__xludf.DUMMYFUNCTION("+F131-J131"),"#REF!")</f>
        <v>#REF!</v>
      </c>
      <c r="L131" s="130" t="str">
        <f>IFERROR(__xludf.DUMMYFUNCTION("+C131-G131"),"#REF!")</f>
        <v>#REF!</v>
      </c>
    </row>
    <row r="132">
      <c r="A132" s="128">
        <v>7.0</v>
      </c>
      <c r="B132" s="129" t="s">
        <v>87</v>
      </c>
      <c r="C132" s="130" t="str">
        <f>IFERROR(__xludf.DUMMYFUNCTION("+'FA Register Companies Act'!I684/100000"),"#REF!")</f>
        <v>#REF!</v>
      </c>
      <c r="D132" s="11" t="str">
        <f>IFERROR(__xludf.DUMMYFUNCTION("+'FA Register Companies Act'!J684"),"#REF!")</f>
        <v>#REF!</v>
      </c>
      <c r="E132" s="130">
        <v>0.0</v>
      </c>
      <c r="F132" s="131" t="str">
        <f>IFERROR(__xludf.DUMMYFUNCTION("+C132+D132-E132"),"#REF!")</f>
        <v>#REF!</v>
      </c>
      <c r="G132" s="130" t="str">
        <f>IFERROR(__xludf.DUMMYFUNCTION("+'FA Register Companies Act'!N684/100000"),"#REF!")</f>
        <v>#REF!</v>
      </c>
      <c r="H132" s="11" t="str">
        <f>IFERROR(__xludf.DUMMYFUNCTION("+'FA Register Companies Act'!O684/100000"),"#REF!")</f>
        <v>#REF!</v>
      </c>
      <c r="I132" s="130">
        <v>0.0</v>
      </c>
      <c r="J132" s="11" t="str">
        <f>IFERROR(__xludf.DUMMYFUNCTION("+G132+H132-I132"),"#REF!")</f>
        <v>#REF!</v>
      </c>
      <c r="K132" s="131" t="str">
        <f>IFERROR(__xludf.DUMMYFUNCTION("+F132-J132"),"#REF!")</f>
        <v>#REF!</v>
      </c>
      <c r="L132" s="131" t="str">
        <f>IFERROR(__xludf.DUMMYFUNCTION("+C132-G132"),"#REF!")</f>
        <v>#REF!</v>
      </c>
    </row>
    <row r="133">
      <c r="A133" s="132"/>
      <c r="B133" s="133" t="s">
        <v>59</v>
      </c>
      <c r="C133" s="134" t="str">
        <f t="shared" ref="C133:L133" si="13">SUM(C126:C132)</f>
        <v>#REF!</v>
      </c>
      <c r="D133" s="135" t="str">
        <f t="shared" si="13"/>
        <v>#REF!</v>
      </c>
      <c r="E133" s="134" t="str">
        <f t="shared" si="13"/>
        <v>#REF!</v>
      </c>
      <c r="F133" s="134" t="str">
        <f t="shared" si="13"/>
        <v>#REF!</v>
      </c>
      <c r="G133" s="134" t="str">
        <f t="shared" si="13"/>
        <v>#REF!</v>
      </c>
      <c r="H133" s="134" t="str">
        <f t="shared" si="13"/>
        <v>#REF!</v>
      </c>
      <c r="I133" s="134" t="str">
        <f t="shared" si="13"/>
        <v>#REF!</v>
      </c>
      <c r="J133" s="134" t="str">
        <f t="shared" si="13"/>
        <v>#REF!</v>
      </c>
      <c r="K133" s="134" t="str">
        <f t="shared" si="13"/>
        <v>#REF!</v>
      </c>
      <c r="L133" s="134" t="str">
        <f t="shared" si="13"/>
        <v>#REF!</v>
      </c>
    </row>
    <row r="134">
      <c r="A134" s="136" t="s">
        <v>88</v>
      </c>
      <c r="B134" s="137"/>
      <c r="C134" s="138"/>
      <c r="D134" s="139"/>
      <c r="E134" s="138"/>
      <c r="F134" s="138"/>
      <c r="G134" s="140"/>
      <c r="H134" s="140"/>
      <c r="I134" s="140"/>
      <c r="J134" s="140"/>
      <c r="K134" s="140"/>
      <c r="L134" s="140"/>
    </row>
    <row r="135">
      <c r="A135" s="128">
        <v>1.0</v>
      </c>
      <c r="B135" s="129" t="s">
        <v>89</v>
      </c>
      <c r="C135" s="130" t="str">
        <f>IFERROR(__xludf.DUMMYFUNCTION("+'FA Register Companies Act'!I685/100000"),"#REF!")</f>
        <v>#REF!</v>
      </c>
      <c r="D135" s="11" t="str">
        <f>IFERROR(__xludf.DUMMYFUNCTION("+'FA Register Companies Act'!J685/100000"),"#REF!")</f>
        <v>#REF!</v>
      </c>
      <c r="E135" s="138"/>
      <c r="F135" s="131" t="str">
        <f>IFERROR(__xludf.DUMMYFUNCTION("+C135+D135-E135"),"#REF!")</f>
        <v>#REF!</v>
      </c>
      <c r="G135" s="131" t="str">
        <f>IFERROR(__xludf.DUMMYFUNCTION("+'FA Register Companies Act'!N685/100000"),"#REF!")</f>
        <v>#REF!</v>
      </c>
      <c r="H135" s="131" t="str">
        <f>IFERROR(__xludf.DUMMYFUNCTION("+'FA Register Companies Act'!O685/100000"),"#REF!")</f>
        <v>#REF!</v>
      </c>
      <c r="I135" s="131">
        <v>0.0</v>
      </c>
      <c r="J135" s="131" t="str">
        <f>IFERROR(__xludf.DUMMYFUNCTION("+G135+H135-I135"),"#REF!")</f>
        <v>#REF!</v>
      </c>
      <c r="K135" s="131" t="str">
        <f>IFERROR(__xludf.DUMMYFUNCTION("+F135-J135"),"#REF!")</f>
        <v>#REF!</v>
      </c>
      <c r="L135" s="131" t="str">
        <f>IFERROR(__xludf.DUMMYFUNCTION("+C135-G135"),"#REF!")</f>
        <v>#REF!</v>
      </c>
    </row>
    <row r="136">
      <c r="A136" s="132"/>
      <c r="B136" s="133" t="s">
        <v>59</v>
      </c>
      <c r="C136" s="134" t="str">
        <f t="shared" ref="C136:L136" si="14">SUM(C135)</f>
        <v>#REF!</v>
      </c>
      <c r="D136" s="135" t="str">
        <f t="shared" si="14"/>
        <v>#REF!</v>
      </c>
      <c r="E136" s="134">
        <f t="shared" si="14"/>
        <v>0</v>
      </c>
      <c r="F136" s="134" t="str">
        <f t="shared" si="14"/>
        <v>#REF!</v>
      </c>
      <c r="G136" s="134" t="str">
        <f t="shared" si="14"/>
        <v>#REF!</v>
      </c>
      <c r="H136" s="134" t="str">
        <f t="shared" si="14"/>
        <v>#REF!</v>
      </c>
      <c r="I136" s="134">
        <f t="shared" si="14"/>
        <v>0</v>
      </c>
      <c r="J136" s="134" t="str">
        <f t="shared" si="14"/>
        <v>#REF!</v>
      </c>
      <c r="K136" s="134" t="str">
        <f t="shared" si="14"/>
        <v>#REF!</v>
      </c>
      <c r="L136" s="134" t="str">
        <f t="shared" si="14"/>
        <v>#REF!</v>
      </c>
    </row>
    <row r="137">
      <c r="A137" s="141"/>
      <c r="B137" s="58"/>
      <c r="C137" s="142"/>
      <c r="D137" s="142"/>
      <c r="E137" s="142"/>
      <c r="F137" s="142"/>
      <c r="G137" s="61"/>
      <c r="H137" s="61"/>
      <c r="I137" s="61"/>
      <c r="J137" s="61"/>
      <c r="K137" s="61"/>
      <c r="L137" s="143"/>
    </row>
    <row r="138">
      <c r="A138" s="144"/>
      <c r="B138" s="145" t="s">
        <v>90</v>
      </c>
      <c r="C138" s="146" t="str">
        <f>IFERROR(__xludf.DUMMYFUNCTION("+C133+C136"),"#REF!")</f>
        <v>#REF!</v>
      </c>
      <c r="D138" s="146" t="str">
        <f>IFERROR(__xludf.DUMMYFUNCTION("+D133+D136"),"#REF!")</f>
        <v>#REF!</v>
      </c>
      <c r="E138" s="146" t="str">
        <f>IFERROR(__xludf.DUMMYFUNCTION("+E133+E136"),"#REF!")</f>
        <v>#REF!</v>
      </c>
      <c r="F138" s="146" t="str">
        <f>IFERROR(__xludf.DUMMYFUNCTION("+F133+F136"),"#REF!")</f>
        <v>#REF!</v>
      </c>
      <c r="G138" s="146" t="str">
        <f>IFERROR(__xludf.DUMMYFUNCTION("+G133+G136"),"#REF!")</f>
        <v>#REF!</v>
      </c>
      <c r="H138" s="146" t="str">
        <f>IFERROR(__xludf.DUMMYFUNCTION("+H133+H136"),"#REF!")</f>
        <v>#REF!</v>
      </c>
      <c r="I138" s="146" t="str">
        <f>IFERROR(__xludf.DUMMYFUNCTION("+I133+I136"),"#REF!")</f>
        <v>#REF!</v>
      </c>
      <c r="J138" s="146" t="str">
        <f>IFERROR(__xludf.DUMMYFUNCTION("+J133+J136"),"#REF!")</f>
        <v>#REF!</v>
      </c>
      <c r="K138" s="146" t="str">
        <f>IFERROR(__xludf.DUMMYFUNCTION("+K133+K136"),"#REF!")</f>
        <v>#REF!</v>
      </c>
      <c r="L138" s="146" t="str">
        <f>IFERROR(__xludf.DUMMYFUNCTION("+L133+L136"),"#REF!")</f>
        <v>#REF!</v>
      </c>
    </row>
    <row r="140">
      <c r="A140" s="147" t="s">
        <v>91</v>
      </c>
      <c r="B140" s="23"/>
      <c r="C140" s="148" t="str">
        <f>'Note 9'!L140</f>
        <v>#REF!</v>
      </c>
      <c r="D140" s="149"/>
      <c r="E140" s="149"/>
      <c r="F140" s="149"/>
      <c r="G140" s="149"/>
    </row>
    <row r="141">
      <c r="A141" s="150"/>
      <c r="B141" s="7">
        <v>45382.0</v>
      </c>
      <c r="C141" s="7">
        <v>45016.0</v>
      </c>
      <c r="D141" s="149"/>
      <c r="E141" s="149"/>
      <c r="F141" s="149"/>
      <c r="G141" s="149"/>
    </row>
    <row r="142">
      <c r="A142" s="151" t="s">
        <v>92</v>
      </c>
      <c r="B142" s="37"/>
      <c r="C142" s="152"/>
      <c r="D142" s="149"/>
      <c r="E142" s="149"/>
      <c r="F142" s="149"/>
      <c r="G142" s="149"/>
    </row>
    <row r="143">
      <c r="A143" s="153" t="s">
        <v>93</v>
      </c>
      <c r="B143" s="80" t="str">
        <f>Sechdules!B221/100000</f>
        <v>#REF!</v>
      </c>
      <c r="C143" s="80" t="str">
        <f>IFERROR(__xludf.DUMMYFUNCTION("(+'TB_BS 2021-22'!B205+'TB_BS 2021-22'!B316+'TB_BS 2021-22'!B277+'TB_BS 2021-22'!B364+'TB_BS 2021-22'!B213)/100000"),"#REF!")</f>
        <v>#REF!</v>
      </c>
      <c r="D143" s="149"/>
      <c r="E143" s="149"/>
      <c r="F143" s="149"/>
      <c r="G143" s="149"/>
    </row>
    <row r="144">
      <c r="A144" s="154"/>
      <c r="B144" s="110" t="str">
        <f t="shared" ref="B144:C144" si="15">SUM(B143)</f>
        <v>#REF!</v>
      </c>
      <c r="C144" s="155" t="str">
        <f t="shared" si="15"/>
        <v>#REF!</v>
      </c>
      <c r="D144" s="149"/>
      <c r="E144" s="149"/>
      <c r="F144" s="149"/>
      <c r="G144" s="149"/>
    </row>
    <row r="145">
      <c r="A145" s="156"/>
      <c r="B145" s="74"/>
      <c r="C145" s="157"/>
      <c r="D145" s="149"/>
      <c r="E145" s="149"/>
      <c r="F145" s="149"/>
      <c r="G145" s="149"/>
    </row>
    <row r="146">
      <c r="A146" s="46" t="s">
        <v>94</v>
      </c>
      <c r="B146" s="33"/>
      <c r="C146" s="33"/>
      <c r="D146" s="149"/>
      <c r="E146" s="149"/>
      <c r="F146" s="2"/>
      <c r="G146" s="2"/>
    </row>
    <row r="147">
      <c r="A147" s="106"/>
      <c r="B147" s="7">
        <v>45382.0</v>
      </c>
      <c r="C147" s="7">
        <v>45016.0</v>
      </c>
      <c r="D147" s="149"/>
      <c r="E147" s="149"/>
      <c r="F147" s="2"/>
      <c r="G147" s="2"/>
    </row>
    <row r="148">
      <c r="A148" s="62" t="s">
        <v>95</v>
      </c>
      <c r="B148" s="158">
        <f>992170/100000</f>
        <v>9.9217</v>
      </c>
      <c r="C148" s="11">
        <f>1013265/100000</f>
        <v>10.13265</v>
      </c>
      <c r="D148" s="149"/>
      <c r="E148" s="149"/>
      <c r="F148" s="2"/>
      <c r="G148" s="2"/>
    </row>
    <row r="149">
      <c r="A149" s="108"/>
      <c r="B149" s="110">
        <f t="shared" ref="B149:C149" si="16">SUM(B148)</f>
        <v>9.9217</v>
      </c>
      <c r="C149" s="110">
        <f t="shared" si="16"/>
        <v>10.13265</v>
      </c>
      <c r="D149" s="149"/>
      <c r="E149" s="149"/>
      <c r="F149" s="2"/>
      <c r="G149" s="2"/>
    </row>
    <row r="150">
      <c r="A150" s="2"/>
      <c r="B150" s="2"/>
      <c r="C150" s="2"/>
      <c r="D150" s="149"/>
      <c r="E150" s="149"/>
      <c r="F150" s="2"/>
      <c r="G150" s="2"/>
    </row>
    <row r="151">
      <c r="A151" s="151" t="s">
        <v>96</v>
      </c>
      <c r="B151" s="74"/>
      <c r="C151" s="157"/>
      <c r="D151" s="149"/>
      <c r="E151" s="149"/>
      <c r="F151" s="149"/>
      <c r="G151" s="149"/>
    </row>
    <row r="152">
      <c r="A152" s="154"/>
      <c r="B152" s="7">
        <v>45382.0</v>
      </c>
      <c r="C152" s="7">
        <v>45016.0</v>
      </c>
      <c r="D152" s="149"/>
      <c r="E152" s="149"/>
      <c r="F152" s="149"/>
      <c r="G152" s="149"/>
    </row>
    <row r="153">
      <c r="A153" s="159" t="s">
        <v>92</v>
      </c>
      <c r="B153" s="74"/>
      <c r="C153" s="157"/>
      <c r="D153" s="149"/>
      <c r="E153" s="149"/>
      <c r="F153" s="149"/>
      <c r="G153" s="149"/>
    </row>
    <row r="154">
      <c r="A154" s="160" t="s">
        <v>97</v>
      </c>
      <c r="B154" s="80">
        <f>B162</f>
        <v>769.7080509</v>
      </c>
      <c r="C154" s="80">
        <f>93293111/100000</f>
        <v>932.93111</v>
      </c>
      <c r="D154" s="149"/>
      <c r="E154" s="149"/>
      <c r="F154" s="149"/>
      <c r="G154" s="149"/>
    </row>
    <row r="155">
      <c r="A155" s="160" t="s">
        <v>98</v>
      </c>
      <c r="B155" s="161">
        <f>C162+D162</f>
        <v>64.0810122</v>
      </c>
      <c r="C155" s="80">
        <f>10485535.86/100000</f>
        <v>104.8553586</v>
      </c>
      <c r="D155" s="149"/>
      <c r="E155" s="149"/>
      <c r="F155" s="149"/>
      <c r="G155" s="149"/>
    </row>
    <row r="156">
      <c r="A156" s="150"/>
      <c r="B156" s="155">
        <f t="shared" ref="B156:C156" si="17">SUM(B154:B155)</f>
        <v>833.7890631</v>
      </c>
      <c r="C156" s="155">
        <f t="shared" si="17"/>
        <v>1037.786469</v>
      </c>
      <c r="D156" s="162"/>
      <c r="E156" s="149"/>
      <c r="F156" s="149"/>
      <c r="G156" s="149"/>
    </row>
    <row r="157">
      <c r="A157" s="149"/>
      <c r="B157" s="74"/>
      <c r="C157" s="157"/>
      <c r="D157" s="149"/>
      <c r="E157" s="149"/>
      <c r="F157" s="149"/>
      <c r="G157" s="149"/>
    </row>
    <row r="158">
      <c r="A158" s="85" t="s">
        <v>99</v>
      </c>
      <c r="B158" s="86"/>
      <c r="C158" s="86"/>
      <c r="D158" s="86"/>
      <c r="E158" s="86"/>
      <c r="F158" s="86"/>
      <c r="G158" s="86"/>
    </row>
    <row r="159">
      <c r="A159" s="87" t="s">
        <v>53</v>
      </c>
      <c r="B159" s="163" t="s">
        <v>54</v>
      </c>
      <c r="C159" s="79"/>
      <c r="D159" s="79"/>
      <c r="E159" s="79"/>
      <c r="F159" s="79"/>
      <c r="G159" s="164" t="s">
        <v>59</v>
      </c>
    </row>
    <row r="160">
      <c r="A160" s="90"/>
      <c r="B160" s="165" t="s">
        <v>100</v>
      </c>
      <c r="C160" s="165" t="s">
        <v>101</v>
      </c>
      <c r="D160" s="165" t="s">
        <v>56</v>
      </c>
      <c r="E160" s="165" t="s">
        <v>57</v>
      </c>
      <c r="F160" s="165" t="s">
        <v>58</v>
      </c>
      <c r="G160" s="90"/>
    </row>
    <row r="161">
      <c r="A161" s="93" t="s">
        <v>102</v>
      </c>
      <c r="B161" s="86"/>
      <c r="C161" s="86"/>
      <c r="D161" s="86"/>
      <c r="E161" s="86"/>
      <c r="F161" s="86"/>
      <c r="G161" s="86"/>
    </row>
    <row r="162">
      <c r="A162" s="94" t="s">
        <v>103</v>
      </c>
      <c r="B162" s="166">
        <f>76970805.09/100000</f>
        <v>769.7080509</v>
      </c>
      <c r="C162" s="166">
        <f>4266422/100000</f>
        <v>42.66422</v>
      </c>
      <c r="D162" s="166">
        <f>2141679.22/100000</f>
        <v>21.4167922</v>
      </c>
      <c r="E162" s="166">
        <v>0.0</v>
      </c>
      <c r="F162" s="166">
        <v>0.0</v>
      </c>
      <c r="G162" s="166">
        <f t="shared" ref="G162:G163" si="18">SUM(B162:F162)</f>
        <v>833.7890631</v>
      </c>
    </row>
    <row r="163">
      <c r="A163" s="94" t="s">
        <v>104</v>
      </c>
      <c r="B163" s="166">
        <v>0.0</v>
      </c>
      <c r="C163" s="166">
        <v>0.0</v>
      </c>
      <c r="D163" s="166">
        <v>0.0</v>
      </c>
      <c r="E163" s="166">
        <v>0.0</v>
      </c>
      <c r="F163" s="166">
        <v>0.0</v>
      </c>
      <c r="G163" s="166">
        <f t="shared" si="18"/>
        <v>0</v>
      </c>
    </row>
    <row r="164">
      <c r="A164" s="93" t="s">
        <v>105</v>
      </c>
      <c r="B164" s="96"/>
      <c r="C164" s="96"/>
      <c r="D164" s="96"/>
      <c r="E164" s="96"/>
      <c r="F164" s="96"/>
      <c r="G164" s="96"/>
    </row>
    <row r="165">
      <c r="A165" s="94" t="s">
        <v>103</v>
      </c>
      <c r="B165" s="166">
        <v>0.0</v>
      </c>
      <c r="C165" s="166">
        <v>0.0</v>
      </c>
      <c r="D165" s="166">
        <v>0.0</v>
      </c>
      <c r="E165" s="166">
        <v>0.0</v>
      </c>
      <c r="F165" s="166">
        <v>0.0</v>
      </c>
      <c r="G165" s="166">
        <f t="shared" ref="G165:G166" si="19">SUM(B165:F165)</f>
        <v>0</v>
      </c>
    </row>
    <row r="166">
      <c r="A166" s="94" t="s">
        <v>104</v>
      </c>
      <c r="B166" s="166">
        <v>0.0</v>
      </c>
      <c r="C166" s="166">
        <v>0.0</v>
      </c>
      <c r="D166" s="166">
        <v>0.0</v>
      </c>
      <c r="E166" s="166">
        <v>0.0</v>
      </c>
      <c r="F166" s="166">
        <v>0.0</v>
      </c>
      <c r="G166" s="166">
        <f t="shared" si="19"/>
        <v>0</v>
      </c>
    </row>
    <row r="167">
      <c r="A167" s="104" t="s">
        <v>59</v>
      </c>
      <c r="B167" s="167">
        <f t="shared" ref="B167:G167" si="20">SUM(B162:B166)</f>
        <v>769.7080509</v>
      </c>
      <c r="C167" s="167">
        <f t="shared" si="20"/>
        <v>42.66422</v>
      </c>
      <c r="D167" s="167">
        <f t="shared" si="20"/>
        <v>21.4167922</v>
      </c>
      <c r="E167" s="167">
        <f t="shared" si="20"/>
        <v>0</v>
      </c>
      <c r="F167" s="167">
        <f t="shared" si="20"/>
        <v>0</v>
      </c>
      <c r="G167" s="167">
        <f t="shared" si="20"/>
        <v>833.7890631</v>
      </c>
    </row>
    <row r="168">
      <c r="A168" s="149"/>
      <c r="B168" s="74"/>
      <c r="C168" s="157"/>
      <c r="D168" s="149"/>
      <c r="E168" s="149"/>
      <c r="F168" s="149"/>
      <c r="G168" s="149"/>
    </row>
    <row r="169">
      <c r="A169" s="85" t="s">
        <v>106</v>
      </c>
      <c r="B169" s="86"/>
      <c r="C169" s="86"/>
      <c r="D169" s="86"/>
      <c r="E169" s="86"/>
      <c r="F169" s="86"/>
      <c r="G169" s="86"/>
    </row>
    <row r="170">
      <c r="A170" s="87" t="s">
        <v>53</v>
      </c>
      <c r="B170" s="163" t="s">
        <v>54</v>
      </c>
      <c r="C170" s="79"/>
      <c r="D170" s="79"/>
      <c r="E170" s="79"/>
      <c r="F170" s="79"/>
      <c r="G170" s="164" t="s">
        <v>59</v>
      </c>
    </row>
    <row r="171">
      <c r="A171" s="90"/>
      <c r="B171" s="165" t="s">
        <v>100</v>
      </c>
      <c r="C171" s="165" t="s">
        <v>101</v>
      </c>
      <c r="D171" s="165" t="s">
        <v>56</v>
      </c>
      <c r="E171" s="165" t="s">
        <v>57</v>
      </c>
      <c r="F171" s="165" t="s">
        <v>58</v>
      </c>
      <c r="G171" s="90"/>
    </row>
    <row r="172">
      <c r="A172" s="93" t="s">
        <v>102</v>
      </c>
      <c r="B172" s="86"/>
      <c r="C172" s="86"/>
      <c r="D172" s="86"/>
      <c r="E172" s="86"/>
      <c r="F172" s="86"/>
      <c r="G172" s="86"/>
    </row>
    <row r="173">
      <c r="A173" s="94" t="s">
        <v>103</v>
      </c>
      <c r="B173" s="166">
        <f>93293485/100000</f>
        <v>932.93485</v>
      </c>
      <c r="C173" s="166">
        <f>10485535.86/100000</f>
        <v>104.8553586</v>
      </c>
      <c r="D173" s="166">
        <v>0.0</v>
      </c>
      <c r="E173" s="166">
        <v>0.0</v>
      </c>
      <c r="F173" s="166">
        <v>0.0</v>
      </c>
      <c r="G173" s="166">
        <f t="shared" ref="G173:G174" si="21">SUM(B173:F173)</f>
        <v>1037.790209</v>
      </c>
    </row>
    <row r="174">
      <c r="A174" s="94" t="s">
        <v>104</v>
      </c>
      <c r="B174" s="166">
        <v>0.0</v>
      </c>
      <c r="C174" s="166">
        <v>0.0</v>
      </c>
      <c r="D174" s="166">
        <v>0.0</v>
      </c>
      <c r="E174" s="166">
        <v>0.0</v>
      </c>
      <c r="F174" s="166">
        <v>0.0</v>
      </c>
      <c r="G174" s="166">
        <f t="shared" si="21"/>
        <v>0</v>
      </c>
    </row>
    <row r="175">
      <c r="A175" s="93" t="s">
        <v>105</v>
      </c>
      <c r="B175" s="96"/>
      <c r="C175" s="96"/>
      <c r="D175" s="96"/>
      <c r="E175" s="96"/>
      <c r="F175" s="96"/>
      <c r="G175" s="96"/>
    </row>
    <row r="176">
      <c r="A176" s="94" t="s">
        <v>103</v>
      </c>
      <c r="B176" s="166">
        <v>0.0</v>
      </c>
      <c r="C176" s="166">
        <v>0.0</v>
      </c>
      <c r="D176" s="166">
        <v>0.0</v>
      </c>
      <c r="E176" s="166">
        <v>0.0</v>
      </c>
      <c r="F176" s="166">
        <v>0.0</v>
      </c>
      <c r="G176" s="166">
        <f t="shared" ref="G176:G177" si="22">SUM(B176:F176)</f>
        <v>0</v>
      </c>
    </row>
    <row r="177">
      <c r="A177" s="94" t="s">
        <v>104</v>
      </c>
      <c r="B177" s="166">
        <v>0.0</v>
      </c>
      <c r="C177" s="166">
        <v>0.0</v>
      </c>
      <c r="D177" s="166">
        <v>0.0</v>
      </c>
      <c r="E177" s="166">
        <v>0.0</v>
      </c>
      <c r="F177" s="166">
        <v>0.0</v>
      </c>
      <c r="G177" s="166">
        <f t="shared" si="22"/>
        <v>0</v>
      </c>
    </row>
    <row r="178">
      <c r="A178" s="104" t="s">
        <v>59</v>
      </c>
      <c r="B178" s="167">
        <f t="shared" ref="B178:G178" si="23">SUM(B173:B177)</f>
        <v>932.93485</v>
      </c>
      <c r="C178" s="167">
        <f t="shared" si="23"/>
        <v>104.8553586</v>
      </c>
      <c r="D178" s="167">
        <f t="shared" si="23"/>
        <v>0</v>
      </c>
      <c r="E178" s="167">
        <f t="shared" si="23"/>
        <v>0</v>
      </c>
      <c r="F178" s="167">
        <f t="shared" si="23"/>
        <v>0</v>
      </c>
      <c r="G178" s="167">
        <f t="shared" si="23"/>
        <v>1037.790209</v>
      </c>
    </row>
    <row r="179">
      <c r="A179" s="149"/>
      <c r="B179" s="74"/>
      <c r="C179" s="157"/>
      <c r="D179" s="149"/>
      <c r="E179" s="149"/>
      <c r="F179" s="149"/>
      <c r="G179" s="149"/>
    </row>
    <row r="180">
      <c r="A180" s="147" t="s">
        <v>107</v>
      </c>
      <c r="B180" s="23"/>
      <c r="C180" s="149"/>
      <c r="D180" s="149"/>
      <c r="E180" s="149"/>
      <c r="F180" s="149"/>
      <c r="G180" s="149"/>
    </row>
    <row r="181">
      <c r="A181" s="154"/>
      <c r="B181" s="7">
        <v>45382.0</v>
      </c>
      <c r="C181" s="7">
        <v>45016.0</v>
      </c>
      <c r="D181" s="149"/>
      <c r="E181" s="149"/>
      <c r="F181" s="149"/>
      <c r="G181" s="149"/>
    </row>
    <row r="182">
      <c r="A182" s="147" t="s">
        <v>108</v>
      </c>
      <c r="B182" s="74"/>
      <c r="C182" s="157"/>
      <c r="D182" s="149"/>
      <c r="E182" s="149"/>
      <c r="F182" s="149"/>
      <c r="G182" s="149"/>
    </row>
    <row r="183">
      <c r="A183" s="153" t="s">
        <v>109</v>
      </c>
      <c r="B183" s="80" t="str">
        <f>IFERROR(__xludf.DUMMYFUNCTION("+'Trial Balance'!D173/100000"),"#REF!")</f>
        <v>#REF!</v>
      </c>
      <c r="C183" s="80">
        <f>56450901.6/100000</f>
        <v>564.509016</v>
      </c>
      <c r="D183" s="149"/>
      <c r="E183" s="149"/>
      <c r="F183" s="149"/>
      <c r="G183" s="149"/>
    </row>
    <row r="184">
      <c r="A184" s="153" t="s">
        <v>110</v>
      </c>
      <c r="B184" s="80" t="str">
        <f>IFERROR(__xludf.DUMMYFUNCTION("(+'Trial Balance'!D172+2)/100000"),"#REF!")</f>
        <v>#REF!</v>
      </c>
      <c r="C184" s="81">
        <f>387068/100000</f>
        <v>3.87068</v>
      </c>
      <c r="D184" s="149"/>
      <c r="E184" s="149"/>
      <c r="F184" s="149"/>
      <c r="G184" s="149"/>
    </row>
    <row r="185">
      <c r="A185" s="147" t="s">
        <v>111</v>
      </c>
      <c r="B185" s="162"/>
      <c r="C185" s="162"/>
      <c r="D185" s="149"/>
      <c r="E185" s="149"/>
      <c r="F185" s="149"/>
      <c r="G185" s="149"/>
    </row>
    <row r="186">
      <c r="A186" s="153" t="s">
        <v>112</v>
      </c>
      <c r="B186" s="80">
        <f>(40517061-218107)/100000</f>
        <v>402.98954</v>
      </c>
      <c r="C186" s="80">
        <f>55406937/100000</f>
        <v>554.06937</v>
      </c>
      <c r="D186" s="149"/>
      <c r="E186" s="149"/>
      <c r="F186" s="149"/>
      <c r="G186" s="149"/>
    </row>
    <row r="187">
      <c r="A187" s="150"/>
      <c r="B187" s="110" t="str">
        <f t="shared" ref="B187:C187" si="24">SUM(B183:B186)</f>
        <v>#REF!</v>
      </c>
      <c r="C187" s="155">
        <f t="shared" si="24"/>
        <v>1122.449066</v>
      </c>
      <c r="D187" s="149"/>
      <c r="E187" s="149"/>
      <c r="F187" s="149"/>
      <c r="G187" s="149"/>
    </row>
    <row r="188">
      <c r="A188" s="149"/>
      <c r="B188" s="74"/>
      <c r="C188" s="157"/>
      <c r="D188" s="149"/>
      <c r="E188" s="149"/>
      <c r="F188" s="149"/>
      <c r="G188" s="149"/>
    </row>
    <row r="189">
      <c r="A189" s="147" t="s">
        <v>113</v>
      </c>
      <c r="B189" s="23"/>
      <c r="C189" s="149"/>
      <c r="D189" s="149"/>
      <c r="E189" s="149"/>
      <c r="F189" s="149"/>
      <c r="G189" s="149"/>
    </row>
    <row r="190">
      <c r="A190" s="150"/>
      <c r="B190" s="7">
        <v>45382.0</v>
      </c>
      <c r="C190" s="7">
        <v>45016.0</v>
      </c>
      <c r="D190" s="149"/>
      <c r="E190" s="149"/>
      <c r="F190" s="149"/>
      <c r="G190" s="149"/>
    </row>
    <row r="191">
      <c r="A191" s="151" t="s">
        <v>92</v>
      </c>
      <c r="B191" s="37"/>
      <c r="C191" s="152"/>
      <c r="D191" s="149"/>
      <c r="E191" s="149"/>
      <c r="F191" s="149"/>
      <c r="G191" s="149"/>
    </row>
    <row r="192">
      <c r="A192" s="153" t="s">
        <v>114</v>
      </c>
      <c r="B192" s="80" t="str">
        <f>IFERROR(__xludf.DUMMYFUNCTION("+'Trial Balance'!D176/100000"),"#REF!")</f>
        <v>#REF!</v>
      </c>
      <c r="C192" s="80">
        <f>1267096/100000</f>
        <v>12.67096</v>
      </c>
      <c r="D192" s="149"/>
      <c r="E192" s="157"/>
      <c r="F192" s="149"/>
      <c r="G192" s="149"/>
    </row>
    <row r="193">
      <c r="A193" s="153" t="s">
        <v>115</v>
      </c>
      <c r="B193" s="80" t="str">
        <f>Sechdules!B284/100000</f>
        <v>#REF!</v>
      </c>
      <c r="C193" s="80">
        <f>516976/100000</f>
        <v>5.16976</v>
      </c>
      <c r="D193" s="149"/>
      <c r="E193" s="157"/>
      <c r="F193" s="149"/>
      <c r="G193" s="149"/>
    </row>
    <row r="194">
      <c r="A194" s="147" t="s">
        <v>116</v>
      </c>
      <c r="B194" s="162"/>
      <c r="C194" s="162"/>
      <c r="D194" s="149"/>
      <c r="E194" s="157"/>
      <c r="F194" s="149"/>
      <c r="G194" s="149"/>
    </row>
    <row r="195">
      <c r="A195" s="153" t="s">
        <v>117</v>
      </c>
      <c r="B195" s="80" t="str">
        <f>'Trial Balance CB'!B475/100000</f>
        <v>#REF!</v>
      </c>
      <c r="C195" s="80">
        <f>25130000/100000</f>
        <v>251.3</v>
      </c>
      <c r="D195" s="157"/>
      <c r="E195" s="157"/>
      <c r="F195" s="149"/>
      <c r="G195" s="149"/>
    </row>
    <row r="196">
      <c r="A196" s="153" t="s">
        <v>118</v>
      </c>
      <c r="B196" s="80" t="str">
        <f>Sechdules!B301/100000</f>
        <v>#REF!</v>
      </c>
      <c r="C196" s="80">
        <f>52013407.34/100000</f>
        <v>520.1340734</v>
      </c>
      <c r="D196" s="149"/>
      <c r="E196" s="157"/>
      <c r="F196" s="149"/>
      <c r="G196" s="149"/>
    </row>
    <row r="197">
      <c r="A197" s="154"/>
      <c r="B197" s="110" t="str">
        <f t="shared" ref="B197:C197" si="25">SUM(B192:B196)</f>
        <v>#REF!</v>
      </c>
      <c r="C197" s="155">
        <f t="shared" si="25"/>
        <v>789.2747934</v>
      </c>
      <c r="D197" s="162"/>
      <c r="E197" s="149"/>
      <c r="F197" s="149"/>
      <c r="G197" s="149"/>
    </row>
    <row r="198">
      <c r="A198" s="156"/>
      <c r="B198" s="74"/>
      <c r="C198" s="157"/>
      <c r="D198" s="162"/>
      <c r="E198" s="149"/>
      <c r="F198" s="149"/>
      <c r="G198" s="149"/>
    </row>
    <row r="199">
      <c r="A199" s="151" t="s">
        <v>119</v>
      </c>
      <c r="B199" s="74"/>
      <c r="C199" s="168"/>
      <c r="D199" s="162"/>
      <c r="E199" s="149"/>
      <c r="F199" s="149"/>
      <c r="G199" s="149"/>
    </row>
    <row r="200">
      <c r="A200" s="154"/>
      <c r="B200" s="7">
        <v>45382.0</v>
      </c>
      <c r="C200" s="7">
        <v>45016.0</v>
      </c>
      <c r="D200" s="162"/>
      <c r="E200" s="149"/>
      <c r="F200" s="149"/>
      <c r="G200" s="149"/>
    </row>
    <row r="201">
      <c r="A201" s="153" t="s">
        <v>120</v>
      </c>
      <c r="B201" s="80">
        <f>218107/100000</f>
        <v>2.18107</v>
      </c>
      <c r="C201" s="169">
        <f>101368/100000</f>
        <v>1.01368</v>
      </c>
      <c r="D201" s="162"/>
      <c r="E201" s="149"/>
      <c r="F201" s="149"/>
      <c r="G201" s="149"/>
    </row>
    <row r="202">
      <c r="A202" s="154"/>
      <c r="B202" s="155">
        <f t="shared" ref="B202:C202" si="26">SUM(B201)</f>
        <v>2.18107</v>
      </c>
      <c r="C202" s="170">
        <f t="shared" si="26"/>
        <v>1.01368</v>
      </c>
      <c r="D202" s="162"/>
      <c r="E202" s="149"/>
      <c r="F202" s="149"/>
      <c r="G202" s="149"/>
    </row>
  </sheetData>
  <mergeCells count="32">
    <mergeCell ref="B34:C34"/>
    <mergeCell ref="D34:E34"/>
    <mergeCell ref="A13:A14"/>
    <mergeCell ref="B13:C13"/>
    <mergeCell ref="D13:E13"/>
    <mergeCell ref="A20:E20"/>
    <mergeCell ref="B23:C23"/>
    <mergeCell ref="D23:E23"/>
    <mergeCell ref="A31:E32"/>
    <mergeCell ref="A23:A24"/>
    <mergeCell ref="A34:A35"/>
    <mergeCell ref="B61:C61"/>
    <mergeCell ref="D61:E61"/>
    <mergeCell ref="A68:E68"/>
    <mergeCell ref="B69:C69"/>
    <mergeCell ref="D69:E69"/>
    <mergeCell ref="C123:F123"/>
    <mergeCell ref="G123:J123"/>
    <mergeCell ref="A159:A160"/>
    <mergeCell ref="B159:F159"/>
    <mergeCell ref="G159:G160"/>
    <mergeCell ref="A170:A171"/>
    <mergeCell ref="B170:F170"/>
    <mergeCell ref="G170:G171"/>
    <mergeCell ref="A71:C71"/>
    <mergeCell ref="A73:E73"/>
    <mergeCell ref="A87:A88"/>
    <mergeCell ref="A99:A100"/>
    <mergeCell ref="B99:E99"/>
    <mergeCell ref="A122:L122"/>
    <mergeCell ref="A123:B124"/>
    <mergeCell ref="K123:L123"/>
  </mergeCells>
  <drawing r:id="rId1"/>
</worksheet>
</file>