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210"/>
  </bookViews>
  <sheets>
    <sheet name="Sheet1" sheetId="1" r:id="rId1"/>
  </sheets>
  <externalReferences>
    <externalReference r:id="rId2"/>
  </externalReferences>
  <definedNames>
    <definedName name="\B">#REF!</definedName>
    <definedName name="\E">#REF!</definedName>
    <definedName name="\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<sst xmlns="http://schemas.openxmlformats.org/spreadsheetml/2006/main" count="68" uniqueCount="68">
  <si>
    <t>16. Revenue from Operations</t>
  </si>
  <si>
    <t>Sale of Services</t>
  </si>
  <si>
    <t>Domestic</t>
  </si>
  <si>
    <t>Exports</t>
  </si>
  <si>
    <t>17. Other income</t>
  </si>
  <si>
    <t>Interest income</t>
  </si>
  <si>
    <t>Foreign exchange gain (Net)</t>
  </si>
  <si>
    <t>18. Cost of materials consumed</t>
  </si>
  <si>
    <t>Opening stock</t>
  </si>
  <si>
    <t>Add: Purchases</t>
  </si>
  <si>
    <t>Less: Closing stock</t>
  </si>
  <si>
    <t>Cost of materials consumed</t>
  </si>
  <si>
    <t>19. Employee benefit expense</t>
  </si>
  <si>
    <t>Salaries, wages and bonus</t>
  </si>
  <si>
    <t>Contribution to PF &amp; ESI</t>
  </si>
  <si>
    <t>Staff welfare expenses</t>
  </si>
  <si>
    <t>20. Other expenses</t>
  </si>
  <si>
    <t>BA / BE NOC Charges</t>
  </si>
  <si>
    <t>BA Expenses</t>
  </si>
  <si>
    <t>Payments to Volunteers</t>
  </si>
  <si>
    <t>Other Operating Expenses</t>
  </si>
  <si>
    <t>Laboratory testing charges</t>
  </si>
  <si>
    <t>Rent</t>
  </si>
  <si>
    <t>Rates &amp; Taxes</t>
  </si>
  <si>
    <t>Fees &amp; licenses</t>
  </si>
  <si>
    <t>Insurance</t>
  </si>
  <si>
    <t>Membership &amp; Subscription Charges</t>
  </si>
  <si>
    <t>Postage &amp; Communication Cost</t>
  </si>
  <si>
    <t>Printing and stationery</t>
  </si>
  <si>
    <t>CSR Fund Expenses</t>
  </si>
  <si>
    <t>Telephone &amp; Internet</t>
  </si>
  <si>
    <t>Travelling and Conveyance</t>
  </si>
  <si>
    <t>Translation Charges</t>
  </si>
  <si>
    <t>Electricity Charges</t>
  </si>
  <si>
    <t>Security Charges</t>
  </si>
  <si>
    <t>Annual Maintenance Charges</t>
  </si>
  <si>
    <t>Repairs and maintenance</t>
  </si>
  <si>
    <t>- Electrical</t>
  </si>
  <si>
    <t>- Office</t>
  </si>
  <si>
    <t>- Machinery</t>
  </si>
  <si>
    <t>- Vehicles</t>
  </si>
  <si>
    <t>- Others</t>
  </si>
  <si>
    <t>Business Development Expenses</t>
  </si>
  <si>
    <t>Professional &amp; Consultancy Fees</t>
  </si>
  <si>
    <t>Payment to Auditors*</t>
  </si>
  <si>
    <t>Bad Debts Written Off</t>
  </si>
  <si>
    <t>Fire Extingushiers Refilling Charges</t>
  </si>
  <si>
    <t>Food Expenses for Guests</t>
  </si>
  <si>
    <t>Diesel Expenses</t>
  </si>
  <si>
    <t xml:space="preserve">Interest Under 234 C Fy 2021-22 </t>
  </si>
  <si>
    <t>Loan Processing Charges</t>
  </si>
  <si>
    <t>Sitting Fee of Directors</t>
  </si>
  <si>
    <t>Customs Duty Payment</t>
  </si>
  <si>
    <t>Transportation and Unloading Charges</t>
  </si>
  <si>
    <t>Software Equipment</t>
  </si>
  <si>
    <t>Miscellaneous expenses</t>
  </si>
  <si>
    <t xml:space="preserve">     * Fees is net of GST which is taken as input tax credit.</t>
  </si>
  <si>
    <t>21. Depreciation and amortisation expense</t>
  </si>
  <si>
    <t>Depreciation &amp; amortisation</t>
  </si>
  <si>
    <t>22. Loss on Sale of Assets &amp; Investments</t>
  </si>
  <si>
    <t>Short Term Loss on Sale of Investments (Non Derivative Loss)</t>
  </si>
  <si>
    <t>Long term loss on sale of investments</t>
  </si>
  <si>
    <t>Loss on Sale of Fixed Assets</t>
  </si>
  <si>
    <t>23. Finance costs</t>
  </si>
  <si>
    <t>Bank &amp; Finance Charges</t>
  </si>
  <si>
    <t>24. Payment to auditor</t>
  </si>
  <si>
    <t>- For Audit fee</t>
  </si>
  <si>
    <t>- For Tax Audit / Certification Fees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</si>
</sst>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* #,##0.00_);_(* \(#,##0.00\);_(* &quot;-&quot;??_);_(@_)"/>
    <numFmt numFmtId="181" formatCode="_(* #,##0_);_(* \(#,##0\);_(* &quot;-&quot;??_);_(@_)"/>
    <numFmt numFmtId="182" formatCode="[$-409]mmmm\ d\,\ yyyy;@"/>
    <numFmt numFmtId="183" formatCode="_(* #,##0_);_(* \(#,##0\);_(* &quot;-&quot;_);_(@_)"/>
  </numFmts>
  <fonts count="37">
    <font>
      <sz val="11"/>
      <color theme="1"/>
      <name val="Calibri"/>
      <charset val="134"/>
      <scheme val="minor"/>
    </font>
    <font>
      <b/>
      <sz val="14"/>
      <color indexed="8"/>
      <name val="Book Antiqua"/>
      <charset val="134"/>
    </font>
    <font>
      <sz val="10"/>
      <color indexed="8"/>
      <name val="Book Antiqua"/>
      <charset val="134"/>
    </font>
    <font>
      <b/>
      <sz val="11"/>
      <name val="Book Antiqua"/>
      <charset val="134"/>
    </font>
    <font>
      <sz val="10"/>
      <name val="Book Antiqua"/>
      <charset val="134"/>
    </font>
    <font>
      <b/>
      <i/>
      <sz val="10"/>
      <color indexed="8"/>
      <name val="Book Antiqua"/>
      <charset val="134"/>
    </font>
    <font>
      <b/>
      <sz val="11"/>
      <color rgb="FF000000"/>
      <name val="Book Antiqua"/>
      <charset val="134"/>
    </font>
    <font>
      <sz val="11"/>
      <name val="Book Antiqua"/>
      <charset val="134"/>
    </font>
    <font>
      <i/>
      <sz val="11"/>
      <name val="Book Antiqua"/>
      <charset val="134"/>
    </font>
    <font>
      <b/>
      <sz val="11"/>
      <color theme="1"/>
      <name val="Book Antiqua"/>
      <charset val="134"/>
    </font>
    <font>
      <sz val="11"/>
      <color rgb="FF000000"/>
      <name val="Book Antiqua"/>
      <charset val="134"/>
    </font>
    <font>
      <b/>
      <sz val="11"/>
      <color indexed="8"/>
      <name val="Book Antiqua"/>
      <charset val="134"/>
    </font>
    <font>
      <sz val="11"/>
      <color indexed="8"/>
      <name val="Book Antiqua"/>
      <charset val="134"/>
    </font>
    <font>
      <sz val="11"/>
      <color theme="1"/>
      <name val="Book Antiqua"/>
      <charset val="134"/>
    </font>
    <font>
      <i/>
      <sz val="11"/>
      <color indexed="8"/>
      <name val="Book Antiqua"/>
      <charset val="134"/>
    </font>
    <font>
      <b/>
      <sz val="10"/>
      <name val="Book Antiqu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indexed="8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11" applyNumberFormat="0" applyAlignment="0" applyProtection="0">
      <alignment vertical="center"/>
    </xf>
    <xf numFmtId="0" fontId="25" fillId="5" borderId="12" applyNumberFormat="0" applyAlignment="0" applyProtection="0">
      <alignment vertical="center"/>
    </xf>
    <xf numFmtId="0" fontId="26" fillId="5" borderId="11" applyNumberFormat="0" applyAlignment="0" applyProtection="0">
      <alignment vertical="center"/>
    </xf>
    <xf numFmtId="0" fontId="27" fillId="6" borderId="13" applyNumberFormat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0" borderId="0"/>
    <xf numFmtId="180" fontId="36" fillId="0" borderId="0" applyFont="0" applyFill="0" applyBorder="0" applyAlignment="0" applyProtection="0"/>
  </cellStyleXfs>
  <cellXfs count="92">
    <xf numFmtId="0" fontId="0" fillId="0" borderId="0" xfId="0">
      <alignment vertical="center"/>
    </xf>
    <xf numFmtId="0" fontId="1" fillId="0" borderId="0" xfId="50" applyFont="1" applyAlignment="1">
      <alignment vertical="center"/>
    </xf>
    <xf numFmtId="181" fontId="2" fillId="2" borderId="0" xfId="1" applyNumberFormat="1" applyFont="1" applyFill="1" applyAlignment="1">
      <alignment vertical="center"/>
    </xf>
    <xf numFmtId="0" fontId="2" fillId="0" borderId="0" xfId="49" applyFont="1" applyAlignment="1">
      <alignment vertical="center"/>
    </xf>
    <xf numFmtId="0" fontId="3" fillId="0" borderId="0" xfId="49" applyFont="1"/>
    <xf numFmtId="181" fontId="2" fillId="0" borderId="0" xfId="52" applyNumberFormat="1" applyFont="1" applyFill="1" applyAlignment="1">
      <alignment vertical="center"/>
    </xf>
    <xf numFmtId="49" fontId="4" fillId="0" borderId="0" xfId="49" applyNumberFormat="1" applyFont="1"/>
    <xf numFmtId="181" fontId="5" fillId="0" borderId="0" xfId="52" applyNumberFormat="1" applyFont="1" applyFill="1" applyAlignment="1">
      <alignment vertical="center"/>
    </xf>
    <xf numFmtId="49" fontId="6" fillId="0" borderId="0" xfId="49" applyNumberFormat="1" applyFont="1"/>
    <xf numFmtId="181" fontId="7" fillId="2" borderId="1" xfId="1" applyNumberFormat="1" applyFont="1" applyFill="1" applyBorder="1" applyAlignment="1"/>
    <xf numFmtId="0" fontId="8" fillId="0" borderId="1" xfId="49" applyFont="1" applyBorder="1" applyAlignment="1">
      <alignment horizontal="right"/>
    </xf>
    <xf numFmtId="0" fontId="7" fillId="0" borderId="2" xfId="49" applyFont="1" applyBorder="1"/>
    <xf numFmtId="182" fontId="9" fillId="2" borderId="2" xfId="50" applyNumberFormat="1" applyFont="1" applyFill="1" applyBorder="1" applyAlignment="1">
      <alignment horizontal="right"/>
    </xf>
    <xf numFmtId="181" fontId="7" fillId="2" borderId="0" xfId="1" applyNumberFormat="1" applyFont="1" applyFill="1" applyAlignment="1"/>
    <xf numFmtId="0" fontId="7" fillId="0" borderId="0" xfId="49" applyFont="1"/>
    <xf numFmtId="49" fontId="10" fillId="0" borderId="0" xfId="49" applyNumberFormat="1" applyFont="1" applyAlignment="1">
      <alignment horizontal="left" indent="1"/>
    </xf>
    <xf numFmtId="180" fontId="7" fillId="2" borderId="0" xfId="1" applyNumberFormat="1" applyFont="1" applyFill="1" applyAlignment="1"/>
    <xf numFmtId="180" fontId="7" fillId="0" borderId="0" xfId="1" applyNumberFormat="1" applyFont="1" applyAlignment="1"/>
    <xf numFmtId="180" fontId="10" fillId="0" borderId="0" xfId="1" applyNumberFormat="1" applyFont="1" applyFill="1" applyAlignment="1">
      <alignment vertical="top"/>
    </xf>
    <xf numFmtId="49" fontId="10" fillId="0" borderId="2" xfId="49" applyNumberFormat="1" applyFont="1" applyBorder="1"/>
    <xf numFmtId="180" fontId="11" fillId="0" borderId="2" xfId="1" applyNumberFormat="1" applyFont="1" applyFill="1" applyBorder="1" applyAlignment="1">
      <alignment vertical="center"/>
    </xf>
    <xf numFmtId="49" fontId="7" fillId="0" borderId="0" xfId="49" applyNumberFormat="1" applyFont="1"/>
    <xf numFmtId="181" fontId="12" fillId="0" borderId="0" xfId="1" applyNumberFormat="1" applyFont="1" applyFill="1" applyAlignment="1">
      <alignment vertical="center"/>
    </xf>
    <xf numFmtId="181" fontId="12" fillId="0" borderId="0" xfId="52" applyNumberFormat="1" applyFont="1" applyFill="1" applyAlignment="1">
      <alignment vertical="center"/>
    </xf>
    <xf numFmtId="0" fontId="11" fillId="0" borderId="0" xfId="49" applyFont="1" applyAlignment="1">
      <alignment vertical="center"/>
    </xf>
    <xf numFmtId="181" fontId="12" fillId="2" borderId="0" xfId="1" applyNumberFormat="1" applyFont="1" applyFill="1" applyAlignment="1">
      <alignment vertical="center"/>
    </xf>
    <xf numFmtId="0" fontId="12" fillId="0" borderId="2" xfId="49" applyFont="1" applyBorder="1" applyAlignment="1">
      <alignment vertical="center"/>
    </xf>
    <xf numFmtId="0" fontId="7" fillId="0" borderId="0" xfId="49" applyFont="1" applyAlignment="1">
      <alignment vertical="center"/>
    </xf>
    <xf numFmtId="180" fontId="12" fillId="2" borderId="0" xfId="1" applyNumberFormat="1" applyFont="1" applyFill="1" applyBorder="1" applyAlignment="1">
      <alignment vertical="center"/>
    </xf>
    <xf numFmtId="180" fontId="12" fillId="0" borderId="0" xfId="1" applyNumberFormat="1" applyFont="1" applyFill="1" applyBorder="1" applyAlignment="1">
      <alignment vertical="center"/>
    </xf>
    <xf numFmtId="0" fontId="12" fillId="0" borderId="0" xfId="49" applyFont="1" applyAlignment="1">
      <alignment vertical="center"/>
    </xf>
    <xf numFmtId="180" fontId="12" fillId="2" borderId="0" xfId="1" applyNumberFormat="1" applyFont="1" applyFill="1" applyBorder="1" applyAlignment="1">
      <alignment horizontal="center" vertical="center"/>
    </xf>
    <xf numFmtId="0" fontId="11" fillId="0" borderId="2" xfId="49" applyFont="1" applyBorder="1" applyAlignment="1">
      <alignment vertical="center"/>
    </xf>
    <xf numFmtId="180" fontId="11" fillId="2" borderId="2" xfId="1" applyNumberFormat="1" applyFont="1" applyFill="1" applyBorder="1" applyAlignment="1">
      <alignment vertical="center"/>
    </xf>
    <xf numFmtId="181" fontId="12" fillId="2" borderId="0" xfId="1" applyNumberFormat="1" applyFont="1" applyFill="1" applyBorder="1" applyAlignment="1">
      <alignment vertical="center"/>
    </xf>
    <xf numFmtId="181" fontId="12" fillId="0" borderId="0" xfId="52" applyNumberFormat="1" applyFont="1" applyFill="1" applyBorder="1" applyAlignment="1">
      <alignment vertical="center"/>
    </xf>
    <xf numFmtId="180" fontId="12" fillId="0" borderId="1" xfId="1" applyNumberFormat="1" applyFont="1" applyFill="1" applyBorder="1" applyAlignment="1">
      <alignment vertical="center"/>
    </xf>
    <xf numFmtId="180" fontId="7" fillId="0" borderId="0" xfId="1" applyNumberFormat="1" applyFont="1" applyFill="1" applyBorder="1" applyAlignment="1">
      <alignment vertical="center"/>
    </xf>
    <xf numFmtId="180" fontId="12" fillId="0" borderId="0" xfId="1" applyNumberFormat="1" applyFont="1" applyFill="1" applyBorder="1" applyAlignment="1">
      <alignment horizontal="center" vertical="center"/>
    </xf>
    <xf numFmtId="181" fontId="11" fillId="2" borderId="0" xfId="1" applyNumberFormat="1" applyFont="1" applyFill="1" applyAlignment="1">
      <alignment vertical="center"/>
    </xf>
    <xf numFmtId="180" fontId="2" fillId="0" borderId="0" xfId="1" applyNumberFormat="1" applyFont="1" applyFill="1" applyAlignment="1">
      <alignment vertical="center"/>
    </xf>
    <xf numFmtId="180" fontId="2" fillId="2" borderId="0" xfId="1" applyNumberFormat="1" applyFont="1" applyFill="1" applyAlignment="1">
      <alignment vertical="center"/>
    </xf>
    <xf numFmtId="0" fontId="12" fillId="0" borderId="0" xfId="49" applyFont="1" applyAlignment="1">
      <alignment horizontal="left" vertical="center" indent="1"/>
    </xf>
    <xf numFmtId="180" fontId="12" fillId="2" borderId="0" xfId="1" applyNumberFormat="1" applyFont="1" applyFill="1" applyBorder="1" applyAlignment="1">
      <alignment vertical="top"/>
    </xf>
    <xf numFmtId="0" fontId="12" fillId="2" borderId="0" xfId="49" applyFont="1" applyFill="1" applyAlignment="1">
      <alignment vertical="center"/>
    </xf>
    <xf numFmtId="180" fontId="12" fillId="0" borderId="0" xfId="1" applyNumberFormat="1" applyFont="1" applyFill="1" applyBorder="1" applyAlignment="1">
      <alignment vertical="top"/>
    </xf>
    <xf numFmtId="180" fontId="12" fillId="2" borderId="0" xfId="1" applyNumberFormat="1" applyFont="1" applyFill="1" applyAlignment="1">
      <alignment vertical="center"/>
    </xf>
    <xf numFmtId="0" fontId="13" fillId="0" borderId="0" xfId="0" applyFont="1" applyFill="1" applyAlignment="1"/>
    <xf numFmtId="180" fontId="12" fillId="0" borderId="0" xfId="1" applyNumberFormat="1" applyFont="1" applyFill="1" applyAlignment="1">
      <alignment vertical="center"/>
    </xf>
    <xf numFmtId="0" fontId="14" fillId="0" borderId="0" xfId="49" applyFont="1" applyAlignment="1">
      <alignment vertical="center"/>
    </xf>
    <xf numFmtId="181" fontId="11" fillId="2" borderId="0" xfId="1" applyNumberFormat="1" applyFont="1" applyFill="1" applyBorder="1" applyAlignment="1">
      <alignment vertical="center"/>
    </xf>
    <xf numFmtId="181" fontId="11" fillId="0" borderId="0" xfId="1" applyNumberFormat="1" applyFont="1" applyFill="1" applyBorder="1" applyAlignment="1">
      <alignment vertical="center"/>
    </xf>
    <xf numFmtId="183" fontId="11" fillId="0" borderId="0" xfId="52" applyNumberFormat="1" applyFont="1" applyFill="1" applyBorder="1" applyAlignment="1">
      <alignment vertical="center"/>
    </xf>
    <xf numFmtId="181" fontId="12" fillId="0" borderId="0" xfId="1" applyNumberFormat="1" applyFont="1" applyFill="1" applyBorder="1" applyAlignment="1">
      <alignment vertical="center"/>
    </xf>
    <xf numFmtId="181" fontId="13" fillId="2" borderId="0" xfId="1" applyNumberFormat="1" applyFont="1" applyFill="1" applyBorder="1" applyAlignment="1">
      <alignment horizontal="right"/>
    </xf>
    <xf numFmtId="181" fontId="13" fillId="0" borderId="0" xfId="1" applyNumberFormat="1" applyFont="1" applyFill="1" applyBorder="1" applyAlignment="1">
      <alignment horizontal="right"/>
    </xf>
    <xf numFmtId="181" fontId="11" fillId="2" borderId="2" xfId="1" applyNumberFormat="1" applyFont="1" applyFill="1" applyBorder="1" applyAlignment="1">
      <alignment vertical="center"/>
    </xf>
    <xf numFmtId="181" fontId="11" fillId="0" borderId="2" xfId="52" applyNumberFormat="1" applyFont="1" applyFill="1" applyBorder="1" applyAlignment="1">
      <alignment vertical="center"/>
    </xf>
    <xf numFmtId="181" fontId="11" fillId="0" borderId="0" xfId="52" applyNumberFormat="1" applyFont="1" applyFill="1" applyBorder="1" applyAlignment="1">
      <alignment vertical="center"/>
    </xf>
    <xf numFmtId="180" fontId="13" fillId="2" borderId="0" xfId="1" applyNumberFormat="1" applyFont="1" applyFill="1" applyBorder="1" applyAlignment="1">
      <alignment horizontal="right"/>
    </xf>
    <xf numFmtId="180" fontId="13" fillId="0" borderId="0" xfId="1" applyNumberFormat="1" applyFont="1" applyFill="1" applyBorder="1" applyAlignment="1">
      <alignment horizontal="right"/>
    </xf>
    <xf numFmtId="0" fontId="13" fillId="0" borderId="0" xfId="49" applyFont="1" applyAlignment="1">
      <alignment vertical="center"/>
    </xf>
    <xf numFmtId="181" fontId="9" fillId="2" borderId="0" xfId="1" applyNumberFormat="1" applyFont="1" applyFill="1" applyAlignment="1">
      <alignment vertical="center"/>
    </xf>
    <xf numFmtId="181" fontId="13" fillId="0" borderId="0" xfId="49" applyNumberFormat="1" applyFont="1" applyAlignment="1">
      <alignment vertical="center"/>
    </xf>
    <xf numFmtId="0" fontId="11" fillId="0" borderId="0" xfId="51" applyFont="1" applyAlignment="1">
      <alignment vertical="center"/>
    </xf>
    <xf numFmtId="0" fontId="11" fillId="0" borderId="2" xfId="51" applyFont="1" applyBorder="1" applyAlignment="1">
      <alignment vertical="center"/>
    </xf>
    <xf numFmtId="49" fontId="10" fillId="0" borderId="0" xfId="51" applyNumberFormat="1" applyFont="1" applyAlignment="1">
      <alignment horizontal="left" indent="1"/>
    </xf>
    <xf numFmtId="0" fontId="12" fillId="0" borderId="2" xfId="51" applyFont="1" applyBorder="1" applyAlignment="1">
      <alignment vertical="center"/>
    </xf>
    <xf numFmtId="0" fontId="12" fillId="0" borderId="0" xfId="51" applyFont="1" applyAlignment="1">
      <alignment vertical="center"/>
    </xf>
    <xf numFmtId="0" fontId="15" fillId="0" borderId="0" xfId="0" applyFont="1" applyFill="1" applyAlignment="1">
      <alignment vertical="top"/>
    </xf>
    <xf numFmtId="181" fontId="15" fillId="0" borderId="0" xfId="1" applyNumberFormat="1" applyFont="1" applyAlignment="1">
      <alignment vertical="top"/>
    </xf>
    <xf numFmtId="182" fontId="15" fillId="0" borderId="0" xfId="0" applyNumberFormat="1" applyFont="1" applyFill="1" applyAlignment="1">
      <alignment vertical="top"/>
    </xf>
    <xf numFmtId="0" fontId="4" fillId="0" borderId="3" xfId="0" applyFont="1" applyFill="1" applyBorder="1" applyAlignment="1">
      <alignment vertical="top"/>
    </xf>
    <xf numFmtId="0" fontId="15" fillId="0" borderId="4" xfId="0" applyFont="1" applyFill="1" applyBorder="1" applyAlignment="1">
      <alignment horizontal="left" vertical="top" indent="2"/>
    </xf>
    <xf numFmtId="181" fontId="13" fillId="2" borderId="5" xfId="1" applyNumberFormat="1" applyFont="1" applyFill="1" applyBorder="1" applyAlignment="1"/>
    <xf numFmtId="0" fontId="4" fillId="0" borderId="5" xfId="0" applyFont="1" applyFill="1" applyBorder="1" applyAlignment="1">
      <alignment vertical="top"/>
    </xf>
    <xf numFmtId="0" fontId="4" fillId="0" borderId="6" xfId="0" applyFont="1" applyFill="1" applyBorder="1" applyAlignment="1">
      <alignment horizontal="left" vertical="top" indent="2"/>
    </xf>
    <xf numFmtId="180" fontId="4" fillId="0" borderId="1" xfId="1" applyNumberFormat="1" applyFont="1" applyFill="1" applyBorder="1" applyAlignment="1">
      <alignment vertical="top"/>
    </xf>
    <xf numFmtId="180" fontId="4" fillId="0" borderId="7" xfId="1" applyNumberFormat="1" applyFont="1" applyBorder="1" applyAlignment="1">
      <alignment vertical="top"/>
    </xf>
    <xf numFmtId="0" fontId="4" fillId="0" borderId="0" xfId="0" applyFont="1" applyFill="1" applyAlignment="1">
      <alignment horizontal="left" vertical="top" indent="2"/>
    </xf>
    <xf numFmtId="181" fontId="13" fillId="2" borderId="0" xfId="1" applyNumberFormat="1" applyFont="1" applyFill="1" applyAlignment="1"/>
    <xf numFmtId="0" fontId="4" fillId="0" borderId="0" xfId="0" applyFont="1" applyFill="1" applyAlignment="1">
      <alignment vertical="top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top" wrapText="1"/>
    </xf>
    <xf numFmtId="181" fontId="4" fillId="0" borderId="5" xfId="1" applyNumberFormat="1" applyFont="1" applyBorder="1" applyAlignment="1">
      <alignment vertical="top"/>
    </xf>
    <xf numFmtId="183" fontId="4" fillId="0" borderId="5" xfId="0" applyNumberFormat="1" applyFont="1" applyFill="1" applyBorder="1" applyAlignment="1">
      <alignment vertical="top"/>
    </xf>
    <xf numFmtId="181" fontId="4" fillId="0" borderId="0" xfId="1" applyNumberFormat="1" applyFont="1" applyFill="1" applyBorder="1" applyAlignment="1">
      <alignment vertical="top"/>
    </xf>
    <xf numFmtId="183" fontId="4" fillId="0" borderId="0" xfId="0" applyNumberFormat="1" applyFont="1" applyFill="1" applyAlignment="1">
      <alignment vertical="top"/>
    </xf>
    <xf numFmtId="0" fontId="9" fillId="2" borderId="0" xfId="49" applyFont="1" applyFill="1"/>
    <xf numFmtId="181" fontId="12" fillId="0" borderId="0" xfId="1" applyNumberFormat="1" applyFont="1" applyAlignment="1">
      <alignment horizontal="left" vertical="top" wrapText="1" indent="2"/>
    </xf>
    <xf numFmtId="0" fontId="12" fillId="0" borderId="0" xfId="51" applyFont="1" applyAlignment="1">
      <alignment horizontal="left" vertical="top" wrapText="1" indent="2"/>
    </xf>
    <xf numFmtId="0" fontId="12" fillId="0" borderId="0" xfId="51" applyFont="1" applyAlignment="1">
      <alignment horizontal="left" vertical="top" wrapText="1"/>
    </xf>
    <xf numFmtId="0" fontId="12" fillId="0" borderId="0" xfId="49" applyFont="1" applyAlignment="1" quotePrefix="1">
      <alignment horizontal="left" vertical="center" indent="1"/>
    </xf>
    <xf numFmtId="49" fontId="10" fillId="0" borderId="0" xfId="51" applyNumberFormat="1" applyFont="1" applyAlignment="1" quotePrefix="1">
      <alignment horizontal="left" indent="1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" xfId="49"/>
    <cellStyle name="Normal 2 2" xfId="50"/>
    <cellStyle name="Normal 2 3" xfId="51"/>
    <cellStyle name="Comma 2 2" xf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IIT0001\Desktop\schedule-iii-agent\data\raw\In%20Lakhs%20%20BS_FY%2023-24%20V5%20-%20F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ueries"/>
      <sheetName val="Computation"/>
      <sheetName val="BS"/>
      <sheetName val="P&amp;L"/>
      <sheetName val="CFS"/>
      <sheetName val="Note 1"/>
      <sheetName val="Note 2 - 8"/>
      <sheetName val="Note 9"/>
      <sheetName val="Note 10-15"/>
      <sheetName val="Note 16-23"/>
      <sheetName val="Note 24-30"/>
      <sheetName val="Deferred Tax"/>
      <sheetName val="Key financial ratios"/>
      <sheetName val="IT dep 23-24"/>
      <sheetName val="Sechdules"/>
      <sheetName val="Trial Balance"/>
      <sheetName val="Trial Balance CB"/>
      <sheetName val="Creditors"/>
      <sheetName val="Debtors"/>
      <sheetName val="MAT"/>
      <sheetName val="Tally Balance Sheet"/>
      <sheetName val="Workings"/>
      <sheetName val="GST"/>
      <sheetName val="New Building"/>
      <sheetName val="GST INPUT"/>
      <sheetName val="FA Register Companies Act"/>
      <sheetName val="Tally P &amp; L Old"/>
      <sheetName val="TB 23-24Old"/>
      <sheetName val="FA Summary"/>
      <sheetName val="TB closing Bal Old"/>
      <sheetName val="Working"/>
      <sheetName val="age wise Debtors 31-03-23"/>
      <sheetName val="Creditors MSME Classification"/>
      <sheetName val="TB_BS 2021-22"/>
      <sheetName val="TB_PL 2021-22"/>
    </sheetNames>
    <sheetDataSet>
      <sheetData sheetId="0"/>
      <sheetData sheetId="1"/>
      <sheetData sheetId="2"/>
      <sheetData sheetId="3">
        <row r="16">
          <cell r="C16">
            <v>184.79778</v>
          </cell>
        </row>
      </sheetData>
      <sheetData sheetId="4"/>
      <sheetData sheetId="5"/>
      <sheetData sheetId="6"/>
      <sheetData sheetId="7"/>
      <sheetData sheetId="8">
        <row r="1">
          <cell r="A1">
            <v>0</v>
          </cell>
        </row>
        <row r="2">
          <cell r="A2">
            <v>0</v>
          </cell>
        </row>
        <row r="3">
          <cell r="A3" t="str">
            <v>Notes to financial statements for the year ended March 31, 2024</v>
          </cell>
        </row>
        <row r="5">
          <cell r="C5" t="str">
            <v>In Lakhs</v>
          </cell>
        </row>
        <row r="13">
          <cell r="B13">
            <v>9.9217</v>
          </cell>
        </row>
      </sheetData>
      <sheetData sheetId="9"/>
      <sheetData sheetId="10"/>
      <sheetData sheetId="11"/>
      <sheetData sheetId="12"/>
      <sheetData sheetId="13"/>
      <sheetData sheetId="14">
        <row r="177">
          <cell r="B177">
            <v>82217814</v>
          </cell>
        </row>
        <row r="183">
          <cell r="B183">
            <v>20156551</v>
          </cell>
          <cell r="C183">
            <v>14369435</v>
          </cell>
        </row>
        <row r="193">
          <cell r="B193">
            <v>987499.16</v>
          </cell>
        </row>
        <row r="214">
          <cell r="B214">
            <v>17581341.31</v>
          </cell>
        </row>
        <row r="221">
          <cell r="B221">
            <v>256684.98</v>
          </cell>
        </row>
        <row r="235">
          <cell r="B235">
            <v>4879398.25</v>
          </cell>
        </row>
        <row r="246">
          <cell r="B246">
            <v>2378041</v>
          </cell>
        </row>
        <row r="267">
          <cell r="B267">
            <v>357233.19</v>
          </cell>
        </row>
        <row r="275">
          <cell r="B275">
            <v>8064763.62</v>
          </cell>
        </row>
      </sheetData>
      <sheetData sheetId="15">
        <row r="33">
          <cell r="B33">
            <v>1013265</v>
          </cell>
        </row>
        <row r="47">
          <cell r="D47">
            <v>145194733.6</v>
          </cell>
        </row>
        <row r="48">
          <cell r="D48">
            <v>7268083</v>
          </cell>
        </row>
        <row r="49">
          <cell r="D49">
            <v>170284955.33</v>
          </cell>
        </row>
        <row r="50">
          <cell r="D50">
            <v>619200</v>
          </cell>
        </row>
        <row r="51">
          <cell r="C51">
            <v>6157245</v>
          </cell>
        </row>
        <row r="52">
          <cell r="D52">
            <v>554045.6</v>
          </cell>
        </row>
        <row r="53">
          <cell r="D53">
            <v>80000</v>
          </cell>
        </row>
        <row r="54">
          <cell r="D54">
            <v>700200.29</v>
          </cell>
        </row>
        <row r="56">
          <cell r="D56">
            <v>9500</v>
          </cell>
        </row>
        <row r="57">
          <cell r="D57">
            <v>1831650</v>
          </cell>
        </row>
        <row r="58">
          <cell r="D58">
            <v>22126464.51</v>
          </cell>
        </row>
        <row r="62">
          <cell r="D62">
            <v>7414000</v>
          </cell>
        </row>
        <row r="71">
          <cell r="D71">
            <v>1323766</v>
          </cell>
        </row>
        <row r="72">
          <cell r="D72">
            <v>29552693</v>
          </cell>
        </row>
        <row r="79">
          <cell r="D79">
            <v>33120</v>
          </cell>
        </row>
        <row r="80">
          <cell r="D80">
            <v>2636798</v>
          </cell>
        </row>
        <row r="81">
          <cell r="D81">
            <v>183682.38</v>
          </cell>
        </row>
        <row r="84">
          <cell r="D84">
            <v>4861950.41</v>
          </cell>
        </row>
        <row r="92">
          <cell r="D92">
            <v>11910.2</v>
          </cell>
        </row>
        <row r="93">
          <cell r="C93">
            <v>2470922</v>
          </cell>
        </row>
        <row r="94">
          <cell r="D94">
            <v>64124</v>
          </cell>
        </row>
        <row r="95">
          <cell r="D95">
            <v>140405.58</v>
          </cell>
        </row>
        <row r="96">
          <cell r="D96">
            <v>1386039.21</v>
          </cell>
        </row>
        <row r="97">
          <cell r="D97">
            <v>10943323.54</v>
          </cell>
        </row>
        <row r="100">
          <cell r="D100">
            <v>98050</v>
          </cell>
        </row>
        <row r="101">
          <cell r="D101">
            <v>521160.1</v>
          </cell>
        </row>
        <row r="103">
          <cell r="D103">
            <v>983916.79</v>
          </cell>
        </row>
        <row r="120">
          <cell r="D120">
            <v>636117</v>
          </cell>
        </row>
        <row r="122">
          <cell r="D122">
            <v>15000</v>
          </cell>
        </row>
        <row r="123">
          <cell r="D123">
            <v>3501405</v>
          </cell>
        </row>
        <row r="124">
          <cell r="D124">
            <v>288000</v>
          </cell>
        </row>
        <row r="131">
          <cell r="D131">
            <v>2419542.29</v>
          </cell>
        </row>
        <row r="135">
          <cell r="D135">
            <v>100270</v>
          </cell>
        </row>
        <row r="137">
          <cell r="D137">
            <v>1900</v>
          </cell>
        </row>
        <row r="141">
          <cell r="D141">
            <v>1767435.42</v>
          </cell>
        </row>
        <row r="145">
          <cell r="D145">
            <v>1173753</v>
          </cell>
        </row>
        <row r="147">
          <cell r="D147">
            <v>25000</v>
          </cell>
        </row>
        <row r="148">
          <cell r="D148">
            <v>237500</v>
          </cell>
        </row>
        <row r="149">
          <cell r="D149">
            <v>10800</v>
          </cell>
        </row>
        <row r="157">
          <cell r="D157">
            <v>335978.02</v>
          </cell>
        </row>
        <row r="158">
          <cell r="D158">
            <v>141640</v>
          </cell>
        </row>
        <row r="159">
          <cell r="D159">
            <v>351574</v>
          </cell>
        </row>
        <row r="160">
          <cell r="C160">
            <v>1046782.92</v>
          </cell>
        </row>
        <row r="161">
          <cell r="D161">
            <v>133986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3"/>
  <sheetViews>
    <sheetView tabSelected="1" topLeftCell="A89" workbookViewId="0">
      <selection activeCell="E102" sqref="E102"/>
    </sheetView>
  </sheetViews>
  <sheetFormatPr defaultColWidth="8.72727272727273" defaultRowHeight="14.5" outlineLevelCol="2"/>
  <cols>
    <col min="1" max="1" width="39.9090909090909" customWidth="1"/>
    <col min="2" max="2" width="35.5454545454545" customWidth="1"/>
    <col min="3" max="3" width="30.3636363636364" customWidth="1"/>
  </cols>
  <sheetData>
    <row r="1" ht="18" spans="1:3">
      <c r="A1" s="1">
        <f>'[1]Note 10-15'!A1</f>
        <v>0</v>
      </c>
      <c r="B1" s="2"/>
      <c r="C1" s="3"/>
    </row>
    <row r="2" spans="1:3">
      <c r="A2" s="4">
        <f>+'[1]Note 10-15'!A2</f>
        <v>0</v>
      </c>
      <c r="B2" s="2"/>
      <c r="C2" s="5"/>
    </row>
    <row r="3" spans="1:3">
      <c r="A3" s="4" t="str">
        <f>+'[1]Note 10-15'!A3</f>
        <v>Notes to financial statements for the year ended March 31, 2024</v>
      </c>
      <c r="B3" s="2"/>
      <c r="C3" s="5"/>
    </row>
    <row r="4" spans="1:3">
      <c r="A4" s="6"/>
      <c r="B4" s="2"/>
      <c r="C4" s="7"/>
    </row>
    <row r="5" spans="1:3">
      <c r="A5" s="8" t="s">
        <v>0</v>
      </c>
      <c r="B5" s="9"/>
      <c r="C5" s="10" t="str">
        <f>'[1]Note 10-15'!C5</f>
        <v>In Lakhs</v>
      </c>
    </row>
    <row r="6" spans="1:3">
      <c r="A6" s="11"/>
      <c r="B6" s="12">
        <v>45382</v>
      </c>
      <c r="C6" s="12">
        <v>45016</v>
      </c>
    </row>
    <row r="7" spans="1:3">
      <c r="A7" s="8" t="s">
        <v>1</v>
      </c>
      <c r="B7" s="13"/>
      <c r="C7" s="14"/>
    </row>
    <row r="8" spans="1:3">
      <c r="A8" s="15" t="s">
        <v>2</v>
      </c>
      <c r="B8" s="16">
        <f>(+'[1]Trial Balance'!D48+'[1]Trial Balance'!D49+'[1]Trial Balance'!D50+'[1]Trial Balance'!D53+'[1]Trial Balance'!D54+'[1]Trial Balance'!C51)/100000</f>
        <v>1851.0968362</v>
      </c>
      <c r="C8" s="17">
        <f>(224575962+45082185)/100000</f>
        <v>2696.58147</v>
      </c>
    </row>
    <row r="9" spans="1:3">
      <c r="A9" s="15" t="s">
        <v>3</v>
      </c>
      <c r="B9" s="18">
        <f>(+'[1]Trial Balance'!D47+'[1]Trial Balance'!D52)/100000</f>
        <v>1457.487792</v>
      </c>
      <c r="C9" s="18">
        <f>157650994.75/100000</f>
        <v>1576.5099475</v>
      </c>
    </row>
    <row r="10" spans="1:3">
      <c r="A10" s="19"/>
      <c r="B10" s="20">
        <f>SUM(B8:B9)</f>
        <v>3308.5846282</v>
      </c>
      <c r="C10" s="20">
        <f>SUM(C8:C9)</f>
        <v>4273.0914175</v>
      </c>
    </row>
    <row r="11" spans="1:3">
      <c r="A11" s="21"/>
      <c r="B11" s="22"/>
      <c r="C11" s="23"/>
    </row>
    <row r="12" spans="1:3">
      <c r="A12" s="24" t="s">
        <v>4</v>
      </c>
      <c r="B12" s="25"/>
      <c r="C12" s="23"/>
    </row>
    <row r="13" spans="1:3">
      <c r="A13" s="26"/>
      <c r="B13" s="12">
        <v>45382</v>
      </c>
      <c r="C13" s="12">
        <v>45016</v>
      </c>
    </row>
    <row r="14" spans="1:3">
      <c r="A14" s="27" t="s">
        <v>5</v>
      </c>
      <c r="B14" s="28">
        <f>(2735025+267800)/100000</f>
        <v>30.02825</v>
      </c>
      <c r="C14" s="29">
        <f>2389011/100000</f>
        <v>23.89011</v>
      </c>
    </row>
    <row r="15" spans="1:3">
      <c r="A15" s="30" t="s">
        <v>6</v>
      </c>
      <c r="B15" s="31">
        <f>8975187.16/100000</f>
        <v>89.7518716</v>
      </c>
      <c r="C15" s="29">
        <f>6872497.53/100000</f>
        <v>68.7249753</v>
      </c>
    </row>
    <row r="16" spans="1:3">
      <c r="A16" s="32"/>
      <c r="B16" s="33">
        <f>SUM(B14:B15)</f>
        <v>119.7801216</v>
      </c>
      <c r="C16" s="20">
        <f>SUM(C14:C15)</f>
        <v>92.6150853</v>
      </c>
    </row>
    <row r="17" spans="1:3">
      <c r="A17" s="30"/>
      <c r="B17" s="34"/>
      <c r="C17" s="35"/>
    </row>
    <row r="18" spans="1:3">
      <c r="A18" s="24" t="s">
        <v>7</v>
      </c>
      <c r="B18" s="34"/>
      <c r="C18" s="35"/>
    </row>
    <row r="19" spans="1:3">
      <c r="A19" s="26"/>
      <c r="B19" s="12">
        <v>45382</v>
      </c>
      <c r="C19" s="12">
        <v>45016</v>
      </c>
    </row>
    <row r="20" spans="1:3">
      <c r="A20" s="30" t="s">
        <v>8</v>
      </c>
      <c r="B20" s="29">
        <f>+'[1]Trial Balance'!B33/100000</f>
        <v>10.13265</v>
      </c>
      <c r="C20" s="29">
        <f>1146160/100000</f>
        <v>11.4616</v>
      </c>
    </row>
    <row r="21" spans="1:3">
      <c r="A21" s="30" t="s">
        <v>9</v>
      </c>
      <c r="B21" s="36">
        <f>(+'[1]Trial Balance'!D56+'[1]Trial Balance'!D57+'[1]Trial Balance'!D58)/100000</f>
        <v>239.6761451</v>
      </c>
      <c r="C21" s="36">
        <f>40255620.72/100000</f>
        <v>402.5562072</v>
      </c>
    </row>
    <row r="22" spans="1:3">
      <c r="A22" s="30"/>
      <c r="B22" s="29">
        <f>+B20+B21</f>
        <v>249.8087951</v>
      </c>
      <c r="C22" s="29">
        <f>41401780.72/100000</f>
        <v>414.0178072</v>
      </c>
    </row>
    <row r="23" spans="1:3">
      <c r="A23" s="30" t="s">
        <v>10</v>
      </c>
      <c r="B23" s="37">
        <f>+'[1]Note 10-15'!B13</f>
        <v>9.9217</v>
      </c>
      <c r="C23" s="29">
        <f>1013265/100000</f>
        <v>10.13265</v>
      </c>
    </row>
    <row r="24" spans="1:3">
      <c r="A24" s="32" t="s">
        <v>11</v>
      </c>
      <c r="B24" s="20">
        <f>+B22-B23</f>
        <v>239.8870951</v>
      </c>
      <c r="C24" s="20">
        <f>+C22-C23</f>
        <v>403.8851572</v>
      </c>
    </row>
    <row r="25" spans="1:3">
      <c r="A25" s="30"/>
      <c r="B25" s="34"/>
      <c r="C25" s="35"/>
    </row>
    <row r="26" spans="1:3">
      <c r="A26" s="24" t="s">
        <v>12</v>
      </c>
      <c r="B26" s="34"/>
      <c r="C26" s="35"/>
    </row>
    <row r="27" spans="1:3">
      <c r="A27" s="26"/>
      <c r="B27" s="12">
        <v>45382</v>
      </c>
      <c r="C27" s="12">
        <v>45016</v>
      </c>
    </row>
    <row r="28" spans="1:3">
      <c r="A28" s="30" t="s">
        <v>13</v>
      </c>
      <c r="B28" s="28">
        <f>[1]Sechdules!B177/100000</f>
        <v>822.17814</v>
      </c>
      <c r="C28" s="29">
        <f>82381202.88/100000</f>
        <v>823.8120288</v>
      </c>
    </row>
    <row r="29" spans="1:3">
      <c r="A29" s="30" t="s">
        <v>14</v>
      </c>
      <c r="B29" s="38">
        <f>G30/100000</f>
        <v>0</v>
      </c>
      <c r="C29" s="29">
        <f>2713278/100000</f>
        <v>27.13278</v>
      </c>
    </row>
    <row r="30" spans="1:3">
      <c r="A30" s="30" t="s">
        <v>15</v>
      </c>
      <c r="B30" s="31">
        <f>[1]Sechdules!B193/100000</f>
        <v>9.8749916</v>
      </c>
      <c r="C30" s="29">
        <f>1384327.5/100000</f>
        <v>13.843275</v>
      </c>
    </row>
    <row r="31" spans="1:3">
      <c r="A31" s="32"/>
      <c r="B31" s="33">
        <f>ROUND(SUM(B28:B30),0)</f>
        <v>832</v>
      </c>
      <c r="C31" s="20">
        <f>ROUND(SUM(C28:C30),0)</f>
        <v>865</v>
      </c>
    </row>
    <row r="32" spans="1:3">
      <c r="A32" s="30"/>
      <c r="B32" s="34"/>
      <c r="C32" s="35"/>
    </row>
    <row r="33" spans="1:3">
      <c r="A33" s="24" t="s">
        <v>16</v>
      </c>
      <c r="B33" s="39"/>
      <c r="C33" s="23"/>
    </row>
    <row r="34" spans="1:3">
      <c r="A34" s="26"/>
      <c r="B34" s="12">
        <v>45382</v>
      </c>
      <c r="C34" s="12">
        <v>45016</v>
      </c>
    </row>
    <row r="35" spans="1:3">
      <c r="A35" s="30" t="s">
        <v>17</v>
      </c>
      <c r="B35" s="29">
        <f>+'[1]Trial Balance'!D62/100000</f>
        <v>74.14</v>
      </c>
      <c r="C35" s="29">
        <f>5526363/100000</f>
        <v>55.26363</v>
      </c>
    </row>
    <row r="36" spans="1:3">
      <c r="A36" s="30" t="s">
        <v>18</v>
      </c>
      <c r="B36" s="29">
        <f>+'[1]Trial Balance'!D81/100000</f>
        <v>1.8368238</v>
      </c>
      <c r="C36" s="40">
        <v>0</v>
      </c>
    </row>
    <row r="37" spans="1:3">
      <c r="A37" s="30" t="s">
        <v>19</v>
      </c>
      <c r="B37" s="29">
        <f>(+'[1]Trial Balance'!D71+'[1]Trial Balance'!D72)/100000</f>
        <v>308.76459</v>
      </c>
      <c r="C37" s="29">
        <f>59199190.95/100000</f>
        <v>591.9919095</v>
      </c>
    </row>
    <row r="38" spans="1:3">
      <c r="A38" s="30" t="s">
        <v>20</v>
      </c>
      <c r="B38" s="29">
        <f>[1]Sechdules!B214/100000</f>
        <v>175.8134131</v>
      </c>
      <c r="C38" s="29">
        <f>(24500367.9-1339841)/100000</f>
        <v>231.605269</v>
      </c>
    </row>
    <row r="39" spans="1:3">
      <c r="A39" s="30" t="s">
        <v>21</v>
      </c>
      <c r="B39" s="29">
        <f>+'[1]Trial Balance'!D123/100000</f>
        <v>35.01405</v>
      </c>
      <c r="C39" s="29">
        <f>6029296/100000</f>
        <v>60.29296</v>
      </c>
    </row>
    <row r="40" spans="1:3">
      <c r="A40" s="30" t="s">
        <v>22</v>
      </c>
      <c r="B40" s="29">
        <f>[1]Sechdules!B183/100000</f>
        <v>201.56551</v>
      </c>
      <c r="C40" s="29">
        <f>[1]Sechdules!C183/100000</f>
        <v>143.69435</v>
      </c>
    </row>
    <row r="41" spans="1:3">
      <c r="A41" s="30" t="s">
        <v>23</v>
      </c>
      <c r="B41" s="29">
        <f>(+'[1]Trial Balance'!D135+'[1]Trial Balance'!D137)/100000</f>
        <v>1.0217</v>
      </c>
      <c r="C41" s="29">
        <f>33073.16/100000</f>
        <v>0.3307316</v>
      </c>
    </row>
    <row r="42" spans="1:3">
      <c r="A42" s="30" t="s">
        <v>24</v>
      </c>
      <c r="B42" s="29">
        <f>(+'[1]Trial Balance'!D122+'[1]Trial Balance'!D149+'[1]Trial Balance'!D158)/100000</f>
        <v>1.6744</v>
      </c>
      <c r="C42" s="29">
        <f>156640/100000</f>
        <v>1.5664</v>
      </c>
    </row>
    <row r="43" spans="1:3">
      <c r="A43" s="30" t="s">
        <v>25</v>
      </c>
      <c r="B43" s="29">
        <f>[1]Sechdules!B221/100000</f>
        <v>2.5668498</v>
      </c>
      <c r="C43" s="29">
        <f>280745.86/100000</f>
        <v>2.8074586</v>
      </c>
    </row>
    <row r="44" spans="1:3">
      <c r="A44" s="30" t="s">
        <v>26</v>
      </c>
      <c r="B44" s="29">
        <f>+'[1]Trial Balance'!D79/100000</f>
        <v>0.3312</v>
      </c>
      <c r="C44" s="29">
        <f>169200/100000</f>
        <v>1.692</v>
      </c>
    </row>
    <row r="45" spans="1:3">
      <c r="A45" s="30" t="s">
        <v>27</v>
      </c>
      <c r="B45" s="29">
        <f>+'[1]Trial Balance'!D92/100000</f>
        <v>0.119102</v>
      </c>
      <c r="C45" s="29">
        <f>63432/100000</f>
        <v>0.63432</v>
      </c>
    </row>
    <row r="46" spans="1:3">
      <c r="A46" s="30" t="s">
        <v>28</v>
      </c>
      <c r="B46" s="29">
        <f>+'[1]Trial Balance'!D131/100000</f>
        <v>24.1954229</v>
      </c>
      <c r="C46" s="29">
        <f>3364031.24/100000</f>
        <v>33.6403124</v>
      </c>
    </row>
    <row r="47" spans="1:3">
      <c r="A47" s="30" t="s">
        <v>29</v>
      </c>
      <c r="B47" s="29">
        <f>'[1]Trial Balance'!C93/100000</f>
        <v>24.70922</v>
      </c>
      <c r="C47" s="29">
        <f>1339841/100000</f>
        <v>13.39841</v>
      </c>
    </row>
    <row r="48" spans="1:3">
      <c r="A48" s="30" t="s">
        <v>30</v>
      </c>
      <c r="B48" s="29">
        <f>+'[1]Trial Balance'!D157/100000</f>
        <v>3.3597802</v>
      </c>
      <c r="C48" s="29">
        <f>271405.04/100000</f>
        <v>2.7140504</v>
      </c>
    </row>
    <row r="49" spans="1:3">
      <c r="A49" s="30" t="s">
        <v>31</v>
      </c>
      <c r="B49" s="29">
        <f>+'[1]Trial Balance'!D161/100000</f>
        <v>1.33986</v>
      </c>
      <c r="C49" s="29">
        <f>53803/100000</f>
        <v>0.53803</v>
      </c>
    </row>
    <row r="50" spans="1:3">
      <c r="A50" s="30" t="s">
        <v>32</v>
      </c>
      <c r="B50" s="29">
        <f>+'[1]Trial Balance'!D159/100000</f>
        <v>3.51574</v>
      </c>
      <c r="C50" s="40">
        <v>0</v>
      </c>
    </row>
    <row r="51" spans="1:3">
      <c r="A51" s="30" t="s">
        <v>33</v>
      </c>
      <c r="B51" s="29">
        <f>(+'[1]Trial Balance'!D97-G51)/100000</f>
        <v>109.4332354</v>
      </c>
      <c r="C51" s="29">
        <f>11518647/100000</f>
        <v>115.18647</v>
      </c>
    </row>
    <row r="52" spans="1:3">
      <c r="A52" s="30" t="s">
        <v>34</v>
      </c>
      <c r="B52" s="29">
        <f>+'[1]Trial Balance'!D145/100000</f>
        <v>11.73753</v>
      </c>
      <c r="C52" s="29">
        <f>990744/100000</f>
        <v>9.90744</v>
      </c>
    </row>
    <row r="53" spans="1:3">
      <c r="A53" s="30" t="s">
        <v>35</v>
      </c>
      <c r="B53" s="28">
        <f>+'[1]Trial Balance'!D80/100000</f>
        <v>26.36798</v>
      </c>
      <c r="C53" s="29">
        <f>3413233/100000</f>
        <v>34.13233</v>
      </c>
    </row>
    <row r="54" spans="1:3">
      <c r="A54" s="30" t="s">
        <v>36</v>
      </c>
      <c r="B54" s="41"/>
      <c r="C54" s="29"/>
    </row>
    <row r="55" spans="1:3">
      <c r="A55" s="92" t="s">
        <v>37</v>
      </c>
      <c r="B55" s="28">
        <f>(+'[1]Trial Balance'!D96-G52)/100000</f>
        <v>13.8603921</v>
      </c>
      <c r="C55" s="29">
        <f>278257.34/100000</f>
        <v>2.7825734</v>
      </c>
    </row>
    <row r="56" spans="1:3">
      <c r="A56" s="92" t="s">
        <v>38</v>
      </c>
      <c r="B56" s="43">
        <f>([1]Sechdules!B235-G53)/100000</f>
        <v>48.7939825</v>
      </c>
      <c r="C56" s="29">
        <f>4843890.44/100000</f>
        <v>48.4389044</v>
      </c>
    </row>
    <row r="57" spans="1:3">
      <c r="A57" s="92" t="s">
        <v>39</v>
      </c>
      <c r="B57" s="28">
        <f>(+'[1]Trial Balance'!D141-G50)/100000</f>
        <v>17.6743542</v>
      </c>
      <c r="C57" s="29">
        <f>1031857.1/100000</f>
        <v>10.318571</v>
      </c>
    </row>
    <row r="58" spans="1:3">
      <c r="A58" s="92" t="s">
        <v>40</v>
      </c>
      <c r="B58" s="28"/>
      <c r="C58" s="29">
        <f>182834.7/100000</f>
        <v>1.828347</v>
      </c>
    </row>
    <row r="59" spans="1:3">
      <c r="A59" s="92" t="s">
        <v>41</v>
      </c>
      <c r="B59" s="28"/>
      <c r="C59" s="28">
        <f>410437.52/100000</f>
        <v>4.1043752</v>
      </c>
    </row>
    <row r="60" spans="1:3">
      <c r="A60" s="30" t="s">
        <v>42</v>
      </c>
      <c r="B60" s="28">
        <f>+'[1]Trial Balance'!D84/100000</f>
        <v>48.6195041</v>
      </c>
      <c r="C60" s="28">
        <f>3894860.05/100000</f>
        <v>38.9486005</v>
      </c>
    </row>
    <row r="61" spans="1:3">
      <c r="A61" s="30" t="s">
        <v>43</v>
      </c>
      <c r="B61" s="28">
        <f>[1]Sechdules!B246/100000</f>
        <v>23.78041</v>
      </c>
      <c r="C61" s="28">
        <f>4809414/100000</f>
        <v>48.09414</v>
      </c>
    </row>
    <row r="62" spans="1:3">
      <c r="A62" s="30" t="s">
        <v>44</v>
      </c>
      <c r="B62" s="28">
        <f>35000/100000</f>
        <v>0.35</v>
      </c>
      <c r="C62" s="28">
        <f>35000/100000</f>
        <v>0.35</v>
      </c>
    </row>
    <row r="63" spans="1:3">
      <c r="A63" s="44" t="s">
        <v>45</v>
      </c>
      <c r="B63" s="43">
        <v>0</v>
      </c>
      <c r="C63" s="28">
        <f>167387.32/100000</f>
        <v>1.6738732</v>
      </c>
    </row>
    <row r="64" spans="1:3">
      <c r="A64" s="44" t="s">
        <v>46</v>
      </c>
      <c r="B64" s="43">
        <f>+'[1]Trial Balance'!D100/100000</f>
        <v>0.9805</v>
      </c>
      <c r="C64" s="40">
        <v>0</v>
      </c>
    </row>
    <row r="65" spans="1:3">
      <c r="A65" s="44" t="s">
        <v>47</v>
      </c>
      <c r="B65" s="43">
        <f>+'[1]Trial Balance'!D101/100000</f>
        <v>5.211601</v>
      </c>
      <c r="C65" s="40">
        <v>0</v>
      </c>
    </row>
    <row r="66" spans="1:3">
      <c r="A66" s="44" t="s">
        <v>48</v>
      </c>
      <c r="B66" s="43">
        <f>(+'[1]Trial Balance'!D103+'[1]Trial Balance'!D95)/100000</f>
        <v>11.2432237</v>
      </c>
      <c r="C66" s="40">
        <v>0</v>
      </c>
    </row>
    <row r="67" spans="1:3">
      <c r="A67" s="44" t="s">
        <v>49</v>
      </c>
      <c r="B67" s="43">
        <f>+'[1]Trial Balance'!D120/100000</f>
        <v>6.36117</v>
      </c>
      <c r="C67" s="40">
        <v>0</v>
      </c>
    </row>
    <row r="68" spans="1:3">
      <c r="A68" s="44" t="s">
        <v>50</v>
      </c>
      <c r="B68" s="45">
        <f>+'[1]Trial Balance'!D124/100000</f>
        <v>2.88</v>
      </c>
      <c r="C68" s="40">
        <v>0</v>
      </c>
    </row>
    <row r="69" spans="1:3">
      <c r="A69" s="44" t="s">
        <v>51</v>
      </c>
      <c r="B69" s="43">
        <f>+'[1]Trial Balance'!D147/100000</f>
        <v>0.25</v>
      </c>
      <c r="C69" s="40">
        <v>0</v>
      </c>
    </row>
    <row r="70" spans="1:3">
      <c r="A70" s="44" t="s">
        <v>52</v>
      </c>
      <c r="B70" s="46">
        <f>+'[1]Trial Balance'!D94/100000</f>
        <v>0.64124</v>
      </c>
      <c r="C70" s="40">
        <v>0</v>
      </c>
    </row>
    <row r="71" spans="1:3">
      <c r="A71" s="47" t="s">
        <v>53</v>
      </c>
      <c r="B71" s="48">
        <f>'[1]Trial Balance'!C160/100000</f>
        <v>10.4678292</v>
      </c>
      <c r="C71" s="40">
        <v>0</v>
      </c>
    </row>
    <row r="72" spans="1:3">
      <c r="A72" s="44" t="s">
        <v>54</v>
      </c>
      <c r="B72" s="46">
        <f>+'[1]Trial Balance'!D148/100000</f>
        <v>2.375</v>
      </c>
      <c r="C72" s="40">
        <v>0</v>
      </c>
    </row>
    <row r="73" spans="1:3">
      <c r="A73" s="44" t="s">
        <v>55</v>
      </c>
      <c r="B73" s="28">
        <f>[1]Sechdules!B267/100000</f>
        <v>3.5723319</v>
      </c>
      <c r="C73" s="28">
        <f>1661914.67/100000</f>
        <v>16.6191467</v>
      </c>
    </row>
    <row r="74" spans="1:3">
      <c r="A74" s="26"/>
      <c r="B74" s="33">
        <f>SUM(B35:B73)</f>
        <v>1204.5679459</v>
      </c>
      <c r="C74" s="20">
        <f>SUM(C35:C73)</f>
        <v>1472.5546029</v>
      </c>
    </row>
    <row r="75" spans="1:3">
      <c r="A75" s="49" t="s">
        <v>56</v>
      </c>
      <c r="B75" s="50"/>
      <c r="C75" s="51"/>
    </row>
    <row r="76" spans="1:3">
      <c r="A76" s="49"/>
      <c r="B76" s="50"/>
      <c r="C76" s="52"/>
    </row>
    <row r="77" spans="1:3">
      <c r="A77" s="24" t="s">
        <v>57</v>
      </c>
      <c r="B77" s="50"/>
      <c r="C77" s="35"/>
    </row>
    <row r="78" spans="1:3">
      <c r="A78" s="32"/>
      <c r="B78" s="12">
        <v>45382</v>
      </c>
      <c r="C78" s="12">
        <v>45016</v>
      </c>
    </row>
    <row r="79" spans="1:3">
      <c r="A79" s="30" t="s">
        <v>58</v>
      </c>
      <c r="B79" s="28">
        <f>+'[1]P&amp;L'!C16</f>
        <v>184.79778</v>
      </c>
      <c r="C79" s="29">
        <f>16997991/100000</f>
        <v>169.97991</v>
      </c>
    </row>
    <row r="80" spans="1:3">
      <c r="A80" s="26"/>
      <c r="B80" s="33">
        <f>SUM(B79:B79)</f>
        <v>184.79778</v>
      </c>
      <c r="C80" s="20">
        <f>SUM(C79:C79)</f>
        <v>169.97991</v>
      </c>
    </row>
    <row r="81" spans="1:3">
      <c r="A81" s="30"/>
      <c r="B81" s="50"/>
      <c r="C81" s="35"/>
    </row>
    <row r="82" spans="1:3">
      <c r="A82" s="24" t="s">
        <v>59</v>
      </c>
      <c r="B82" s="50"/>
      <c r="C82" s="35"/>
    </row>
    <row r="83" spans="1:3">
      <c r="A83" s="32"/>
      <c r="B83" s="12">
        <f>B78</f>
        <v>45382</v>
      </c>
      <c r="C83" s="12">
        <f>C78</f>
        <v>45016</v>
      </c>
    </row>
    <row r="84" spans="1:3">
      <c r="A84" s="30" t="s">
        <v>60</v>
      </c>
      <c r="B84" s="34">
        <v>0</v>
      </c>
      <c r="C84" s="53">
        <v>0</v>
      </c>
    </row>
    <row r="85" spans="1:3">
      <c r="A85" s="30" t="s">
        <v>61</v>
      </c>
      <c r="B85" s="34">
        <v>0</v>
      </c>
      <c r="C85" s="53">
        <v>0</v>
      </c>
    </row>
    <row r="86" spans="1:3">
      <c r="A86" s="30" t="s">
        <v>62</v>
      </c>
      <c r="B86" s="54">
        <v>0</v>
      </c>
      <c r="C86" s="55">
        <v>0</v>
      </c>
    </row>
    <row r="87" spans="1:3">
      <c r="A87" s="26"/>
      <c r="B87" s="56">
        <f>ROUND(SUM(B84:B86),0)</f>
        <v>0</v>
      </c>
      <c r="C87" s="57">
        <v>0</v>
      </c>
    </row>
    <row r="88" spans="1:3">
      <c r="A88" s="30"/>
      <c r="B88" s="50"/>
      <c r="C88" s="58"/>
    </row>
    <row r="89" spans="1:3">
      <c r="A89" s="24" t="s">
        <v>63</v>
      </c>
      <c r="B89" s="50"/>
      <c r="C89" s="35"/>
    </row>
    <row r="90" spans="1:3">
      <c r="A90" s="32"/>
      <c r="B90" s="12">
        <v>45382</v>
      </c>
      <c r="C90" s="12">
        <v>45016</v>
      </c>
    </row>
    <row r="91" spans="1:3">
      <c r="A91" s="30" t="s">
        <v>64</v>
      </c>
      <c r="B91" s="59">
        <f>[1]Sechdules!B275/100000</f>
        <v>80.6476362</v>
      </c>
      <c r="C91" s="60">
        <f>7118672.25/100000</f>
        <v>71.1867225</v>
      </c>
    </row>
    <row r="92" spans="1:3">
      <c r="A92" s="26"/>
      <c r="B92" s="20">
        <f>ROUND(SUM(B91:B91),0)</f>
        <v>81</v>
      </c>
      <c r="C92" s="20">
        <f>ROUND(SUM(C91:C91),0)</f>
        <v>71</v>
      </c>
    </row>
    <row r="93" spans="1:3">
      <c r="A93" s="61"/>
      <c r="B93" s="62"/>
      <c r="C93" s="63"/>
    </row>
    <row r="94" spans="1:3">
      <c r="A94" s="64" t="s">
        <v>65</v>
      </c>
      <c r="B94" s="50"/>
      <c r="C94" s="52"/>
    </row>
    <row r="95" spans="1:3">
      <c r="A95" s="65"/>
      <c r="B95" s="12">
        <v>45382</v>
      </c>
      <c r="C95" s="12">
        <v>45016</v>
      </c>
    </row>
    <row r="96" spans="1:3">
      <c r="A96" s="93" t="s">
        <v>66</v>
      </c>
      <c r="B96" s="28">
        <f>35000/1000</f>
        <v>35</v>
      </c>
      <c r="C96" s="29">
        <f>35000/1000</f>
        <v>35</v>
      </c>
    </row>
    <row r="97" spans="1:3">
      <c r="A97" s="93" t="s">
        <v>67</v>
      </c>
      <c r="B97" s="43">
        <v>0</v>
      </c>
      <c r="C97" s="43">
        <v>0</v>
      </c>
    </row>
    <row r="98" spans="1:3">
      <c r="A98" s="67"/>
      <c r="B98" s="33">
        <f>SUM(B96:B97)</f>
        <v>35</v>
      </c>
      <c r="C98" s="33">
        <f>SUM(C96:C97)</f>
        <v>35</v>
      </c>
    </row>
    <row r="99" spans="1:3">
      <c r="A99" s="68"/>
      <c r="B99" s="50"/>
      <c r="C99" s="50"/>
    </row>
    <row r="100" spans="1:3">
      <c r="A100" s="69"/>
      <c r="B100" s="70"/>
      <c r="C100" s="71"/>
    </row>
    <row r="101" spans="1:3">
      <c r="A101" s="72"/>
      <c r="B101" s="12"/>
      <c r="C101" s="12"/>
    </row>
    <row r="102" spans="1:3">
      <c r="A102" s="73"/>
      <c r="B102" s="74"/>
      <c r="C102" s="75"/>
    </row>
    <row r="103" spans="1:3">
      <c r="A103" s="76"/>
      <c r="B103" s="77"/>
      <c r="C103" s="78"/>
    </row>
    <row r="104" spans="1:3">
      <c r="A104" s="79"/>
      <c r="B104" s="80"/>
      <c r="C104" s="81"/>
    </row>
    <row r="105" spans="1:3">
      <c r="A105" s="69"/>
      <c r="B105" s="70"/>
      <c r="C105" s="69"/>
    </row>
    <row r="106" spans="1:3">
      <c r="A106" s="82"/>
      <c r="B106" s="82"/>
      <c r="C106" s="83"/>
    </row>
    <row r="107" spans="1:3">
      <c r="A107" s="72"/>
      <c r="B107" s="12"/>
      <c r="C107" s="12"/>
    </row>
    <row r="108" spans="1:3">
      <c r="A108" s="73"/>
      <c r="B108" s="84"/>
      <c r="C108" s="85"/>
    </row>
    <row r="109" spans="1:3">
      <c r="A109" s="76"/>
      <c r="B109" s="77"/>
      <c r="C109" s="78"/>
    </row>
    <row r="110" spans="1:3">
      <c r="A110" s="79"/>
      <c r="B110" s="86"/>
      <c r="C110" s="87"/>
    </row>
    <row r="111" spans="1:3">
      <c r="A111" s="88"/>
      <c r="B111" s="89"/>
      <c r="C111" s="90"/>
    </row>
    <row r="112" spans="1:3">
      <c r="A112" s="91"/>
      <c r="B112" s="91"/>
      <c r="C112" s="91"/>
    </row>
    <row r="113" spans="1:3">
      <c r="A113" s="91"/>
      <c r="B113" s="91"/>
      <c r="C113" s="91"/>
    </row>
  </sheetData>
  <mergeCells count="2">
    <mergeCell ref="A106:B106"/>
    <mergeCell ref="A112:C1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KIIT0001</dc:creator>
  <cp:lastModifiedBy>DIPAN GIRI</cp:lastModifiedBy>
  <dcterms:created xsi:type="dcterms:W3CDTF">2025-07-22T17:57:00Z</dcterms:created>
  <dcterms:modified xsi:type="dcterms:W3CDTF">2025-07-23T16:48:36Z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BFDAF9EDBD324687B553687C27874877_11</vt:lpwstr>
  </property>
  <property fmtid="{D5CDD505-2E9C-101B-9397-08002B2CF9AE}" pid="3" name="KSOProductBuildVer">
    <vt:lpwstr>1033-12.2.0.21931</vt:lpwstr>
  </property>
</Properties>
</file>