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tharthjain/Desktop/US Education/"/>
    </mc:Choice>
  </mc:AlternateContent>
  <xr:revisionPtr revIDLastSave="0" documentId="8_{21CF6493-C4D9-D948-B155-84A7ECDF762E}" xr6:coauthVersionLast="47" xr6:coauthVersionMax="47" xr10:uidLastSave="{00000000-0000-0000-0000-000000000000}"/>
  <bookViews>
    <workbookView xWindow="28800" yWindow="500" windowWidth="51200" windowHeight="28300" xr2:uid="{3D9D4BA5-E790-0245-8255-68A554F8F7BF}"/>
  </bookViews>
  <sheets>
    <sheet name="Summary" sheetId="1" r:id="rId1"/>
    <sheet name="Balance Sheet" sheetId="4" r:id="rId2"/>
    <sheet name="P&amp;L" sheetId="2" r:id="rId3"/>
    <sheet name="Sales Plan" sheetId="5" r:id="rId4"/>
  </sheets>
  <definedNames>
    <definedName name="_xlnm._FilterDatabase" localSheetId="2" hidden="1">'P&amp;L'!$A$1:$R$6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7" i="2" l="1"/>
  <c r="U16" i="2"/>
  <c r="U15" i="2"/>
  <c r="S10" i="2" l="1"/>
  <c r="S6" i="2"/>
  <c r="S9" i="2"/>
  <c r="M39" i="5" l="1"/>
  <c r="M40" i="5" s="1"/>
  <c r="M38" i="5"/>
  <c r="N38" i="5" s="1"/>
  <c r="M37" i="5"/>
  <c r="O38" i="5"/>
  <c r="O37" i="5"/>
  <c r="N37" i="5"/>
  <c r="N36" i="5"/>
  <c r="O36" i="5"/>
  <c r="AI21" i="5"/>
  <c r="AH21" i="5"/>
  <c r="AG21" i="5"/>
  <c r="AI20" i="5"/>
  <c r="AH20" i="5"/>
  <c r="AG20" i="5"/>
  <c r="M36" i="5"/>
  <c r="AI16" i="5"/>
  <c r="AH16" i="5"/>
  <c r="AG16" i="5"/>
  <c r="C8" i="4"/>
  <c r="AE13" i="4"/>
  <c r="AA13" i="4"/>
  <c r="W13" i="4"/>
  <c r="O13" i="4"/>
  <c r="O15" i="4" s="1"/>
  <c r="C27" i="1" s="1"/>
  <c r="W15" i="4"/>
  <c r="G13" i="4"/>
  <c r="G43" i="5"/>
  <c r="AA8" i="4" s="1"/>
  <c r="AA11" i="4" s="1"/>
  <c r="AA23" i="4" s="1"/>
  <c r="E26" i="1" s="1"/>
  <c r="F43" i="5"/>
  <c r="E43" i="5"/>
  <c r="D27" i="1"/>
  <c r="S8" i="4"/>
  <c r="K8" i="4"/>
  <c r="AA6" i="4"/>
  <c r="S6" i="4"/>
  <c r="AE11" i="4"/>
  <c r="AE15" i="4" s="1"/>
  <c r="AE23" i="4" s="1"/>
  <c r="K6" i="4"/>
  <c r="C6" i="4"/>
  <c r="V4" i="2"/>
  <c r="U4" i="2"/>
  <c r="B20" i="1"/>
  <c r="B21" i="1"/>
  <c r="C21" i="1"/>
  <c r="D21" i="1"/>
  <c r="E21" i="1"/>
  <c r="X4" i="2"/>
  <c r="W4" i="2"/>
  <c r="U5" i="2"/>
  <c r="V3" i="2" s="1"/>
  <c r="H15" i="1"/>
  <c r="B15" i="1"/>
  <c r="C15" i="1"/>
  <c r="D15" i="1"/>
  <c r="E15" i="1"/>
  <c r="F15" i="1"/>
  <c r="G15" i="1"/>
  <c r="B11" i="1"/>
  <c r="C11" i="1"/>
  <c r="D11" i="1"/>
  <c r="E11" i="1"/>
  <c r="F11" i="1"/>
  <c r="G11" i="1"/>
  <c r="AF14" i="5"/>
  <c r="AE14" i="5"/>
  <c r="AD14" i="5"/>
  <c r="AC14" i="5"/>
  <c r="AB14" i="5"/>
  <c r="AA14" i="5"/>
  <c r="Z14" i="5"/>
  <c r="Y14" i="5"/>
  <c r="X14" i="5"/>
  <c r="W14" i="5"/>
  <c r="V14" i="5"/>
  <c r="N21" i="2"/>
  <c r="P21" i="2" s="1"/>
  <c r="Q21" i="2" s="1"/>
  <c r="N23" i="2"/>
  <c r="P23" i="2" s="1"/>
  <c r="Q23" i="2" s="1"/>
  <c r="N22" i="2"/>
  <c r="P22" i="2" s="1"/>
  <c r="Q22" i="2" s="1"/>
  <c r="N12" i="2"/>
  <c r="O12" i="2" s="1"/>
  <c r="B12" i="2"/>
  <c r="B24" i="2" s="1"/>
  <c r="N18" i="2"/>
  <c r="P18" i="2" s="1"/>
  <c r="Q18" i="2" s="1"/>
  <c r="Q16" i="2"/>
  <c r="N16" i="2"/>
  <c r="O16" i="2" s="1"/>
  <c r="Q15" i="2"/>
  <c r="N15" i="2"/>
  <c r="O15" i="2" s="1"/>
  <c r="Q17" i="2"/>
  <c r="N17" i="2"/>
  <c r="O17" i="2" s="1"/>
  <c r="Q20" i="2"/>
  <c r="N20" i="2"/>
  <c r="P20" i="2" s="1"/>
  <c r="Q19" i="2"/>
  <c r="N19" i="2"/>
  <c r="P19" i="2" s="1"/>
  <c r="B4" i="2"/>
  <c r="B3" i="2"/>
  <c r="B2" i="1"/>
  <c r="E39" i="5"/>
  <c r="E38" i="5"/>
  <c r="H38" i="5"/>
  <c r="G38" i="5"/>
  <c r="F38" i="5"/>
  <c r="E37" i="5"/>
  <c r="Q4" i="2"/>
  <c r="Q12" i="2" s="1"/>
  <c r="Q3" i="2"/>
  <c r="P4" i="2"/>
  <c r="P12" i="2" s="1"/>
  <c r="P3" i="2"/>
  <c r="N4" i="2"/>
  <c r="N3" i="2"/>
  <c r="AI12" i="5"/>
  <c r="AI10" i="5"/>
  <c r="AI9" i="5"/>
  <c r="G31" i="5" s="1"/>
  <c r="AI8" i="5"/>
  <c r="G17" i="5" s="1"/>
  <c r="N8" i="5"/>
  <c r="O8" i="5" s="1"/>
  <c r="N7" i="5"/>
  <c r="O7" i="5" s="1"/>
  <c r="N5" i="5"/>
  <c r="O5" i="5" s="1"/>
  <c r="N4" i="5"/>
  <c r="O4" i="5" s="1"/>
  <c r="N3" i="5"/>
  <c r="O3" i="5" s="1"/>
  <c r="G27" i="5"/>
  <c r="N6" i="5"/>
  <c r="O6" i="5" s="1"/>
  <c r="N2" i="5"/>
  <c r="O2" i="5" s="1"/>
  <c r="I4" i="5"/>
  <c r="J4" i="5" s="1"/>
  <c r="I3" i="5"/>
  <c r="J3" i="5" s="1"/>
  <c r="I2" i="5"/>
  <c r="J2" i="5" s="1"/>
  <c r="G23" i="5"/>
  <c r="G20" i="5"/>
  <c r="V3" i="5"/>
  <c r="W3" i="5" s="1"/>
  <c r="X3" i="5" s="1"/>
  <c r="Y3" i="5" s="1"/>
  <c r="Z3" i="5" s="1"/>
  <c r="AA3" i="5" s="1"/>
  <c r="AB3" i="5" s="1"/>
  <c r="AC3" i="5" s="1"/>
  <c r="AD3" i="5" s="1"/>
  <c r="AE3" i="5" s="1"/>
  <c r="AF3" i="5" s="1"/>
  <c r="G29" i="5"/>
  <c r="F29" i="5"/>
  <c r="E29" i="5"/>
  <c r="H29" i="5" s="1"/>
  <c r="D28" i="5"/>
  <c r="F27" i="5"/>
  <c r="E27" i="5"/>
  <c r="H27" i="5" s="1"/>
  <c r="D27" i="5"/>
  <c r="D29" i="5"/>
  <c r="D21" i="5"/>
  <c r="D22" i="5" s="1"/>
  <c r="S22" i="5" s="1"/>
  <c r="S19" i="5"/>
  <c r="S18" i="5"/>
  <c r="S17" i="5"/>
  <c r="D8" i="5"/>
  <c r="E8" i="5" s="1"/>
  <c r="D7" i="5"/>
  <c r="E7" i="5" s="1"/>
  <c r="D6" i="5"/>
  <c r="E6" i="5" s="1"/>
  <c r="D3" i="5"/>
  <c r="E3" i="5" s="1"/>
  <c r="D2" i="5"/>
  <c r="E2" i="5" s="1"/>
  <c r="U9" i="5" s="1"/>
  <c r="U12" i="5" s="1"/>
  <c r="C5" i="5"/>
  <c r="D5" i="5" s="1"/>
  <c r="E5" i="5" s="1"/>
  <c r="C4" i="5"/>
  <c r="D4" i="5" s="1"/>
  <c r="W11" i="4"/>
  <c r="W23" i="4" s="1"/>
  <c r="S11" i="4"/>
  <c r="S23" i="4" s="1"/>
  <c r="D26" i="1" s="1"/>
  <c r="O11" i="4"/>
  <c r="K11" i="4"/>
  <c r="K23" i="4" s="1"/>
  <c r="C26" i="1" s="1"/>
  <c r="G11" i="4"/>
  <c r="G15" i="4" s="1"/>
  <c r="G23" i="4" s="1"/>
  <c r="B6" i="2"/>
  <c r="B32" i="1" s="1"/>
  <c r="O4" i="2"/>
  <c r="O3" i="2"/>
  <c r="O6" i="2" s="1"/>
  <c r="O27" i="2"/>
  <c r="P27" i="2" s="1"/>
  <c r="Q27" i="2" s="1"/>
  <c r="N6" i="2"/>
  <c r="O19" i="2"/>
  <c r="O18" i="2"/>
  <c r="O14" i="2"/>
  <c r="O13" i="2"/>
  <c r="M24" i="2"/>
  <c r="L24" i="2"/>
  <c r="K24" i="2"/>
  <c r="J24" i="2"/>
  <c r="I24" i="2"/>
  <c r="H24" i="2"/>
  <c r="G24" i="2"/>
  <c r="F24" i="2"/>
  <c r="E24" i="2"/>
  <c r="D24" i="2"/>
  <c r="M6" i="2"/>
  <c r="M9" i="2" s="1"/>
  <c r="L6" i="2"/>
  <c r="L9" i="2" s="1"/>
  <c r="K6" i="2"/>
  <c r="K9" i="2" s="1"/>
  <c r="J6" i="2"/>
  <c r="J9" i="2" s="1"/>
  <c r="J10" i="2" s="1"/>
  <c r="I6" i="2"/>
  <c r="I9" i="2" s="1"/>
  <c r="H6" i="2"/>
  <c r="H9" i="2" s="1"/>
  <c r="H25" i="2" s="1"/>
  <c r="H28" i="2" s="1"/>
  <c r="H31" i="2" s="1"/>
  <c r="G6" i="2"/>
  <c r="G9" i="2" s="1"/>
  <c r="G10" i="2" s="1"/>
  <c r="F6" i="2"/>
  <c r="F9" i="2" s="1"/>
  <c r="F10" i="2" s="1"/>
  <c r="E6" i="2"/>
  <c r="E9" i="2" s="1"/>
  <c r="D6" i="2"/>
  <c r="D9" i="2" s="1"/>
  <c r="D10" i="2" s="1"/>
  <c r="C6" i="2"/>
  <c r="C9" i="2" s="1"/>
  <c r="C10" i="2" s="1"/>
  <c r="C24" i="2"/>
  <c r="M41" i="5" l="1"/>
  <c r="M42" i="5" s="1"/>
  <c r="N40" i="5"/>
  <c r="N39" i="5"/>
  <c r="O39" i="5"/>
  <c r="O41" i="5"/>
  <c r="N42" i="5"/>
  <c r="O40" i="5"/>
  <c r="N41" i="5"/>
  <c r="O23" i="4"/>
  <c r="E27" i="1"/>
  <c r="E28" i="1" s="1"/>
  <c r="B27" i="1"/>
  <c r="C11" i="4"/>
  <c r="C23" i="4" s="1"/>
  <c r="V5" i="2"/>
  <c r="C20" i="1"/>
  <c r="B22" i="1"/>
  <c r="O20" i="2"/>
  <c r="P17" i="2"/>
  <c r="P16" i="2"/>
  <c r="O23" i="2"/>
  <c r="O21" i="2"/>
  <c r="O24" i="2" s="1"/>
  <c r="O22" i="2"/>
  <c r="N24" i="2"/>
  <c r="P15" i="2"/>
  <c r="P24" i="2" s="1"/>
  <c r="G19" i="5"/>
  <c r="G18" i="5"/>
  <c r="O13" i="5"/>
  <c r="O17" i="5" s="1"/>
  <c r="J5" i="5"/>
  <c r="J12" i="5"/>
  <c r="J11" i="5"/>
  <c r="J13" i="5" s="1"/>
  <c r="U8" i="5"/>
  <c r="V8" i="5" s="1"/>
  <c r="G21" i="5"/>
  <c r="G33" i="5"/>
  <c r="G22" i="5"/>
  <c r="V9" i="5"/>
  <c r="T8" i="5"/>
  <c r="T9" i="5"/>
  <c r="D33" i="5"/>
  <c r="S21" i="5"/>
  <c r="E4" i="5"/>
  <c r="E9" i="5" s="1"/>
  <c r="D9" i="5"/>
  <c r="C9" i="5"/>
  <c r="D28" i="1"/>
  <c r="Q6" i="2"/>
  <c r="E32" i="1" s="1"/>
  <c r="M25" i="2"/>
  <c r="M28" i="2" s="1"/>
  <c r="M31" i="2" s="1"/>
  <c r="M10" i="2"/>
  <c r="K25" i="2"/>
  <c r="K28" i="2" s="1"/>
  <c r="K31" i="2" s="1"/>
  <c r="K10" i="2"/>
  <c r="L25" i="2"/>
  <c r="L28" i="2" s="1"/>
  <c r="L31" i="2" s="1"/>
  <c r="L10" i="2"/>
  <c r="E25" i="2"/>
  <c r="E28" i="2" s="1"/>
  <c r="E31" i="2" s="1"/>
  <c r="F25" i="2"/>
  <c r="F28" i="2" s="1"/>
  <c r="F31" i="2" s="1"/>
  <c r="E10" i="2"/>
  <c r="C32" i="1"/>
  <c r="G25" i="2"/>
  <c r="G28" i="2" s="1"/>
  <c r="G31" i="2" s="1"/>
  <c r="I25" i="2"/>
  <c r="I28" i="2" s="1"/>
  <c r="I31" i="2" s="1"/>
  <c r="H10" i="2"/>
  <c r="J25" i="2"/>
  <c r="J28" i="2" s="1"/>
  <c r="J31" i="2" s="1"/>
  <c r="I10" i="2"/>
  <c r="P6" i="2"/>
  <c r="D32" i="1" s="1"/>
  <c r="Q24" i="2"/>
  <c r="D25" i="2"/>
  <c r="D28" i="2" s="1"/>
  <c r="D31" i="2" s="1"/>
  <c r="C25" i="2"/>
  <c r="M43" i="5" l="1"/>
  <c r="O42" i="5"/>
  <c r="C28" i="1"/>
  <c r="B26" i="1"/>
  <c r="B28" i="1"/>
  <c r="W3" i="2"/>
  <c r="C22" i="1"/>
  <c r="O16" i="5"/>
  <c r="O18" i="5"/>
  <c r="Q8" i="2"/>
  <c r="Q9" i="2" s="1"/>
  <c r="Q10" i="2" s="1"/>
  <c r="E33" i="1" s="1"/>
  <c r="V10" i="5"/>
  <c r="T10" i="5"/>
  <c r="H17" i="5"/>
  <c r="H19" i="5"/>
  <c r="H18" i="5"/>
  <c r="H20" i="5"/>
  <c r="H21" i="5"/>
  <c r="B8" i="2" s="1"/>
  <c r="W8" i="5"/>
  <c r="U10" i="5"/>
  <c r="W9" i="5"/>
  <c r="V12" i="5"/>
  <c r="E12" i="5"/>
  <c r="E11" i="5"/>
  <c r="C28" i="2"/>
  <c r="M44" i="5" l="1"/>
  <c r="N43" i="5"/>
  <c r="O43" i="5"/>
  <c r="W5" i="2"/>
  <c r="D20" i="1"/>
  <c r="B9" i="2"/>
  <c r="B4" i="1"/>
  <c r="B25" i="2"/>
  <c r="B10" i="2"/>
  <c r="B33" i="1" s="1"/>
  <c r="X9" i="5"/>
  <c r="W12" i="5"/>
  <c r="X8" i="5"/>
  <c r="W10" i="5"/>
  <c r="Q25" i="2"/>
  <c r="Q28" i="2" s="1"/>
  <c r="E13" i="5"/>
  <c r="C31" i="2"/>
  <c r="N44" i="5" l="1"/>
  <c r="O44" i="5"/>
  <c r="X3" i="2"/>
  <c r="D22" i="1"/>
  <c r="Q30" i="2"/>
  <c r="Q31" i="2" s="1"/>
  <c r="E35" i="1" s="1"/>
  <c r="E34" i="1"/>
  <c r="Y8" i="5"/>
  <c r="X10" i="5"/>
  <c r="Y9" i="5"/>
  <c r="X12" i="5"/>
  <c r="B34" i="1"/>
  <c r="B28" i="2"/>
  <c r="X5" i="2" l="1"/>
  <c r="E22" i="1" s="1"/>
  <c r="E20" i="1"/>
  <c r="B30" i="2"/>
  <c r="B31" i="2" s="1"/>
  <c r="Y10" i="5"/>
  <c r="Z8" i="5"/>
  <c r="Z9" i="5"/>
  <c r="Y12" i="5"/>
  <c r="B35" i="1" l="1"/>
  <c r="AA9" i="5"/>
  <c r="Z12" i="5"/>
  <c r="AA8" i="5"/>
  <c r="Z10" i="5"/>
  <c r="AA10" i="5" l="1"/>
  <c r="AB8" i="5"/>
  <c r="AB9" i="5"/>
  <c r="AA12" i="5"/>
  <c r="AC9" i="5" l="1"/>
  <c r="AB12" i="5"/>
  <c r="AC8" i="5"/>
  <c r="AB10" i="5"/>
  <c r="AC10" i="5" l="1"/>
  <c r="AD8" i="5"/>
  <c r="AD9" i="5"/>
  <c r="AC12" i="5"/>
  <c r="AE9" i="5" l="1"/>
  <c r="AD12" i="5"/>
  <c r="AD10" i="5"/>
  <c r="AE8" i="5"/>
  <c r="AE10" i="5" l="1"/>
  <c r="AF8" i="5"/>
  <c r="AF9" i="5"/>
  <c r="AE12" i="5"/>
  <c r="AF12" i="5" l="1"/>
  <c r="AG12" i="5" s="1"/>
  <c r="H26" i="5" s="1"/>
  <c r="AG9" i="5"/>
  <c r="AF10" i="5"/>
  <c r="AG8" i="5"/>
  <c r="E17" i="5" l="1"/>
  <c r="AH8" i="5"/>
  <c r="AG10" i="5"/>
  <c r="AG11" i="5" s="1"/>
  <c r="E22" i="5"/>
  <c r="E23" i="5"/>
  <c r="E19" i="5"/>
  <c r="E18" i="5"/>
  <c r="E20" i="5"/>
  <c r="AH9" i="5"/>
  <c r="E31" i="5"/>
  <c r="H31" i="5" l="1"/>
  <c r="E33" i="5"/>
  <c r="F18" i="5"/>
  <c r="F17" i="5"/>
  <c r="F22" i="5"/>
  <c r="AH10" i="5"/>
  <c r="F21" i="5"/>
  <c r="F19" i="5"/>
  <c r="F23" i="5"/>
  <c r="F20" i="5"/>
  <c r="F31" i="5"/>
  <c r="F33" i="5" s="1"/>
  <c r="AH12" i="5"/>
  <c r="E21" i="5"/>
  <c r="N8" i="2" s="1"/>
  <c r="N9" i="2" l="1"/>
  <c r="O8" i="2"/>
  <c r="P8" i="2"/>
  <c r="P9" i="2" s="1"/>
  <c r="P25" i="2" l="1"/>
  <c r="P10" i="2"/>
  <c r="D33" i="1" s="1"/>
  <c r="O9" i="2"/>
  <c r="N10" i="2"/>
  <c r="N25" i="2"/>
  <c r="N28" i="2" s="1"/>
  <c r="N30" i="2" l="1"/>
  <c r="N31" i="2" s="1"/>
  <c r="B3" i="1" s="1"/>
  <c r="B5" i="1" s="1"/>
  <c r="O10" i="2"/>
  <c r="C33" i="1" s="1"/>
  <c r="O25" i="2"/>
  <c r="P28" i="2"/>
  <c r="D34" i="1"/>
  <c r="P30" i="2" l="1"/>
  <c r="P31" i="2" s="1"/>
  <c r="D35" i="1" s="1"/>
  <c r="O28" i="2"/>
  <c r="C34" i="1"/>
  <c r="O30" i="2" l="1"/>
  <c r="O31" i="2" s="1"/>
  <c r="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Jain, Yatharth</author>
  </authors>
  <commentList>
    <comment ref="D1" authorId="0" shapeId="0" xr:uid="{EBE7813C-6F00-9043-9018-3ED1367BAA9C}">
      <text>
        <r>
          <rPr>
            <b/>
            <sz val="10"/>
            <color rgb="FF000000"/>
            <rFont val="Tahoma"/>
            <family val="2"/>
          </rPr>
          <t>https://datausa.io/profile/geo/texas</t>
        </r>
      </text>
    </comment>
  </commentList>
</comments>
</file>

<file path=xl/sharedStrings.xml><?xml version="1.0" encoding="utf-8"?>
<sst xmlns="http://schemas.openxmlformats.org/spreadsheetml/2006/main" count="330" uniqueCount="169">
  <si>
    <t>Startup Budget</t>
  </si>
  <si>
    <t>Cost</t>
  </si>
  <si>
    <t>Salaries</t>
  </si>
  <si>
    <t>Capital Requirements</t>
  </si>
  <si>
    <t>Other Operating / Administrative Expenses</t>
  </si>
  <si>
    <t>TOTAL</t>
  </si>
  <si>
    <t>Jan</t>
  </si>
  <si>
    <t>Feb</t>
  </si>
  <si>
    <t>Mar</t>
  </si>
  <si>
    <t>Apr</t>
  </si>
  <si>
    <t>May</t>
  </si>
  <si>
    <t>June</t>
  </si>
  <si>
    <t>% of all visitors</t>
  </si>
  <si>
    <t>July</t>
  </si>
  <si>
    <t>Aug</t>
  </si>
  <si>
    <t>Sep</t>
  </si>
  <si>
    <t>Oct</t>
  </si>
  <si>
    <t>Nov</t>
  </si>
  <si>
    <t>Dec</t>
  </si>
  <si>
    <t>Total</t>
  </si>
  <si>
    <t>Jul</t>
  </si>
  <si>
    <t>2023 sales forecast</t>
  </si>
  <si>
    <t>Pre-Open</t>
  </si>
  <si>
    <t>Year 1 Total</t>
  </si>
  <si>
    <t>Year 2 total</t>
  </si>
  <si>
    <t>Year 3 Total</t>
  </si>
  <si>
    <t>BEG CASH ON HAND</t>
  </si>
  <si>
    <t>MONTHLY NET CHANGE</t>
  </si>
  <si>
    <t>ENDING CASH ON HAND</t>
  </si>
  <si>
    <t>Statement of Cash Flows</t>
  </si>
  <si>
    <t>Pre Open</t>
  </si>
  <si>
    <t xml:space="preserve"> Year 1</t>
  </si>
  <si>
    <t>Year 2</t>
  </si>
  <si>
    <t>Year 3</t>
  </si>
  <si>
    <t>TOTAL ASSETS</t>
  </si>
  <si>
    <t>TOTAL LIABILITIES</t>
  </si>
  <si>
    <t>TOTAL EQUITY</t>
  </si>
  <si>
    <t>Balance Sheet</t>
  </si>
  <si>
    <t>Year 2 Total</t>
  </si>
  <si>
    <t>Year Total</t>
  </si>
  <si>
    <t>SALES</t>
  </si>
  <si>
    <t>GROSS PROFIT %</t>
  </si>
  <si>
    <t>OPERATING INCOME</t>
  </si>
  <si>
    <t>NET INCOME</t>
  </si>
  <si>
    <t>Income Statement</t>
  </si>
  <si>
    <t>Total Net Revenue</t>
  </si>
  <si>
    <t>COGS</t>
  </si>
  <si>
    <t>Gross Profit</t>
  </si>
  <si>
    <t>Expenses</t>
  </si>
  <si>
    <t>Advertising</t>
  </si>
  <si>
    <t>Depreciation</t>
  </si>
  <si>
    <t>Insurance</t>
  </si>
  <si>
    <t>Maintenace</t>
  </si>
  <si>
    <t>Office Supplies</t>
  </si>
  <si>
    <t>Rent</t>
  </si>
  <si>
    <t>Telecommunication</t>
  </si>
  <si>
    <t>Travel</t>
  </si>
  <si>
    <t>Utilities</t>
  </si>
  <si>
    <t>Total Expeneses</t>
  </si>
  <si>
    <t>Earning Before Taxes</t>
  </si>
  <si>
    <t>Income Taxes</t>
  </si>
  <si>
    <t>Net Earnings</t>
  </si>
  <si>
    <t>Jun</t>
  </si>
  <si>
    <t>Others 1</t>
  </si>
  <si>
    <t>Others 2</t>
  </si>
  <si>
    <t>Earnings Before Interest &amp; Taxes</t>
  </si>
  <si>
    <t>Interest Expense</t>
  </si>
  <si>
    <t>Revenue HW</t>
  </si>
  <si>
    <t>Revenue SW</t>
  </si>
  <si>
    <t>Returns, Refunds &amp; Discount</t>
  </si>
  <si>
    <t>Profit &amp; Loss (P&amp;L) Statement USD $</t>
  </si>
  <si>
    <t>Assets</t>
  </si>
  <si>
    <t>Current Assets</t>
  </si>
  <si>
    <t>Cash &amp; Cash Equivalent</t>
  </si>
  <si>
    <t>Account Receivable</t>
  </si>
  <si>
    <t>Inventory</t>
  </si>
  <si>
    <t>Prepaid Exp</t>
  </si>
  <si>
    <t>Investment</t>
  </si>
  <si>
    <t>Total Current Assets</t>
  </si>
  <si>
    <t>Property &amp; Equipment</t>
  </si>
  <si>
    <t>Land</t>
  </si>
  <si>
    <t>Building &amp; Imprevements</t>
  </si>
  <si>
    <t>Equipment</t>
  </si>
  <si>
    <t>Less Acc. Dep</t>
  </si>
  <si>
    <t>Other Assets</t>
  </si>
  <si>
    <t>Intangible Assets</t>
  </si>
  <si>
    <t>Less Acc. Amort</t>
  </si>
  <si>
    <t>Total Assets</t>
  </si>
  <si>
    <t>Liabilities &amp; Shareholder Equity</t>
  </si>
  <si>
    <t>Current Liabilities</t>
  </si>
  <si>
    <t>Account Payable</t>
  </si>
  <si>
    <t>Notes Payable</t>
  </si>
  <si>
    <t>Accured Expenses</t>
  </si>
  <si>
    <t>Deffered Revenue</t>
  </si>
  <si>
    <t>Total Current Liabilities</t>
  </si>
  <si>
    <t>Long Term Debt</t>
  </si>
  <si>
    <t>Total Liabilities</t>
  </si>
  <si>
    <t>Shareholder Equity</t>
  </si>
  <si>
    <t>Common Stock</t>
  </si>
  <si>
    <t>Additional Paid-in- Capital</t>
  </si>
  <si>
    <t>Retained Earnings</t>
  </si>
  <si>
    <t>Tresury Stock</t>
  </si>
  <si>
    <t>Total Liabilities &amp; Shareholder Equity</t>
  </si>
  <si>
    <t>Balance Sheet Yr 1</t>
  </si>
  <si>
    <t>Unit</t>
  </si>
  <si>
    <t>HW</t>
  </si>
  <si>
    <t>SW</t>
  </si>
  <si>
    <t>Cost HW</t>
  </si>
  <si>
    <t>Soft Launch</t>
  </si>
  <si>
    <t>DFW</t>
  </si>
  <si>
    <t>Beta</t>
  </si>
  <si>
    <t>Austin</t>
  </si>
  <si>
    <t>Roll Out</t>
  </si>
  <si>
    <t>Houston</t>
  </si>
  <si>
    <t>San Antonio</t>
  </si>
  <si>
    <t>El Paso</t>
  </si>
  <si>
    <t>Population</t>
  </si>
  <si>
    <t>IT Equipment User (US- 78%)</t>
  </si>
  <si>
    <t>Working Population (US-60%)</t>
  </si>
  <si>
    <t>G. Total</t>
  </si>
  <si>
    <t>Launch</t>
  </si>
  <si>
    <t>Territoty</t>
  </si>
  <si>
    <t>US $</t>
  </si>
  <si>
    <t>CAC</t>
  </si>
  <si>
    <t>Freight &amp; Packging</t>
  </si>
  <si>
    <t>Op&amp;Adm</t>
  </si>
  <si>
    <t>Margin</t>
  </si>
  <si>
    <t>Selling Price</t>
  </si>
  <si>
    <t>Cost SW</t>
  </si>
  <si>
    <t>Development</t>
  </si>
  <si>
    <t>Maintenance</t>
  </si>
  <si>
    <t>e- Waste Charity</t>
  </si>
  <si>
    <t>Server Cost</t>
  </si>
  <si>
    <t>5 months</t>
  </si>
  <si>
    <t>3 Dev</t>
  </si>
  <si>
    <t>1 CTO</t>
  </si>
  <si>
    <t>Yr 2</t>
  </si>
  <si>
    <t>Yr 1</t>
  </si>
  <si>
    <t xml:space="preserve"> Yr 2 &amp; onwards</t>
  </si>
  <si>
    <t>Yr 3</t>
  </si>
  <si>
    <t>adding 1 server per year. 1 state per year</t>
  </si>
  <si>
    <t xml:space="preserve">Backup, main, </t>
  </si>
  <si>
    <t>Yr 0</t>
  </si>
  <si>
    <t>Sales</t>
  </si>
  <si>
    <t>SW Sales</t>
  </si>
  <si>
    <t>Yr 0 HW Cost</t>
  </si>
  <si>
    <t>Lousiana</t>
  </si>
  <si>
    <t>Ok</t>
  </si>
  <si>
    <t>New Mex</t>
  </si>
  <si>
    <t>Yr2</t>
  </si>
  <si>
    <t>Yr3</t>
  </si>
  <si>
    <t>NY</t>
  </si>
  <si>
    <t>CT</t>
  </si>
  <si>
    <t>WAS DC</t>
  </si>
  <si>
    <t>MAS</t>
  </si>
  <si>
    <t>NJ</t>
  </si>
  <si>
    <t>RI</t>
  </si>
  <si>
    <t>DL</t>
  </si>
  <si>
    <t>Dev</t>
  </si>
  <si>
    <t>Dev- Main</t>
  </si>
  <si>
    <t>HW &amp; SW</t>
  </si>
  <si>
    <t>Cash Flow</t>
  </si>
  <si>
    <t>Balance Sheet Yr 0</t>
  </si>
  <si>
    <t>Balance Sheet Yr 2</t>
  </si>
  <si>
    <t>Balance Sheet Yr 3</t>
  </si>
  <si>
    <t>Units</t>
  </si>
  <si>
    <t>Advertising Exp</t>
  </si>
  <si>
    <t>Year</t>
  </si>
  <si>
    <t>Per unit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</si>
</sst>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2"/>
      <color rgb="FF000000"/>
      <name val="Arial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292989"/>
      </left>
      <right style="thin">
        <color rgb="FF292989"/>
      </right>
      <top style="thin">
        <color rgb="FF292989"/>
      </top>
      <bottom style="thin">
        <color rgb="FF292989"/>
      </bottom>
      <diagonal/>
    </border>
    <border>
      <left style="thin">
        <color rgb="FF292989"/>
      </left>
      <right style="thin">
        <color rgb="FF292989"/>
      </right>
      <top style="thin">
        <color rgb="FF292989"/>
      </top>
      <bottom/>
      <diagonal/>
    </border>
    <border>
      <left style="thin">
        <color rgb="FF292989"/>
      </left>
      <right style="thin">
        <color rgb="FF292989"/>
      </right>
      <top/>
      <bottom/>
      <diagonal/>
    </border>
    <border>
      <left style="thin">
        <color rgb="FF292989"/>
      </left>
      <right style="thin">
        <color rgb="FF292989"/>
      </right>
      <top/>
      <bottom style="thin">
        <color rgb="FF292989"/>
      </bottom>
      <diagonal/>
    </border>
    <border>
      <left style="thin">
        <color rgb="FF292989"/>
      </left>
      <right/>
      <top style="thin">
        <color rgb="FF292989"/>
      </top>
      <bottom style="thin">
        <color rgb="FF292989"/>
      </bottom>
      <diagonal/>
    </border>
    <border>
      <left/>
      <right/>
      <top style="thin">
        <color rgb="FF292989"/>
      </top>
      <bottom style="thin">
        <color rgb="FF292989"/>
      </bottom>
      <diagonal/>
    </border>
    <border>
      <left/>
      <right style="thin">
        <color rgb="FF292989"/>
      </right>
      <top style="thin">
        <color rgb="FF292989"/>
      </top>
      <bottom style="thin">
        <color rgb="FF292989"/>
      </bottom>
      <diagonal/>
    </border>
    <border>
      <left style="thin">
        <color rgb="FF2F2F98"/>
      </left>
      <right style="thin">
        <color rgb="FF2F2F98"/>
      </right>
      <top style="thin">
        <color rgb="FF2F2F98"/>
      </top>
      <bottom style="thin">
        <color rgb="FF2F2F9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4" fillId="0" borderId="8" xfId="0" applyFont="1" applyBorder="1" applyAlignment="1">
      <alignment horizontal="center" wrapText="1" readingOrder="1"/>
    </xf>
    <xf numFmtId="0" fontId="4" fillId="0" borderId="8" xfId="0" applyFont="1" applyBorder="1" applyAlignment="1">
      <alignment horizontal="right" wrapText="1" readingOrder="1"/>
    </xf>
    <xf numFmtId="6" fontId="5" fillId="0" borderId="8" xfId="0" applyNumberFormat="1" applyFont="1" applyBorder="1" applyAlignment="1">
      <alignment horizontal="right" wrapText="1" readingOrder="1"/>
    </xf>
    <xf numFmtId="9" fontId="0" fillId="0" borderId="0" xfId="0" applyNumberFormat="1"/>
    <xf numFmtId="0" fontId="0" fillId="3" borderId="0" xfId="0" applyFill="1"/>
    <xf numFmtId="0" fontId="0" fillId="0" borderId="10" xfId="0" applyBorder="1"/>
    <xf numFmtId="0" fontId="0" fillId="0" borderId="0" xfId="0" applyBorder="1"/>
    <xf numFmtId="0" fontId="0" fillId="0" borderId="17" xfId="0" applyBorder="1"/>
    <xf numFmtId="0" fontId="0" fillId="0" borderId="16" xfId="0" applyBorder="1"/>
    <xf numFmtId="0" fontId="0" fillId="5" borderId="21" xfId="0" applyFill="1" applyBorder="1"/>
    <xf numFmtId="0" fontId="0" fillId="5" borderId="22" xfId="0" applyFill="1" applyBorder="1"/>
    <xf numFmtId="0" fontId="3" fillId="0" borderId="21" xfId="0" applyFont="1" applyBorder="1"/>
    <xf numFmtId="0" fontId="0" fillId="0" borderId="21" xfId="0" applyBorder="1"/>
    <xf numFmtId="0" fontId="3" fillId="0" borderId="12" xfId="0" applyFont="1" applyBorder="1"/>
    <xf numFmtId="0" fontId="3" fillId="0" borderId="2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9" fontId="0" fillId="0" borderId="0" xfId="2" applyFont="1" applyBorder="1"/>
    <xf numFmtId="9" fontId="0" fillId="0" borderId="17" xfId="2" applyFont="1" applyBorder="1"/>
    <xf numFmtId="0" fontId="0" fillId="0" borderId="12" xfId="0" applyBorder="1"/>
    <xf numFmtId="9" fontId="0" fillId="0" borderId="21" xfId="2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7" borderId="0" xfId="0" applyFont="1" applyFill="1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164" fontId="0" fillId="0" borderId="10" xfId="1" applyNumberFormat="1" applyFont="1" applyBorder="1"/>
    <xf numFmtId="164" fontId="0" fillId="0" borderId="20" xfId="1" applyNumberFormat="1" applyFont="1" applyBorder="1"/>
    <xf numFmtId="164" fontId="0" fillId="0" borderId="0" xfId="1" applyNumberFormat="1" applyFont="1" applyBorder="1"/>
    <xf numFmtId="164" fontId="0" fillId="0" borderId="17" xfId="1" applyNumberFormat="1" applyFont="1" applyBorder="1"/>
    <xf numFmtId="0" fontId="3" fillId="8" borderId="19" xfId="0" applyFont="1" applyFill="1" applyBorder="1"/>
    <xf numFmtId="0" fontId="3" fillId="9" borderId="19" xfId="0" applyFont="1" applyFill="1" applyBorder="1"/>
    <xf numFmtId="0" fontId="0" fillId="0" borderId="0" xfId="0" applyAlignment="1">
      <alignment horizontal="center"/>
    </xf>
    <xf numFmtId="0" fontId="2" fillId="11" borderId="12" xfId="0" applyFont="1" applyFill="1" applyBorder="1" applyAlignment="1">
      <alignment horizontal="center"/>
    </xf>
    <xf numFmtId="164" fontId="3" fillId="0" borderId="0" xfId="1" applyNumberFormat="1" applyFont="1"/>
    <xf numFmtId="164" fontId="2" fillId="11" borderId="0" xfId="1" applyNumberFormat="1" applyFont="1" applyFill="1"/>
    <xf numFmtId="0" fontId="3" fillId="0" borderId="23" xfId="0" applyFont="1" applyBorder="1" applyAlignment="1">
      <alignment horizontal="center"/>
    </xf>
    <xf numFmtId="9" fontId="0" fillId="0" borderId="0" xfId="2" applyFont="1"/>
    <xf numFmtId="0" fontId="3" fillId="12" borderId="0" xfId="0" applyFont="1" applyFill="1"/>
    <xf numFmtId="0" fontId="9" fillId="0" borderId="0" xfId="0" applyFont="1" applyAlignment="1">
      <alignment horizontal="right"/>
    </xf>
    <xf numFmtId="6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8" borderId="12" xfId="1" applyNumberFormat="1" applyFont="1" applyFill="1" applyBorder="1"/>
    <xf numFmtId="164" fontId="0" fillId="9" borderId="12" xfId="1" applyNumberFormat="1" applyFont="1" applyFill="1" applyBorder="1"/>
    <xf numFmtId="164" fontId="0" fillId="10" borderId="25" xfId="1" applyNumberFormat="1" applyFont="1" applyFill="1" applyBorder="1"/>
    <xf numFmtId="164" fontId="0" fillId="10" borderId="21" xfId="1" applyNumberFormat="1" applyFont="1" applyFill="1" applyBorder="1"/>
    <xf numFmtId="164" fontId="0" fillId="10" borderId="22" xfId="1" applyNumberFormat="1" applyFont="1" applyFill="1" applyBorder="1"/>
    <xf numFmtId="164" fontId="2" fillId="4" borderId="22" xfId="0" applyNumberFormat="1" applyFont="1" applyFill="1" applyBorder="1"/>
    <xf numFmtId="0" fontId="0" fillId="8" borderId="19" xfId="0" applyFill="1" applyBorder="1"/>
    <xf numFmtId="0" fontId="0" fillId="9" borderId="19" xfId="0" applyFill="1" applyBorder="1"/>
    <xf numFmtId="0" fontId="0" fillId="10" borderId="13" xfId="0" applyFill="1" applyBorder="1"/>
    <xf numFmtId="0" fontId="0" fillId="10" borderId="16" xfId="0" applyFill="1" applyBorder="1"/>
    <xf numFmtId="0" fontId="0" fillId="10" borderId="24" xfId="0" applyFill="1" applyBorder="1"/>
    <xf numFmtId="0" fontId="2" fillId="11" borderId="19" xfId="0" applyFont="1" applyFill="1" applyBorder="1" applyAlignment="1">
      <alignment horizontal="center"/>
    </xf>
    <xf numFmtId="0" fontId="0" fillId="0" borderId="0" xfId="0" applyAlignment="1"/>
    <xf numFmtId="164" fontId="3" fillId="0" borderId="0" xfId="0" applyNumberFormat="1" applyFont="1"/>
    <xf numFmtId="165" fontId="0" fillId="0" borderId="0" xfId="2" applyNumberFormat="1" applyFont="1"/>
    <xf numFmtId="164" fontId="0" fillId="13" borderId="0" xfId="1" applyNumberFormat="1" applyFont="1" applyFill="1"/>
    <xf numFmtId="164" fontId="3" fillId="13" borderId="0" xfId="1" applyNumberFormat="1" applyFont="1" applyFill="1"/>
    <xf numFmtId="164" fontId="3" fillId="13" borderId="0" xfId="1" applyNumberFormat="1" applyFont="1" applyFill="1" applyAlignment="1">
      <alignment horizontal="center"/>
    </xf>
    <xf numFmtId="164" fontId="0" fillId="6" borderId="22" xfId="1" applyNumberFormat="1" applyFont="1" applyFill="1" applyBorder="1" applyAlignment="1">
      <alignment horizontal="center"/>
    </xf>
    <xf numFmtId="164" fontId="0" fillId="0" borderId="12" xfId="1" applyNumberFormat="1" applyFont="1" applyBorder="1"/>
    <xf numFmtId="43" fontId="0" fillId="14" borderId="0" xfId="0" applyNumberFormat="1" applyFill="1"/>
    <xf numFmtId="0" fontId="0" fillId="14" borderId="0" xfId="0" applyFill="1"/>
    <xf numFmtId="164" fontId="3" fillId="14" borderId="23" xfId="0" applyNumberFormat="1" applyFont="1" applyFill="1" applyBorder="1"/>
    <xf numFmtId="164" fontId="0" fillId="6" borderId="9" xfId="1" applyNumberFormat="1" applyFont="1" applyFill="1" applyBorder="1"/>
    <xf numFmtId="164" fontId="0" fillId="6" borderId="18" xfId="1" applyNumberFormat="1" applyFont="1" applyFill="1" applyBorder="1"/>
    <xf numFmtId="0" fontId="2" fillId="11" borderId="16" xfId="0" applyFont="1" applyFill="1" applyBorder="1" applyAlignment="1">
      <alignment horizontal="center"/>
    </xf>
    <xf numFmtId="164" fontId="3" fillId="9" borderId="0" xfId="1" applyNumberFormat="1" applyFont="1" applyFill="1"/>
    <xf numFmtId="164" fontId="3" fillId="0" borderId="23" xfId="1" applyNumberFormat="1" applyFont="1" applyBorder="1"/>
    <xf numFmtId="164" fontId="0" fillId="6" borderId="17" xfId="1" applyNumberFormat="1" applyFont="1" applyFill="1" applyBorder="1"/>
    <xf numFmtId="164" fontId="0" fillId="6" borderId="17" xfId="1" applyNumberFormat="1" applyFont="1" applyFill="1" applyBorder="1" applyAlignment="1">
      <alignment horizontal="center"/>
    </xf>
    <xf numFmtId="164" fontId="0" fillId="6" borderId="18" xfId="1" applyNumberFormat="1" applyFont="1" applyFill="1" applyBorder="1" applyAlignment="1">
      <alignment horizontal="center"/>
    </xf>
    <xf numFmtId="164" fontId="0" fillId="5" borderId="21" xfId="1" applyNumberFormat="1" applyFont="1" applyFill="1" applyBorder="1"/>
    <xf numFmtId="164" fontId="0" fillId="6" borderId="0" xfId="1" applyNumberFormat="1" applyFont="1" applyFill="1" applyBorder="1"/>
    <xf numFmtId="164" fontId="0" fillId="5" borderId="22" xfId="1" applyNumberFormat="1" applyFont="1" applyFill="1" applyBorder="1"/>
    <xf numFmtId="164" fontId="0" fillId="0" borderId="21" xfId="1" applyNumberFormat="1" applyFont="1" applyBorder="1"/>
    <xf numFmtId="164" fontId="0" fillId="6" borderId="21" xfId="1" applyNumberFormat="1" applyFont="1" applyFill="1" applyBorder="1"/>
    <xf numFmtId="164" fontId="0" fillId="6" borderId="22" xfId="1" applyNumberFormat="1" applyFont="1" applyFill="1" applyBorder="1"/>
    <xf numFmtId="164" fontId="3" fillId="0" borderId="12" xfId="1" applyNumberFormat="1" applyFont="1" applyBorder="1"/>
    <xf numFmtId="164" fontId="3" fillId="0" borderId="10" xfId="1" applyNumberFormat="1" applyFont="1" applyBorder="1"/>
    <xf numFmtId="164" fontId="3" fillId="0" borderId="20" xfId="1" applyNumberFormat="1" applyFont="1" applyBorder="1"/>
    <xf numFmtId="164" fontId="3" fillId="0" borderId="22" xfId="1" applyNumberFormat="1" applyFont="1" applyBorder="1"/>
    <xf numFmtId="164" fontId="3" fillId="0" borderId="9" xfId="1" applyNumberFormat="1" applyFont="1" applyBorder="1"/>
    <xf numFmtId="164" fontId="3" fillId="0" borderId="18" xfId="1" applyNumberFormat="1" applyFont="1" applyBorder="1"/>
    <xf numFmtId="0" fontId="4" fillId="0" borderId="0" xfId="0" applyFont="1" applyFill="1" applyBorder="1" applyAlignment="1">
      <alignment horizontal="right" wrapText="1" readingOrder="1"/>
    </xf>
    <xf numFmtId="164" fontId="5" fillId="0" borderId="8" xfId="0" applyNumberFormat="1" applyFont="1" applyBorder="1" applyAlignment="1">
      <alignment horizontal="right" wrapText="1" readingOrder="1"/>
    </xf>
    <xf numFmtId="0" fontId="10" fillId="0" borderId="0" xfId="0" applyFont="1"/>
    <xf numFmtId="0" fontId="10" fillId="3" borderId="0" xfId="0" applyFont="1" applyFill="1"/>
    <xf numFmtId="0" fontId="11" fillId="2" borderId="0" xfId="0" applyFont="1" applyFill="1" applyAlignment="1">
      <alignment horizontal="left"/>
    </xf>
    <xf numFmtId="0" fontId="7" fillId="0" borderId="8" xfId="0" applyFont="1" applyBorder="1" applyAlignment="1">
      <alignment horizontal="center" wrapText="1" readingOrder="1"/>
    </xf>
    <xf numFmtId="0" fontId="7" fillId="0" borderId="8" xfId="0" applyFont="1" applyBorder="1" applyAlignment="1">
      <alignment horizontal="right" wrapText="1" readingOrder="1"/>
    </xf>
    <xf numFmtId="0" fontId="7" fillId="2" borderId="0" xfId="0" applyFont="1" applyFill="1" applyBorder="1" applyAlignment="1">
      <alignment horizontal="left" wrapText="1" readingOrder="1"/>
    </xf>
    <xf numFmtId="0" fontId="7" fillId="0" borderId="8" xfId="0" applyFont="1" applyBorder="1" applyAlignment="1">
      <alignment horizontal="left" wrapText="1" readingOrder="1"/>
    </xf>
    <xf numFmtId="0" fontId="7" fillId="0" borderId="11" xfId="0" applyFont="1" applyBorder="1" applyAlignment="1">
      <alignment horizontal="center" vertical="center" wrapText="1" readingOrder="1"/>
    </xf>
    <xf numFmtId="0" fontId="7" fillId="0" borderId="11" xfId="0" applyFont="1" applyBorder="1" applyAlignment="1">
      <alignment horizontal="left" vertical="center" wrapText="1" readingOrder="1"/>
    </xf>
    <xf numFmtId="164" fontId="0" fillId="9" borderId="21" xfId="1" applyNumberFormat="1" applyFont="1" applyFill="1" applyBorder="1"/>
    <xf numFmtId="164" fontId="10" fillId="0" borderId="11" xfId="1" applyNumberFormat="1" applyFont="1" applyFill="1" applyBorder="1"/>
    <xf numFmtId="164" fontId="10" fillId="0" borderId="11" xfId="1" applyNumberFormat="1" applyFont="1" applyFill="1" applyBorder="1" applyAlignment="1">
      <alignment horizontal="center"/>
    </xf>
    <xf numFmtId="164" fontId="11" fillId="0" borderId="11" xfId="1" applyNumberFormat="1" applyFont="1" applyFill="1" applyBorder="1"/>
    <xf numFmtId="0" fontId="10" fillId="0" borderId="0" xfId="0" applyFont="1" applyFill="1"/>
    <xf numFmtId="0" fontId="12" fillId="0" borderId="1" xfId="0" applyFont="1" applyFill="1" applyBorder="1" applyAlignment="1">
      <alignment horizontal="left" vertical="center" wrapText="1" readingOrder="1"/>
    </xf>
    <xf numFmtId="0" fontId="12" fillId="0" borderId="1" xfId="0" applyFont="1" applyFill="1" applyBorder="1" applyAlignment="1">
      <alignment horizontal="center" vertical="center" wrapText="1" readingOrder="1"/>
    </xf>
    <xf numFmtId="10" fontId="12" fillId="0" borderId="1" xfId="0" applyNumberFormat="1" applyFont="1" applyFill="1" applyBorder="1" applyAlignment="1">
      <alignment horizontal="center" vertical="center" wrapText="1" readingOrder="1"/>
    </xf>
    <xf numFmtId="3" fontId="12" fillId="0" borderId="1" xfId="0" applyNumberFormat="1" applyFont="1" applyFill="1" applyBorder="1" applyAlignment="1">
      <alignment horizontal="center" vertical="center" wrapText="1" readingOrder="1"/>
    </xf>
    <xf numFmtId="6" fontId="12" fillId="0" borderId="8" xfId="0" applyNumberFormat="1" applyFont="1" applyFill="1" applyBorder="1" applyAlignment="1">
      <alignment horizontal="right" wrapText="1" readingOrder="1"/>
    </xf>
    <xf numFmtId="0" fontId="7" fillId="0" borderId="8" xfId="0" applyFont="1" applyFill="1" applyBorder="1" applyAlignment="1">
      <alignment horizontal="center" wrapText="1" readingOrder="1"/>
    </xf>
    <xf numFmtId="164" fontId="12" fillId="0" borderId="8" xfId="1" applyNumberFormat="1" applyFont="1" applyFill="1" applyBorder="1" applyAlignment="1">
      <alignment horizontal="center" wrapText="1" readingOrder="1"/>
    </xf>
    <xf numFmtId="164" fontId="12" fillId="0" borderId="8" xfId="1" applyNumberFormat="1" applyFont="1" applyFill="1" applyBorder="1" applyAlignment="1">
      <alignment horizontal="right" wrapText="1" readingOrder="1"/>
    </xf>
    <xf numFmtId="9" fontId="12" fillId="0" borderId="8" xfId="0" applyNumberFormat="1" applyFont="1" applyFill="1" applyBorder="1" applyAlignment="1">
      <alignment horizontal="right" wrapText="1" readingOrder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6" xfId="0" applyFont="1" applyFill="1" applyBorder="1" applyAlignment="1">
      <alignment horizontal="center" vertical="top" wrapText="1"/>
    </xf>
    <xf numFmtId="0" fontId="13" fillId="0" borderId="7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top" wrapText="1"/>
    </xf>
    <xf numFmtId="0" fontId="13" fillId="0" borderId="3" xfId="0" applyFont="1" applyFill="1" applyBorder="1" applyAlignment="1">
      <alignment horizontal="center" vertical="top" wrapText="1"/>
    </xf>
    <xf numFmtId="0" fontId="13" fillId="0" borderId="4" xfId="0" applyFont="1" applyFill="1" applyBorder="1" applyAlignment="1">
      <alignment horizontal="center" vertical="top" wrapText="1"/>
    </xf>
    <xf numFmtId="0" fontId="3" fillId="7" borderId="0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10" borderId="13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24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15" borderId="0" xfId="0" applyFill="1"/>
    <xf numFmtId="164" fontId="0" fillId="15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C0C2-695A-D842-AD9F-EB5B0953CF37}">
  <dimension ref="A1:H35"/>
  <sheetViews>
    <sheetView tabSelected="1" zoomScale="110" zoomScaleNormal="110" workbookViewId="0">
      <selection activeCell="C48" sqref="C48"/>
    </sheetView>
  </sheetViews>
  <sheetFormatPr baseColWidth="10" defaultColWidth="20.1640625" defaultRowHeight="16" x14ac:dyDescent="0.2"/>
  <cols>
    <col min="1" max="1" width="43.6640625" customWidth="1"/>
  </cols>
  <sheetData>
    <row r="1" spans="1:8" ht="17" x14ac:dyDescent="0.2">
      <c r="A1" s="99" t="s">
        <v>0</v>
      </c>
      <c r="B1" s="99" t="s">
        <v>1</v>
      </c>
      <c r="C1" s="92"/>
      <c r="D1" s="92"/>
      <c r="E1" s="92"/>
      <c r="F1" s="92"/>
      <c r="G1" s="92"/>
      <c r="H1" s="92"/>
    </row>
    <row r="2" spans="1:8" ht="17" x14ac:dyDescent="0.2">
      <c r="A2" s="100" t="s">
        <v>2</v>
      </c>
      <c r="B2" s="102">
        <f>'Sales Plan'!$E$39</f>
        <v>319200</v>
      </c>
      <c r="C2" s="92"/>
      <c r="D2" s="92"/>
      <c r="E2" s="92"/>
      <c r="F2" s="92"/>
      <c r="G2" s="92"/>
      <c r="H2" s="92"/>
    </row>
    <row r="3" spans="1:8" ht="17" x14ac:dyDescent="0.2">
      <c r="A3" s="100" t="s">
        <v>3</v>
      </c>
      <c r="B3" s="103">
        <f>-('P&amp;L'!B31+'P&amp;L'!N31)</f>
        <v>1023509.0408640159</v>
      </c>
      <c r="C3" s="92"/>
      <c r="D3" s="92"/>
      <c r="E3" s="92"/>
      <c r="F3" s="92"/>
      <c r="G3" s="92"/>
      <c r="H3" s="92"/>
    </row>
    <row r="4" spans="1:8" ht="17" x14ac:dyDescent="0.2">
      <c r="A4" s="100" t="s">
        <v>4</v>
      </c>
      <c r="B4" s="102">
        <f>('P&amp;L'!B8+'P&amp;L'!B24)</f>
        <v>1111938.9032864</v>
      </c>
      <c r="C4" s="92"/>
      <c r="D4" s="92"/>
      <c r="E4" s="92"/>
      <c r="F4" s="92"/>
      <c r="G4" s="92"/>
      <c r="H4" s="92"/>
    </row>
    <row r="5" spans="1:8" ht="17" x14ac:dyDescent="0.2">
      <c r="A5" s="100" t="s">
        <v>5</v>
      </c>
      <c r="B5" s="104">
        <f>SUM(B2:B4)</f>
        <v>2454647.9441504162</v>
      </c>
      <c r="C5" s="92"/>
      <c r="D5" s="92"/>
      <c r="E5" s="92"/>
      <c r="F5" s="92"/>
      <c r="G5" s="92"/>
      <c r="H5" s="92"/>
    </row>
    <row r="6" spans="1:8" x14ac:dyDescent="0.2">
      <c r="A6" s="92"/>
      <c r="B6" s="105"/>
      <c r="C6" s="92"/>
      <c r="D6" s="92"/>
      <c r="E6" s="92"/>
      <c r="F6" s="92"/>
      <c r="G6" s="92"/>
      <c r="H6" s="92"/>
    </row>
    <row r="7" spans="1:8" x14ac:dyDescent="0.2">
      <c r="A7" s="92"/>
      <c r="B7" s="92"/>
      <c r="C7" s="92"/>
      <c r="D7" s="92"/>
      <c r="E7" s="92"/>
      <c r="F7" s="92"/>
      <c r="G7" s="92"/>
      <c r="H7" s="92"/>
    </row>
    <row r="8" spans="1:8" x14ac:dyDescent="0.2">
      <c r="A8" s="92"/>
      <c r="B8" s="92"/>
      <c r="C8" s="92"/>
      <c r="D8" s="92"/>
      <c r="E8" s="92"/>
      <c r="F8" s="92"/>
      <c r="G8" s="92"/>
      <c r="H8" s="92"/>
    </row>
    <row r="9" spans="1:8" ht="17" x14ac:dyDescent="0.2">
      <c r="A9" s="106" t="s">
        <v>21</v>
      </c>
      <c r="B9" s="107" t="s">
        <v>6</v>
      </c>
      <c r="C9" s="107" t="s">
        <v>7</v>
      </c>
      <c r="D9" s="107" t="s">
        <v>8</v>
      </c>
      <c r="E9" s="107" t="s">
        <v>9</v>
      </c>
      <c r="F9" s="107" t="s">
        <v>10</v>
      </c>
      <c r="G9" s="107" t="s">
        <v>11</v>
      </c>
      <c r="H9" s="115"/>
    </row>
    <row r="10" spans="1:8" ht="17" x14ac:dyDescent="0.2">
      <c r="A10" s="106" t="s">
        <v>12</v>
      </c>
      <c r="B10" s="108">
        <v>0.05</v>
      </c>
      <c r="C10" s="108">
        <v>0.05</v>
      </c>
      <c r="D10" s="108">
        <v>0.05</v>
      </c>
      <c r="E10" s="108">
        <v>0.05</v>
      </c>
      <c r="F10" s="108">
        <v>0.05</v>
      </c>
      <c r="G10" s="108">
        <v>0.05</v>
      </c>
      <c r="H10" s="116"/>
    </row>
    <row r="11" spans="1:8" ht="17" x14ac:dyDescent="0.2">
      <c r="A11" s="106" t="s">
        <v>160</v>
      </c>
      <c r="B11" s="109">
        <f>'Sales Plan'!U10</f>
        <v>46750.583880000006</v>
      </c>
      <c r="C11" s="109">
        <f>'Sales Plan'!V10</f>
        <v>49088.113074000008</v>
      </c>
      <c r="D11" s="109">
        <f>'Sales Plan'!W10</f>
        <v>51542.518727700008</v>
      </c>
      <c r="E11" s="109">
        <f>'Sales Plan'!X10</f>
        <v>54119.644664085012</v>
      </c>
      <c r="F11" s="109">
        <f>'Sales Plan'!Y10</f>
        <v>56825.626897289265</v>
      </c>
      <c r="G11" s="109">
        <f>'Sales Plan'!Z10</f>
        <v>59666.908242153731</v>
      </c>
      <c r="H11" s="117"/>
    </row>
    <row r="12" spans="1:8" x14ac:dyDescent="0.2">
      <c r="A12" s="118"/>
      <c r="B12" s="119"/>
      <c r="C12" s="119"/>
      <c r="D12" s="119"/>
      <c r="E12" s="119"/>
      <c r="F12" s="119"/>
      <c r="G12" s="119"/>
      <c r="H12" s="120"/>
    </row>
    <row r="13" spans="1:8" ht="17" x14ac:dyDescent="0.2">
      <c r="A13" s="121"/>
      <c r="B13" s="107" t="s">
        <v>13</v>
      </c>
      <c r="C13" s="107" t="s">
        <v>14</v>
      </c>
      <c r="D13" s="107" t="s">
        <v>15</v>
      </c>
      <c r="E13" s="107" t="s">
        <v>16</v>
      </c>
      <c r="F13" s="107" t="s">
        <v>17</v>
      </c>
      <c r="G13" s="107" t="s">
        <v>18</v>
      </c>
      <c r="H13" s="107" t="s">
        <v>19</v>
      </c>
    </row>
    <row r="14" spans="1:8" x14ac:dyDescent="0.2">
      <c r="A14" s="122"/>
      <c r="B14" s="108">
        <v>0.05</v>
      </c>
      <c r="C14" s="108">
        <v>0.05</v>
      </c>
      <c r="D14" s="108">
        <v>0.05</v>
      </c>
      <c r="E14" s="108">
        <v>0.05</v>
      </c>
      <c r="F14" s="108">
        <v>0.05</v>
      </c>
      <c r="G14" s="108">
        <v>0.05</v>
      </c>
      <c r="H14" s="108">
        <v>0.05</v>
      </c>
    </row>
    <row r="15" spans="1:8" x14ac:dyDescent="0.2">
      <c r="A15" s="123"/>
      <c r="B15" s="109">
        <f>'Sales Plan'!AA10</f>
        <v>62650.253654261418</v>
      </c>
      <c r="C15" s="109">
        <f>'Sales Plan'!AB10</f>
        <v>65782.766336974499</v>
      </c>
      <c r="D15" s="109">
        <f>'Sales Plan'!AC10</f>
        <v>69071.904653823221</v>
      </c>
      <c r="E15" s="109">
        <f>'Sales Plan'!AD10</f>
        <v>72525.499886514386</v>
      </c>
      <c r="F15" s="109">
        <f>'Sales Plan'!AE10</f>
        <v>76151.774880840108</v>
      </c>
      <c r="G15" s="109">
        <f>'Sales Plan'!AF10</f>
        <v>79959.363624882113</v>
      </c>
      <c r="H15" s="109">
        <f>SUM(B11:G11,B15:G15)</f>
        <v>744134.95852252375</v>
      </c>
    </row>
    <row r="16" spans="1:8" x14ac:dyDescent="0.2">
      <c r="A16" s="92"/>
      <c r="B16" s="92"/>
      <c r="C16" s="92"/>
      <c r="D16" s="92"/>
      <c r="E16" s="92"/>
      <c r="F16" s="92"/>
      <c r="G16" s="92"/>
      <c r="H16" s="92"/>
    </row>
    <row r="17" spans="1:8" s="5" customFormat="1" x14ac:dyDescent="0.2">
      <c r="A17" s="93"/>
      <c r="B17" s="93"/>
      <c r="C17" s="93"/>
      <c r="D17" s="93"/>
      <c r="E17" s="93"/>
      <c r="F17" s="93"/>
      <c r="G17" s="93"/>
      <c r="H17" s="93"/>
    </row>
    <row r="18" spans="1:8" x14ac:dyDescent="0.2">
      <c r="A18" s="94" t="s">
        <v>29</v>
      </c>
      <c r="B18" s="92"/>
      <c r="C18" s="92"/>
      <c r="D18" s="92"/>
      <c r="E18" s="92"/>
      <c r="F18" s="92"/>
      <c r="G18" s="92"/>
      <c r="H18" s="92"/>
    </row>
    <row r="19" spans="1:8" ht="17" x14ac:dyDescent="0.2">
      <c r="A19" s="95"/>
      <c r="B19" s="95" t="s">
        <v>22</v>
      </c>
      <c r="C19" s="95" t="s">
        <v>23</v>
      </c>
      <c r="D19" s="95" t="s">
        <v>24</v>
      </c>
      <c r="E19" s="95" t="s">
        <v>25</v>
      </c>
      <c r="F19" s="92"/>
      <c r="G19" s="92"/>
      <c r="H19" s="92"/>
    </row>
    <row r="20" spans="1:8" ht="17" x14ac:dyDescent="0.2">
      <c r="A20" s="96" t="s">
        <v>26</v>
      </c>
      <c r="B20" s="110">
        <f>'P&amp;L'!U3</f>
        <v>0</v>
      </c>
      <c r="C20" s="110">
        <f>'P&amp;L'!V3</f>
        <v>400733.28735056001</v>
      </c>
      <c r="D20" s="110">
        <f>'P&amp;L'!W3</f>
        <v>584862.30906515196</v>
      </c>
      <c r="E20" s="110">
        <f>'P&amp;L'!X3</f>
        <v>1313616.7210302274</v>
      </c>
      <c r="F20" s="92"/>
      <c r="G20" s="92"/>
      <c r="H20" s="92"/>
    </row>
    <row r="21" spans="1:8" ht="17" x14ac:dyDescent="0.2">
      <c r="A21" s="96" t="s">
        <v>27</v>
      </c>
      <c r="B21" s="110">
        <f>'P&amp;L'!U4</f>
        <v>400733.28735056001</v>
      </c>
      <c r="C21" s="110">
        <f>'P&amp;L'!V4</f>
        <v>184129.021714592</v>
      </c>
      <c r="D21" s="110">
        <f>'P&amp;L'!W4</f>
        <v>728754.41196507541</v>
      </c>
      <c r="E21" s="110">
        <f>'P&amp;L'!X4</f>
        <v>2445782.6320603257</v>
      </c>
      <c r="F21" s="92"/>
      <c r="G21" s="92"/>
      <c r="H21" s="92"/>
    </row>
    <row r="22" spans="1:8" ht="17" x14ac:dyDescent="0.2">
      <c r="A22" s="96" t="s">
        <v>28</v>
      </c>
      <c r="B22" s="110">
        <f>'P&amp;L'!U5</f>
        <v>400733.28735056001</v>
      </c>
      <c r="C22" s="110">
        <f>'P&amp;L'!V5</f>
        <v>584862.30906515196</v>
      </c>
      <c r="D22" s="110">
        <f>'P&amp;L'!W5</f>
        <v>1313616.7210302274</v>
      </c>
      <c r="E22" s="110">
        <f>'P&amp;L'!X5</f>
        <v>3759399.3530905531</v>
      </c>
      <c r="F22" s="92"/>
      <c r="G22" s="92"/>
      <c r="H22" s="92"/>
    </row>
    <row r="23" spans="1:8" x14ac:dyDescent="0.2">
      <c r="A23" s="92"/>
      <c r="B23" s="105"/>
      <c r="C23" s="105"/>
      <c r="D23" s="105"/>
      <c r="E23" s="105"/>
      <c r="F23" s="92"/>
      <c r="G23" s="92"/>
      <c r="H23" s="92"/>
    </row>
    <row r="24" spans="1:8" ht="17" x14ac:dyDescent="0.2">
      <c r="A24" s="97" t="s">
        <v>37</v>
      </c>
      <c r="B24" s="105"/>
      <c r="C24" s="105"/>
      <c r="D24" s="105"/>
      <c r="E24" s="105"/>
      <c r="F24" s="92"/>
      <c r="G24" s="92"/>
      <c r="H24" s="92"/>
    </row>
    <row r="25" spans="1:8" ht="17" x14ac:dyDescent="0.2">
      <c r="A25" s="98"/>
      <c r="B25" s="111" t="s">
        <v>30</v>
      </c>
      <c r="C25" s="111" t="s">
        <v>31</v>
      </c>
      <c r="D25" s="111" t="s">
        <v>32</v>
      </c>
      <c r="E25" s="111" t="s">
        <v>33</v>
      </c>
      <c r="F25" s="92"/>
      <c r="G25" s="92"/>
      <c r="H25" s="92"/>
    </row>
    <row r="26" spans="1:8" ht="17" x14ac:dyDescent="0.2">
      <c r="A26" s="96" t="s">
        <v>34</v>
      </c>
      <c r="B26" s="112">
        <f>'Balance Sheet'!C23</f>
        <v>1042549.6890762367</v>
      </c>
      <c r="C26" s="112">
        <f>'Balance Sheet'!K23</f>
        <v>1142963.5279570448</v>
      </c>
      <c r="D26" s="113">
        <f>'Balance Sheet'!S23</f>
        <v>2286460.3252445529</v>
      </c>
      <c r="E26" s="113">
        <f>'Balance Sheet'!AA23</f>
        <v>6158501.2748155948</v>
      </c>
      <c r="F26" s="92"/>
      <c r="G26" s="92"/>
      <c r="H26" s="92"/>
    </row>
    <row r="27" spans="1:8" ht="17" x14ac:dyDescent="0.2">
      <c r="A27" s="96" t="s">
        <v>35</v>
      </c>
      <c r="B27" s="113">
        <f>'Balance Sheet'!G15</f>
        <v>1023509.0408640159</v>
      </c>
      <c r="C27" s="113">
        <f>'Balance Sheet'!O15</f>
        <v>1023509.0408640159</v>
      </c>
      <c r="D27" s="113">
        <f>'Balance Sheet'!W15</f>
        <v>1023509.0408640159</v>
      </c>
      <c r="E27" s="113">
        <f>'Balance Sheet'!AE15</f>
        <v>1023509.0408640159</v>
      </c>
      <c r="F27" s="92"/>
      <c r="G27" s="92"/>
      <c r="H27" s="92"/>
    </row>
    <row r="28" spans="1:8" ht="17" x14ac:dyDescent="0.2">
      <c r="A28" s="96" t="s">
        <v>36</v>
      </c>
      <c r="B28" s="113">
        <f>B26-B27</f>
        <v>19040.648212220753</v>
      </c>
      <c r="C28" s="113">
        <f>C26-C27</f>
        <v>119454.48709302885</v>
      </c>
      <c r="D28" s="113">
        <f t="shared" ref="D28:E28" si="0">D26-D27</f>
        <v>1262951.284380537</v>
      </c>
      <c r="E28" s="113">
        <f t="shared" si="0"/>
        <v>5134992.2339515788</v>
      </c>
      <c r="F28" s="92"/>
      <c r="G28" s="92"/>
      <c r="H28" s="92"/>
    </row>
    <row r="29" spans="1:8" x14ac:dyDescent="0.2">
      <c r="A29" s="92"/>
      <c r="B29" s="105"/>
      <c r="C29" s="105"/>
      <c r="D29" s="105"/>
      <c r="E29" s="105"/>
      <c r="F29" s="92"/>
      <c r="G29" s="92"/>
      <c r="H29" s="92"/>
    </row>
    <row r="30" spans="1:8" ht="17" x14ac:dyDescent="0.2">
      <c r="A30" s="97" t="s">
        <v>44</v>
      </c>
      <c r="B30" s="105"/>
      <c r="C30" s="105"/>
      <c r="D30" s="105"/>
      <c r="E30" s="105"/>
      <c r="F30" s="92"/>
      <c r="G30" s="92"/>
      <c r="H30" s="92"/>
    </row>
    <row r="31" spans="1:8" ht="17" x14ac:dyDescent="0.2">
      <c r="A31" s="95"/>
      <c r="B31" s="111" t="s">
        <v>22</v>
      </c>
      <c r="C31" s="111" t="s">
        <v>23</v>
      </c>
      <c r="D31" s="111" t="s">
        <v>38</v>
      </c>
      <c r="E31" s="111" t="s">
        <v>39</v>
      </c>
      <c r="F31" s="92"/>
      <c r="G31" s="92"/>
      <c r="H31" s="92"/>
    </row>
    <row r="32" spans="1:8" ht="17" x14ac:dyDescent="0.2">
      <c r="A32" s="96" t="s">
        <v>40</v>
      </c>
      <c r="B32" s="110">
        <f>'P&amp;L'!B6</f>
        <v>110105.68491000001</v>
      </c>
      <c r="C32" s="110">
        <f>'P&amp;L'!O6</f>
        <v>11125702.031986514</v>
      </c>
      <c r="D32" s="110">
        <f>'P&amp;L'!P6</f>
        <v>22699684.09833426</v>
      </c>
      <c r="E32" s="110">
        <f>'P&amp;L'!Q6</f>
        <v>55979044.840250969</v>
      </c>
      <c r="F32" s="92"/>
      <c r="G32" s="92"/>
      <c r="H32" s="92"/>
    </row>
    <row r="33" spans="1:8" ht="17" x14ac:dyDescent="0.2">
      <c r="A33" s="96" t="s">
        <v>41</v>
      </c>
      <c r="B33" s="114">
        <f>'P&amp;L'!B10</f>
        <v>-6.3508024218874075</v>
      </c>
      <c r="C33" s="114">
        <f>'P&amp;L'!O10</f>
        <v>0.2686648410056609</v>
      </c>
      <c r="D33" s="114">
        <f>'P&amp;L'!P10</f>
        <v>0.37843141790524182</v>
      </c>
      <c r="E33" s="114">
        <f>'P&amp;L'!Q10</f>
        <v>0.38810983642362168</v>
      </c>
      <c r="F33" s="92"/>
      <c r="G33" s="92"/>
      <c r="H33" s="92"/>
    </row>
    <row r="34" spans="1:8" ht="17" x14ac:dyDescent="0.2">
      <c r="A34" s="96" t="s">
        <v>42</v>
      </c>
      <c r="B34" s="110">
        <f>'P&amp;L'!$B$25</f>
        <v>-1001833.2183763999</v>
      </c>
      <c r="C34" s="110">
        <f>'P&amp;L'!O25</f>
        <v>-460322.55428647995</v>
      </c>
      <c r="D34" s="110">
        <f>'P&amp;L'!P25</f>
        <v>1041077.7313786792</v>
      </c>
      <c r="E34" s="110">
        <f>'P&amp;L'!Q25</f>
        <v>3493975.1886576079</v>
      </c>
      <c r="F34" s="92"/>
      <c r="G34" s="92"/>
      <c r="H34" s="92"/>
    </row>
    <row r="35" spans="1:8" ht="17" x14ac:dyDescent="0.2">
      <c r="A35" s="96" t="s">
        <v>43</v>
      </c>
      <c r="B35" s="110">
        <f>'P&amp;L'!$B$31</f>
        <v>-701283.25286348001</v>
      </c>
      <c r="C35" s="110">
        <f>'P&amp;L'!O31</f>
        <v>-322225.78800053598</v>
      </c>
      <c r="D35" s="110">
        <f>'P&amp;L'!P31</f>
        <v>728754.41196507541</v>
      </c>
      <c r="E35" s="110">
        <f>'P&amp;L'!Q31</f>
        <v>2445782.6320603257</v>
      </c>
      <c r="F35" s="92"/>
      <c r="G35" s="92"/>
      <c r="H35" s="92"/>
    </row>
  </sheetData>
  <mergeCells count="3">
    <mergeCell ref="H9:H11"/>
    <mergeCell ref="A12:H12"/>
    <mergeCell ref="A13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B1D2-7483-8443-A3B3-F06C14C39D3B}">
  <dimension ref="A1:AE23"/>
  <sheetViews>
    <sheetView zoomScale="120" zoomScaleNormal="120" workbookViewId="0">
      <selection activeCell="O13" sqref="O13:O15"/>
    </sheetView>
  </sheetViews>
  <sheetFormatPr baseColWidth="10" defaultRowHeight="16" x14ac:dyDescent="0.2"/>
  <cols>
    <col min="1" max="1" width="19.33203125" bestFit="1" customWidth="1"/>
    <col min="2" max="2" width="22.33203125" bestFit="1" customWidth="1"/>
    <col min="3" max="3" width="13" bestFit="1" customWidth="1"/>
    <col min="4" max="4" width="0.6640625" customWidth="1"/>
    <col min="5" max="5" width="16.5" customWidth="1"/>
    <col min="6" max="6" width="22.83203125" bestFit="1" customWidth="1"/>
    <col min="7" max="7" width="13" bestFit="1" customWidth="1"/>
    <col min="8" max="8" width="0.83203125" customWidth="1"/>
    <col min="9" max="9" width="19.33203125" bestFit="1" customWidth="1"/>
    <col min="10" max="10" width="22.33203125" bestFit="1" customWidth="1"/>
    <col min="11" max="11" width="13" bestFit="1" customWidth="1"/>
    <col min="12" max="12" width="1" customWidth="1"/>
    <col min="13" max="13" width="16.6640625" bestFit="1" customWidth="1"/>
    <col min="15" max="15" width="13" bestFit="1" customWidth="1"/>
    <col min="16" max="16" width="1.6640625" customWidth="1"/>
    <col min="18" max="18" width="22.33203125" bestFit="1" customWidth="1"/>
    <col min="19" max="19" width="13.33203125" bestFit="1" customWidth="1"/>
    <col min="20" max="20" width="0.6640625" customWidth="1"/>
    <col min="21" max="21" width="16.6640625" bestFit="1" customWidth="1"/>
    <col min="24" max="24" width="1" customWidth="1"/>
    <col min="27" max="27" width="13.33203125" bestFit="1" customWidth="1"/>
    <col min="28" max="28" width="1.33203125" customWidth="1"/>
  </cols>
  <sheetData>
    <row r="1" spans="1:31" ht="17" thickBot="1" x14ac:dyDescent="0.25"/>
    <row r="2" spans="1:31" x14ac:dyDescent="0.2">
      <c r="A2" s="23"/>
      <c r="B2" s="24"/>
      <c r="C2" s="127" t="s">
        <v>162</v>
      </c>
      <c r="D2" s="127"/>
      <c r="E2" s="127"/>
      <c r="F2" s="24"/>
      <c r="G2" s="25"/>
      <c r="I2" s="23"/>
      <c r="J2" s="24"/>
      <c r="K2" s="127" t="s">
        <v>103</v>
      </c>
      <c r="L2" s="127"/>
      <c r="M2" s="127"/>
      <c r="N2" s="24"/>
      <c r="O2" s="25"/>
      <c r="Q2" s="23"/>
      <c r="R2" s="24"/>
      <c r="S2" s="127" t="s">
        <v>163</v>
      </c>
      <c r="T2" s="127"/>
      <c r="U2" s="127"/>
      <c r="V2" s="24"/>
      <c r="W2" s="25"/>
      <c r="Y2" s="23"/>
      <c r="Z2" s="24"/>
      <c r="AA2" s="127" t="s">
        <v>164</v>
      </c>
      <c r="AB2" s="127"/>
      <c r="AC2" s="127"/>
      <c r="AD2" s="24"/>
      <c r="AE2" s="25"/>
    </row>
    <row r="3" spans="1:31" ht="17" thickBot="1" x14ac:dyDescent="0.25">
      <c r="A3" s="9"/>
      <c r="B3" s="7"/>
      <c r="C3" s="7"/>
      <c r="D3" s="7"/>
      <c r="E3" s="7"/>
      <c r="F3" s="7"/>
      <c r="G3" s="8"/>
      <c r="I3" s="9"/>
      <c r="J3" s="7"/>
      <c r="K3" s="7"/>
      <c r="L3" s="7"/>
      <c r="M3" s="7"/>
      <c r="N3" s="7"/>
      <c r="O3" s="8"/>
      <c r="Q3" s="9"/>
      <c r="R3" s="7"/>
      <c r="S3" s="7"/>
      <c r="T3" s="7"/>
      <c r="U3" s="7"/>
      <c r="V3" s="7"/>
      <c r="W3" s="8"/>
      <c r="Y3" s="9"/>
      <c r="Z3" s="7"/>
      <c r="AA3" s="7"/>
      <c r="AB3" s="7"/>
      <c r="AC3" s="7"/>
      <c r="AD3" s="7"/>
      <c r="AE3" s="8"/>
    </row>
    <row r="4" spans="1:31" ht="17" thickBot="1" x14ac:dyDescent="0.25">
      <c r="A4" s="128" t="s">
        <v>71</v>
      </c>
      <c r="B4" s="129"/>
      <c r="C4" s="21"/>
      <c r="D4" s="6"/>
      <c r="E4" s="129" t="s">
        <v>88</v>
      </c>
      <c r="F4" s="129"/>
      <c r="G4" s="21"/>
      <c r="I4" s="128" t="s">
        <v>71</v>
      </c>
      <c r="J4" s="129"/>
      <c r="K4" s="21"/>
      <c r="L4" s="6"/>
      <c r="M4" s="129" t="s">
        <v>88</v>
      </c>
      <c r="N4" s="129"/>
      <c r="O4" s="21"/>
      <c r="Q4" s="128" t="s">
        <v>71</v>
      </c>
      <c r="R4" s="129"/>
      <c r="S4" s="21"/>
      <c r="T4" s="6"/>
      <c r="U4" s="129" t="s">
        <v>88</v>
      </c>
      <c r="V4" s="129"/>
      <c r="W4" s="21"/>
      <c r="Y4" s="128" t="s">
        <v>71</v>
      </c>
      <c r="Z4" s="129"/>
      <c r="AA4" s="21"/>
      <c r="AB4" s="6"/>
      <c r="AC4" s="129" t="s">
        <v>88</v>
      </c>
      <c r="AD4" s="129"/>
      <c r="AE4" s="21"/>
    </row>
    <row r="5" spans="1:31" x14ac:dyDescent="0.2">
      <c r="A5" s="9" t="s">
        <v>72</v>
      </c>
      <c r="B5" s="7"/>
      <c r="C5" s="13"/>
      <c r="D5" s="7"/>
      <c r="E5" s="7" t="s">
        <v>89</v>
      </c>
      <c r="F5" s="7"/>
      <c r="G5" s="13"/>
      <c r="I5" s="9" t="s">
        <v>72</v>
      </c>
      <c r="J5" s="7"/>
      <c r="K5" s="13"/>
      <c r="L5" s="7"/>
      <c r="M5" s="7" t="s">
        <v>89</v>
      </c>
      <c r="N5" s="7"/>
      <c r="O5" s="13"/>
      <c r="Q5" s="9" t="s">
        <v>72</v>
      </c>
      <c r="R5" s="7"/>
      <c r="S5" s="13"/>
      <c r="T5" s="7"/>
      <c r="U5" s="7" t="s">
        <v>89</v>
      </c>
      <c r="V5" s="7"/>
      <c r="W5" s="13"/>
      <c r="Y5" s="9" t="s">
        <v>72</v>
      </c>
      <c r="Z5" s="7"/>
      <c r="AA5" s="13"/>
      <c r="AB5" s="7"/>
      <c r="AC5" s="7" t="s">
        <v>89</v>
      </c>
      <c r="AD5" s="7"/>
      <c r="AE5" s="13"/>
    </row>
    <row r="6" spans="1:31" x14ac:dyDescent="0.2">
      <c r="A6" s="9"/>
      <c r="B6" s="7" t="s">
        <v>73</v>
      </c>
      <c r="C6" s="101">
        <f>'P&amp;L'!U5</f>
        <v>400733.28735056001</v>
      </c>
      <c r="D6" s="7"/>
      <c r="E6" s="7"/>
      <c r="F6" s="7" t="s">
        <v>90</v>
      </c>
      <c r="G6" s="13"/>
      <c r="I6" s="9"/>
      <c r="J6" s="7" t="s">
        <v>73</v>
      </c>
      <c r="K6" s="101">
        <f>'P&amp;L'!V5</f>
        <v>584862.30906515196</v>
      </c>
      <c r="L6" s="7"/>
      <c r="M6" s="7"/>
      <c r="N6" s="7" t="s">
        <v>90</v>
      </c>
      <c r="O6" s="13"/>
      <c r="Q6" s="9"/>
      <c r="R6" s="7" t="s">
        <v>73</v>
      </c>
      <c r="S6" s="101">
        <f>'P&amp;L'!W5</f>
        <v>1313616.7210302274</v>
      </c>
      <c r="T6" s="7"/>
      <c r="U6" s="7"/>
      <c r="V6" s="7" t="s">
        <v>90</v>
      </c>
      <c r="W6" s="13"/>
      <c r="Y6" s="9"/>
      <c r="Z6" s="7" t="s">
        <v>73</v>
      </c>
      <c r="AA6" s="101">
        <f>'P&amp;L'!X5</f>
        <v>3759399.3530905531</v>
      </c>
      <c r="AB6" s="7"/>
      <c r="AC6" s="7"/>
      <c r="AD6" s="7" t="s">
        <v>90</v>
      </c>
      <c r="AE6" s="13"/>
    </row>
    <row r="7" spans="1:31" x14ac:dyDescent="0.2">
      <c r="A7" s="9"/>
      <c r="B7" s="7" t="s">
        <v>74</v>
      </c>
      <c r="C7" s="81"/>
      <c r="D7" s="7"/>
      <c r="E7" s="7"/>
      <c r="F7" s="7" t="s">
        <v>91</v>
      </c>
      <c r="G7" s="13"/>
      <c r="I7" s="9"/>
      <c r="J7" s="7" t="s">
        <v>74</v>
      </c>
      <c r="K7" s="81"/>
      <c r="L7" s="7"/>
      <c r="M7" s="7"/>
      <c r="N7" s="7" t="s">
        <v>91</v>
      </c>
      <c r="O7" s="13"/>
      <c r="Q7" s="9"/>
      <c r="R7" s="7" t="s">
        <v>74</v>
      </c>
      <c r="S7" s="81"/>
      <c r="T7" s="7"/>
      <c r="U7" s="7"/>
      <c r="V7" s="7" t="s">
        <v>91</v>
      </c>
      <c r="W7" s="13"/>
      <c r="Y7" s="9"/>
      <c r="Z7" s="7" t="s">
        <v>74</v>
      </c>
      <c r="AA7" s="81"/>
      <c r="AB7" s="7"/>
      <c r="AC7" s="7"/>
      <c r="AD7" s="7" t="s">
        <v>91</v>
      </c>
      <c r="AE7" s="13"/>
    </row>
    <row r="8" spans="1:31" x14ac:dyDescent="0.2">
      <c r="A8" s="9"/>
      <c r="B8" s="7" t="s">
        <v>75</v>
      </c>
      <c r="C8" s="101">
        <f>'Sales Plan'!E43*115%</f>
        <v>641816.40172567673</v>
      </c>
      <c r="D8" s="7"/>
      <c r="E8" s="7"/>
      <c r="F8" s="7" t="s">
        <v>92</v>
      </c>
      <c r="G8" s="13"/>
      <c r="I8" s="9"/>
      <c r="J8" s="7" t="s">
        <v>75</v>
      </c>
      <c r="K8" s="101">
        <f>'Sales Plan'!$E$43</f>
        <v>558101.21889189282</v>
      </c>
      <c r="L8" s="7"/>
      <c r="M8" s="7"/>
      <c r="N8" s="7" t="s">
        <v>92</v>
      </c>
      <c r="O8" s="13"/>
      <c r="Q8" s="9"/>
      <c r="R8" s="7" t="s">
        <v>75</v>
      </c>
      <c r="S8" s="101">
        <f>'Sales Plan'!$F$43</f>
        <v>972843.60421432543</v>
      </c>
      <c r="T8" s="7"/>
      <c r="U8" s="7"/>
      <c r="V8" s="7" t="s">
        <v>92</v>
      </c>
      <c r="W8" s="13"/>
      <c r="Y8" s="9"/>
      <c r="Z8" s="7" t="s">
        <v>75</v>
      </c>
      <c r="AA8" s="101">
        <f>'Sales Plan'!G43</f>
        <v>2399101.9217250417</v>
      </c>
      <c r="AB8" s="7"/>
      <c r="AC8" s="7"/>
      <c r="AD8" s="7" t="s">
        <v>92</v>
      </c>
      <c r="AE8" s="13"/>
    </row>
    <row r="9" spans="1:31" x14ac:dyDescent="0.2">
      <c r="A9" s="9"/>
      <c r="B9" s="7" t="s">
        <v>76</v>
      </c>
      <c r="C9" s="81"/>
      <c r="D9" s="7"/>
      <c r="E9" s="7"/>
      <c r="F9" s="7" t="s">
        <v>93</v>
      </c>
      <c r="G9" s="13"/>
      <c r="I9" s="9"/>
      <c r="J9" s="7" t="s">
        <v>76</v>
      </c>
      <c r="K9" s="81"/>
      <c r="L9" s="7"/>
      <c r="M9" s="7"/>
      <c r="N9" s="7" t="s">
        <v>93</v>
      </c>
      <c r="O9" s="13"/>
      <c r="Q9" s="9"/>
      <c r="R9" s="7" t="s">
        <v>76</v>
      </c>
      <c r="S9" s="81"/>
      <c r="T9" s="7"/>
      <c r="U9" s="7"/>
      <c r="V9" s="7" t="s">
        <v>93</v>
      </c>
      <c r="W9" s="13"/>
      <c r="Y9" s="9"/>
      <c r="Z9" s="7" t="s">
        <v>76</v>
      </c>
      <c r="AA9" s="81"/>
      <c r="AB9" s="7"/>
      <c r="AC9" s="7"/>
      <c r="AD9" s="7" t="s">
        <v>93</v>
      </c>
      <c r="AE9" s="13"/>
    </row>
    <row r="10" spans="1:31" ht="17" thickBot="1" x14ac:dyDescent="0.25">
      <c r="A10" s="9"/>
      <c r="B10" s="7" t="s">
        <v>77</v>
      </c>
      <c r="C10" s="81"/>
      <c r="D10" s="7"/>
      <c r="E10" s="7"/>
      <c r="F10" s="7"/>
      <c r="G10" s="13"/>
      <c r="I10" s="9"/>
      <c r="J10" s="7" t="s">
        <v>77</v>
      </c>
      <c r="K10" s="81"/>
      <c r="L10" s="7"/>
      <c r="M10" s="7"/>
      <c r="N10" s="7"/>
      <c r="O10" s="13"/>
      <c r="Q10" s="9"/>
      <c r="R10" s="7" t="s">
        <v>77</v>
      </c>
      <c r="S10" s="81"/>
      <c r="T10" s="7"/>
      <c r="U10" s="7"/>
      <c r="V10" s="7"/>
      <c r="W10" s="13"/>
      <c r="Y10" s="9"/>
      <c r="Z10" s="7" t="s">
        <v>77</v>
      </c>
      <c r="AA10" s="81"/>
      <c r="AB10" s="7"/>
      <c r="AC10" s="7"/>
      <c r="AD10" s="7"/>
      <c r="AE10" s="13"/>
    </row>
    <row r="11" spans="1:31" ht="17" thickBot="1" x14ac:dyDescent="0.25">
      <c r="A11" s="125" t="s">
        <v>78</v>
      </c>
      <c r="B11" s="126"/>
      <c r="C11" s="66">
        <f>SUM(C6:C10)</f>
        <v>1042549.6890762367</v>
      </c>
      <c r="D11" s="6"/>
      <c r="E11" s="126" t="s">
        <v>94</v>
      </c>
      <c r="F11" s="126"/>
      <c r="G11" s="66">
        <f>SUM(G6:G10)</f>
        <v>0</v>
      </c>
      <c r="I11" s="125" t="s">
        <v>78</v>
      </c>
      <c r="J11" s="126"/>
      <c r="K11" s="66">
        <f>SUM(K6:K10)</f>
        <v>1142963.5279570448</v>
      </c>
      <c r="L11" s="6"/>
      <c r="M11" s="126" t="s">
        <v>94</v>
      </c>
      <c r="N11" s="126"/>
      <c r="O11" s="21">
        <f>SUM(O6:O10)</f>
        <v>0</v>
      </c>
      <c r="Q11" s="125" t="s">
        <v>78</v>
      </c>
      <c r="R11" s="126"/>
      <c r="S11" s="66">
        <f>SUM(S6:S10)</f>
        <v>2286460.3252445529</v>
      </c>
      <c r="T11" s="6"/>
      <c r="U11" s="126" t="s">
        <v>94</v>
      </c>
      <c r="V11" s="126"/>
      <c r="W11" s="21">
        <f>SUM(W6:W10)</f>
        <v>0</v>
      </c>
      <c r="Y11" s="125" t="s">
        <v>78</v>
      </c>
      <c r="Z11" s="126"/>
      <c r="AA11" s="66">
        <f>SUM(AA6:AA10)</f>
        <v>6158501.2748155948</v>
      </c>
      <c r="AB11" s="6"/>
      <c r="AC11" s="126" t="s">
        <v>94</v>
      </c>
      <c r="AD11" s="126"/>
      <c r="AE11" s="21">
        <f>SUM(AE6:AE10)</f>
        <v>0</v>
      </c>
    </row>
    <row r="12" spans="1:31" x14ac:dyDescent="0.2">
      <c r="A12" s="9"/>
      <c r="B12" s="7"/>
      <c r="C12" s="81"/>
      <c r="D12" s="7"/>
      <c r="E12" s="7"/>
      <c r="F12" s="7"/>
      <c r="G12" s="81"/>
      <c r="I12" s="9"/>
      <c r="J12" s="7"/>
      <c r="K12" s="81"/>
      <c r="L12" s="7"/>
      <c r="M12" s="7"/>
      <c r="N12" s="7"/>
      <c r="O12" s="13"/>
      <c r="Q12" s="9"/>
      <c r="R12" s="7"/>
      <c r="S12" s="81"/>
      <c r="T12" s="7"/>
      <c r="U12" s="7"/>
      <c r="V12" s="7"/>
      <c r="W12" s="13"/>
      <c r="Y12" s="9"/>
      <c r="Z12" s="7"/>
      <c r="AA12" s="81"/>
      <c r="AB12" s="7"/>
      <c r="AC12" s="7"/>
      <c r="AD12" s="7"/>
      <c r="AE12" s="13"/>
    </row>
    <row r="13" spans="1:31" x14ac:dyDescent="0.2">
      <c r="A13" s="9" t="s">
        <v>79</v>
      </c>
      <c r="B13" s="7"/>
      <c r="C13" s="81"/>
      <c r="D13" s="7"/>
      <c r="E13" s="7" t="s">
        <v>95</v>
      </c>
      <c r="F13" s="7"/>
      <c r="G13" s="81">
        <f>Summary!$B$3</f>
        <v>1023509.0408640159</v>
      </c>
      <c r="I13" s="9" t="s">
        <v>79</v>
      </c>
      <c r="J13" s="7"/>
      <c r="K13" s="81"/>
      <c r="L13" s="7"/>
      <c r="M13" s="7" t="s">
        <v>95</v>
      </c>
      <c r="N13" s="7"/>
      <c r="O13" s="81">
        <f>Summary!$B$3</f>
        <v>1023509.0408640159</v>
      </c>
      <c r="Q13" s="9" t="s">
        <v>79</v>
      </c>
      <c r="R13" s="7"/>
      <c r="S13" s="81"/>
      <c r="T13" s="7"/>
      <c r="U13" s="7" t="s">
        <v>95</v>
      </c>
      <c r="V13" s="7"/>
      <c r="W13" s="81">
        <f>Summary!$B$3</f>
        <v>1023509.0408640159</v>
      </c>
      <c r="Y13" s="9" t="s">
        <v>79</v>
      </c>
      <c r="Z13" s="7"/>
      <c r="AA13" s="81">
        <f>Summary!$B$3</f>
        <v>1023509.0408640159</v>
      </c>
      <c r="AB13" s="7"/>
      <c r="AC13" s="7" t="s">
        <v>95</v>
      </c>
      <c r="AD13" s="7"/>
      <c r="AE13" s="81">
        <f>Summary!$B$3</f>
        <v>1023509.0408640159</v>
      </c>
    </row>
    <row r="14" spans="1:31" x14ac:dyDescent="0.2">
      <c r="A14" s="9"/>
      <c r="B14" s="7" t="s">
        <v>80</v>
      </c>
      <c r="C14" s="81"/>
      <c r="D14" s="7"/>
      <c r="E14" s="7"/>
      <c r="F14" s="7"/>
      <c r="G14" s="81"/>
      <c r="I14" s="9"/>
      <c r="J14" s="7" t="s">
        <v>80</v>
      </c>
      <c r="K14" s="81"/>
      <c r="L14" s="7"/>
      <c r="M14" s="7"/>
      <c r="N14" s="7"/>
      <c r="O14" s="81"/>
      <c r="Q14" s="9"/>
      <c r="R14" s="7" t="s">
        <v>80</v>
      </c>
      <c r="S14" s="81"/>
      <c r="T14" s="7"/>
      <c r="U14" s="7"/>
      <c r="V14" s="7"/>
      <c r="W14" s="13"/>
      <c r="Y14" s="9"/>
      <c r="Z14" s="7" t="s">
        <v>80</v>
      </c>
      <c r="AA14" s="81"/>
      <c r="AB14" s="7"/>
      <c r="AC14" s="7"/>
      <c r="AD14" s="7"/>
      <c r="AE14" s="13"/>
    </row>
    <row r="15" spans="1:31" x14ac:dyDescent="0.2">
      <c r="A15" s="9"/>
      <c r="B15" s="7" t="s">
        <v>81</v>
      </c>
      <c r="C15" s="81"/>
      <c r="D15" s="7"/>
      <c r="E15" s="124" t="s">
        <v>96</v>
      </c>
      <c r="F15" s="124"/>
      <c r="G15" s="81">
        <f>G11+G13</f>
        <v>1023509.0408640159</v>
      </c>
      <c r="I15" s="9"/>
      <c r="J15" s="7" t="s">
        <v>81</v>
      </c>
      <c r="K15" s="81"/>
      <c r="L15" s="7"/>
      <c r="M15" s="124" t="s">
        <v>96</v>
      </c>
      <c r="N15" s="124"/>
      <c r="O15" s="81">
        <f>O11+O13</f>
        <v>1023509.0408640159</v>
      </c>
      <c r="Q15" s="9"/>
      <c r="R15" s="7" t="s">
        <v>81</v>
      </c>
      <c r="S15" s="81"/>
      <c r="T15" s="7"/>
      <c r="U15" s="124" t="s">
        <v>96</v>
      </c>
      <c r="V15" s="124"/>
      <c r="W15" s="13">
        <f>W11+W13</f>
        <v>1023509.0408640159</v>
      </c>
      <c r="Y15" s="9"/>
      <c r="Z15" s="7" t="s">
        <v>81</v>
      </c>
      <c r="AA15" s="81"/>
      <c r="AB15" s="7"/>
      <c r="AC15" s="124" t="s">
        <v>96</v>
      </c>
      <c r="AD15" s="124"/>
      <c r="AE15" s="13">
        <f>AE11+AE13</f>
        <v>1023509.0408640159</v>
      </c>
    </row>
    <row r="16" spans="1:31" x14ac:dyDescent="0.2">
      <c r="A16" s="9"/>
      <c r="B16" s="7" t="s">
        <v>82</v>
      </c>
      <c r="C16" s="81"/>
      <c r="D16" s="7"/>
      <c r="E16" s="7"/>
      <c r="F16" s="7"/>
      <c r="G16" s="81"/>
      <c r="I16" s="9"/>
      <c r="J16" s="7" t="s">
        <v>82</v>
      </c>
      <c r="K16" s="81"/>
      <c r="L16" s="7"/>
      <c r="M16" s="7"/>
      <c r="N16" s="7"/>
      <c r="O16" s="13"/>
      <c r="Q16" s="9"/>
      <c r="R16" s="7" t="s">
        <v>82</v>
      </c>
      <c r="S16" s="81"/>
      <c r="T16" s="7"/>
      <c r="U16" s="7"/>
      <c r="V16" s="7"/>
      <c r="W16" s="13"/>
      <c r="Y16" s="9"/>
      <c r="Z16" s="7" t="s">
        <v>82</v>
      </c>
      <c r="AA16" s="81"/>
      <c r="AB16" s="7"/>
      <c r="AC16" s="7"/>
      <c r="AD16" s="7"/>
      <c r="AE16" s="13"/>
    </row>
    <row r="17" spans="1:31" x14ac:dyDescent="0.2">
      <c r="A17" s="9"/>
      <c r="B17" s="7" t="s">
        <v>83</v>
      </c>
      <c r="C17" s="81"/>
      <c r="D17" s="7"/>
      <c r="E17" s="7" t="s">
        <v>97</v>
      </c>
      <c r="F17" s="7" t="s">
        <v>98</v>
      </c>
      <c r="G17" s="81"/>
      <c r="I17" s="9"/>
      <c r="J17" s="7" t="s">
        <v>83</v>
      </c>
      <c r="K17" s="81"/>
      <c r="L17" s="7"/>
      <c r="M17" s="7" t="s">
        <v>97</v>
      </c>
      <c r="N17" s="7" t="s">
        <v>98</v>
      </c>
      <c r="O17" s="13"/>
      <c r="Q17" s="9"/>
      <c r="R17" s="7" t="s">
        <v>83</v>
      </c>
      <c r="S17" s="81"/>
      <c r="T17" s="7"/>
      <c r="U17" s="7" t="s">
        <v>97</v>
      </c>
      <c r="V17" s="7" t="s">
        <v>98</v>
      </c>
      <c r="W17" s="13"/>
      <c r="Y17" s="9"/>
      <c r="Z17" s="7" t="s">
        <v>83</v>
      </c>
      <c r="AA17" s="81"/>
      <c r="AB17" s="7"/>
      <c r="AC17" s="7" t="s">
        <v>97</v>
      </c>
      <c r="AD17" s="7" t="s">
        <v>98</v>
      </c>
      <c r="AE17" s="13"/>
    </row>
    <row r="18" spans="1:31" x14ac:dyDescent="0.2">
      <c r="A18" s="9"/>
      <c r="B18" s="7"/>
      <c r="C18" s="81"/>
      <c r="D18" s="7"/>
      <c r="E18" s="7"/>
      <c r="F18" s="7" t="s">
        <v>99</v>
      </c>
      <c r="G18" s="81"/>
      <c r="I18" s="9"/>
      <c r="J18" s="7"/>
      <c r="K18" s="81"/>
      <c r="L18" s="7"/>
      <c r="M18" s="7"/>
      <c r="N18" s="7" t="s">
        <v>99</v>
      </c>
      <c r="O18" s="13"/>
      <c r="Q18" s="9"/>
      <c r="R18" s="7"/>
      <c r="S18" s="81"/>
      <c r="T18" s="7"/>
      <c r="U18" s="7"/>
      <c r="V18" s="7" t="s">
        <v>99</v>
      </c>
      <c r="W18" s="13"/>
      <c r="Y18" s="9"/>
      <c r="Z18" s="7"/>
      <c r="AA18" s="81"/>
      <c r="AB18" s="7"/>
      <c r="AC18" s="7"/>
      <c r="AD18" s="7" t="s">
        <v>99</v>
      </c>
      <c r="AE18" s="13"/>
    </row>
    <row r="19" spans="1:31" x14ac:dyDescent="0.2">
      <c r="A19" s="9" t="s">
        <v>84</v>
      </c>
      <c r="B19" s="7"/>
      <c r="C19" s="81"/>
      <c r="D19" s="7"/>
      <c r="E19" s="7"/>
      <c r="F19" s="7" t="s">
        <v>100</v>
      </c>
      <c r="G19" s="81"/>
      <c r="I19" s="9" t="s">
        <v>84</v>
      </c>
      <c r="J19" s="7"/>
      <c r="K19" s="81"/>
      <c r="L19" s="7"/>
      <c r="M19" s="7"/>
      <c r="N19" s="7" t="s">
        <v>100</v>
      </c>
      <c r="O19" s="13"/>
      <c r="Q19" s="9" t="s">
        <v>84</v>
      </c>
      <c r="R19" s="7"/>
      <c r="S19" s="81"/>
      <c r="T19" s="7"/>
      <c r="U19" s="7"/>
      <c r="V19" s="7" t="s">
        <v>100</v>
      </c>
      <c r="W19" s="13"/>
      <c r="Y19" s="9" t="s">
        <v>84</v>
      </c>
      <c r="Z19" s="7"/>
      <c r="AA19" s="81"/>
      <c r="AB19" s="7"/>
      <c r="AC19" s="7"/>
      <c r="AD19" s="7" t="s">
        <v>100</v>
      </c>
      <c r="AE19" s="13"/>
    </row>
    <row r="20" spans="1:31" x14ac:dyDescent="0.2">
      <c r="A20" s="9"/>
      <c r="B20" s="7" t="s">
        <v>85</v>
      </c>
      <c r="C20" s="81"/>
      <c r="D20" s="7"/>
      <c r="E20" s="7"/>
      <c r="F20" s="7" t="s">
        <v>101</v>
      </c>
      <c r="G20" s="81"/>
      <c r="I20" s="9"/>
      <c r="J20" s="7" t="s">
        <v>85</v>
      </c>
      <c r="K20" s="81"/>
      <c r="L20" s="7"/>
      <c r="M20" s="7"/>
      <c r="N20" s="7" t="s">
        <v>101</v>
      </c>
      <c r="O20" s="13"/>
      <c r="Q20" s="9"/>
      <c r="R20" s="7" t="s">
        <v>85</v>
      </c>
      <c r="S20" s="81"/>
      <c r="T20" s="7"/>
      <c r="U20" s="7"/>
      <c r="V20" s="7" t="s">
        <v>101</v>
      </c>
      <c r="W20" s="13"/>
      <c r="Y20" s="9"/>
      <c r="Z20" s="7" t="s">
        <v>85</v>
      </c>
      <c r="AA20" s="81"/>
      <c r="AB20" s="7"/>
      <c r="AC20" s="7"/>
      <c r="AD20" s="7" t="s">
        <v>101</v>
      </c>
      <c r="AE20" s="13"/>
    </row>
    <row r="21" spans="1:31" x14ac:dyDescent="0.2">
      <c r="A21" s="9"/>
      <c r="B21" s="7" t="s">
        <v>86</v>
      </c>
      <c r="C21" s="81"/>
      <c r="D21" s="7"/>
      <c r="E21" s="7"/>
      <c r="F21" s="7"/>
      <c r="G21" s="81"/>
      <c r="I21" s="9"/>
      <c r="J21" s="7" t="s">
        <v>86</v>
      </c>
      <c r="K21" s="81"/>
      <c r="L21" s="7"/>
      <c r="M21" s="7"/>
      <c r="N21" s="7"/>
      <c r="O21" s="13"/>
      <c r="Q21" s="9"/>
      <c r="R21" s="7" t="s">
        <v>86</v>
      </c>
      <c r="S21" s="81"/>
      <c r="T21" s="7"/>
      <c r="U21" s="7"/>
      <c r="V21" s="7"/>
      <c r="W21" s="13"/>
      <c r="Y21" s="9"/>
      <c r="Z21" s="7" t="s">
        <v>86</v>
      </c>
      <c r="AA21" s="81"/>
      <c r="AB21" s="7"/>
      <c r="AC21" s="7"/>
      <c r="AD21" s="7"/>
      <c r="AE21" s="13"/>
    </row>
    <row r="22" spans="1:31" ht="17" thickBot="1" x14ac:dyDescent="0.25">
      <c r="A22" s="9"/>
      <c r="B22" s="7"/>
      <c r="C22" s="81"/>
      <c r="D22" s="7"/>
      <c r="E22" s="7"/>
      <c r="F22" s="7"/>
      <c r="G22" s="81"/>
      <c r="I22" s="9"/>
      <c r="J22" s="7"/>
      <c r="K22" s="81"/>
      <c r="L22" s="7"/>
      <c r="M22" s="7"/>
      <c r="N22" s="7"/>
      <c r="O22" s="13"/>
      <c r="Q22" s="9"/>
      <c r="R22" s="7"/>
      <c r="S22" s="81"/>
      <c r="T22" s="7"/>
      <c r="U22" s="7"/>
      <c r="V22" s="7"/>
      <c r="W22" s="13"/>
      <c r="Y22" s="9"/>
      <c r="Z22" s="7"/>
      <c r="AA22" s="81"/>
      <c r="AB22" s="7"/>
      <c r="AC22" s="7"/>
      <c r="AD22" s="7"/>
      <c r="AE22" s="13"/>
    </row>
    <row r="23" spans="1:31" ht="17" thickBot="1" x14ac:dyDescent="0.25">
      <c r="A23" s="125" t="s">
        <v>87</v>
      </c>
      <c r="B23" s="126"/>
      <c r="C23" s="66">
        <f>SUM(C11,C14:C18,C20,C21)</f>
        <v>1042549.6890762367</v>
      </c>
      <c r="D23" s="6"/>
      <c r="E23" s="126" t="s">
        <v>102</v>
      </c>
      <c r="F23" s="126"/>
      <c r="G23" s="66">
        <f>G15+SUM(G17:G20)</f>
        <v>1023509.0408640159</v>
      </c>
      <c r="I23" s="125" t="s">
        <v>87</v>
      </c>
      <c r="J23" s="126"/>
      <c r="K23" s="66">
        <f>SUM(K11,K14:K18,K20,K21)</f>
        <v>1142963.5279570448</v>
      </c>
      <c r="L23" s="6"/>
      <c r="M23" s="126" t="s">
        <v>102</v>
      </c>
      <c r="N23" s="126"/>
      <c r="O23" s="21">
        <f>O15+SUM(O17:O20)</f>
        <v>1023509.0408640159</v>
      </c>
      <c r="Q23" s="125" t="s">
        <v>87</v>
      </c>
      <c r="R23" s="126"/>
      <c r="S23" s="66">
        <f>SUM(S11,S14:S18,S20,S21)</f>
        <v>2286460.3252445529</v>
      </c>
      <c r="T23" s="6"/>
      <c r="U23" s="126" t="s">
        <v>102</v>
      </c>
      <c r="V23" s="126"/>
      <c r="W23" s="21">
        <f>W15+SUM(W17:W20)</f>
        <v>1023509.0408640159</v>
      </c>
      <c r="Y23" s="125" t="s">
        <v>87</v>
      </c>
      <c r="Z23" s="126"/>
      <c r="AA23" s="66">
        <f>SUM(AA11,AA14:AA18,AA20,AA21)</f>
        <v>6158501.2748155948</v>
      </c>
      <c r="AB23" s="6"/>
      <c r="AC23" s="126" t="s">
        <v>102</v>
      </c>
      <c r="AD23" s="126"/>
      <c r="AE23" s="21">
        <f>AE15+SUM(AE17:AE20)</f>
        <v>1023509.0408640159</v>
      </c>
    </row>
  </sheetData>
  <mergeCells count="32">
    <mergeCell ref="U23:V23"/>
    <mergeCell ref="M15:N15"/>
    <mergeCell ref="I23:J23"/>
    <mergeCell ref="M23:N23"/>
    <mergeCell ref="S2:U2"/>
    <mergeCell ref="Q4:R4"/>
    <mergeCell ref="U4:V4"/>
    <mergeCell ref="Q11:R11"/>
    <mergeCell ref="U11:V11"/>
    <mergeCell ref="U15:V15"/>
    <mergeCell ref="Q23:R23"/>
    <mergeCell ref="C2:E2"/>
    <mergeCell ref="K2:M2"/>
    <mergeCell ref="I4:J4"/>
    <mergeCell ref="M4:N4"/>
    <mergeCell ref="I11:J11"/>
    <mergeCell ref="M11:N11"/>
    <mergeCell ref="A11:B11"/>
    <mergeCell ref="A23:B23"/>
    <mergeCell ref="A4:B4"/>
    <mergeCell ref="E4:F4"/>
    <mergeCell ref="E11:F11"/>
    <mergeCell ref="E15:F15"/>
    <mergeCell ref="E23:F23"/>
    <mergeCell ref="AC15:AD15"/>
    <mergeCell ref="Y23:Z23"/>
    <mergeCell ref="AC23:AD23"/>
    <mergeCell ref="AA2:AC2"/>
    <mergeCell ref="Y4:Z4"/>
    <mergeCell ref="AC4:AD4"/>
    <mergeCell ref="Y11:Z11"/>
    <mergeCell ref="AC11:A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0D2E-D969-DC49-A9A7-C921C76F7A2F}">
  <dimension ref="A1:X32"/>
  <sheetViews>
    <sheetView zoomScale="180" zoomScaleNormal="1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8" sqref="N8"/>
    </sheetView>
  </sheetViews>
  <sheetFormatPr baseColWidth="10" defaultRowHeight="16" outlineLevelCol="1" x14ac:dyDescent="0.2"/>
  <cols>
    <col min="1" max="1" width="32" bestFit="1" customWidth="1"/>
    <col min="2" max="2" width="12.33203125" bestFit="1" customWidth="1"/>
    <col min="3" max="13" width="0" hidden="1" customWidth="1" outlineLevel="1"/>
    <col min="14" max="14" width="14" bestFit="1" customWidth="1" collapsed="1"/>
    <col min="15" max="17" width="14" bestFit="1" customWidth="1"/>
    <col min="19" max="19" width="11.5" bestFit="1" customWidth="1"/>
    <col min="20" max="20" width="32.1640625" bestFit="1" customWidth="1"/>
    <col min="21" max="21" width="12.5" bestFit="1" customWidth="1"/>
  </cols>
  <sheetData>
    <row r="1" spans="1:24" ht="17" thickBot="1" x14ac:dyDescent="0.25">
      <c r="R1" s="4"/>
      <c r="S1" s="4"/>
      <c r="T1" s="4"/>
    </row>
    <row r="2" spans="1:24" ht="35" thickBot="1" x14ac:dyDescent="0.25">
      <c r="A2" s="16" t="s">
        <v>70</v>
      </c>
      <c r="B2" s="16" t="s">
        <v>30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62</v>
      </c>
      <c r="I2" s="17" t="s">
        <v>20</v>
      </c>
      <c r="J2" s="17" t="s">
        <v>14</v>
      </c>
      <c r="K2" s="17" t="s">
        <v>15</v>
      </c>
      <c r="L2" s="17" t="s">
        <v>16</v>
      </c>
      <c r="M2" s="17" t="s">
        <v>17</v>
      </c>
      <c r="N2" s="18" t="s">
        <v>18</v>
      </c>
      <c r="O2" s="18">
        <v>2023</v>
      </c>
      <c r="P2" s="18">
        <v>2024</v>
      </c>
      <c r="Q2" s="18">
        <v>2025</v>
      </c>
      <c r="T2" s="1"/>
      <c r="U2" s="1" t="s">
        <v>22</v>
      </c>
      <c r="V2" s="1" t="s">
        <v>23</v>
      </c>
      <c r="W2" s="1" t="s">
        <v>24</v>
      </c>
      <c r="X2" s="1" t="s">
        <v>25</v>
      </c>
    </row>
    <row r="3" spans="1:24" ht="17" x14ac:dyDescent="0.2">
      <c r="A3" s="10" t="s">
        <v>67</v>
      </c>
      <c r="B3" s="78">
        <f>'Sales Plan'!T8*32</f>
        <v>85936.144320000007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5">
        <f>('Sales Plan'!E23)</f>
        <v>8371518.2833783925</v>
      </c>
      <c r="O3" s="75">
        <f t="shared" ref="O3:O4" si="0">SUM(C3:N3)</f>
        <v>8371518.2833783925</v>
      </c>
      <c r="P3" s="76">
        <f>('Sales Plan'!F23)</f>
        <v>14592654.063214881</v>
      </c>
      <c r="Q3" s="76">
        <f>'Sales Plan'!G23</f>
        <v>35986528.825875625</v>
      </c>
      <c r="T3" s="2" t="s">
        <v>26</v>
      </c>
      <c r="U3" s="3">
        <v>0</v>
      </c>
      <c r="V3" s="3">
        <f>U5</f>
        <v>400733.28735056001</v>
      </c>
      <c r="W3" s="3">
        <f>V5</f>
        <v>584862.30906515196</v>
      </c>
      <c r="X3" s="3">
        <f>W5</f>
        <v>1313616.7210302274</v>
      </c>
    </row>
    <row r="4" spans="1:24" s="7" customFormat="1" ht="17" x14ac:dyDescent="0.2">
      <c r="A4" s="10" t="s">
        <v>68</v>
      </c>
      <c r="B4" s="78">
        <f>'Sales Plan'!T9*3</f>
        <v>24169.540590000001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5">
        <f>+'Sales Plan'!AG12</f>
        <v>2754183.7486081221</v>
      </c>
      <c r="O4" s="75">
        <f t="shared" si="0"/>
        <v>2754183.7486081221</v>
      </c>
      <c r="P4" s="76">
        <f>+'Sales Plan'!AH12</f>
        <v>8107030.035119378</v>
      </c>
      <c r="Q4" s="76">
        <f>'Sales Plan'!AI12</f>
        <v>19992516.014375348</v>
      </c>
      <c r="T4" s="2" t="s">
        <v>27</v>
      </c>
      <c r="U4" s="91">
        <f>-B31+B30</f>
        <v>400733.28735056001</v>
      </c>
      <c r="V4" s="91">
        <f>-N31+N30</f>
        <v>184129.021714592</v>
      </c>
      <c r="W4" s="91">
        <f>P31</f>
        <v>728754.41196507541</v>
      </c>
      <c r="X4" s="91">
        <f>Q31</f>
        <v>2445782.6320603257</v>
      </c>
    </row>
    <row r="5" spans="1:24" ht="18" thickBot="1" x14ac:dyDescent="0.25">
      <c r="A5" s="11" t="s">
        <v>69</v>
      </c>
      <c r="B5" s="80">
        <v>0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1">
        <v>0</v>
      </c>
      <c r="O5" s="71">
        <v>0</v>
      </c>
      <c r="P5" s="77">
        <v>0</v>
      </c>
      <c r="Q5" s="77">
        <v>0</v>
      </c>
      <c r="T5" s="2" t="s">
        <v>28</v>
      </c>
      <c r="U5" s="3">
        <f>U3+U4</f>
        <v>400733.28735056001</v>
      </c>
      <c r="V5" s="3">
        <f t="shared" ref="V5:X5" si="1">V3+V4</f>
        <v>584862.30906515196</v>
      </c>
      <c r="W5" s="3">
        <f t="shared" si="1"/>
        <v>1313616.7210302274</v>
      </c>
      <c r="X5" s="3">
        <f t="shared" si="1"/>
        <v>3759399.3530905531</v>
      </c>
    </row>
    <row r="6" spans="1:24" ht="17" thickBot="1" x14ac:dyDescent="0.25">
      <c r="A6" s="14" t="s">
        <v>45</v>
      </c>
      <c r="B6" s="66">
        <f>SUM(B3:B5)</f>
        <v>110105.68491000001</v>
      </c>
      <c r="C6" s="31">
        <f>SUM(C3:C5)</f>
        <v>0</v>
      </c>
      <c r="D6" s="31">
        <f t="shared" ref="D6:M6" si="2">SUM(D3:D5)</f>
        <v>0</v>
      </c>
      <c r="E6" s="31">
        <f t="shared" si="2"/>
        <v>0</v>
      </c>
      <c r="F6" s="31">
        <f t="shared" si="2"/>
        <v>0</v>
      </c>
      <c r="G6" s="31">
        <f t="shared" si="2"/>
        <v>0</v>
      </c>
      <c r="H6" s="31">
        <f t="shared" si="2"/>
        <v>0</v>
      </c>
      <c r="I6" s="31">
        <f t="shared" si="2"/>
        <v>0</v>
      </c>
      <c r="J6" s="31">
        <f t="shared" si="2"/>
        <v>0</v>
      </c>
      <c r="K6" s="31">
        <f t="shared" si="2"/>
        <v>0</v>
      </c>
      <c r="L6" s="31">
        <f t="shared" si="2"/>
        <v>0</v>
      </c>
      <c r="M6" s="31">
        <f t="shared" si="2"/>
        <v>0</v>
      </c>
      <c r="N6" s="32">
        <f>SUM(N3:N5)</f>
        <v>11125702.031986514</v>
      </c>
      <c r="O6" s="32">
        <f t="shared" ref="O6:Q6" si="3">SUM(O3:O5)</f>
        <v>11125702.031986514</v>
      </c>
      <c r="P6" s="32">
        <f t="shared" si="3"/>
        <v>22699684.09833426</v>
      </c>
      <c r="Q6" s="32">
        <f t="shared" si="3"/>
        <v>55979044.840250969</v>
      </c>
      <c r="S6" s="29">
        <f>SUM(O6:Q6,B6)</f>
        <v>89914536.655481741</v>
      </c>
    </row>
    <row r="7" spans="1:24" ht="17" x14ac:dyDescent="0.2">
      <c r="A7" s="13"/>
      <c r="B7" s="81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  <c r="O7" s="34"/>
      <c r="P7" s="34"/>
      <c r="Q7" s="34"/>
      <c r="T7" s="90" t="s">
        <v>161</v>
      </c>
    </row>
    <row r="8" spans="1:24" ht="17" thickBot="1" x14ac:dyDescent="0.25">
      <c r="A8" s="11" t="s">
        <v>46</v>
      </c>
      <c r="B8" s="65">
        <f>'Sales Plan'!$H$21+'Sales Plan'!D33</f>
        <v>809365.13529999997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>
        <f>('Sales Plan'!E21+'Sales Plan'!E33)</f>
        <v>8136617.0644864989</v>
      </c>
      <c r="O8" s="71">
        <f>SUM(C8:N8)</f>
        <v>8136617.0644864989</v>
      </c>
      <c r="P8" s="71">
        <f>'Sales Plan'!F21+'Sales Plan'!F33</f>
        <v>14109410.459000556</v>
      </c>
      <c r="Q8" s="71">
        <f>'Sales Plan'!G21+'Sales Plan'!G33</f>
        <v>34253026.904150583</v>
      </c>
    </row>
    <row r="9" spans="1:24" ht="17" thickBot="1" x14ac:dyDescent="0.25">
      <c r="A9" s="14" t="s">
        <v>47</v>
      </c>
      <c r="B9" s="66">
        <f t="shared" ref="B9:Q9" si="4">B6-B8</f>
        <v>-699259.4503899999</v>
      </c>
      <c r="C9" s="31">
        <f t="shared" si="4"/>
        <v>0</v>
      </c>
      <c r="D9" s="31">
        <f t="shared" si="4"/>
        <v>0</v>
      </c>
      <c r="E9" s="31">
        <f t="shared" si="4"/>
        <v>0</v>
      </c>
      <c r="F9" s="31">
        <f t="shared" si="4"/>
        <v>0</v>
      </c>
      <c r="G9" s="31">
        <f t="shared" si="4"/>
        <v>0</v>
      </c>
      <c r="H9" s="31">
        <f t="shared" si="4"/>
        <v>0</v>
      </c>
      <c r="I9" s="31">
        <f t="shared" si="4"/>
        <v>0</v>
      </c>
      <c r="J9" s="31">
        <f t="shared" si="4"/>
        <v>0</v>
      </c>
      <c r="K9" s="31">
        <f t="shared" si="4"/>
        <v>0</v>
      </c>
      <c r="L9" s="31">
        <f t="shared" si="4"/>
        <v>0</v>
      </c>
      <c r="M9" s="31">
        <f t="shared" si="4"/>
        <v>0</v>
      </c>
      <c r="N9" s="32">
        <f t="shared" si="4"/>
        <v>2989084.9675000152</v>
      </c>
      <c r="O9" s="32">
        <f t="shared" si="4"/>
        <v>2989084.9675000152</v>
      </c>
      <c r="P9" s="32">
        <f t="shared" si="4"/>
        <v>8590273.6393337045</v>
      </c>
      <c r="Q9" s="32">
        <f t="shared" si="4"/>
        <v>21726017.936100386</v>
      </c>
      <c r="S9" s="29">
        <f>SUM(O9:Q9,B9)</f>
        <v>32606117.092544105</v>
      </c>
    </row>
    <row r="10" spans="1:24" x14ac:dyDescent="0.2">
      <c r="A10" s="13"/>
      <c r="B10" s="22">
        <f>B9/B6</f>
        <v>-6.3508024218874075</v>
      </c>
      <c r="C10" s="19" t="e">
        <f>C9/C6</f>
        <v>#DIV/0!</v>
      </c>
      <c r="D10" s="19" t="e">
        <f t="shared" ref="D10:S10" si="5">D9/D6</f>
        <v>#DIV/0!</v>
      </c>
      <c r="E10" s="19" t="e">
        <f t="shared" si="5"/>
        <v>#DIV/0!</v>
      </c>
      <c r="F10" s="19" t="e">
        <f t="shared" si="5"/>
        <v>#DIV/0!</v>
      </c>
      <c r="G10" s="19" t="e">
        <f t="shared" si="5"/>
        <v>#DIV/0!</v>
      </c>
      <c r="H10" s="19" t="e">
        <f t="shared" si="5"/>
        <v>#DIV/0!</v>
      </c>
      <c r="I10" s="19" t="e">
        <f t="shared" si="5"/>
        <v>#DIV/0!</v>
      </c>
      <c r="J10" s="19" t="e">
        <f t="shared" si="5"/>
        <v>#DIV/0!</v>
      </c>
      <c r="K10" s="19" t="e">
        <f t="shared" si="5"/>
        <v>#DIV/0!</v>
      </c>
      <c r="L10" s="19" t="e">
        <f t="shared" si="5"/>
        <v>#DIV/0!</v>
      </c>
      <c r="M10" s="19" t="e">
        <f t="shared" si="5"/>
        <v>#DIV/0!</v>
      </c>
      <c r="N10" s="20">
        <f t="shared" si="5"/>
        <v>0.2686648410056609</v>
      </c>
      <c r="O10" s="20">
        <f>O9/O6</f>
        <v>0.2686648410056609</v>
      </c>
      <c r="P10" s="20">
        <f t="shared" si="5"/>
        <v>0.37843141790524182</v>
      </c>
      <c r="Q10" s="20">
        <f t="shared" si="5"/>
        <v>0.38810983642362168</v>
      </c>
      <c r="S10" s="61">
        <f t="shared" si="5"/>
        <v>0.36263454504001202</v>
      </c>
    </row>
    <row r="11" spans="1:24" x14ac:dyDescent="0.2">
      <c r="A11" s="12" t="s">
        <v>48</v>
      </c>
      <c r="B11" s="13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</row>
    <row r="12" spans="1:24" x14ac:dyDescent="0.2">
      <c r="A12" s="10" t="s">
        <v>49</v>
      </c>
      <c r="B12" s="82">
        <f>B4*40%+B3*22%</f>
        <v>28573.767986400002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6">
        <f>N4*40%+N3*22%</f>
        <v>2943407.5217864951</v>
      </c>
      <c r="O12" s="75">
        <f>SUM(C12:N12)</f>
        <v>2943407.5217864951</v>
      </c>
      <c r="P12" s="76">
        <f t="shared" ref="P12:Q12" si="6">P4*40%+P3*22%</f>
        <v>6453195.9079550253</v>
      </c>
      <c r="Q12" s="76">
        <f t="shared" si="6"/>
        <v>15914042.747442778</v>
      </c>
    </row>
    <row r="13" spans="1:24" x14ac:dyDescent="0.2">
      <c r="A13" s="10" t="s">
        <v>50</v>
      </c>
      <c r="B13" s="82">
        <v>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5"/>
      <c r="O13" s="75">
        <f t="shared" ref="O13:O21" si="7">SUM(C13:N13)</f>
        <v>0</v>
      </c>
      <c r="P13" s="75"/>
      <c r="Q13" s="75"/>
    </row>
    <row r="14" spans="1:24" x14ac:dyDescent="0.2">
      <c r="A14" s="10" t="s">
        <v>51</v>
      </c>
      <c r="B14" s="82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5"/>
      <c r="O14" s="75">
        <f t="shared" si="7"/>
        <v>0</v>
      </c>
      <c r="P14" s="75"/>
      <c r="Q14" s="75"/>
      <c r="T14" t="s">
        <v>167</v>
      </c>
      <c r="U14" t="s">
        <v>166</v>
      </c>
    </row>
    <row r="15" spans="1:24" x14ac:dyDescent="0.2">
      <c r="A15" s="10" t="s">
        <v>52</v>
      </c>
      <c r="B15" s="82">
        <v>1000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5">
        <f>B15</f>
        <v>1000</v>
      </c>
      <c r="O15" s="75">
        <f t="shared" ref="O15:O16" si="8">SUM(C15:N15)</f>
        <v>1000</v>
      </c>
      <c r="P15" s="75">
        <f>N15*4</f>
        <v>4000</v>
      </c>
      <c r="Q15" s="75">
        <f>B15*11</f>
        <v>11000</v>
      </c>
      <c r="T15">
        <v>2023</v>
      </c>
      <c r="U15" s="29">
        <f>O12</f>
        <v>2943407.5217864951</v>
      </c>
    </row>
    <row r="16" spans="1:24" x14ac:dyDescent="0.2">
      <c r="A16" s="10" t="s">
        <v>53</v>
      </c>
      <c r="B16" s="82">
        <v>1000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5">
        <f>B16</f>
        <v>1000</v>
      </c>
      <c r="O16" s="75">
        <f t="shared" si="8"/>
        <v>1000</v>
      </c>
      <c r="P16" s="75">
        <f>N16*4</f>
        <v>4000</v>
      </c>
      <c r="Q16" s="75">
        <f>B16*11</f>
        <v>11000</v>
      </c>
      <c r="T16">
        <v>2024</v>
      </c>
      <c r="U16" s="29">
        <f>P12</f>
        <v>6453195.9079550253</v>
      </c>
    </row>
    <row r="17" spans="1:21" x14ac:dyDescent="0.2">
      <c r="A17" s="10" t="s">
        <v>54</v>
      </c>
      <c r="B17" s="82">
        <v>25000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5">
        <f>B17</f>
        <v>25000</v>
      </c>
      <c r="O17" s="75">
        <f t="shared" si="7"/>
        <v>25000</v>
      </c>
      <c r="P17" s="75">
        <f>N17*4</f>
        <v>100000</v>
      </c>
      <c r="Q17" s="75">
        <f>B17*11</f>
        <v>275000</v>
      </c>
      <c r="T17">
        <v>2025</v>
      </c>
      <c r="U17" s="29">
        <f>Q12</f>
        <v>15914042.747442778</v>
      </c>
    </row>
    <row r="18" spans="1:21" x14ac:dyDescent="0.2">
      <c r="A18" s="10" t="s">
        <v>2</v>
      </c>
      <c r="B18" s="82">
        <v>200000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5">
        <f>B18*200%</f>
        <v>400000</v>
      </c>
      <c r="O18" s="75">
        <f t="shared" si="7"/>
        <v>400000</v>
      </c>
      <c r="P18" s="75">
        <f>N18*200%</f>
        <v>800000</v>
      </c>
      <c r="Q18" s="75">
        <f>P18*200%</f>
        <v>1600000</v>
      </c>
    </row>
    <row r="19" spans="1:21" x14ac:dyDescent="0.2">
      <c r="A19" s="10" t="s">
        <v>55</v>
      </c>
      <c r="B19" s="82">
        <v>5000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5">
        <f>B19</f>
        <v>5000</v>
      </c>
      <c r="O19" s="75">
        <f t="shared" si="7"/>
        <v>5000</v>
      </c>
      <c r="P19" s="75">
        <f>N19*4</f>
        <v>20000</v>
      </c>
      <c r="Q19" s="75">
        <f>B19*11</f>
        <v>55000</v>
      </c>
    </row>
    <row r="20" spans="1:21" x14ac:dyDescent="0.2">
      <c r="A20" s="10" t="s">
        <v>56</v>
      </c>
      <c r="B20" s="82">
        <v>10000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5">
        <f>B20</f>
        <v>10000</v>
      </c>
      <c r="O20" s="75">
        <f t="shared" si="7"/>
        <v>10000</v>
      </c>
      <c r="P20" s="75">
        <f>N20*4</f>
        <v>40000</v>
      </c>
      <c r="Q20" s="75">
        <f>B20*11</f>
        <v>110000</v>
      </c>
    </row>
    <row r="21" spans="1:21" x14ac:dyDescent="0.2">
      <c r="A21" s="10" t="s">
        <v>57</v>
      </c>
      <c r="B21" s="82">
        <v>2000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5">
        <f t="shared" ref="N21" si="9">B21*200%</f>
        <v>4000</v>
      </c>
      <c r="O21" s="75">
        <f t="shared" si="7"/>
        <v>4000</v>
      </c>
      <c r="P21" s="75">
        <f t="shared" ref="P21" si="10">N21*200%</f>
        <v>8000</v>
      </c>
      <c r="Q21" s="75">
        <f t="shared" ref="Q21:Q23" si="11">P21*200%</f>
        <v>16000</v>
      </c>
    </row>
    <row r="22" spans="1:21" x14ac:dyDescent="0.2">
      <c r="A22" s="10" t="s">
        <v>63</v>
      </c>
      <c r="B22" s="82">
        <v>10000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5">
        <f t="shared" ref="N22:N23" si="12">B22*200%</f>
        <v>20000</v>
      </c>
      <c r="O22" s="75">
        <f t="shared" ref="O22:O23" si="13">SUM(C22:N22)</f>
        <v>20000</v>
      </c>
      <c r="P22" s="75">
        <f t="shared" ref="P22:P23" si="14">N22*200%</f>
        <v>40000</v>
      </c>
      <c r="Q22" s="75">
        <f t="shared" si="11"/>
        <v>80000</v>
      </c>
    </row>
    <row r="23" spans="1:21" ht="17" thickBot="1" x14ac:dyDescent="0.25">
      <c r="A23" s="11" t="s">
        <v>64</v>
      </c>
      <c r="B23" s="83">
        <v>20000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5">
        <f t="shared" si="12"/>
        <v>40000</v>
      </c>
      <c r="O23" s="75">
        <f t="shared" si="13"/>
        <v>40000</v>
      </c>
      <c r="P23" s="75">
        <f t="shared" si="14"/>
        <v>80000</v>
      </c>
      <c r="Q23" s="75">
        <f t="shared" si="11"/>
        <v>160000</v>
      </c>
    </row>
    <row r="24" spans="1:21" ht="17" thickBot="1" x14ac:dyDescent="0.25">
      <c r="A24" s="14" t="s">
        <v>58</v>
      </c>
      <c r="B24" s="84">
        <f>SUM(B12:B23)</f>
        <v>302573.76798639999</v>
      </c>
      <c r="C24" s="85">
        <f>SUM(C12:C23)</f>
        <v>0</v>
      </c>
      <c r="D24" s="85">
        <f t="shared" ref="D24:M24" si="15">SUM(D12:D23)</f>
        <v>0</v>
      </c>
      <c r="E24" s="85">
        <f t="shared" si="15"/>
        <v>0</v>
      </c>
      <c r="F24" s="85">
        <f t="shared" si="15"/>
        <v>0</v>
      </c>
      <c r="G24" s="85">
        <f t="shared" si="15"/>
        <v>0</v>
      </c>
      <c r="H24" s="85">
        <f t="shared" si="15"/>
        <v>0</v>
      </c>
      <c r="I24" s="85">
        <f t="shared" si="15"/>
        <v>0</v>
      </c>
      <c r="J24" s="85">
        <f t="shared" si="15"/>
        <v>0</v>
      </c>
      <c r="K24" s="85">
        <f t="shared" si="15"/>
        <v>0</v>
      </c>
      <c r="L24" s="85">
        <f t="shared" si="15"/>
        <v>0</v>
      </c>
      <c r="M24" s="85">
        <f t="shared" si="15"/>
        <v>0</v>
      </c>
      <c r="N24" s="86">
        <f>SUM(N12:N23)</f>
        <v>3449407.5217864951</v>
      </c>
      <c r="O24" s="86">
        <f>SUM(O12:O23)</f>
        <v>3449407.5217864951</v>
      </c>
      <c r="P24" s="86">
        <f>SUM(P12:P23)</f>
        <v>7549195.9079550253</v>
      </c>
      <c r="Q24" s="86">
        <f>SUM(Q12:Q23)</f>
        <v>18232042.747442778</v>
      </c>
    </row>
    <row r="25" spans="1:21" x14ac:dyDescent="0.2">
      <c r="A25" s="12" t="s">
        <v>65</v>
      </c>
      <c r="B25" s="81">
        <f>B9-B24</f>
        <v>-1001833.2183763999</v>
      </c>
      <c r="C25" s="33">
        <f>C9-C24</f>
        <v>0</v>
      </c>
      <c r="D25" s="33">
        <f t="shared" ref="D25:M25" si="16">D9-D24</f>
        <v>0</v>
      </c>
      <c r="E25" s="33">
        <f t="shared" si="16"/>
        <v>0</v>
      </c>
      <c r="F25" s="33">
        <f t="shared" si="16"/>
        <v>0</v>
      </c>
      <c r="G25" s="33">
        <f t="shared" si="16"/>
        <v>0</v>
      </c>
      <c r="H25" s="33">
        <f t="shared" si="16"/>
        <v>0</v>
      </c>
      <c r="I25" s="33">
        <f t="shared" si="16"/>
        <v>0</v>
      </c>
      <c r="J25" s="33">
        <f t="shared" si="16"/>
        <v>0</v>
      </c>
      <c r="K25" s="33">
        <f t="shared" si="16"/>
        <v>0</v>
      </c>
      <c r="L25" s="33">
        <f t="shared" si="16"/>
        <v>0</v>
      </c>
      <c r="M25" s="33">
        <f t="shared" si="16"/>
        <v>0</v>
      </c>
      <c r="N25" s="34">
        <f>N9-N24</f>
        <v>-460322.55428647995</v>
      </c>
      <c r="O25" s="34">
        <f t="shared" ref="O25:Q25" si="17">O9-O24</f>
        <v>-460322.55428647995</v>
      </c>
      <c r="P25" s="34">
        <f t="shared" si="17"/>
        <v>1041077.7313786792</v>
      </c>
      <c r="Q25" s="34">
        <f t="shared" si="17"/>
        <v>3493975.1886576079</v>
      </c>
    </row>
    <row r="26" spans="1:21" x14ac:dyDescent="0.2">
      <c r="A26" s="13"/>
      <c r="B26" s="81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4"/>
      <c r="O26" s="34"/>
      <c r="P26" s="34"/>
      <c r="Q26" s="34"/>
    </row>
    <row r="27" spans="1:21" ht="17" thickBot="1" x14ac:dyDescent="0.25">
      <c r="A27" s="11" t="s">
        <v>66</v>
      </c>
      <c r="B27" s="83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1"/>
      <c r="O27" s="71">
        <f>SUM(C27:N27)</f>
        <v>0</v>
      </c>
      <c r="P27" s="71">
        <f>O27*($T$1+1)</f>
        <v>0</v>
      </c>
      <c r="Q27" s="71">
        <f>P27*($T$1+1)</f>
        <v>0</v>
      </c>
    </row>
    <row r="28" spans="1:21" ht="17" thickBot="1" x14ac:dyDescent="0.25">
      <c r="A28" s="14" t="s">
        <v>59</v>
      </c>
      <c r="B28" s="66">
        <f>B25-B27</f>
        <v>-1001833.2183763999</v>
      </c>
      <c r="C28" s="31">
        <f>C25-C27</f>
        <v>0</v>
      </c>
      <c r="D28" s="31">
        <f t="shared" ref="D28:N28" si="18">D25-D27</f>
        <v>0</v>
      </c>
      <c r="E28" s="31">
        <f t="shared" si="18"/>
        <v>0</v>
      </c>
      <c r="F28" s="31">
        <f t="shared" si="18"/>
        <v>0</v>
      </c>
      <c r="G28" s="31">
        <f t="shared" si="18"/>
        <v>0</v>
      </c>
      <c r="H28" s="31">
        <f t="shared" si="18"/>
        <v>0</v>
      </c>
      <c r="I28" s="31">
        <f t="shared" si="18"/>
        <v>0</v>
      </c>
      <c r="J28" s="31">
        <f t="shared" si="18"/>
        <v>0</v>
      </c>
      <c r="K28" s="31">
        <f t="shared" si="18"/>
        <v>0</v>
      </c>
      <c r="L28" s="31">
        <f t="shared" si="18"/>
        <v>0</v>
      </c>
      <c r="M28" s="31">
        <f t="shared" si="18"/>
        <v>0</v>
      </c>
      <c r="N28" s="32">
        <f t="shared" si="18"/>
        <v>-460322.55428647995</v>
      </c>
      <c r="O28" s="32">
        <f t="shared" ref="O28" si="19">O25-O27</f>
        <v>-460322.55428647995</v>
      </c>
      <c r="P28" s="32">
        <f t="shared" ref="P28:Q28" si="20">P25-P27</f>
        <v>1041077.7313786792</v>
      </c>
      <c r="Q28" s="32">
        <f t="shared" si="20"/>
        <v>3493975.1886576079</v>
      </c>
    </row>
    <row r="29" spans="1:21" x14ac:dyDescent="0.2">
      <c r="A29" s="13"/>
      <c r="B29" s="81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4"/>
      <c r="O29" s="34"/>
      <c r="P29" s="34"/>
      <c r="Q29" s="34"/>
    </row>
    <row r="30" spans="1:21" ht="17" thickBot="1" x14ac:dyDescent="0.25">
      <c r="A30" s="11" t="s">
        <v>60</v>
      </c>
      <c r="B30" s="83">
        <f>30%*B28</f>
        <v>-300549.96551292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83">
        <f>30%*N28</f>
        <v>-138096.76628594397</v>
      </c>
      <c r="O30" s="83">
        <f>30%*O28</f>
        <v>-138096.76628594397</v>
      </c>
      <c r="P30" s="83">
        <f>30%*P28</f>
        <v>312323.31941360375</v>
      </c>
      <c r="Q30" s="83">
        <f>30%*Q28</f>
        <v>1048192.5565972823</v>
      </c>
    </row>
    <row r="31" spans="1:21" ht="17" thickBot="1" x14ac:dyDescent="0.25">
      <c r="A31" s="15" t="s">
        <v>61</v>
      </c>
      <c r="B31" s="87">
        <f>B28-B30</f>
        <v>-701283.25286348001</v>
      </c>
      <c r="C31" s="88">
        <f>C28-C30</f>
        <v>0</v>
      </c>
      <c r="D31" s="88">
        <f t="shared" ref="D31:N31" si="21">D28-D30</f>
        <v>0</v>
      </c>
      <c r="E31" s="88">
        <f t="shared" si="21"/>
        <v>0</v>
      </c>
      <c r="F31" s="88">
        <f t="shared" si="21"/>
        <v>0</v>
      </c>
      <c r="G31" s="88">
        <f t="shared" si="21"/>
        <v>0</v>
      </c>
      <c r="H31" s="88">
        <f t="shared" si="21"/>
        <v>0</v>
      </c>
      <c r="I31" s="88">
        <f t="shared" si="21"/>
        <v>0</v>
      </c>
      <c r="J31" s="88">
        <f t="shared" si="21"/>
        <v>0</v>
      </c>
      <c r="K31" s="88">
        <f t="shared" si="21"/>
        <v>0</v>
      </c>
      <c r="L31" s="88">
        <f t="shared" si="21"/>
        <v>0</v>
      </c>
      <c r="M31" s="88">
        <f t="shared" si="21"/>
        <v>0</v>
      </c>
      <c r="N31" s="89">
        <f t="shared" si="21"/>
        <v>-322225.78800053598</v>
      </c>
      <c r="O31" s="89">
        <f t="shared" ref="O31" si="22">O28-O30</f>
        <v>-322225.78800053598</v>
      </c>
      <c r="P31" s="89">
        <f t="shared" ref="P31:Q31" si="23">P28-P30</f>
        <v>728754.41196507541</v>
      </c>
      <c r="Q31" s="89">
        <f t="shared" si="23"/>
        <v>2445782.6320603257</v>
      </c>
    </row>
    <row r="32" spans="1:2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</sheetData>
  <phoneticPr fontId="6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0FD2-C151-7B47-B6B5-79E2AD2921D8}">
  <dimension ref="A1:AI44"/>
  <sheetViews>
    <sheetView zoomScale="120" zoomScaleNormal="120" workbookViewId="0">
      <selection activeCell="AE22" sqref="AE22:AI35"/>
    </sheetView>
  </sheetViews>
  <sheetFormatPr baseColWidth="10" defaultRowHeight="16" outlineLevelCol="1" x14ac:dyDescent="0.2"/>
  <cols>
    <col min="3" max="3" width="18.33203125" bestFit="1" customWidth="1"/>
    <col min="4" max="4" width="26.5" bestFit="1" customWidth="1"/>
    <col min="5" max="5" width="25.83203125" bestFit="1" customWidth="1"/>
    <col min="6" max="6" width="13" bestFit="1" customWidth="1"/>
    <col min="7" max="7" width="14" bestFit="1" customWidth="1"/>
    <col min="8" max="8" width="11.33203125" customWidth="1"/>
    <col min="9" max="9" width="16.6640625" customWidth="1"/>
    <col min="10" max="10" width="11.5" bestFit="1" customWidth="1"/>
    <col min="11" max="16" width="11.5" customWidth="1"/>
    <col min="20" max="20" width="11.6640625" bestFit="1" customWidth="1"/>
    <col min="21" max="30" width="10.83203125" customWidth="1" outlineLevel="1"/>
    <col min="31" max="31" width="14.33203125" bestFit="1" customWidth="1" outlineLevel="1"/>
    <col min="32" max="32" width="11.83203125" bestFit="1" customWidth="1" outlineLevel="1"/>
    <col min="33" max="33" width="14" bestFit="1" customWidth="1"/>
    <col min="34" max="34" width="14.1640625" bestFit="1" customWidth="1"/>
    <col min="35" max="35" width="14" bestFit="1" customWidth="1"/>
  </cols>
  <sheetData>
    <row r="1" spans="1:35" ht="17" thickBot="1" x14ac:dyDescent="0.25">
      <c r="A1" s="38" t="s">
        <v>120</v>
      </c>
      <c r="B1" s="58" t="s">
        <v>121</v>
      </c>
      <c r="C1" s="38" t="s">
        <v>116</v>
      </c>
      <c r="D1" s="38" t="s">
        <v>118</v>
      </c>
      <c r="E1" s="38" t="s">
        <v>117</v>
      </c>
      <c r="G1" s="72" t="s">
        <v>149</v>
      </c>
      <c r="I1" s="4">
        <v>0.6</v>
      </c>
      <c r="J1" s="4">
        <v>0.78</v>
      </c>
      <c r="K1" s="4"/>
      <c r="L1" s="72" t="s">
        <v>150</v>
      </c>
      <c r="N1" s="4">
        <v>0.6</v>
      </c>
      <c r="O1" s="4">
        <v>0.78</v>
      </c>
      <c r="P1" s="4"/>
    </row>
    <row r="2" spans="1:35" ht="17" thickBot="1" x14ac:dyDescent="0.25">
      <c r="A2" s="35" t="s">
        <v>108</v>
      </c>
      <c r="B2" s="53" t="s">
        <v>111</v>
      </c>
      <c r="C2" s="47">
        <v>2295303</v>
      </c>
      <c r="D2" s="47">
        <f>C2*60%</f>
        <v>1377181.8</v>
      </c>
      <c r="E2" s="47">
        <f>D2*78%</f>
        <v>1074201.804</v>
      </c>
      <c r="G2" t="s">
        <v>146</v>
      </c>
      <c r="H2" s="28">
        <v>4649000</v>
      </c>
      <c r="I2" s="29">
        <f>H2*$I$1</f>
        <v>2789400</v>
      </c>
      <c r="J2" s="29">
        <f>I2*$J$1</f>
        <v>2175732</v>
      </c>
      <c r="K2" s="4"/>
      <c r="L2" t="s">
        <v>151</v>
      </c>
      <c r="M2" s="28">
        <v>8419000</v>
      </c>
      <c r="N2" s="29">
        <f>M2*$I$1</f>
        <v>5051400</v>
      </c>
      <c r="O2" s="29">
        <f>N2*$J$1</f>
        <v>3940092</v>
      </c>
      <c r="P2" s="4"/>
    </row>
    <row r="3" spans="1:35" ht="17" thickBot="1" x14ac:dyDescent="0.25">
      <c r="A3" s="36" t="s">
        <v>110</v>
      </c>
      <c r="B3" s="54" t="s">
        <v>109</v>
      </c>
      <c r="C3" s="48">
        <v>7694138</v>
      </c>
      <c r="D3" s="48">
        <f t="shared" ref="D3:D8" si="0">C3*60%</f>
        <v>4616482.8</v>
      </c>
      <c r="E3" s="48">
        <f t="shared" ref="E3:E8" si="1">D3*78%</f>
        <v>3600856.5839999998</v>
      </c>
      <c r="G3" t="s">
        <v>147</v>
      </c>
      <c r="H3" s="28">
        <v>3957000</v>
      </c>
      <c r="I3" s="29">
        <f t="shared" ref="I3:I4" si="2">H3*$I$1</f>
        <v>2374200</v>
      </c>
      <c r="J3" s="29">
        <f t="shared" ref="J3:J4" si="3">I3*$J$1</f>
        <v>1851876</v>
      </c>
      <c r="K3" s="4"/>
      <c r="L3" t="s">
        <v>155</v>
      </c>
      <c r="M3" s="28">
        <v>8882000</v>
      </c>
      <c r="N3" s="29">
        <f t="shared" ref="N3:N5" si="4">M3*$I$1</f>
        <v>5329200</v>
      </c>
      <c r="O3" s="29">
        <f t="shared" ref="O3:O5" si="5">N3*$J$1</f>
        <v>4156776</v>
      </c>
      <c r="P3" s="4"/>
      <c r="U3">
        <v>12</v>
      </c>
      <c r="V3">
        <f>U3-1</f>
        <v>11</v>
      </c>
      <c r="W3">
        <f t="shared" ref="W3:AF3" si="6">V3-1</f>
        <v>10</v>
      </c>
      <c r="X3">
        <f t="shared" si="6"/>
        <v>9</v>
      </c>
      <c r="Y3">
        <f t="shared" si="6"/>
        <v>8</v>
      </c>
      <c r="Z3">
        <f t="shared" si="6"/>
        <v>7</v>
      </c>
      <c r="AA3">
        <f t="shared" si="6"/>
        <v>6</v>
      </c>
      <c r="AB3">
        <f t="shared" si="6"/>
        <v>5</v>
      </c>
      <c r="AC3">
        <f t="shared" si="6"/>
        <v>4</v>
      </c>
      <c r="AD3">
        <f t="shared" si="6"/>
        <v>3</v>
      </c>
      <c r="AE3">
        <f t="shared" si="6"/>
        <v>2</v>
      </c>
      <c r="AF3">
        <f t="shared" si="6"/>
        <v>1</v>
      </c>
      <c r="AH3">
        <v>10</v>
      </c>
      <c r="AI3">
        <v>10</v>
      </c>
    </row>
    <row r="4" spans="1:35" x14ac:dyDescent="0.2">
      <c r="A4" s="130" t="s">
        <v>112</v>
      </c>
      <c r="B4" s="55" t="s">
        <v>111</v>
      </c>
      <c r="C4" s="49">
        <f>C2</f>
        <v>2295303</v>
      </c>
      <c r="D4" s="49">
        <f t="shared" si="0"/>
        <v>1377181.8</v>
      </c>
      <c r="E4" s="49">
        <f t="shared" si="1"/>
        <v>1074201.804</v>
      </c>
      <c r="G4" t="s">
        <v>148</v>
      </c>
      <c r="H4" s="28">
        <v>2097000</v>
      </c>
      <c r="I4" s="29">
        <f t="shared" si="2"/>
        <v>1258200</v>
      </c>
      <c r="J4" s="29">
        <f t="shared" si="3"/>
        <v>981396</v>
      </c>
      <c r="K4" s="4"/>
      <c r="L4" t="s">
        <v>156</v>
      </c>
      <c r="M4" s="28">
        <v>1059000</v>
      </c>
      <c r="N4" s="29">
        <f t="shared" si="4"/>
        <v>635400</v>
      </c>
      <c r="O4" s="29">
        <f t="shared" si="5"/>
        <v>495612</v>
      </c>
      <c r="P4" s="4"/>
    </row>
    <row r="5" spans="1:35" ht="17" thickBot="1" x14ac:dyDescent="0.25">
      <c r="A5" s="131"/>
      <c r="B5" s="56" t="s">
        <v>109</v>
      </c>
      <c r="C5" s="50">
        <f>C3</f>
        <v>7694138</v>
      </c>
      <c r="D5" s="50">
        <f t="shared" si="0"/>
        <v>4616482.8</v>
      </c>
      <c r="E5" s="50">
        <f t="shared" si="1"/>
        <v>3600856.5839999998</v>
      </c>
      <c r="I5" s="29"/>
      <c r="J5" s="60">
        <f>SUM(J2:J4)</f>
        <v>5009004</v>
      </c>
      <c r="K5" s="4"/>
      <c r="L5" t="s">
        <v>157</v>
      </c>
      <c r="M5" s="28">
        <v>9737640</v>
      </c>
      <c r="N5" s="29">
        <f t="shared" si="4"/>
        <v>5842584</v>
      </c>
      <c r="O5" s="29">
        <f t="shared" si="5"/>
        <v>4557215.5200000005</v>
      </c>
      <c r="P5" s="4"/>
      <c r="U5" t="s">
        <v>110</v>
      </c>
      <c r="V5" t="s">
        <v>110</v>
      </c>
      <c r="W5" t="s">
        <v>112</v>
      </c>
      <c r="X5" t="s">
        <v>112</v>
      </c>
      <c r="Y5" t="s">
        <v>112</v>
      </c>
      <c r="Z5" t="s">
        <v>112</v>
      </c>
      <c r="AA5" t="s">
        <v>112</v>
      </c>
      <c r="AB5" t="s">
        <v>112</v>
      </c>
      <c r="AC5" t="s">
        <v>112</v>
      </c>
      <c r="AD5" t="s">
        <v>112</v>
      </c>
      <c r="AE5" t="s">
        <v>112</v>
      </c>
      <c r="AF5" t="s">
        <v>112</v>
      </c>
    </row>
    <row r="6" spans="1:35" ht="17" thickBot="1" x14ac:dyDescent="0.25">
      <c r="A6" s="131"/>
      <c r="B6" s="56" t="s">
        <v>113</v>
      </c>
      <c r="C6" s="50">
        <v>7154478</v>
      </c>
      <c r="D6" s="50">
        <f t="shared" si="0"/>
        <v>4292686.8</v>
      </c>
      <c r="E6" s="50">
        <f t="shared" si="1"/>
        <v>3348295.7039999999</v>
      </c>
      <c r="K6" s="4"/>
      <c r="L6" t="s">
        <v>152</v>
      </c>
      <c r="M6" s="28">
        <v>3565000</v>
      </c>
      <c r="N6" s="29">
        <f t="shared" ref="N6:N8" si="7">M6*$I$1</f>
        <v>2139000</v>
      </c>
      <c r="O6" s="29">
        <f t="shared" ref="O6:O8" si="8">N6*$J$1</f>
        <v>1668420</v>
      </c>
      <c r="P6" s="4"/>
      <c r="T6" s="26" t="s">
        <v>30</v>
      </c>
      <c r="U6" s="17" t="s">
        <v>6</v>
      </c>
      <c r="V6" s="17" t="s">
        <v>7</v>
      </c>
      <c r="W6" s="17" t="s">
        <v>8</v>
      </c>
      <c r="X6" s="17" t="s">
        <v>9</v>
      </c>
      <c r="Y6" s="17" t="s">
        <v>10</v>
      </c>
      <c r="Z6" s="17" t="s">
        <v>62</v>
      </c>
      <c r="AA6" s="17" t="s">
        <v>20</v>
      </c>
      <c r="AB6" s="17" t="s">
        <v>14</v>
      </c>
      <c r="AC6" s="17" t="s">
        <v>15</v>
      </c>
      <c r="AD6" s="17" t="s">
        <v>16</v>
      </c>
      <c r="AE6" s="17" t="s">
        <v>17</v>
      </c>
      <c r="AF6" s="18" t="s">
        <v>18</v>
      </c>
      <c r="AG6">
        <v>2023</v>
      </c>
      <c r="AH6">
        <v>2024</v>
      </c>
      <c r="AI6">
        <v>2025</v>
      </c>
    </row>
    <row r="7" spans="1:35" x14ac:dyDescent="0.2">
      <c r="A7" s="131"/>
      <c r="B7" s="56" t="s">
        <v>114</v>
      </c>
      <c r="C7" s="50">
        <v>2590732</v>
      </c>
      <c r="D7" s="50">
        <f t="shared" si="0"/>
        <v>1554439.2</v>
      </c>
      <c r="E7" s="50">
        <f t="shared" si="1"/>
        <v>1212462.5760000001</v>
      </c>
      <c r="K7" s="4"/>
      <c r="L7" t="s">
        <v>153</v>
      </c>
      <c r="M7" s="28">
        <v>692683</v>
      </c>
      <c r="N7" s="29">
        <f t="shared" si="7"/>
        <v>415609.8</v>
      </c>
      <c r="O7" s="29">
        <f t="shared" si="8"/>
        <v>324175.64400000003</v>
      </c>
      <c r="P7" s="4"/>
      <c r="R7" t="s">
        <v>104</v>
      </c>
    </row>
    <row r="8" spans="1:35" ht="17" thickBot="1" x14ac:dyDescent="0.25">
      <c r="A8" s="132"/>
      <c r="B8" s="57" t="s">
        <v>115</v>
      </c>
      <c r="C8" s="51">
        <v>846192</v>
      </c>
      <c r="D8" s="51">
        <f t="shared" si="0"/>
        <v>507715.19999999995</v>
      </c>
      <c r="E8" s="51">
        <f t="shared" si="1"/>
        <v>396017.85599999997</v>
      </c>
      <c r="K8" s="4"/>
      <c r="L8" t="s">
        <v>154</v>
      </c>
      <c r="M8" s="28">
        <v>6893000</v>
      </c>
      <c r="N8" s="29">
        <f t="shared" si="7"/>
        <v>4135800</v>
      </c>
      <c r="O8" s="29">
        <f t="shared" si="8"/>
        <v>3225924</v>
      </c>
      <c r="P8" s="4"/>
      <c r="S8" t="s">
        <v>105</v>
      </c>
      <c r="T8" s="28">
        <f>$E$2*0.01*0.25</f>
        <v>2685.5045100000002</v>
      </c>
      <c r="U8" s="28">
        <f>SUM($E$2:$E$3)*0.01*0.25</f>
        <v>11687.645970000001</v>
      </c>
      <c r="V8" s="28">
        <f>U8*105%</f>
        <v>12272.028268500002</v>
      </c>
      <c r="W8" s="28">
        <f>V8*105%</f>
        <v>12885.629681925002</v>
      </c>
      <c r="X8" s="28">
        <f t="shared" ref="X8:AF8" si="9">W8*105%</f>
        <v>13529.911166021253</v>
      </c>
      <c r="Y8" s="28">
        <f t="shared" si="9"/>
        <v>14206.406724322316</v>
      </c>
      <c r="Z8" s="28">
        <f t="shared" si="9"/>
        <v>14916.727060538433</v>
      </c>
      <c r="AA8" s="28">
        <f t="shared" si="9"/>
        <v>15662.563413565354</v>
      </c>
      <c r="AB8" s="28">
        <f t="shared" si="9"/>
        <v>16445.691584243625</v>
      </c>
      <c r="AC8" s="28">
        <f t="shared" si="9"/>
        <v>17267.976163455805</v>
      </c>
      <c r="AD8" s="28">
        <f t="shared" si="9"/>
        <v>18131.374971628597</v>
      </c>
      <c r="AE8" s="28">
        <f t="shared" si="9"/>
        <v>19037.943720210027</v>
      </c>
      <c r="AF8" s="28">
        <f t="shared" si="9"/>
        <v>19989.840906220528</v>
      </c>
      <c r="AG8" s="28">
        <f>SUM(U8:AF8)</f>
        <v>186033.73963063094</v>
      </c>
      <c r="AH8" s="28">
        <f>AG8*107%+J11</f>
        <v>324281.20140477514</v>
      </c>
      <c r="AI8" s="28">
        <f>AH8*105%+O16</f>
        <v>799700.64057501382</v>
      </c>
    </row>
    <row r="9" spans="1:35" ht="17" thickBot="1" x14ac:dyDescent="0.25">
      <c r="A9" s="133" t="s">
        <v>119</v>
      </c>
      <c r="B9" s="134"/>
      <c r="C9" s="52">
        <f>SUM(C4:C8)</f>
        <v>20580843</v>
      </c>
      <c r="D9" s="52">
        <f>SUM(D4:D8)</f>
        <v>12348505.799999997</v>
      </c>
      <c r="E9" s="52">
        <f>SUM(E4:E8)</f>
        <v>9631834.5240000002</v>
      </c>
      <c r="K9" s="4"/>
      <c r="M9" s="28"/>
      <c r="N9" s="29"/>
      <c r="O9" s="29"/>
      <c r="P9" s="4"/>
      <c r="S9" t="s">
        <v>106</v>
      </c>
      <c r="T9" s="28">
        <f>$E$2*0.01*0.75</f>
        <v>8056.5135300000002</v>
      </c>
      <c r="U9" s="28">
        <f>SUM($E$2:$E$3)*0.01*0.75</f>
        <v>35062.937910000008</v>
      </c>
      <c r="V9" s="28">
        <f>U9*105%</f>
        <v>36816.08480550001</v>
      </c>
      <c r="W9" s="28">
        <f>V9*105%</f>
        <v>38656.889045775009</v>
      </c>
      <c r="X9" s="28">
        <f t="shared" ref="X9:AF9" si="10">W9*105%</f>
        <v>40589.733498063761</v>
      </c>
      <c r="Y9" s="28">
        <f t="shared" si="10"/>
        <v>42619.220172966947</v>
      </c>
      <c r="Z9" s="28">
        <f t="shared" si="10"/>
        <v>44750.181181615299</v>
      </c>
      <c r="AA9" s="28">
        <f t="shared" si="10"/>
        <v>46987.690240696065</v>
      </c>
      <c r="AB9" s="28">
        <f t="shared" si="10"/>
        <v>49337.07475273087</v>
      </c>
      <c r="AC9" s="28">
        <f t="shared" si="10"/>
        <v>51803.92849036742</v>
      </c>
      <c r="AD9" s="28">
        <f t="shared" si="10"/>
        <v>54394.12491488579</v>
      </c>
      <c r="AE9" s="28">
        <f t="shared" si="10"/>
        <v>57113.831160630085</v>
      </c>
      <c r="AF9" s="28">
        <f t="shared" si="10"/>
        <v>59969.522718661588</v>
      </c>
      <c r="AG9" s="28">
        <f>SUM(U9:AF9)</f>
        <v>558101.21889189282</v>
      </c>
      <c r="AH9" s="28">
        <f>AG9*107%+J12</f>
        <v>972843.60421432543</v>
      </c>
      <c r="AI9" s="28">
        <f>AH9*105%+O17</f>
        <v>2399101.9217250417</v>
      </c>
    </row>
    <row r="10" spans="1:35" x14ac:dyDescent="0.2">
      <c r="K10" s="4"/>
      <c r="M10" s="28"/>
      <c r="N10" s="29"/>
      <c r="O10" s="29"/>
      <c r="P10" s="4"/>
      <c r="T10" s="73">
        <f>SUM(T8:T9)</f>
        <v>10742.018040000001</v>
      </c>
      <c r="U10" s="73">
        <f>SUM(U8:U9)</f>
        <v>46750.583880000006</v>
      </c>
      <c r="V10" s="73">
        <f>SUM(V8:V9)</f>
        <v>49088.113074000008</v>
      </c>
      <c r="W10" s="73">
        <f>SUM(W8:W9)</f>
        <v>51542.518727700008</v>
      </c>
      <c r="X10" s="73">
        <f t="shared" ref="X10:AI10" si="11">SUM(X8:X9)</f>
        <v>54119.644664085012</v>
      </c>
      <c r="Y10" s="73">
        <f t="shared" si="11"/>
        <v>56825.626897289265</v>
      </c>
      <c r="Z10" s="73">
        <f t="shared" si="11"/>
        <v>59666.908242153731</v>
      </c>
      <c r="AA10" s="73">
        <f t="shared" si="11"/>
        <v>62650.253654261418</v>
      </c>
      <c r="AB10" s="73">
        <f t="shared" si="11"/>
        <v>65782.766336974499</v>
      </c>
      <c r="AC10" s="73">
        <f t="shared" si="11"/>
        <v>69071.904653823221</v>
      </c>
      <c r="AD10" s="73">
        <f t="shared" si="11"/>
        <v>72525.499886514386</v>
      </c>
      <c r="AE10" s="73">
        <f t="shared" si="11"/>
        <v>76151.774880840108</v>
      </c>
      <c r="AF10" s="73">
        <f t="shared" si="11"/>
        <v>79959.363624882113</v>
      </c>
      <c r="AG10" s="73">
        <f t="shared" si="11"/>
        <v>744134.95852252375</v>
      </c>
      <c r="AH10" s="73">
        <f t="shared" si="11"/>
        <v>1297124.8056191006</v>
      </c>
      <c r="AI10" s="73">
        <f t="shared" si="11"/>
        <v>3198802.5623000553</v>
      </c>
    </row>
    <row r="11" spans="1:35" x14ac:dyDescent="0.2">
      <c r="C11" s="4">
        <v>0.25</v>
      </c>
      <c r="D11" t="s">
        <v>105</v>
      </c>
      <c r="E11" s="28">
        <f>E9*C11</f>
        <v>2407958.6310000001</v>
      </c>
      <c r="J11" s="28">
        <f>J5*10%*25%</f>
        <v>125225.1</v>
      </c>
      <c r="K11" s="4"/>
      <c r="M11" s="28"/>
      <c r="N11" s="29"/>
      <c r="O11" s="29"/>
      <c r="P11" s="4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>
        <f>$AG$10/E9</f>
        <v>7.7257863667438947E-2</v>
      </c>
      <c r="AH11" s="28"/>
      <c r="AI11" s="28"/>
    </row>
    <row r="12" spans="1:35" x14ac:dyDescent="0.2">
      <c r="C12" s="4">
        <v>0.75</v>
      </c>
      <c r="D12" t="s">
        <v>106</v>
      </c>
      <c r="E12" s="28">
        <f>E9*C12</f>
        <v>7223875.8930000002</v>
      </c>
      <c r="J12" s="28">
        <f>J5*10%*75%</f>
        <v>375675.30000000005</v>
      </c>
      <c r="K12" s="4"/>
      <c r="N12" s="29"/>
      <c r="O12" s="29"/>
      <c r="P12" s="4"/>
      <c r="S12" t="s">
        <v>144</v>
      </c>
      <c r="T12" s="28"/>
      <c r="U12" s="39">
        <f>U9*U3/12*10</f>
        <v>350629.37910000008</v>
      </c>
      <c r="V12" s="28">
        <f t="shared" ref="V12:AI12" si="12">V9*V3/12*10</f>
        <v>337480.77738375007</v>
      </c>
      <c r="W12" s="28">
        <f t="shared" si="12"/>
        <v>322140.74204812507</v>
      </c>
      <c r="X12" s="28">
        <f t="shared" si="12"/>
        <v>304423.00123547821</v>
      </c>
      <c r="Y12" s="28">
        <f t="shared" si="12"/>
        <v>284128.13448644633</v>
      </c>
      <c r="Z12" s="28">
        <f t="shared" si="12"/>
        <v>261042.72355942259</v>
      </c>
      <c r="AA12" s="28">
        <f t="shared" si="12"/>
        <v>234938.45120348033</v>
      </c>
      <c r="AB12" s="28">
        <f t="shared" si="12"/>
        <v>205571.14480304529</v>
      </c>
      <c r="AC12" s="28">
        <f t="shared" si="12"/>
        <v>172679.76163455806</v>
      </c>
      <c r="AD12" s="28">
        <f t="shared" si="12"/>
        <v>135985.31228721447</v>
      </c>
      <c r="AE12" s="28">
        <f t="shared" si="12"/>
        <v>95189.718601050132</v>
      </c>
      <c r="AF12" s="28">
        <f t="shared" si="12"/>
        <v>49974.602265551322</v>
      </c>
      <c r="AG12" s="28">
        <f>SUM(U12:AF12)</f>
        <v>2754183.7486081221</v>
      </c>
      <c r="AH12" s="28">
        <f t="shared" si="12"/>
        <v>8107030.035119378</v>
      </c>
      <c r="AI12" s="28">
        <f t="shared" si="12"/>
        <v>19992516.014375348</v>
      </c>
    </row>
    <row r="13" spans="1:35" x14ac:dyDescent="0.2">
      <c r="E13" s="40">
        <f>SUM(E11:E12)</f>
        <v>9631834.5240000002</v>
      </c>
      <c r="J13" s="40">
        <f>SUM(J11:J12)</f>
        <v>500900.4</v>
      </c>
      <c r="K13" s="4"/>
      <c r="O13" s="60">
        <f>SUM(O2:O12)</f>
        <v>18368215.163999997</v>
      </c>
      <c r="P13" s="4"/>
    </row>
    <row r="14" spans="1:35" x14ac:dyDescent="0.2">
      <c r="V14" s="42">
        <f>V10/U10-1</f>
        <v>5.0000000000000044E-2</v>
      </c>
      <c r="W14" s="42">
        <f t="shared" ref="W14:AF14" si="13">W10/V10-1</f>
        <v>5.0000000000000044E-2</v>
      </c>
      <c r="X14" s="42">
        <f t="shared" si="13"/>
        <v>5.0000000000000044E-2</v>
      </c>
      <c r="Y14" s="42">
        <f t="shared" si="13"/>
        <v>5.0000000000000044E-2</v>
      </c>
      <c r="Z14" s="42">
        <f t="shared" si="13"/>
        <v>5.0000000000000044E-2</v>
      </c>
      <c r="AA14" s="42">
        <f t="shared" si="13"/>
        <v>5.0000000000000044E-2</v>
      </c>
      <c r="AB14" s="42">
        <f t="shared" si="13"/>
        <v>5.0000000000000266E-2</v>
      </c>
      <c r="AC14" s="42">
        <f t="shared" si="13"/>
        <v>5.0000000000000044E-2</v>
      </c>
      <c r="AD14" s="42">
        <f t="shared" si="13"/>
        <v>5.0000000000000044E-2</v>
      </c>
      <c r="AE14" s="42">
        <f t="shared" si="13"/>
        <v>5.0000000000000044E-2</v>
      </c>
      <c r="AF14" s="42">
        <f t="shared" si="13"/>
        <v>5.0000000000000044E-2</v>
      </c>
    </row>
    <row r="16" spans="1:35" x14ac:dyDescent="0.2">
      <c r="C16" s="43" t="s">
        <v>107</v>
      </c>
      <c r="D16" s="27" t="s">
        <v>122</v>
      </c>
      <c r="E16" t="s">
        <v>137</v>
      </c>
      <c r="F16" t="s">
        <v>136</v>
      </c>
      <c r="G16" t="s">
        <v>139</v>
      </c>
      <c r="O16" s="28">
        <f>O13*10%*25%</f>
        <v>459205.37909999996</v>
      </c>
      <c r="AF16" s="135" t="s">
        <v>168</v>
      </c>
      <c r="AG16" s="136">
        <f>(E23+AG12)/AG10</f>
        <v>14.951188496877689</v>
      </c>
      <c r="AH16" s="136">
        <f>(F23+AH12)/AH10</f>
        <v>17.5</v>
      </c>
      <c r="AI16" s="136">
        <f>(G23+AI12)/AI10</f>
        <v>17.5</v>
      </c>
    </row>
    <row r="17" spans="2:35" x14ac:dyDescent="0.2">
      <c r="C17" t="s">
        <v>105</v>
      </c>
      <c r="D17" s="37">
        <v>10</v>
      </c>
      <c r="E17" s="62">
        <f>D17*$AG$8</f>
        <v>1860337.3963063094</v>
      </c>
      <c r="F17" s="62">
        <f>D17*$AH$8</f>
        <v>3242812.0140477512</v>
      </c>
      <c r="G17" s="62">
        <f>D17*$AI$8</f>
        <v>7997006.4057501387</v>
      </c>
      <c r="H17" s="30">
        <f>D17*$T$8</f>
        <v>26855.045100000003</v>
      </c>
      <c r="O17" s="28">
        <f>O13*10%*75%</f>
        <v>1377616.1372999998</v>
      </c>
      <c r="S17" s="42">
        <f>D17/$D$23</f>
        <v>0.22222222222222221</v>
      </c>
      <c r="AG17" s="28"/>
      <c r="AH17" s="28"/>
      <c r="AI17" s="28"/>
    </row>
    <row r="18" spans="2:35" x14ac:dyDescent="0.2">
      <c r="B18" t="s">
        <v>125</v>
      </c>
      <c r="C18" t="s">
        <v>123</v>
      </c>
      <c r="D18" s="37">
        <v>10</v>
      </c>
      <c r="E18" s="62">
        <f>D18*$AG$8</f>
        <v>1860337.3963063094</v>
      </c>
      <c r="F18" s="62">
        <f t="shared" ref="F18:F23" si="14">D18*$AH$8</f>
        <v>3242812.0140477512</v>
      </c>
      <c r="G18" s="62">
        <f t="shared" ref="G18:G23" si="15">D18*$AI$8</f>
        <v>7997006.4057501387</v>
      </c>
      <c r="H18" s="30">
        <f>D18*$T$8</f>
        <v>26855.045100000003</v>
      </c>
      <c r="O18" s="40">
        <f>SUM(O16:O17)</f>
        <v>1836821.5163999998</v>
      </c>
      <c r="S18" s="42">
        <f>D18/$D$23</f>
        <v>0.22222222222222221</v>
      </c>
      <c r="AG18" s="28"/>
      <c r="AH18" s="28"/>
      <c r="AI18" s="28"/>
    </row>
    <row r="19" spans="2:35" x14ac:dyDescent="0.2">
      <c r="B19" t="s">
        <v>125</v>
      </c>
      <c r="C19" t="s">
        <v>124</v>
      </c>
      <c r="D19" s="37">
        <v>7</v>
      </c>
      <c r="E19" s="62">
        <f>D19*$AG$8</f>
        <v>1302236.1774144166</v>
      </c>
      <c r="F19" s="62">
        <f t="shared" si="14"/>
        <v>2269968.4098334261</v>
      </c>
      <c r="G19" s="62">
        <f t="shared" si="15"/>
        <v>5597904.4840250965</v>
      </c>
      <c r="H19" s="30">
        <f>D19*$T$8</f>
        <v>18798.531570000003</v>
      </c>
      <c r="S19" s="42">
        <f>D19/$D$23</f>
        <v>0.15555555555555556</v>
      </c>
      <c r="AG19" s="28"/>
      <c r="AH19" s="28"/>
      <c r="AI19" s="28"/>
    </row>
    <row r="20" spans="2:35" x14ac:dyDescent="0.2">
      <c r="C20" t="s">
        <v>131</v>
      </c>
      <c r="D20" s="37">
        <v>3</v>
      </c>
      <c r="E20" s="62">
        <f>D20*$AG$8</f>
        <v>558101.21889189282</v>
      </c>
      <c r="F20" s="62">
        <f t="shared" si="14"/>
        <v>972843.60421432543</v>
      </c>
      <c r="G20" s="62">
        <f t="shared" si="15"/>
        <v>2399101.9217250412</v>
      </c>
      <c r="H20" s="30">
        <f>D20*$T$8</f>
        <v>8056.5135300000002</v>
      </c>
      <c r="S20" s="42"/>
      <c r="AG20" s="28">
        <f>'P&amp;L'!O8</f>
        <v>8136617.0644864989</v>
      </c>
      <c r="AH20" s="28">
        <f>'P&amp;L'!P8</f>
        <v>14109410.459000556</v>
      </c>
      <c r="AI20" s="28">
        <f>'P&amp;L'!Q8</f>
        <v>34253026.904150583</v>
      </c>
    </row>
    <row r="21" spans="2:35" ht="17" thickBot="1" x14ac:dyDescent="0.25">
      <c r="C21" t="s">
        <v>1</v>
      </c>
      <c r="D21" s="41">
        <f>SUM(D17:D20)</f>
        <v>30</v>
      </c>
      <c r="E21" s="63">
        <f>SUM(E17:E20)</f>
        <v>5581012.1889189277</v>
      </c>
      <c r="F21" s="63">
        <f t="shared" si="14"/>
        <v>9728436.0421432536</v>
      </c>
      <c r="G21" s="63">
        <f t="shared" si="15"/>
        <v>23991019.217250414</v>
      </c>
      <c r="H21" s="67">
        <f>D21*$T$8</f>
        <v>80565.135300000009</v>
      </c>
      <c r="I21" s="68" t="s">
        <v>145</v>
      </c>
      <c r="S21" s="42">
        <f>D21/$D$23</f>
        <v>0.66666666666666663</v>
      </c>
      <c r="AG21" s="28">
        <f>AG20/AG10</f>
        <v>10.93432981651838</v>
      </c>
      <c r="AH21" s="28">
        <f>AH20/AH10</f>
        <v>10.877450186658269</v>
      </c>
      <c r="AI21" s="28">
        <f>AI20/AI10</f>
        <v>10.70807786258662</v>
      </c>
    </row>
    <row r="22" spans="2:35" x14ac:dyDescent="0.2">
      <c r="C22" t="s">
        <v>126</v>
      </c>
      <c r="D22" s="37">
        <f>D23-D21</f>
        <v>15</v>
      </c>
      <c r="E22" s="62">
        <f>D22*AG8</f>
        <v>2790506.0944594638</v>
      </c>
      <c r="F22" s="62">
        <f t="shared" si="14"/>
        <v>4864218.0210716268</v>
      </c>
      <c r="G22" s="62">
        <f t="shared" si="15"/>
        <v>11995509.608625207</v>
      </c>
      <c r="S22" s="42">
        <f>D22/$D$23</f>
        <v>0.33333333333333331</v>
      </c>
    </row>
    <row r="23" spans="2:35" x14ac:dyDescent="0.2">
      <c r="C23" t="s">
        <v>127</v>
      </c>
      <c r="D23" s="37">
        <v>45</v>
      </c>
      <c r="E23" s="63">
        <f>D23*AG8</f>
        <v>8371518.2833783925</v>
      </c>
      <c r="F23" s="63">
        <f t="shared" si="14"/>
        <v>14592654.063214881</v>
      </c>
      <c r="G23" s="63">
        <f t="shared" si="15"/>
        <v>35986528.825875625</v>
      </c>
    </row>
    <row r="25" spans="2:35" x14ac:dyDescent="0.2">
      <c r="C25" s="43" t="s">
        <v>128</v>
      </c>
      <c r="D25" s="27" t="s">
        <v>142</v>
      </c>
      <c r="E25" s="37" t="s">
        <v>137</v>
      </c>
      <c r="F25" s="37" t="s">
        <v>136</v>
      </c>
      <c r="G25" s="37" t="s">
        <v>139</v>
      </c>
    </row>
    <row r="26" spans="2:35" x14ac:dyDescent="0.2">
      <c r="C26" t="s">
        <v>106</v>
      </c>
      <c r="D26" s="37"/>
      <c r="H26" s="64">
        <f>AG12</f>
        <v>2754183.7486081221</v>
      </c>
      <c r="I26" s="42"/>
    </row>
    <row r="27" spans="2:35" x14ac:dyDescent="0.2">
      <c r="C27" s="44" t="s">
        <v>132</v>
      </c>
      <c r="D27" s="46">
        <f>400*12*2</f>
        <v>9600</v>
      </c>
      <c r="E27" s="28">
        <f>400*12*2</f>
        <v>9600</v>
      </c>
      <c r="F27" s="28">
        <f>400*12*4</f>
        <v>19200</v>
      </c>
      <c r="G27" s="28">
        <f>400*12*8</f>
        <v>38400</v>
      </c>
      <c r="H27" s="28">
        <f>E27</f>
        <v>9600</v>
      </c>
      <c r="I27" s="42"/>
      <c r="Q27" t="s">
        <v>141</v>
      </c>
      <c r="R27" t="s">
        <v>140</v>
      </c>
    </row>
    <row r="28" spans="2:35" x14ac:dyDescent="0.2">
      <c r="B28" s="59" t="s">
        <v>137</v>
      </c>
      <c r="C28" s="44" t="s">
        <v>129</v>
      </c>
      <c r="D28" s="46">
        <f>5*4*40*35*3</f>
        <v>84000</v>
      </c>
      <c r="E28" s="28">
        <v>0</v>
      </c>
      <c r="F28" s="28">
        <v>0</v>
      </c>
      <c r="G28" s="28">
        <v>0</v>
      </c>
      <c r="H28" s="28"/>
      <c r="I28" s="42"/>
      <c r="Q28" t="s">
        <v>133</v>
      </c>
      <c r="R28" t="s">
        <v>134</v>
      </c>
      <c r="S28" s="45">
        <v>35</v>
      </c>
    </row>
    <row r="29" spans="2:35" x14ac:dyDescent="0.2">
      <c r="B29" s="59" t="s">
        <v>138</v>
      </c>
      <c r="C29" s="44" t="s">
        <v>130</v>
      </c>
      <c r="D29" s="46">
        <f>280*8*35*3</f>
        <v>235200</v>
      </c>
      <c r="E29" s="28">
        <f>280*8*35*4</f>
        <v>313600</v>
      </c>
      <c r="F29" s="28">
        <f>280*8*35*6</f>
        <v>470400</v>
      </c>
      <c r="G29" s="28">
        <f>280*8*35*8</f>
        <v>627200</v>
      </c>
      <c r="H29" s="28">
        <f>E29</f>
        <v>313600</v>
      </c>
      <c r="I29" s="42"/>
      <c r="R29" t="s">
        <v>135</v>
      </c>
    </row>
    <row r="30" spans="2:35" x14ac:dyDescent="0.2">
      <c r="C30" s="44"/>
      <c r="D30" s="37"/>
      <c r="E30" s="28"/>
      <c r="F30" s="28"/>
      <c r="G30" s="28"/>
      <c r="H30" s="28"/>
      <c r="I30" s="42"/>
    </row>
    <row r="31" spans="2:35" x14ac:dyDescent="0.2">
      <c r="B31" t="s">
        <v>125</v>
      </c>
      <c r="C31" t="s">
        <v>123</v>
      </c>
      <c r="D31" s="28">
        <v>400000</v>
      </c>
      <c r="E31" s="46">
        <f>40%*10*$AG$9</f>
        <v>2232404.8755675713</v>
      </c>
      <c r="F31" s="28">
        <f>40%*10*$AH$9</f>
        <v>3891374.4168573017</v>
      </c>
      <c r="G31" s="28">
        <f>40%*10*$AI$9</f>
        <v>9596407.6869001668</v>
      </c>
      <c r="H31" s="28">
        <f>E31</f>
        <v>2232404.8755675713</v>
      </c>
    </row>
    <row r="32" spans="2:35" x14ac:dyDescent="0.2">
      <c r="E32" s="28"/>
      <c r="F32" s="28"/>
      <c r="G32" s="28"/>
      <c r="H32" s="28"/>
    </row>
    <row r="33" spans="4:15" ht="17" thickBot="1" x14ac:dyDescent="0.25">
      <c r="D33" s="69">
        <f>SUM(D27:D31)</f>
        <v>728800</v>
      </c>
      <c r="E33" s="74">
        <f>SUM(E27:E31)</f>
        <v>2555604.8755675713</v>
      </c>
      <c r="F33" s="74">
        <f>SUM(F27:F31)</f>
        <v>4380974.4168573022</v>
      </c>
      <c r="G33" s="74">
        <f>SUM(G27:G31)</f>
        <v>10262007.686900167</v>
      </c>
      <c r="H33" s="28"/>
    </row>
    <row r="35" spans="4:15" x14ac:dyDescent="0.2">
      <c r="M35" t="s">
        <v>165</v>
      </c>
      <c r="N35" t="s">
        <v>143</v>
      </c>
      <c r="O35" t="s">
        <v>1</v>
      </c>
    </row>
    <row r="36" spans="4:15" x14ac:dyDescent="0.2">
      <c r="E36" t="s">
        <v>142</v>
      </c>
      <c r="F36" s="37" t="s">
        <v>137</v>
      </c>
      <c r="G36" s="37" t="s">
        <v>136</v>
      </c>
      <c r="H36" s="37" t="s">
        <v>139</v>
      </c>
      <c r="M36">
        <f>40000</f>
        <v>40000</v>
      </c>
      <c r="N36" s="28">
        <f>M36*$AG$16</f>
        <v>598047.53987510758</v>
      </c>
      <c r="O36" s="28">
        <f>M36*$AG$21</f>
        <v>437373.19266073522</v>
      </c>
    </row>
    <row r="37" spans="4:15" x14ac:dyDescent="0.2">
      <c r="D37" t="s">
        <v>158</v>
      </c>
      <c r="E37" s="29">
        <f>D28</f>
        <v>84000</v>
      </c>
      <c r="M37">
        <f>M36+5000</f>
        <v>45000</v>
      </c>
      <c r="N37" s="28">
        <f t="shared" ref="N37:N44" si="16">M37*$AG$16</f>
        <v>672803.48235949606</v>
      </c>
      <c r="O37" s="28">
        <f t="shared" ref="O37:O44" si="17">M37*$AG$21</f>
        <v>492044.8417433271</v>
      </c>
    </row>
    <row r="38" spans="4:15" x14ac:dyDescent="0.2">
      <c r="D38" t="s">
        <v>159</v>
      </c>
      <c r="E38" s="29">
        <f>D29</f>
        <v>235200</v>
      </c>
      <c r="F38" s="29">
        <f>E29</f>
        <v>313600</v>
      </c>
      <c r="G38" s="29">
        <f>F29</f>
        <v>470400</v>
      </c>
      <c r="H38" s="29">
        <f>G29</f>
        <v>627200</v>
      </c>
      <c r="M38">
        <f t="shared" ref="M38:M44" si="18">M37+5000</f>
        <v>50000</v>
      </c>
      <c r="N38" s="28">
        <f t="shared" si="16"/>
        <v>747559.42484388442</v>
      </c>
      <c r="O38" s="28">
        <f t="shared" si="17"/>
        <v>546716.49082591897</v>
      </c>
    </row>
    <row r="39" spans="4:15" x14ac:dyDescent="0.2">
      <c r="E39" s="29">
        <f>SUM(E37:E38)</f>
        <v>319200</v>
      </c>
      <c r="M39">
        <f t="shared" si="18"/>
        <v>55000</v>
      </c>
      <c r="N39" s="28">
        <f t="shared" si="16"/>
        <v>822315.3673282729</v>
      </c>
      <c r="O39" s="28">
        <f t="shared" si="17"/>
        <v>601388.13990851084</v>
      </c>
    </row>
    <row r="40" spans="4:15" x14ac:dyDescent="0.2">
      <c r="M40">
        <f t="shared" si="18"/>
        <v>60000</v>
      </c>
      <c r="N40" s="28">
        <f t="shared" si="16"/>
        <v>897071.30981266138</v>
      </c>
      <c r="O40" s="28">
        <f t="shared" si="17"/>
        <v>656059.78899110283</v>
      </c>
    </row>
    <row r="41" spans="4:15" x14ac:dyDescent="0.2">
      <c r="M41">
        <f t="shared" si="18"/>
        <v>65000</v>
      </c>
      <c r="N41" s="28">
        <f t="shared" si="16"/>
        <v>971827.25229704985</v>
      </c>
      <c r="O41" s="28">
        <f t="shared" si="17"/>
        <v>710731.43807369471</v>
      </c>
    </row>
    <row r="42" spans="4:15" x14ac:dyDescent="0.2">
      <c r="M42">
        <f t="shared" si="18"/>
        <v>70000</v>
      </c>
      <c r="N42" s="28">
        <f t="shared" si="16"/>
        <v>1046583.1947814382</v>
      </c>
      <c r="O42" s="28">
        <f t="shared" si="17"/>
        <v>765403.08715628658</v>
      </c>
    </row>
    <row r="43" spans="4:15" x14ac:dyDescent="0.2">
      <c r="E43" s="30">
        <f>10%*E21</f>
        <v>558101.21889189282</v>
      </c>
      <c r="F43" s="30">
        <f>10%*F21</f>
        <v>972843.60421432543</v>
      </c>
      <c r="G43" s="30">
        <f>10%*G21</f>
        <v>2399101.9217250417</v>
      </c>
      <c r="H43" s="30"/>
      <c r="M43">
        <f t="shared" si="18"/>
        <v>75000</v>
      </c>
      <c r="N43" s="28">
        <f t="shared" si="16"/>
        <v>1121339.1372658268</v>
      </c>
      <c r="O43" s="28">
        <f t="shared" si="17"/>
        <v>820074.73623887845</v>
      </c>
    </row>
    <row r="44" spans="4:15" x14ac:dyDescent="0.2">
      <c r="M44">
        <f t="shared" si="18"/>
        <v>80000</v>
      </c>
      <c r="N44" s="28">
        <f t="shared" si="16"/>
        <v>1196095.0797502152</v>
      </c>
      <c r="O44" s="28">
        <f t="shared" si="17"/>
        <v>874746.38532147044</v>
      </c>
    </row>
  </sheetData>
  <mergeCells count="2">
    <mergeCell ref="A4:A8"/>
    <mergeCell ref="A9:B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Balance Sheet</vt:lpstr>
      <vt:lpstr>P&amp;L</vt:lpstr>
      <vt:lpstr>Sales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Jain, Yatharth</dc:creator>
  <cp:lastModifiedBy>Jain, Yatharth</cp:lastModifiedBy>
  <dcterms:created xsi:type="dcterms:W3CDTF">2022-04-21T05:10:20Z</dcterms:created>
  <dcterms:modified xsi:type="dcterms:W3CDTF">2022-04-25T18:46:09Z</dcterms:modified>
</cp:coreProperties>
</file>