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ee\LRZ Sync+Share\PycharmProjects\mt_branch_new_code\tumlknexpectimax\tumlknexpectimax\excel_data\"/>
    </mc:Choice>
  </mc:AlternateContent>
  <xr:revisionPtr revIDLastSave="0" documentId="10_ncr:100000_{C4CDFF0D-427E-4DEB-AA3B-C2967C4C9C19}" xr6:coauthVersionLast="31" xr6:coauthVersionMax="31" xr10:uidLastSave="{00000000-0000-0000-0000-000000000000}"/>
  <bookViews>
    <workbookView xWindow="0" yWindow="720" windowWidth="19370" windowHeight="8930" tabRatio="961" firstSheet="11" activeTab="16" xr2:uid="{00000000-000D-0000-FFFF-FFFF00000000}"/>
  </bookViews>
  <sheets>
    <sheet name="Papers and Reports" sheetId="1" r:id="rId1"/>
    <sheet name="Results_Visual" sheetId="20" r:id="rId2"/>
    <sheet name="FTTCab GPON 26 Mbps" sheetId="2" r:id="rId3"/>
    <sheet name="FTTCab_GPON_100" sheetId="8" r:id="rId4"/>
    <sheet name="FTTB XGPON 50 Mbps" sheetId="3" r:id="rId5"/>
    <sheet name="FTTB WR-WDMPON 50 Mbps" sheetId="4" r:id="rId6"/>
    <sheet name="FTTH WR-WDMPON 100 Mbps" sheetId="5" r:id="rId7"/>
    <sheet name="FTTH XGPON 100 Mbps" sheetId="6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Phillipson" sheetId="19" r:id="rId16"/>
    <sheet name="CAPEX_Euros_OASE" sheetId="7" r:id="rId17"/>
    <sheet name="CAPEX_Euros_Rokkas" sheetId="16" r:id="rId18"/>
    <sheet name="CAPEX_Euros_BSG" sheetId="17" r:id="rId19"/>
    <sheet name="Chart2" sheetId="23" r:id="rId20"/>
    <sheet name="Sheet1" sheetId="21" r:id="rId21"/>
  </sheets>
  <calcPr calcId="179017"/>
</workbook>
</file>

<file path=xl/calcChain.xml><?xml version="1.0" encoding="utf-8"?>
<calcChain xmlns="http://schemas.openxmlformats.org/spreadsheetml/2006/main">
  <c r="C20" i="7" l="1"/>
  <c r="C21" i="7"/>
  <c r="C22" i="7"/>
  <c r="C23" i="7"/>
  <c r="C24" i="7"/>
  <c r="C25" i="7"/>
  <c r="C26" i="7"/>
  <c r="C27" i="7"/>
  <c r="C28" i="7"/>
  <c r="C29" i="7"/>
  <c r="C30" i="7"/>
  <c r="C31" i="7"/>
  <c r="C19" i="7"/>
  <c r="B20" i="7"/>
  <c r="B21" i="7"/>
  <c r="B22" i="7"/>
  <c r="B23" i="7"/>
  <c r="B24" i="7"/>
  <c r="B25" i="7"/>
  <c r="B26" i="7"/>
  <c r="B27" i="7"/>
  <c r="B28" i="7"/>
  <c r="B29" i="7"/>
  <c r="B30" i="7"/>
  <c r="B31" i="7"/>
  <c r="B19" i="7"/>
  <c r="C9" i="8" l="1"/>
  <c r="C4" i="8"/>
  <c r="D40" i="21" l="1"/>
  <c r="D39" i="21"/>
  <c r="O31" i="21"/>
  <c r="N31" i="21"/>
  <c r="M31" i="21"/>
  <c r="D34" i="21"/>
  <c r="E33" i="21"/>
  <c r="C36" i="21"/>
  <c r="E36" i="21"/>
  <c r="D36" i="21"/>
  <c r="B36" i="21"/>
  <c r="C37" i="21"/>
  <c r="E37" i="21"/>
  <c r="D37" i="21"/>
  <c r="E35" i="21"/>
  <c r="D35" i="21"/>
  <c r="C32" i="21"/>
  <c r="E32" i="21"/>
  <c r="D32" i="21"/>
  <c r="F10" i="6" l="1"/>
  <c r="C8" i="13"/>
  <c r="F8" i="13"/>
  <c r="E8" i="13"/>
  <c r="D8" i="13"/>
  <c r="C4" i="11" l="1"/>
  <c r="C6" i="11"/>
  <c r="D3" i="11"/>
  <c r="D7" i="11"/>
  <c r="D8" i="11"/>
  <c r="E8" i="11"/>
  <c r="G7" i="8" l="1"/>
  <c r="G6" i="8"/>
  <c r="G3" i="8"/>
  <c r="G2" i="8"/>
  <c r="G8" i="6"/>
  <c r="G7" i="6"/>
  <c r="G6" i="6"/>
  <c r="G3" i="6"/>
  <c r="G2" i="6"/>
  <c r="G3" i="5"/>
  <c r="G4" i="5"/>
  <c r="G5" i="5"/>
  <c r="G8" i="5"/>
  <c r="C10" i="6" l="1"/>
  <c r="C10" i="5"/>
  <c r="C10" i="4" l="1"/>
  <c r="E10" i="6" l="1"/>
  <c r="G2" i="5" l="1"/>
  <c r="C7" i="5"/>
  <c r="C3" i="16" l="1"/>
  <c r="C4" i="16"/>
  <c r="C5" i="16"/>
  <c r="C6" i="16"/>
  <c r="C7" i="16"/>
  <c r="C8" i="16"/>
  <c r="C9" i="16"/>
  <c r="C10" i="16"/>
  <c r="C11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G85" i="16" s="1"/>
  <c r="C12" i="16" s="1"/>
  <c r="B14" i="16"/>
  <c r="B2" i="16"/>
  <c r="G87" i="16"/>
  <c r="C14" i="16" s="1"/>
  <c r="G7" i="14" l="1"/>
  <c r="G9" i="14"/>
  <c r="G8" i="14"/>
  <c r="D61" i="19" l="1"/>
  <c r="E61" i="19"/>
  <c r="F61" i="19"/>
  <c r="F59" i="17" l="1"/>
  <c r="F69" i="16" l="1"/>
  <c r="F70" i="16"/>
  <c r="F71" i="16"/>
  <c r="F72" i="16"/>
  <c r="F73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D3" i="10" l="1"/>
  <c r="D7" i="14"/>
  <c r="D10" i="8"/>
  <c r="D9" i="2"/>
  <c r="E9" i="3"/>
  <c r="E9" i="2"/>
  <c r="E9" i="9"/>
  <c r="C9" i="9"/>
  <c r="C9" i="3"/>
  <c r="F10" i="5"/>
  <c r="D10" i="5"/>
  <c r="C9" i="2"/>
  <c r="H13" i="19" l="1"/>
  <c r="H10" i="19"/>
  <c r="H7" i="19"/>
  <c r="E3" i="19"/>
  <c r="E49" i="19" s="1"/>
  <c r="E4" i="19"/>
  <c r="E50" i="19" s="1"/>
  <c r="E5" i="19"/>
  <c r="E51" i="19" s="1"/>
  <c r="E6" i="19"/>
  <c r="E52" i="19" s="1"/>
  <c r="E7" i="19"/>
  <c r="E53" i="19" s="1"/>
  <c r="E8" i="19"/>
  <c r="E54" i="19" s="1"/>
  <c r="E9" i="19"/>
  <c r="E55" i="19" s="1"/>
  <c r="E10" i="19"/>
  <c r="E56" i="19" s="1"/>
  <c r="E11" i="19"/>
  <c r="E57" i="19" s="1"/>
  <c r="E12" i="19"/>
  <c r="E58" i="19" s="1"/>
  <c r="E13" i="19"/>
  <c r="E59" i="19" s="1"/>
  <c r="E14" i="19"/>
  <c r="E60" i="19" s="1"/>
  <c r="E2" i="19"/>
  <c r="E48" i="19" s="1"/>
  <c r="D3" i="19"/>
  <c r="D4" i="19"/>
  <c r="D50" i="19" s="1"/>
  <c r="D5" i="19"/>
  <c r="D6" i="19"/>
  <c r="D7" i="19"/>
  <c r="D8" i="19"/>
  <c r="D9" i="19"/>
  <c r="D55" i="19" s="1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K3" i="13"/>
  <c r="K4" i="13"/>
  <c r="K5" i="13"/>
  <c r="K6" i="13"/>
  <c r="K7" i="13"/>
  <c r="K8" i="13"/>
  <c r="K9" i="13"/>
  <c r="K2" i="13"/>
  <c r="K3" i="12"/>
  <c r="K4" i="12"/>
  <c r="K5" i="12"/>
  <c r="K6" i="12"/>
  <c r="K7" i="12"/>
  <c r="K8" i="12"/>
  <c r="K9" i="12"/>
  <c r="K2" i="12"/>
  <c r="K3" i="11"/>
  <c r="K4" i="11"/>
  <c r="K5" i="11"/>
  <c r="K6" i="11"/>
  <c r="K7" i="11"/>
  <c r="K10" i="11"/>
  <c r="K2" i="1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H13" i="17"/>
  <c r="H10" i="17"/>
  <c r="H7" i="17"/>
  <c r="H13" i="16"/>
  <c r="H10" i="16"/>
  <c r="H7" i="16"/>
  <c r="D20" i="3" l="1"/>
  <c r="H3" i="19" s="1"/>
  <c r="D20" i="6"/>
  <c r="H6" i="19" s="1"/>
  <c r="B18" i="12"/>
  <c r="C18" i="12"/>
  <c r="G11" i="19" s="1"/>
  <c r="B18" i="13"/>
  <c r="C18" i="13"/>
  <c r="G12" i="19" s="1"/>
  <c r="B19" i="14"/>
  <c r="G51" i="19"/>
  <c r="B19" i="11"/>
  <c r="F10" i="19" s="1"/>
  <c r="D60" i="19"/>
  <c r="D56" i="19"/>
  <c r="D52" i="19"/>
  <c r="D59" i="19"/>
  <c r="D51" i="19"/>
  <c r="D58" i="19"/>
  <c r="D54" i="19"/>
  <c r="D48" i="19"/>
  <c r="D57" i="19"/>
  <c r="D53" i="19"/>
  <c r="D49" i="19"/>
  <c r="D19" i="9"/>
  <c r="H8" i="19" s="1"/>
  <c r="B18" i="5"/>
  <c r="F5" i="19" s="1"/>
  <c r="F51" i="19" s="1"/>
  <c r="B18" i="15"/>
  <c r="F14" i="19" s="1"/>
  <c r="F60" i="19" s="1"/>
  <c r="C18" i="15"/>
  <c r="G14" i="19" s="1"/>
  <c r="G60" i="19" s="1"/>
  <c r="D18" i="15"/>
  <c r="H14" i="19" s="1"/>
  <c r="D18" i="13"/>
  <c r="H12" i="19" s="1"/>
  <c r="D18" i="12"/>
  <c r="H11" i="19" s="1"/>
  <c r="G57" i="19" s="1"/>
  <c r="D17" i="10"/>
  <c r="H9" i="19" s="1"/>
  <c r="G55" i="19" s="1"/>
  <c r="D18" i="4"/>
  <c r="H4" i="19" s="1"/>
  <c r="G50" i="19" s="1"/>
  <c r="B18" i="4"/>
  <c r="F4" i="19" s="1"/>
  <c r="I4" i="19" s="1"/>
  <c r="L4" i="19" s="1"/>
  <c r="F13" i="19"/>
  <c r="F59" i="19" s="1"/>
  <c r="F11" i="19"/>
  <c r="I11" i="19" s="1"/>
  <c r="L11" i="19" s="1"/>
  <c r="F12" i="19"/>
  <c r="F58" i="19" s="1"/>
  <c r="D2" i="17"/>
  <c r="F46" i="17" s="1"/>
  <c r="E2" i="17"/>
  <c r="G46" i="17" s="1"/>
  <c r="E3" i="17"/>
  <c r="G47" i="17" s="1"/>
  <c r="E4" i="17"/>
  <c r="G48" i="17" s="1"/>
  <c r="E5" i="17"/>
  <c r="G49" i="17" s="1"/>
  <c r="E6" i="17"/>
  <c r="G50" i="17" s="1"/>
  <c r="E7" i="17"/>
  <c r="G51" i="17" s="1"/>
  <c r="E8" i="17"/>
  <c r="G52" i="17" s="1"/>
  <c r="E9" i="17"/>
  <c r="G53" i="17" s="1"/>
  <c r="E10" i="17"/>
  <c r="G54" i="17" s="1"/>
  <c r="E11" i="17"/>
  <c r="G55" i="17" s="1"/>
  <c r="E12" i="17"/>
  <c r="G56" i="17" s="1"/>
  <c r="E13" i="17"/>
  <c r="G57" i="17" s="1"/>
  <c r="E14" i="17"/>
  <c r="G58" i="17" s="1"/>
  <c r="D3" i="17"/>
  <c r="F47" i="17" s="1"/>
  <c r="D4" i="17"/>
  <c r="F48" i="17" s="1"/>
  <c r="D5" i="17"/>
  <c r="F49" i="17" s="1"/>
  <c r="D6" i="17"/>
  <c r="F50" i="17" s="1"/>
  <c r="D7" i="17"/>
  <c r="F51" i="17" s="1"/>
  <c r="D8" i="17"/>
  <c r="F52" i="17" s="1"/>
  <c r="D9" i="17"/>
  <c r="F53" i="17" s="1"/>
  <c r="D10" i="17"/>
  <c r="F54" i="17" s="1"/>
  <c r="D11" i="17"/>
  <c r="F55" i="17" s="1"/>
  <c r="D12" i="17"/>
  <c r="F56" i="17" s="1"/>
  <c r="D13" i="17"/>
  <c r="F57" i="17" s="1"/>
  <c r="D14" i="17"/>
  <c r="F58" i="17" s="1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E18" i="13" l="1"/>
  <c r="F56" i="19"/>
  <c r="I12" i="19"/>
  <c r="L12" i="19" s="1"/>
  <c r="I14" i="19"/>
  <c r="L14" i="19" s="1"/>
  <c r="G58" i="19"/>
  <c r="E18" i="5"/>
  <c r="I5" i="19"/>
  <c r="L5" i="19" s="1"/>
  <c r="J11" i="19"/>
  <c r="F57" i="19"/>
  <c r="J4" i="19"/>
  <c r="F50" i="19"/>
  <c r="E18" i="4"/>
  <c r="E18" i="15"/>
  <c r="J14" i="19"/>
  <c r="E18" i="12"/>
  <c r="D17" i="4"/>
  <c r="H4" i="17" s="1"/>
  <c r="I48" i="17" s="1"/>
  <c r="C17" i="12"/>
  <c r="G11" i="17" s="1"/>
  <c r="D17" i="15"/>
  <c r="H14" i="17" s="1"/>
  <c r="D19" i="6"/>
  <c r="H6" i="17" s="1"/>
  <c r="D20" i="2"/>
  <c r="H2" i="17" s="1"/>
  <c r="D16" i="10"/>
  <c r="H9" i="17" s="1"/>
  <c r="I53" i="17" s="1"/>
  <c r="B18" i="14"/>
  <c r="F13" i="17" s="1"/>
  <c r="H57" i="17" s="1"/>
  <c r="B17" i="15"/>
  <c r="F14" i="17" s="1"/>
  <c r="H58" i="17" s="1"/>
  <c r="C17" i="15"/>
  <c r="G14" i="17" s="1"/>
  <c r="I58" i="17" s="1"/>
  <c r="B17" i="13"/>
  <c r="F12" i="17" s="1"/>
  <c r="H56" i="17" s="1"/>
  <c r="D17" i="13"/>
  <c r="H12" i="17" s="1"/>
  <c r="C17" i="13"/>
  <c r="G12" i="17" s="1"/>
  <c r="B17" i="12"/>
  <c r="F11" i="17" s="1"/>
  <c r="H55" i="17" s="1"/>
  <c r="D17" i="12"/>
  <c r="H11" i="17" s="1"/>
  <c r="B18" i="11"/>
  <c r="F10" i="17" s="1"/>
  <c r="H54" i="17" s="1"/>
  <c r="D18" i="9"/>
  <c r="H8" i="17" s="1"/>
  <c r="D17" i="5"/>
  <c r="H5" i="17" s="1"/>
  <c r="I49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I3" i="1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I2" i="3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F30" i="7" s="1"/>
  <c r="J8" i="14"/>
  <c r="C6" i="14"/>
  <c r="H6" i="14" s="1"/>
  <c r="C4" i="14"/>
  <c r="H4" i="14" s="1"/>
  <c r="H2" i="14"/>
  <c r="H9" i="13"/>
  <c r="H8" i="13"/>
  <c r="H7" i="13"/>
  <c r="H6" i="13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F19" i="7" s="1"/>
  <c r="H4" i="11"/>
  <c r="H3" i="11"/>
  <c r="H5" i="11"/>
  <c r="H7" i="11"/>
  <c r="H10" i="11"/>
  <c r="D16" i="11" s="1"/>
  <c r="F11" i="7" s="1"/>
  <c r="F27" i="7" s="1"/>
  <c r="H2" i="11"/>
  <c r="G9" i="11"/>
  <c r="H9" i="11" s="1"/>
  <c r="G8" i="11"/>
  <c r="J8" i="11" s="1"/>
  <c r="H6" i="11"/>
  <c r="H2" i="10"/>
  <c r="H5" i="10"/>
  <c r="H10" i="10"/>
  <c r="H9" i="10"/>
  <c r="C8" i="10"/>
  <c r="H8" i="10" s="1"/>
  <c r="C14" i="10" s="1"/>
  <c r="E10" i="7" s="1"/>
  <c r="E26" i="7" s="1"/>
  <c r="H7" i="10"/>
  <c r="C6" i="10"/>
  <c r="H6" i="10" s="1"/>
  <c r="H4" i="10"/>
  <c r="H3" i="10"/>
  <c r="G7" i="9"/>
  <c r="G6" i="9"/>
  <c r="G3" i="9"/>
  <c r="G2" i="9"/>
  <c r="J2" i="9" s="1"/>
  <c r="H10" i="9"/>
  <c r="H9" i="9"/>
  <c r="H8" i="9"/>
  <c r="H5" i="9"/>
  <c r="C4" i="9"/>
  <c r="H4" i="9" s="1"/>
  <c r="H11" i="8"/>
  <c r="D16" i="8" s="1"/>
  <c r="F8" i="7" s="1"/>
  <c r="F24" i="7" s="1"/>
  <c r="G10" i="8"/>
  <c r="H5" i="8"/>
  <c r="H9" i="8"/>
  <c r="H2" i="8"/>
  <c r="G8" i="8"/>
  <c r="H4" i="8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I3" i="3"/>
  <c r="H9" i="3"/>
  <c r="H8" i="3"/>
  <c r="H7" i="3"/>
  <c r="H5" i="3"/>
  <c r="C4" i="3"/>
  <c r="H4" i="3" s="1"/>
  <c r="H2" i="3"/>
  <c r="H2" i="2"/>
  <c r="G8" i="2"/>
  <c r="G7" i="2"/>
  <c r="G6" i="2"/>
  <c r="J6" i="2" s="1"/>
  <c r="C4" i="2"/>
  <c r="H4" i="2" s="1"/>
  <c r="G3" i="2"/>
  <c r="H4" i="1"/>
  <c r="E4" i="1"/>
  <c r="I56" i="17" l="1"/>
  <c r="J12" i="19"/>
  <c r="J5" i="19"/>
  <c r="I4" i="17"/>
  <c r="H48" i="17"/>
  <c r="I55" i="17"/>
  <c r="I3" i="2"/>
  <c r="B19" i="2" s="1"/>
  <c r="F2" i="16" s="1"/>
  <c r="H56" i="16" s="1"/>
  <c r="I8" i="2"/>
  <c r="C16" i="12"/>
  <c r="G11" i="16" s="1"/>
  <c r="I8" i="11"/>
  <c r="I2" i="9"/>
  <c r="D16" i="12"/>
  <c r="H11" i="16" s="1"/>
  <c r="D15" i="12"/>
  <c r="F12" i="7" s="1"/>
  <c r="F28" i="7" s="1"/>
  <c r="I3" i="9"/>
  <c r="K3" i="9"/>
  <c r="J3" i="9"/>
  <c r="B18" i="9" s="1"/>
  <c r="F8" i="17" s="1"/>
  <c r="H52" i="17" s="1"/>
  <c r="H6" i="6"/>
  <c r="K6" i="6"/>
  <c r="J6" i="6"/>
  <c r="H6" i="2"/>
  <c r="K6" i="2"/>
  <c r="H6" i="9"/>
  <c r="K6" i="9"/>
  <c r="C16" i="13"/>
  <c r="G12" i="16" s="1"/>
  <c r="I11" i="17"/>
  <c r="J6" i="9"/>
  <c r="H6" i="3"/>
  <c r="C17" i="3" s="1"/>
  <c r="E4" i="7" s="1"/>
  <c r="E20" i="7" s="1"/>
  <c r="K6" i="3"/>
  <c r="C20" i="3" s="1"/>
  <c r="G3" i="19" s="1"/>
  <c r="G49" i="19" s="1"/>
  <c r="H6" i="8"/>
  <c r="K6" i="8"/>
  <c r="H8" i="8"/>
  <c r="K8" i="8"/>
  <c r="J6" i="8"/>
  <c r="I3" i="6"/>
  <c r="K3" i="6"/>
  <c r="J3" i="6"/>
  <c r="I7" i="2"/>
  <c r="K7" i="2"/>
  <c r="J7" i="2"/>
  <c r="H3" i="8"/>
  <c r="B16" i="8" s="1"/>
  <c r="K3" i="8"/>
  <c r="B19" i="8" s="1"/>
  <c r="J3" i="8"/>
  <c r="B18" i="8" s="1"/>
  <c r="F7" i="17" s="1"/>
  <c r="H51" i="17" s="1"/>
  <c r="H7" i="9"/>
  <c r="K7" i="9"/>
  <c r="J7" i="9"/>
  <c r="K3" i="10"/>
  <c r="B17" i="10" s="1"/>
  <c r="J3" i="10"/>
  <c r="B16" i="10" s="1"/>
  <c r="H8" i="11"/>
  <c r="C16" i="11" s="1"/>
  <c r="E11" i="7" s="1"/>
  <c r="K8" i="11"/>
  <c r="H3" i="6"/>
  <c r="H8" i="14"/>
  <c r="K8" i="14"/>
  <c r="H8" i="6"/>
  <c r="K8" i="6"/>
  <c r="J8" i="6"/>
  <c r="H2" i="6"/>
  <c r="K2" i="6"/>
  <c r="J2" i="6"/>
  <c r="D16" i="15"/>
  <c r="H14" i="16" s="1"/>
  <c r="J8" i="8"/>
  <c r="H10" i="8"/>
  <c r="J10" i="8"/>
  <c r="K10" i="8"/>
  <c r="H7" i="8"/>
  <c r="K7" i="8"/>
  <c r="J7" i="8"/>
  <c r="H3" i="2"/>
  <c r="B18" i="2" s="1"/>
  <c r="D3" i="7" s="1"/>
  <c r="K3" i="2"/>
  <c r="B21" i="2" s="1"/>
  <c r="J3" i="2"/>
  <c r="B20" i="2" s="1"/>
  <c r="H8" i="2"/>
  <c r="K8" i="2"/>
  <c r="H3" i="3"/>
  <c r="B17" i="3" s="1"/>
  <c r="D4" i="7" s="1"/>
  <c r="D20" i="7" s="1"/>
  <c r="K3" i="3"/>
  <c r="B20" i="3" s="1"/>
  <c r="J3" i="3"/>
  <c r="B19" i="3" s="1"/>
  <c r="F3" i="17" s="1"/>
  <c r="H47" i="17" s="1"/>
  <c r="H2" i="9"/>
  <c r="K2" i="9"/>
  <c r="I9" i="11"/>
  <c r="K9" i="11"/>
  <c r="J9" i="11"/>
  <c r="C18" i="11" s="1"/>
  <c r="I9" i="14"/>
  <c r="K9" i="14"/>
  <c r="J9" i="14"/>
  <c r="C18" i="14" s="1"/>
  <c r="I6" i="2"/>
  <c r="H7" i="6"/>
  <c r="K7" i="6"/>
  <c r="J7" i="6"/>
  <c r="I14" i="17"/>
  <c r="J8" i="2"/>
  <c r="J6" i="3"/>
  <c r="C19" i="3" s="1"/>
  <c r="G3" i="17" s="1"/>
  <c r="I47" i="17" s="1"/>
  <c r="E17" i="15"/>
  <c r="E17" i="13"/>
  <c r="I12" i="17"/>
  <c r="E17" i="12"/>
  <c r="D17" i="9"/>
  <c r="H8" i="16" s="1"/>
  <c r="D16" i="9"/>
  <c r="F9" i="7" s="1"/>
  <c r="F5" i="17"/>
  <c r="E17" i="5"/>
  <c r="D15" i="5"/>
  <c r="F6" i="7" s="1"/>
  <c r="F22" i="7" s="1"/>
  <c r="E17" i="4"/>
  <c r="D18" i="3"/>
  <c r="H3" i="16" s="1"/>
  <c r="C16" i="15"/>
  <c r="G14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F20" i="7" s="1"/>
  <c r="B16" i="5"/>
  <c r="F5" i="16" s="1"/>
  <c r="H59" i="16" s="1"/>
  <c r="D16" i="5"/>
  <c r="H5" i="16" s="1"/>
  <c r="I59" i="16" s="1"/>
  <c r="B17" i="11"/>
  <c r="F10" i="16" s="1"/>
  <c r="H64" i="16" s="1"/>
  <c r="I6" i="3"/>
  <c r="C18" i="3" s="1"/>
  <c r="G3" i="16" s="1"/>
  <c r="B18" i="3"/>
  <c r="F3" i="16" s="1"/>
  <c r="H57" i="16" s="1"/>
  <c r="I6" i="6"/>
  <c r="I10" i="8"/>
  <c r="I7" i="9"/>
  <c r="B16" i="13"/>
  <c r="H7" i="2"/>
  <c r="C18" i="2" s="1"/>
  <c r="E3" i="7" s="1"/>
  <c r="D17" i="6"/>
  <c r="F7" i="7" s="1"/>
  <c r="F23" i="7" s="1"/>
  <c r="I6" i="9"/>
  <c r="B15" i="12"/>
  <c r="C15" i="12"/>
  <c r="E12" i="7" s="1"/>
  <c r="C15" i="13"/>
  <c r="E13" i="7" s="1"/>
  <c r="E29" i="7" s="1"/>
  <c r="I8" i="6"/>
  <c r="C15" i="15"/>
  <c r="E15" i="7" s="1"/>
  <c r="E31" i="7" s="1"/>
  <c r="D15" i="13"/>
  <c r="F13" i="7" s="1"/>
  <c r="F29" i="7" s="1"/>
  <c r="H3" i="9"/>
  <c r="B15" i="5"/>
  <c r="D6" i="7" s="1"/>
  <c r="D15" i="4"/>
  <c r="F5" i="7" s="1"/>
  <c r="F21" i="7" s="1"/>
  <c r="D15" i="15"/>
  <c r="F15" i="7" s="1"/>
  <c r="F31" i="7" s="1"/>
  <c r="B15" i="15"/>
  <c r="D15" i="7" s="1"/>
  <c r="B16" i="14"/>
  <c r="D14" i="7" s="1"/>
  <c r="B15" i="13"/>
  <c r="D13" i="7" s="1"/>
  <c r="C15" i="5"/>
  <c r="E6" i="7" s="1"/>
  <c r="E22" i="7" s="1"/>
  <c r="C15" i="4"/>
  <c r="E5" i="7" s="1"/>
  <c r="E21" i="7" s="1"/>
  <c r="D14" i="10"/>
  <c r="F10" i="7" s="1"/>
  <c r="B16" i="11"/>
  <c r="D11" i="7" s="1"/>
  <c r="B14" i="10"/>
  <c r="D10" i="7" s="1"/>
  <c r="D26" i="7" s="1"/>
  <c r="B15" i="4"/>
  <c r="D5" i="7" s="1"/>
  <c r="E67" i="7" l="1"/>
  <c r="D29" i="7"/>
  <c r="F65" i="7"/>
  <c r="E27" i="7"/>
  <c r="E68" i="7"/>
  <c r="D30" i="7"/>
  <c r="F25" i="7"/>
  <c r="E57" i="7"/>
  <c r="D19" i="7"/>
  <c r="F57" i="7"/>
  <c r="E19" i="7"/>
  <c r="E69" i="7"/>
  <c r="D31" i="7"/>
  <c r="B17" i="9"/>
  <c r="F8" i="16" s="1"/>
  <c r="H62" i="16" s="1"/>
  <c r="F66" i="7"/>
  <c r="E28" i="7"/>
  <c r="I68" i="16"/>
  <c r="E60" i="7"/>
  <c r="D22" i="7"/>
  <c r="E59" i="7"/>
  <c r="D21" i="7"/>
  <c r="E65" i="7"/>
  <c r="D27" i="7"/>
  <c r="F64" i="7"/>
  <c r="F26" i="7"/>
  <c r="C17" i="11"/>
  <c r="G10" i="16" s="1"/>
  <c r="I64" i="16" s="1"/>
  <c r="C17" i="6"/>
  <c r="E7" i="7" s="1"/>
  <c r="B19" i="6"/>
  <c r="F6" i="17" s="1"/>
  <c r="H50" i="17" s="1"/>
  <c r="J11" i="17"/>
  <c r="L11" i="17"/>
  <c r="J12" i="17"/>
  <c r="L12" i="17"/>
  <c r="J14" i="17"/>
  <c r="L14" i="17"/>
  <c r="J4" i="17"/>
  <c r="L4" i="17"/>
  <c r="I57" i="16"/>
  <c r="I5" i="17"/>
  <c r="H49" i="17"/>
  <c r="C19" i="2"/>
  <c r="G2" i="16" s="1"/>
  <c r="I56" i="16" s="1"/>
  <c r="B17" i="6"/>
  <c r="D7" i="7" s="1"/>
  <c r="I66" i="16"/>
  <c r="I65" i="16"/>
  <c r="C16" i="8"/>
  <c r="E8" i="7" s="1"/>
  <c r="C18" i="9"/>
  <c r="G8" i="17" s="1"/>
  <c r="C16" i="9"/>
  <c r="E9" i="7" s="1"/>
  <c r="E25" i="7" s="1"/>
  <c r="G10" i="7"/>
  <c r="G26" i="7" s="1"/>
  <c r="E64" i="7"/>
  <c r="C16" i="14"/>
  <c r="E14" i="7" s="1"/>
  <c r="B20" i="6"/>
  <c r="F6" i="19" s="1"/>
  <c r="G4" i="7"/>
  <c r="G20" i="7" s="1"/>
  <c r="E58" i="7"/>
  <c r="B16" i="9"/>
  <c r="E16" i="9" s="1"/>
  <c r="C20" i="2"/>
  <c r="G2" i="17" s="1"/>
  <c r="I46" i="17" s="1"/>
  <c r="B19" i="9"/>
  <c r="F8" i="19" s="1"/>
  <c r="C19" i="9"/>
  <c r="G8" i="19" s="1"/>
  <c r="G54" i="19" s="1"/>
  <c r="I5" i="16"/>
  <c r="I14" i="16"/>
  <c r="C17" i="14"/>
  <c r="G13" i="16" s="1"/>
  <c r="G10" i="17"/>
  <c r="E18" i="11"/>
  <c r="E18" i="14"/>
  <c r="G13" i="17"/>
  <c r="F2" i="17"/>
  <c r="H46" i="17" s="1"/>
  <c r="E20" i="2"/>
  <c r="C19" i="8"/>
  <c r="G7" i="19" s="1"/>
  <c r="G6" i="7"/>
  <c r="G22" i="7" s="1"/>
  <c r="F2" i="19"/>
  <c r="C19" i="11"/>
  <c r="F7" i="19"/>
  <c r="F53" i="19" s="1"/>
  <c r="C18" i="8"/>
  <c r="G7" i="17" s="1"/>
  <c r="C21" i="2"/>
  <c r="G2" i="19" s="1"/>
  <c r="G48" i="19" s="1"/>
  <c r="E17" i="10"/>
  <c r="F9" i="19"/>
  <c r="I9" i="19" s="1"/>
  <c r="L9" i="19" s="1"/>
  <c r="C20" i="6"/>
  <c r="G6" i="19" s="1"/>
  <c r="G52" i="19" s="1"/>
  <c r="E19" i="3"/>
  <c r="C19" i="14"/>
  <c r="F3" i="19"/>
  <c r="I3" i="19" s="1"/>
  <c r="L3" i="19" s="1"/>
  <c r="E20" i="3"/>
  <c r="F60" i="7"/>
  <c r="B18" i="6"/>
  <c r="F6" i="16" s="1"/>
  <c r="H60" i="16" s="1"/>
  <c r="I3" i="17"/>
  <c r="E16" i="10"/>
  <c r="F9" i="17"/>
  <c r="C19" i="6"/>
  <c r="E16" i="15"/>
  <c r="G15" i="7"/>
  <c r="G31" i="7" s="1"/>
  <c r="F69" i="7"/>
  <c r="F67" i="7"/>
  <c r="G13" i="7"/>
  <c r="G29" i="7" s="1"/>
  <c r="E16" i="13"/>
  <c r="F12" i="16"/>
  <c r="F11" i="16"/>
  <c r="E16" i="12"/>
  <c r="E15" i="12"/>
  <c r="D12" i="7"/>
  <c r="D28" i="7" s="1"/>
  <c r="G11" i="7"/>
  <c r="G27" i="7" s="1"/>
  <c r="E15" i="10"/>
  <c r="F9" i="16"/>
  <c r="D8" i="7"/>
  <c r="D24" i="7" s="1"/>
  <c r="C18" i="6"/>
  <c r="G6" i="16" s="1"/>
  <c r="G5" i="7"/>
  <c r="G21" i="7" s="1"/>
  <c r="F59" i="7"/>
  <c r="F4" i="16"/>
  <c r="E16" i="4"/>
  <c r="F58" i="7"/>
  <c r="I3" i="16"/>
  <c r="G3" i="7"/>
  <c r="G19" i="7" s="1"/>
  <c r="E15" i="15"/>
  <c r="C17" i="9"/>
  <c r="G8" i="16" s="1"/>
  <c r="C17" i="8"/>
  <c r="E15" i="5"/>
  <c r="E18" i="3"/>
  <c r="E16" i="5"/>
  <c r="E15" i="13"/>
  <c r="E14" i="10"/>
  <c r="E16" i="11"/>
  <c r="E15" i="4"/>
  <c r="E17" i="3"/>
  <c r="E18" i="2"/>
  <c r="E61" i="7" l="1"/>
  <c r="D23" i="7"/>
  <c r="F63" i="7"/>
  <c r="F68" i="7"/>
  <c r="E30" i="7"/>
  <c r="I2" i="16"/>
  <c r="L2" i="16" s="1"/>
  <c r="F62" i="7"/>
  <c r="E24" i="7"/>
  <c r="F61" i="7"/>
  <c r="E23" i="7"/>
  <c r="D9" i="7"/>
  <c r="D25" i="7" s="1"/>
  <c r="E17" i="11"/>
  <c r="I10" i="16"/>
  <c r="J10" i="16" s="1"/>
  <c r="E18" i="8"/>
  <c r="I6" i="19"/>
  <c r="J6" i="19" s="1"/>
  <c r="E17" i="6"/>
  <c r="H5" i="7"/>
  <c r="J5" i="7"/>
  <c r="H11" i="7"/>
  <c r="J11" i="7"/>
  <c r="F54" i="19"/>
  <c r="I8" i="19"/>
  <c r="L8" i="19" s="1"/>
  <c r="H15" i="7"/>
  <c r="J15" i="7"/>
  <c r="F52" i="19"/>
  <c r="H4" i="7"/>
  <c r="J4" i="7"/>
  <c r="H10" i="7"/>
  <c r="J10" i="7"/>
  <c r="H3" i="7"/>
  <c r="J3" i="7"/>
  <c r="F48" i="19"/>
  <c r="I2" i="19"/>
  <c r="L2" i="19" s="1"/>
  <c r="H13" i="7"/>
  <c r="J13" i="7"/>
  <c r="H6" i="7"/>
  <c r="J6" i="7"/>
  <c r="J14" i="16"/>
  <c r="L14" i="16"/>
  <c r="J3" i="16"/>
  <c r="L3" i="16"/>
  <c r="J5" i="16"/>
  <c r="L5" i="16"/>
  <c r="J2" i="16"/>
  <c r="J3" i="17"/>
  <c r="L3" i="17"/>
  <c r="J5" i="17"/>
  <c r="L5" i="17"/>
  <c r="G53" i="19"/>
  <c r="I7" i="19"/>
  <c r="I9" i="17"/>
  <c r="H53" i="17"/>
  <c r="I13" i="17"/>
  <c r="I57" i="17"/>
  <c r="I8" i="17"/>
  <c r="I52" i="17"/>
  <c r="E19" i="2"/>
  <c r="E17" i="14"/>
  <c r="G7" i="7"/>
  <c r="G23" i="7" s="1"/>
  <c r="E16" i="8"/>
  <c r="J3" i="19"/>
  <c r="F49" i="19"/>
  <c r="I7" i="17"/>
  <c r="I51" i="17"/>
  <c r="E17" i="9"/>
  <c r="E16" i="14"/>
  <c r="J9" i="19"/>
  <c r="F55" i="19"/>
  <c r="E19" i="9"/>
  <c r="I10" i="17"/>
  <c r="I54" i="17"/>
  <c r="I4" i="16"/>
  <c r="H58" i="16"/>
  <c r="E18" i="6"/>
  <c r="I12" i="16"/>
  <c r="H66" i="16"/>
  <c r="I13" i="16"/>
  <c r="I67" i="16"/>
  <c r="J8" i="19"/>
  <c r="I9" i="16"/>
  <c r="H63" i="16"/>
  <c r="I8" i="16"/>
  <c r="I62" i="16"/>
  <c r="G14" i="7"/>
  <c r="G30" i="7" s="1"/>
  <c r="E18" i="9"/>
  <c r="I6" i="16"/>
  <c r="I60" i="16"/>
  <c r="I11" i="16"/>
  <c r="H65" i="16"/>
  <c r="G9" i="7"/>
  <c r="G25" i="7" s="1"/>
  <c r="E63" i="7"/>
  <c r="G12" i="7"/>
  <c r="G28" i="7" s="1"/>
  <c r="E66" i="7"/>
  <c r="E21" i="2"/>
  <c r="I2" i="17"/>
  <c r="G8" i="7"/>
  <c r="G24" i="7" s="1"/>
  <c r="E62" i="7"/>
  <c r="E20" i="6"/>
  <c r="E19" i="8"/>
  <c r="G6" i="17"/>
  <c r="E19" i="6"/>
  <c r="G13" i="19"/>
  <c r="I13" i="19" s="1"/>
  <c r="L13" i="19" s="1"/>
  <c r="E19" i="14"/>
  <c r="G10" i="19"/>
  <c r="I10" i="19" s="1"/>
  <c r="L10" i="19" s="1"/>
  <c r="E19" i="11"/>
  <c r="J2" i="19"/>
  <c r="E17" i="8"/>
  <c r="G7" i="16"/>
  <c r="L6" i="19" l="1"/>
  <c r="L10" i="16"/>
  <c r="H8" i="7"/>
  <c r="J8" i="7"/>
  <c r="H12" i="7"/>
  <c r="J12" i="7"/>
  <c r="H14" i="7"/>
  <c r="J14" i="7"/>
  <c r="H9" i="7"/>
  <c r="J9" i="7"/>
  <c r="H7" i="7"/>
  <c r="J7" i="7"/>
  <c r="J8" i="16"/>
  <c r="L8" i="16"/>
  <c r="J13" i="16"/>
  <c r="L13" i="16"/>
  <c r="J9" i="16"/>
  <c r="L9" i="16"/>
  <c r="J6" i="16"/>
  <c r="L6" i="16"/>
  <c r="J11" i="16"/>
  <c r="L11" i="16"/>
  <c r="J4" i="16"/>
  <c r="L4" i="16"/>
  <c r="J12" i="16"/>
  <c r="L12" i="16"/>
  <c r="J8" i="17"/>
  <c r="L8" i="17"/>
  <c r="J10" i="17"/>
  <c r="L10" i="17"/>
  <c r="J7" i="17"/>
  <c r="L7" i="17"/>
  <c r="J9" i="17"/>
  <c r="L9" i="17"/>
  <c r="J13" i="17"/>
  <c r="L13" i="17"/>
  <c r="J2" i="17"/>
  <c r="L2" i="17"/>
  <c r="J7" i="19"/>
  <c r="L7" i="19"/>
  <c r="J10" i="19"/>
  <c r="G56" i="19"/>
  <c r="I6" i="17"/>
  <c r="I50" i="17"/>
  <c r="J13" i="19"/>
  <c r="G59" i="19"/>
  <c r="I7" i="16"/>
  <c r="I61" i="16"/>
  <c r="J7" i="16" l="1"/>
  <c r="L7" i="16"/>
  <c r="J6" i="17"/>
  <c r="L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Patri, Sai Kireet</author>
  </authors>
  <commentList>
    <comment ref="E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<sst xmlns="http://schemas.openxmlformats.org/spreadsheetml/2006/main" count="722" uniqueCount="170">
  <si>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</si>
  <si>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</si>
  <si>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</si>
  <si>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</si>
  <si>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</si>
  <si>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</si>
  <si>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</si>
  <si>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</si>
  <si>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</si>
  <si>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</si>
  <si>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</si>
  <si>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</si>
  <si>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</si>
  <si>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</si>
  <si>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</si>
  <si>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</si>
  <si>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</si>
  <si>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</si>
  <si>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</si>
  <si>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</si>
  <si>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</si>
  <si>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</si>
  <si>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</si>
  <si>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</si>
  <si>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</si>
  <si>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</si>
  <si>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</si>
  <si>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</si>
  <si>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</si>
  <si>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</si>
  <si>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</si>
  <si>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</si>
  <si>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</si>
  <si>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</si>
  <si>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</si>
  <si>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</si>
  <si>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</si>
  <si>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</si>
  <si>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</si>
  <si>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</si>
  <si>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</si>
  <si>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</si>
  <si>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</si>
  <si>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</si>
  <si>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</si>
  <si>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</si>
  <si>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</si>
  <si>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</si>
  <si>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</si>
  <si>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</si>
  <si>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</si>
  <si>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</si>
  <si>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</si>
  <si>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</si>
  <si>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</si>
  <si>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</si>
  <si>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</si>
  <si>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</si>
  <si>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</si>
  <si>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</si>
  <si>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</si>
  <si>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</si>
  <si>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</si>
  <si>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</si>
  <si>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</si>
  <si>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</si>
  <si>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</si>
  <si>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</si>
  <si>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</si>
  <si>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</si>
  <si>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</si>
  <si>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</si>
  <si>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</si>
  <si>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</si>
  <si>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</si>
  <si>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</si>
  <si>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</si>
  <si>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</si>
  <si>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</si>
  <si>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</si>
  <si>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</si>
  <si>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</si>
  <si>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</si>
  <si>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</si>
  <si>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</si>
  <si>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</si>
  <si>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</si>
  <si>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</si>
  <si>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</si>
  <si>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</si>
  <si>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</si>
  <si>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</si>
  <si>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</si>
  <si>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</si>
  <si>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</si>
  <si>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</si>
  <si>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</si>
  <si>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</si>
  <si>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</si>
  <si>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</si>
  <si>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</si>
  <si>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</si>
  <si>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</si>
  <si>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</si>
  <si>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</si>
  <si>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</si>
  <si>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</si>
  <si>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</si>
  <si>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</si>
  <si>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</si>
  <si>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</si>
  <si>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</si>
  <si>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</si>
  <si>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</si>
  <si>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</si>
  <si>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</si>
  <si>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</si>
  <si>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</si>
  <si>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</si>
  <si>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</si>
  <si>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</si>
  <si>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</si>
  <si>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</si>
  <si>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</si>
  <si>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</si>
  <si>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</si>
  <si>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</si>
  <si>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</si>
  <si>
    <t>FF Duct length</t>
  </si>
  <si>
    <t>DF Duct length</t>
  </si>
  <si>
    <t>LMF Duct Length</t>
  </si>
  <si>
    <t>FF length</t>
  </si>
  <si>
    <t>DF Length</t>
  </si>
  <si>
    <t>LMF Length</t>
  </si>
  <si>
    <t>1:4 Power Splitter+Cabinet</t>
  </si>
  <si>
    <t>FTTB_UDWDM_50</t>
  </si>
  <si>
    <t>FTTH_UDWDM_100</t>
  </si>
  <si>
    <t>FTTB_UDWDM_100</t>
  </si>
  <si>
    <t>FTTC_GPON_25</t>
  </si>
  <si>
    <t>Conservative</t>
  </si>
  <si>
    <t>Likely</t>
  </si>
  <si>
    <t>Aggressive</t>
  </si>
  <si>
    <t>Churn Rate (%)</t>
  </si>
  <si>
    <t>5% churn rate</t>
  </si>
  <si>
    <t>10% churn rate</t>
  </si>
  <si>
    <t>20% churn rate</t>
  </si>
  <si>
    <t>Total Cost OASE (CU)</t>
  </si>
  <si>
    <t>Total Cost Rokkas (CU)</t>
  </si>
  <si>
    <t>Total Cost BSG (CU)</t>
  </si>
  <si>
    <t>Total Cost Phillipson (CU)</t>
  </si>
  <si>
    <t>Component</t>
  </si>
  <si>
    <t>Cost per Unit OASE</t>
  </si>
  <si>
    <t>Cost per Unit Phillipson</t>
  </si>
  <si>
    <t>Cost per Unit BSG</t>
  </si>
  <si>
    <t>Cost per Unit Rokkas</t>
  </si>
  <si>
    <t>Fiber Duct</t>
  </si>
  <si>
    <t>Fiber</t>
  </si>
  <si>
    <t>1.12 /m</t>
  </si>
  <si>
    <t>WDM OLT Port Card (1*300 Mbps)</t>
  </si>
  <si>
    <t>HybridPON ONU</t>
  </si>
  <si>
    <t>GPON ONU</t>
  </si>
  <si>
    <t>XGPON ONU</t>
  </si>
  <si>
    <t>WDMPON ONU</t>
  </si>
  <si>
    <t>0.00002 /m</t>
  </si>
  <si>
    <t>0.006 /m</t>
  </si>
  <si>
    <t>0.54 /m</t>
  </si>
  <si>
    <t>0.7 /m</t>
  </si>
  <si>
    <t>1.42 /m</t>
  </si>
  <si>
    <t>0.192 /m</t>
  </si>
  <si>
    <t>FTTC_GPON_100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</si>
</sst>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[$€-2]\ #,##0.00;[Red]\-[$€-2]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7" applyNumberFormat="0" applyAlignment="0" applyProtection="0"/>
  </cellStyleXfs>
  <cellXfs count="4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0" fillId="5" borderId="6" xfId="0" applyFont="1" applyFill="1" applyBorder="1"/>
    <xf numFmtId="0" fontId="14" fillId="6" borderId="7" xfId="7"/>
    <xf numFmtId="0" fontId="5" fillId="5" borderId="5" xfId="0" applyFont="1" applyFill="1" applyBorder="1"/>
    <xf numFmtId="0" fontId="5" fillId="0" borderId="5" xfId="0" applyFont="1" applyBorder="1"/>
    <xf numFmtId="0" fontId="4" fillId="7" borderId="8" xfId="0" applyFont="1" applyFill="1" applyBorder="1"/>
    <xf numFmtId="0" fontId="4" fillId="7" borderId="6" xfId="0" applyFont="1" applyFill="1" applyBorder="1"/>
    <xf numFmtId="0" fontId="0" fillId="5" borderId="8" xfId="0" applyFont="1" applyFill="1" applyBorder="1"/>
    <xf numFmtId="0" fontId="0" fillId="0" borderId="8" xfId="0" applyFont="1" applyBorder="1"/>
    <xf numFmtId="0" fontId="1" fillId="5" borderId="3" xfId="1" applyFont="1" applyFill="1" applyBorder="1"/>
    <xf numFmtId="0" fontId="1" fillId="0" borderId="3" xfId="1" applyFont="1" applyBorder="1"/>
    <xf numFmtId="0" fontId="1" fillId="5" borderId="9" xfId="1" applyFont="1" applyFill="1" applyBorder="1"/>
  </cellXfs>
  <cellStyles count="8">
    <cellStyle name="Bad" xfId="3" builtinId="27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 xr:uid="{00000000-0005-0000-0000-000006000000}"/>
    <cellStyle name="Total" xfId="4" builtinId="25"/>
  </cellStyles>
  <dxfs count="1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7312293.2670270242</c:v>
                </c:pt>
                <c:pt idx="3">
                  <c:v>14521176.600360358</c:v>
                </c:pt>
                <c:pt idx="4">
                  <c:v>16357557.773234358</c:v>
                </c:pt>
                <c:pt idx="5">
                  <c:v>13256007.131107235</c:v>
                </c:pt>
                <c:pt idx="6">
                  <c:v>10811237.773234358</c:v>
                </c:pt>
                <c:pt idx="7">
                  <c:v>10833551.600360358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11904290.035910908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16803572.868059848</c:v>
                </c:pt>
                <c:pt idx="1">
                  <c:v>8263453.0440472765</c:v>
                </c:pt>
                <c:pt idx="2">
                  <c:v>6750873.1499947971</c:v>
                </c:pt>
                <c:pt idx="3">
                  <c:v>14709873.149994796</c:v>
                </c:pt>
                <c:pt idx="4">
                  <c:v>14083753.044047277</c:v>
                </c:pt>
                <c:pt idx="5">
                  <c:v>7643572.8680598494</c:v>
                </c:pt>
                <c:pt idx="6">
                  <c:v>8475703.0440472774</c:v>
                </c:pt>
                <c:pt idx="7">
                  <c:v>10819373.149994798</c:v>
                </c:pt>
                <c:pt idx="8">
                  <c:v>11790741.677680973</c:v>
                </c:pt>
                <c:pt idx="9">
                  <c:v>8451696.3853536919</c:v>
                </c:pt>
                <c:pt idx="10">
                  <c:v>16868507.691096842</c:v>
                </c:pt>
                <c:pt idx="11">
                  <c:v>12548241.677680973</c:v>
                </c:pt>
                <c:pt idx="12">
                  <c:v>7858656.9684020169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13736718.731676059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26042118.731676061</c:v>
                </c:pt>
                <c:pt idx="5">
                  <c:v>23891952.46215231</c:v>
                </c:pt>
                <c:pt idx="6">
                  <c:v>13811718.731676059</c:v>
                </c:pt>
                <c:pt idx="7">
                  <c:v>12689874.276635427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19206010.307631847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37562037.803101256</c:v>
                </c:pt>
                <c:pt idx="5">
                  <c:v>40031584.879250385</c:v>
                </c:pt>
                <c:pt idx="6">
                  <c:v>25097617.803101256</c:v>
                </c:pt>
                <c:pt idx="7">
                  <c:v>29163918.969783094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25523652.706450172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96096"/>
        <c:axId val="100478336"/>
      </c:barChart>
      <c:catAx>
        <c:axId val="10899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478336"/>
        <c:crosses val="autoZero"/>
        <c:auto val="1"/>
        <c:lblAlgn val="ctr"/>
        <c:lblOffset val="100"/>
        <c:noMultiLvlLbl val="0"/>
      </c:catAx>
      <c:valAx>
        <c:axId val="10047833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96096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de-DE" sz="2000"/>
              <a:t>Cost per subscriber passed :</a:t>
            </a:r>
            <a:r>
              <a:rPr lang="de-DE" sz="2000" baseline="0"/>
              <a:t> </a:t>
            </a:r>
            <a:r>
              <a:rPr lang="de-DE" sz="2000"/>
              <a:t>Munich Converged</a:t>
            </a:r>
          </a:p>
          <a:p>
            <a:pPr>
              <a:defRPr sz="2000"/>
            </a:pPr>
            <a:endParaRPr lang="de-DE" sz="200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4.997808261244634</c:v>
                </c:pt>
                <c:pt idx="3">
                  <c:v>9.9249378718887016</c:v>
                </c:pt>
                <c:pt idx="4">
                  <c:v>11.180068193038315</c:v>
                </c:pt>
                <c:pt idx="5">
                  <c:v>9.0602194867796015</c:v>
                </c:pt>
                <c:pt idx="6">
                  <c:v>7.3892678376285676</c:v>
                </c:pt>
                <c:pt idx="7">
                  <c:v>7.4045188984760841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8.1363475059195594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9.3887763869018244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17.799274644027108</c:v>
                </c:pt>
                <c:pt idx="5">
                  <c:v>16.329678396659361</c:v>
                </c:pt>
                <c:pt idx="6">
                  <c:v>9.4400374080213645</c:v>
                </c:pt>
                <c:pt idx="7">
                  <c:v>8.6732788439856652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13.126929333355099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25.672912174903463</c:v>
                </c:pt>
                <c:pt idx="5">
                  <c:v>27.3607989059192</c:v>
                </c:pt>
                <c:pt idx="6">
                  <c:v>17.153726883399123</c:v>
                </c:pt>
                <c:pt idx="7">
                  <c:v>19.932963549848331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17.444913339108858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9.6259674964440407</c:v>
                </c:pt>
                <c:pt idx="5">
                  <c:v>5.2242313362448565</c:v>
                </c:pt>
                <c:pt idx="6">
                  <c:v>5.7929759032515049</c:v>
                </c:pt>
                <c:pt idx="7">
                  <c:v>7.3948282072276657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11.529292386779332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67250432"/>
        <c:axId val="146012928"/>
      </c:lineChart>
      <c:catAx>
        <c:axId val="1672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6012928"/>
        <c:crosses val="autoZero"/>
        <c:auto val="1"/>
        <c:lblAlgn val="ctr"/>
        <c:lblOffset val="100"/>
        <c:noMultiLvlLbl val="0"/>
      </c:catAx>
      <c:valAx>
        <c:axId val="14601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subscriber  passed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4.997808261244634</c:v>
                </c:pt>
                <c:pt idx="3">
                  <c:v>9.9249378718887016</c:v>
                </c:pt>
                <c:pt idx="4">
                  <c:v>11.180068193038315</c:v>
                </c:pt>
                <c:pt idx="5">
                  <c:v>9.0602194867796015</c:v>
                </c:pt>
                <c:pt idx="6">
                  <c:v>7.3892678376285676</c:v>
                </c:pt>
                <c:pt idx="7">
                  <c:v>7.4045188984760841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8.1363475059195594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51872"/>
        <c:axId val="169152448"/>
      </c:scatterChart>
      <c:valAx>
        <c:axId val="1691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52448"/>
        <c:crosses val="autoZero"/>
        <c:crossBetween val="midCat"/>
      </c:valAx>
      <c:valAx>
        <c:axId val="1691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5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 rtl="0">
              <a:defRPr lang="de-DE"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2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Per Subscriber  CAPEX of different PON Technologies (Munich)</a:t>
            </a:r>
          </a:p>
        </c:rich>
      </c:tx>
      <c:layout>
        <c:manualLayout>
          <c:xMode val="edge"/>
          <c:yMode val="edge"/>
          <c:x val="0.2655050031697484"/>
          <c:y val="2.967226136446315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679933066175364"/>
          <c:y val="2.9581485403284632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CAPEX_Euros_OASE!$A$19:$A$31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CAPEX_Euros_OASE!$B$19:$B$31</c:f>
              <c:numCache>
                <c:formatCode>General</c:formatCode>
                <c:ptCount val="13"/>
                <c:pt idx="0">
                  <c:v>3.2896296621196384</c:v>
                </c:pt>
                <c:pt idx="1">
                  <c:v>5.0009525735812259</c:v>
                </c:pt>
                <c:pt idx="2">
                  <c:v>2.6953757962785061</c:v>
                </c:pt>
                <c:pt idx="3">
                  <c:v>2.6953757962785061</c:v>
                </c:pt>
                <c:pt idx="4">
                  <c:v>5.0009525735812259</c:v>
                </c:pt>
                <c:pt idx="5">
                  <c:v>3.2896296621196384</c:v>
                </c:pt>
                <c:pt idx="6">
                  <c:v>5.0009525735812259</c:v>
                </c:pt>
                <c:pt idx="7">
                  <c:v>2.6953757962785061</c:v>
                </c:pt>
                <c:pt idx="8">
                  <c:v>3.9257863408291138</c:v>
                </c:pt>
                <c:pt idx="9">
                  <c:v>3.9481398766189479</c:v>
                </c:pt>
                <c:pt idx="10">
                  <c:v>3.9481398766189479</c:v>
                </c:pt>
                <c:pt idx="11">
                  <c:v>3.9257863408291138</c:v>
                </c:pt>
                <c:pt idx="12">
                  <c:v>3.9481398766189479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CAPEX_Euros_OASE!$A$19:$A$31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CAPEX_Euros_OASE!$C$19:$C$31</c:f>
              <c:numCache>
                <c:formatCode>General</c:formatCode>
                <c:ptCount val="13"/>
                <c:pt idx="0">
                  <c:v>1.7540778255709428E-4</c:v>
                </c:pt>
                <c:pt idx="1">
                  <c:v>4.3792597521277266E-4</c:v>
                </c:pt>
                <c:pt idx="2">
                  <c:v>4.9935490302024292E-4</c:v>
                </c:pt>
                <c:pt idx="3">
                  <c:v>4.9935490302024292E-4</c:v>
                </c:pt>
                <c:pt idx="4">
                  <c:v>4.3792597521277266E-4</c:v>
                </c:pt>
                <c:pt idx="5">
                  <c:v>1.7540778255709428E-4</c:v>
                </c:pt>
                <c:pt idx="6">
                  <c:v>4.3792597521277266E-4</c:v>
                </c:pt>
                <c:pt idx="7">
                  <c:v>4.9935490302024292E-4</c:v>
                </c:pt>
                <c:pt idx="8">
                  <c:v>4.3039533764897353E-4</c:v>
                </c:pt>
                <c:pt idx="9">
                  <c:v>4.1732179287826262E-4</c:v>
                </c:pt>
                <c:pt idx="10">
                  <c:v>3.5307390453541659E-4</c:v>
                </c:pt>
                <c:pt idx="11">
                  <c:v>4.3039533764897353E-4</c:v>
                </c:pt>
                <c:pt idx="12">
                  <c:v>3.2506488259569961E-4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CAPEX_Euros_OASE!$A$19:$A$31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CAPEX_Euros_OASE!$D$19:$D$31</c:f>
              <c:numCache>
                <c:formatCode>General</c:formatCode>
                <c:ptCount val="13"/>
                <c:pt idx="0">
                  <c:v>0.10446616392894842</c:v>
                </c:pt>
                <c:pt idx="1">
                  <c:v>0.21889595151846536</c:v>
                </c:pt>
                <c:pt idx="2">
                  <c:v>0.18109379627731073</c:v>
                </c:pt>
                <c:pt idx="3">
                  <c:v>1.4222142482856037</c:v>
                </c:pt>
                <c:pt idx="4">
                  <c:v>0.68384480441072615</c:v>
                </c:pt>
                <c:pt idx="5">
                  <c:v>0.19830041236643658</c:v>
                </c:pt>
                <c:pt idx="6">
                  <c:v>0.35276695600665253</c:v>
                </c:pt>
                <c:pt idx="7">
                  <c:v>0.39861709156357505</c:v>
                </c:pt>
                <c:pt idx="8">
                  <c:v>0.13669605631877521</c:v>
                </c:pt>
                <c:pt idx="9">
                  <c:v>0.24878682250017087</c:v>
                </c:pt>
                <c:pt idx="10">
                  <c:v>0.48390403936846421</c:v>
                </c:pt>
                <c:pt idx="11">
                  <c:v>0.94320278859954887</c:v>
                </c:pt>
                <c:pt idx="12">
                  <c:v>0.48390403936846421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CAPEX_Euros_OASE!$A$19:$A$31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CAPEX_Euros_OASE!$E$19:$E$31</c:f>
              <c:numCache>
                <c:formatCode>General</c:formatCode>
                <c:ptCount val="13"/>
                <c:pt idx="0">
                  <c:v>5.4184129587861394</c:v>
                </c:pt>
                <c:pt idx="1">
                  <c:v>0.11109288497026862</c:v>
                </c:pt>
                <c:pt idx="2">
                  <c:v>5.3311461964322328E-2</c:v>
                </c:pt>
                <c:pt idx="3">
                  <c:v>0.37318023375025633</c:v>
                </c:pt>
                <c:pt idx="4">
                  <c:v>0.27377486159524295</c:v>
                </c:pt>
                <c:pt idx="5">
                  <c:v>5.5721140045109703</c:v>
                </c:pt>
                <c:pt idx="6">
                  <c:v>6.8443715398810737E-2</c:v>
                </c:pt>
                <c:pt idx="7">
                  <c:v>0.10662292392864466</c:v>
                </c:pt>
                <c:pt idx="8">
                  <c:v>3.2856605836921604</c:v>
                </c:pt>
                <c:pt idx="9">
                  <c:v>1.5942177568177156E-2</c:v>
                </c:pt>
                <c:pt idx="10">
                  <c:v>1.3156995420682114E-2</c:v>
                </c:pt>
                <c:pt idx="11">
                  <c:v>3.60043742738022</c:v>
                </c:pt>
                <c:pt idx="12">
                  <c:v>1.5942177568177156E-2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CAPEX_Euros_OASE!$A$19:$A$31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CAPEX_Euros_OASE!$F$19:$F$31</c:f>
              <c:numCache>
                <c:formatCode>General</c:formatCode>
                <c:ptCount val="13"/>
                <c:pt idx="0">
                  <c:v>0</c:v>
                </c:pt>
                <c:pt idx="1">
                  <c:v>2.0675278518214748</c:v>
                </c:pt>
                <c:pt idx="2">
                  <c:v>2.0675278518214748</c:v>
                </c:pt>
                <c:pt idx="3">
                  <c:v>5.4336682386713147</c:v>
                </c:pt>
                <c:pt idx="4">
                  <c:v>5.2210580274759071</c:v>
                </c:pt>
                <c:pt idx="5">
                  <c:v>0</c:v>
                </c:pt>
                <c:pt idx="6">
                  <c:v>1.9666666666666666</c:v>
                </c:pt>
                <c:pt idx="7">
                  <c:v>4.2034037318023376</c:v>
                </c:pt>
                <c:pt idx="8">
                  <c:v>0</c:v>
                </c:pt>
                <c:pt idx="9">
                  <c:v>1.8966577814230059</c:v>
                </c:pt>
                <c:pt idx="10">
                  <c:v>3.6907935206069307</c:v>
                </c:pt>
                <c:pt idx="11">
                  <c:v>0</c:v>
                </c:pt>
                <c:pt idx="12">
                  <c:v>2.2725719362996379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88064"/>
        <c:axId val="169149568"/>
      </c:barChart>
      <c:catAx>
        <c:axId val="1696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 algn="ctr" rtl="0">
              <a:defRPr lang="de-DE"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149568"/>
        <c:crosses val="autoZero"/>
        <c:auto val="1"/>
        <c:lblAlgn val="ctr"/>
        <c:lblOffset val="100"/>
        <c:noMultiLvlLbl val="0"/>
      </c:catAx>
      <c:valAx>
        <c:axId val="169149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 lang="de-DE"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 sz="1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169688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88220885668996"/>
          <c:y val="0.34329300300877025"/>
          <c:w val="0.13824330505970947"/>
          <c:h val="0.17357659560847577"/>
        </c:manualLayout>
      </c:layout>
      <c:overlay val="0"/>
      <c:txPr>
        <a:bodyPr/>
        <a:lstStyle/>
        <a:p>
          <a:pPr algn="ctr" rtl="0">
            <a:defRPr lang="de-DE"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14424</c:v>
                </c:pt>
                <c:pt idx="2">
                  <c:v>16000</c:v>
                </c:pt>
                <c:pt idx="3">
                  <c:v>109000</c:v>
                </c:pt>
                <c:pt idx="4">
                  <c:v>35736</c:v>
                </c:pt>
                <c:pt idx="5">
                  <c:v>11808</c:v>
                </c:pt>
                <c:pt idx="6">
                  <c:v>19368</c:v>
                </c:pt>
                <c:pt idx="7">
                  <c:v>32000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76032</c:v>
                </c:pt>
                <c:pt idx="5">
                  <c:v>404328</c:v>
                </c:pt>
                <c:pt idx="6">
                  <c:v>8284</c:v>
                </c:pt>
                <c:pt idx="7">
                  <c:v>520</c:v>
                </c:pt>
                <c:pt idx="8">
                  <c:v>216582</c:v>
                </c:pt>
                <c:pt idx="9">
                  <c:v>3082</c:v>
                </c:pt>
                <c:pt idx="10">
                  <c:v>3130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140000</c:v>
                </c:pt>
                <c:pt idx="2">
                  <c:v>75000</c:v>
                </c:pt>
                <c:pt idx="3">
                  <c:v>210000</c:v>
                </c:pt>
                <c:pt idx="4">
                  <c:v>297048</c:v>
                </c:pt>
                <c:pt idx="5">
                  <c:v>0</c:v>
                </c:pt>
                <c:pt idx="6">
                  <c:v>136556</c:v>
                </c:pt>
                <c:pt idx="7">
                  <c:v>150000</c:v>
                </c:pt>
                <c:pt idx="8">
                  <c:v>0</c:v>
                </c:pt>
                <c:pt idx="9">
                  <c:v>75000</c:v>
                </c:pt>
                <c:pt idx="10">
                  <c:v>240000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725440"/>
        <c:axId val="169154752"/>
        <c:axId val="0"/>
      </c:bar3DChart>
      <c:catAx>
        <c:axId val="16972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154752"/>
        <c:crosses val="autoZero"/>
        <c:auto val="1"/>
        <c:lblAlgn val="ctr"/>
        <c:lblOffset val="100"/>
        <c:noMultiLvlLbl val="0"/>
      </c:catAx>
      <c:valAx>
        <c:axId val="1691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2544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13736718.731676059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26042118.731676061</c:v>
                </c:pt>
                <c:pt idx="5">
                  <c:v>23891952.46215231</c:v>
                </c:pt>
                <c:pt idx="6">
                  <c:v>13811718.731676059</c:v>
                </c:pt>
                <c:pt idx="7">
                  <c:v>12689874.276635427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19206010.307631847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7312293.2670270242</c:v>
                </c:pt>
                <c:pt idx="3">
                  <c:v>14521176.600360358</c:v>
                </c:pt>
                <c:pt idx="4">
                  <c:v>16357557.773234358</c:v>
                </c:pt>
                <c:pt idx="5">
                  <c:v>13256007.131107235</c:v>
                </c:pt>
                <c:pt idx="6">
                  <c:v>10811237.773234358</c:v>
                </c:pt>
                <c:pt idx="7">
                  <c:v>10833551.600360358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11904290.035910908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99008"/>
        <c:axId val="169288256"/>
      </c:barChart>
      <c:catAx>
        <c:axId val="169899008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169288256"/>
        <c:crosses val="autoZero"/>
        <c:auto val="1"/>
        <c:lblAlgn val="ctr"/>
        <c:lblOffset val="100"/>
        <c:noMultiLvlLbl val="0"/>
      </c:catAx>
      <c:valAx>
        <c:axId val="169288256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69899008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9.3887763869018244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17.799274644027108</c:v>
                </c:pt>
                <c:pt idx="5">
                  <c:v>16.329678396659361</c:v>
                </c:pt>
                <c:pt idx="6">
                  <c:v>9.4400374080213645</c:v>
                </c:pt>
                <c:pt idx="7">
                  <c:v>8.6732788439856652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13.126929333355099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4.997808261244634</c:v>
                </c:pt>
                <c:pt idx="3">
                  <c:v>9.9249378718887016</c:v>
                </c:pt>
                <c:pt idx="4">
                  <c:v>11.180068193038315</c:v>
                </c:pt>
                <c:pt idx="5">
                  <c:v>9.0602194867796015</c:v>
                </c:pt>
                <c:pt idx="6">
                  <c:v>7.3892678376285676</c:v>
                </c:pt>
                <c:pt idx="7">
                  <c:v>7.4045188984760841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8.1363475059195594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899520"/>
        <c:axId val="169290560"/>
      </c:lineChart>
      <c:catAx>
        <c:axId val="1698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9290560"/>
        <c:crosses val="autoZero"/>
        <c:auto val="1"/>
        <c:lblAlgn val="ctr"/>
        <c:lblOffset val="100"/>
        <c:noMultiLvlLbl val="1"/>
      </c:catAx>
      <c:valAx>
        <c:axId val="16929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89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22564752.46215231</c:v>
                </c:pt>
                <c:pt idx="1">
                  <c:v>13736718.731676059</c:v>
                </c:pt>
                <c:pt idx="2">
                  <c:v>8126874.2766354261</c:v>
                </c:pt>
                <c:pt idx="3">
                  <c:v>19604874.276635427</c:v>
                </c:pt>
                <c:pt idx="4">
                  <c:v>26042118.731676061</c:v>
                </c:pt>
                <c:pt idx="5">
                  <c:v>23891952.46215231</c:v>
                </c:pt>
                <c:pt idx="6">
                  <c:v>13811718.731676059</c:v>
                </c:pt>
                <c:pt idx="7">
                  <c:v>12689874.276635427</c:v>
                </c:pt>
                <c:pt idx="8">
                  <c:v>15882075.974607404</c:v>
                </c:pt>
                <c:pt idx="9">
                  <c:v>9502699.0018886942</c:v>
                </c:pt>
                <c:pt idx="10">
                  <c:v>19206010.307631847</c:v>
                </c:pt>
                <c:pt idx="11">
                  <c:v>16879375.974607404</c:v>
                </c:pt>
                <c:pt idx="12">
                  <c:v>10193759.584937021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10825341.106567692</c:v>
                </c:pt>
                <c:pt idx="2">
                  <c:v>7312293.2670270242</c:v>
                </c:pt>
                <c:pt idx="3">
                  <c:v>14521176.600360358</c:v>
                </c:pt>
                <c:pt idx="4">
                  <c:v>16357557.773234358</c:v>
                </c:pt>
                <c:pt idx="5">
                  <c:v>13256007.131107235</c:v>
                </c:pt>
                <c:pt idx="6">
                  <c:v>10811237.773234358</c:v>
                </c:pt>
                <c:pt idx="7">
                  <c:v>10833551.600360358</c:v>
                </c:pt>
                <c:pt idx="8">
                  <c:v>10751697.706685591</c:v>
                </c:pt>
                <c:pt idx="9">
                  <c:v>8939459.0369963441</c:v>
                </c:pt>
                <c:pt idx="10">
                  <c:v>11904290.035910908</c:v>
                </c:pt>
                <c:pt idx="11">
                  <c:v>12392247.706685591</c:v>
                </c:pt>
                <c:pt idx="12">
                  <c:v>9833324.0559109077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34266024.879250385</c:v>
                </c:pt>
                <c:pt idx="1">
                  <c:v>24445057.803101256</c:v>
                </c:pt>
                <c:pt idx="2">
                  <c:v>21659918.969783098</c:v>
                </c:pt>
                <c:pt idx="3">
                  <c:v>32398918.969783094</c:v>
                </c:pt>
                <c:pt idx="4">
                  <c:v>37562037.803101256</c:v>
                </c:pt>
                <c:pt idx="5">
                  <c:v>40031584.879250385</c:v>
                </c:pt>
                <c:pt idx="6">
                  <c:v>25097617.803101256</c:v>
                </c:pt>
                <c:pt idx="7">
                  <c:v>29163918.969783094</c:v>
                </c:pt>
                <c:pt idx="8">
                  <c:v>22173558.448454756</c:v>
                </c:pt>
                <c:pt idx="9">
                  <c:v>22927963.137474932</c:v>
                </c:pt>
                <c:pt idx="10">
                  <c:v>25523652.706450172</c:v>
                </c:pt>
                <c:pt idx="11">
                  <c:v>29651580.481793776</c:v>
                </c:pt>
                <c:pt idx="12">
                  <c:v>22830794.906450175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41664"/>
        <c:axId val="169292288"/>
      </c:barChart>
      <c:catAx>
        <c:axId val="1746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292288"/>
        <c:crosses val="autoZero"/>
        <c:auto val="1"/>
        <c:lblAlgn val="ctr"/>
        <c:lblOffset val="100"/>
        <c:noMultiLvlLbl val="0"/>
      </c:catAx>
      <c:valAx>
        <c:axId val="169292288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4166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187400</c:v>
                </c:pt>
                <c:pt idx="5">
                  <c:v>31204</c:v>
                </c:pt>
                <c:pt idx="6">
                  <c:v>32500</c:v>
                </c:pt>
                <c:pt idx="7">
                  <c:v>39400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129680</c:v>
                </c:pt>
                <c:pt idx="5">
                  <c:v>465880.8</c:v>
                </c:pt>
                <c:pt idx="6">
                  <c:v>1194.4000000000001</c:v>
                </c:pt>
                <c:pt idx="7">
                  <c:v>260</c:v>
                </c:pt>
                <c:pt idx="8">
                  <c:v>228761.2</c:v>
                </c:pt>
                <c:pt idx="9">
                  <c:v>438.2</c:v>
                </c:pt>
                <c:pt idx="10">
                  <c:v>1419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90754</c:v>
                </c:pt>
                <c:pt idx="5">
                  <c:v>0</c:v>
                </c:pt>
                <c:pt idx="6">
                  <c:v>124851.2</c:v>
                </c:pt>
                <c:pt idx="7">
                  <c:v>267000</c:v>
                </c:pt>
                <c:pt idx="8">
                  <c:v>0</c:v>
                </c:pt>
                <c:pt idx="9">
                  <c:v>135000</c:v>
                </c:pt>
                <c:pt idx="10">
                  <c:v>180000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642688"/>
        <c:axId val="169294592"/>
        <c:axId val="0"/>
      </c:bar3DChart>
      <c:catAx>
        <c:axId val="17464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294592"/>
        <c:crosses val="autoZero"/>
        <c:auto val="1"/>
        <c:lblAlgn val="ctr"/>
        <c:lblOffset val="100"/>
        <c:noMultiLvlLbl val="0"/>
      </c:catAx>
      <c:valAx>
        <c:axId val="1692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4268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9.3887763869018244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17.799274644027108</c:v>
                </c:pt>
                <c:pt idx="5">
                  <c:v>16.329678396659361</c:v>
                </c:pt>
                <c:pt idx="6">
                  <c:v>9.4400374080213645</c:v>
                </c:pt>
                <c:pt idx="7">
                  <c:v>8.6732788439856652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13.126929333355099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4.997808261244634</c:v>
                </c:pt>
                <c:pt idx="3">
                  <c:v>9.9249378718887016</c:v>
                </c:pt>
                <c:pt idx="4">
                  <c:v>11.180068193038315</c:v>
                </c:pt>
                <c:pt idx="5">
                  <c:v>9.0602194867796015</c:v>
                </c:pt>
                <c:pt idx="6">
                  <c:v>7.3892678376285676</c:v>
                </c:pt>
                <c:pt idx="7">
                  <c:v>7.4045188984760841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8.1363475059195594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25.672912174903463</c:v>
                </c:pt>
                <c:pt idx="5">
                  <c:v>27.3607989059192</c:v>
                </c:pt>
                <c:pt idx="6">
                  <c:v>17.153726883399123</c:v>
                </c:pt>
                <c:pt idx="7">
                  <c:v>19.932963549848331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17.444913339108858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74644224"/>
        <c:axId val="174105728"/>
      </c:lineChart>
      <c:catAx>
        <c:axId val="17464422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74105728"/>
        <c:crosses val="autoZero"/>
        <c:auto val="1"/>
        <c:lblAlgn val="ctr"/>
        <c:lblOffset val="100"/>
        <c:noMultiLvlLbl val="0"/>
      </c:catAx>
      <c:valAx>
        <c:axId val="1741057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Churn Rate Sensitivity</a:t>
            </a:r>
            <a:r>
              <a:rPr lang="de-DE" baseline="0"/>
              <a:t> analysis: Urban converged scenario</a:t>
            </a:r>
            <a:endParaRPr lang="de-DE"/>
          </a:p>
        </c:rich>
      </c:tx>
      <c:layout>
        <c:manualLayout>
          <c:xMode val="edge"/>
          <c:yMode val="edge"/>
          <c:x val="0.12841063988146395"/>
          <c:y val="3.1974422566219657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5% churn rate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Conservative</c:v>
                </c:pt>
                <c:pt idx="1">
                  <c:v>Likely</c:v>
                </c:pt>
                <c:pt idx="2">
                  <c:v>Aggressive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163694.15</c:v>
                </c:pt>
                <c:pt idx="1">
                  <c:v>324385.89</c:v>
                </c:pt>
                <c:pt idx="2">
                  <c:v>1637509.37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DB4-B069-0935F7E23E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10% churn rate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Conservative</c:v>
                </c:pt>
                <c:pt idx="1">
                  <c:v>Likely</c:v>
                </c:pt>
                <c:pt idx="2">
                  <c:v>Aggressive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161452.51999999999</c:v>
                </c:pt>
                <c:pt idx="1">
                  <c:v>321301.68</c:v>
                </c:pt>
                <c:pt idx="2">
                  <c:v>1627712.63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C-4DB4-B069-0935F7E23E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20% churn rate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Conservative</c:v>
                </c:pt>
                <c:pt idx="1">
                  <c:v>Likely</c:v>
                </c:pt>
                <c:pt idx="2">
                  <c:v>Aggressive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156956.23000000001</c:v>
                </c:pt>
                <c:pt idx="1">
                  <c:v>315135.05</c:v>
                </c:pt>
                <c:pt idx="2">
                  <c:v>1608124.77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C-4DB4-B069-0935F7E2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44736"/>
        <c:axId val="174107456"/>
      </c:barChart>
      <c:catAx>
        <c:axId val="17464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107456"/>
        <c:crosses val="autoZero"/>
        <c:auto val="1"/>
        <c:lblAlgn val="ctr"/>
        <c:lblOffset val="100"/>
        <c:noMultiLvlLbl val="0"/>
      </c:catAx>
      <c:valAx>
        <c:axId val="174107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Net Present Value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473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11880</c:v>
                </c:pt>
                <c:pt idx="5">
                  <c:v>5400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2496</c:v>
                </c:pt>
                <c:pt idx="5">
                  <c:v>99520</c:v>
                </c:pt>
                <c:pt idx="6">
                  <c:v>3120</c:v>
                </c:pt>
                <c:pt idx="7">
                  <c:v>2600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180000</c:v>
                </c:pt>
                <c:pt idx="5">
                  <c:v>0</c:v>
                </c:pt>
                <c:pt idx="6">
                  <c:v>73155</c:v>
                </c:pt>
                <c:pt idx="7">
                  <c:v>150000</c:v>
                </c:pt>
                <c:pt idx="8">
                  <c:v>0</c:v>
                </c:pt>
                <c:pt idx="9">
                  <c:v>25000</c:v>
                </c:pt>
                <c:pt idx="10">
                  <c:v>240000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08544"/>
        <c:axId val="100479488"/>
      </c:barChart>
      <c:catAx>
        <c:axId val="10890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479488"/>
        <c:crosses val="autoZero"/>
        <c:auto val="1"/>
        <c:lblAlgn val="ctr"/>
        <c:lblOffset val="100"/>
        <c:noMultiLvlLbl val="0"/>
      </c:catAx>
      <c:valAx>
        <c:axId val="10047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0854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20010.666666666668</c:v>
                </c:pt>
                <c:pt idx="5">
                  <c:v>5802.666666666667</c:v>
                </c:pt>
                <c:pt idx="6">
                  <c:v>10322.666666666666</c:v>
                </c:pt>
                <c:pt idx="7">
                  <c:v>11664.333333333334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3250.8</c:v>
                </c:pt>
                <c:pt idx="2">
                  <c:v>1560</c:v>
                </c:pt>
                <c:pt idx="3">
                  <c:v>10920</c:v>
                </c:pt>
                <c:pt idx="4">
                  <c:v>8011.2</c:v>
                </c:pt>
                <c:pt idx="5">
                  <c:v>163051.20000000001</c:v>
                </c:pt>
                <c:pt idx="6">
                  <c:v>2002.8</c:v>
                </c:pt>
                <c:pt idx="7">
                  <c:v>3120</c:v>
                </c:pt>
                <c:pt idx="8">
                  <c:v>96145</c:v>
                </c:pt>
                <c:pt idx="9">
                  <c:v>466.5</c:v>
                </c:pt>
                <c:pt idx="10">
                  <c:v>385</c:v>
                </c:pt>
                <c:pt idx="11">
                  <c:v>105356</c:v>
                </c:pt>
                <c:pt idx="12">
                  <c:v>466.5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60500</c:v>
                </c:pt>
                <c:pt idx="2">
                  <c:v>60500</c:v>
                </c:pt>
                <c:pt idx="3">
                  <c:v>159000</c:v>
                </c:pt>
                <c:pt idx="4">
                  <c:v>152778.6</c:v>
                </c:pt>
                <c:pt idx="5">
                  <c:v>0</c:v>
                </c:pt>
                <c:pt idx="6">
                  <c:v>57548.6</c:v>
                </c:pt>
                <c:pt idx="7">
                  <c:v>123000</c:v>
                </c:pt>
                <c:pt idx="8">
                  <c:v>0</c:v>
                </c:pt>
                <c:pt idx="9">
                  <c:v>55500</c:v>
                </c:pt>
                <c:pt idx="10">
                  <c:v>108000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10080"/>
        <c:axId val="100481792"/>
      </c:barChart>
      <c:catAx>
        <c:axId val="1089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481792"/>
        <c:crosses val="autoZero"/>
        <c:auto val="1"/>
        <c:lblAlgn val="ctr"/>
        <c:lblOffset val="100"/>
        <c:noMultiLvlLbl val="0"/>
      </c:catAx>
      <c:valAx>
        <c:axId val="10048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1008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14424</c:v>
                </c:pt>
                <c:pt idx="2">
                  <c:v>16000</c:v>
                </c:pt>
                <c:pt idx="3">
                  <c:v>109000</c:v>
                </c:pt>
                <c:pt idx="4">
                  <c:v>35736</c:v>
                </c:pt>
                <c:pt idx="5">
                  <c:v>11808</c:v>
                </c:pt>
                <c:pt idx="6">
                  <c:v>19368</c:v>
                </c:pt>
                <c:pt idx="7">
                  <c:v>32000</c:v>
                </c:pt>
                <c:pt idx="8">
                  <c:v>8632</c:v>
                </c:pt>
                <c:pt idx="9">
                  <c:v>19032</c:v>
                </c:pt>
                <c:pt idx="10">
                  <c:v>35064</c:v>
                </c:pt>
                <c:pt idx="11">
                  <c:v>25528</c:v>
                </c:pt>
                <c:pt idx="12">
                  <c:v>35064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382544</c:v>
                </c:pt>
                <c:pt idx="1">
                  <c:v>8284</c:v>
                </c:pt>
                <c:pt idx="2">
                  <c:v>260</c:v>
                </c:pt>
                <c:pt idx="3">
                  <c:v>1820</c:v>
                </c:pt>
                <c:pt idx="4">
                  <c:v>76032</c:v>
                </c:pt>
                <c:pt idx="5">
                  <c:v>404328</c:v>
                </c:pt>
                <c:pt idx="6">
                  <c:v>8284</c:v>
                </c:pt>
                <c:pt idx="7">
                  <c:v>520</c:v>
                </c:pt>
                <c:pt idx="8">
                  <c:v>216582</c:v>
                </c:pt>
                <c:pt idx="9">
                  <c:v>3082</c:v>
                </c:pt>
                <c:pt idx="10">
                  <c:v>3130</c:v>
                </c:pt>
                <c:pt idx="11">
                  <c:v>219632</c:v>
                </c:pt>
                <c:pt idx="12">
                  <c:v>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140000</c:v>
                </c:pt>
                <c:pt idx="2">
                  <c:v>75000</c:v>
                </c:pt>
                <c:pt idx="3">
                  <c:v>210000</c:v>
                </c:pt>
                <c:pt idx="4">
                  <c:v>297048</c:v>
                </c:pt>
                <c:pt idx="5">
                  <c:v>0</c:v>
                </c:pt>
                <c:pt idx="6">
                  <c:v>136556</c:v>
                </c:pt>
                <c:pt idx="7">
                  <c:v>150000</c:v>
                </c:pt>
                <c:pt idx="8">
                  <c:v>0</c:v>
                </c:pt>
                <c:pt idx="9">
                  <c:v>75000</c:v>
                </c:pt>
                <c:pt idx="10">
                  <c:v>240000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11616"/>
        <c:axId val="145196160"/>
      </c:barChart>
      <c:catAx>
        <c:axId val="10891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196160"/>
        <c:crosses val="autoZero"/>
        <c:auto val="1"/>
        <c:lblAlgn val="ctr"/>
        <c:lblOffset val="100"/>
        <c:noMultiLvlLbl val="0"/>
      </c:catAx>
      <c:valAx>
        <c:axId val="1451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1161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187400</c:v>
                </c:pt>
                <c:pt idx="5">
                  <c:v>31204</c:v>
                </c:pt>
                <c:pt idx="6">
                  <c:v>32500</c:v>
                </c:pt>
                <c:pt idx="7">
                  <c:v>39400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370153.6</c:v>
                </c:pt>
                <c:pt idx="1">
                  <c:v>1194.4000000000001</c:v>
                </c:pt>
                <c:pt idx="2">
                  <c:v>130</c:v>
                </c:pt>
                <c:pt idx="3">
                  <c:v>910</c:v>
                </c:pt>
                <c:pt idx="4">
                  <c:v>129680</c:v>
                </c:pt>
                <c:pt idx="5">
                  <c:v>465880.8</c:v>
                </c:pt>
                <c:pt idx="6">
                  <c:v>1194.4000000000001</c:v>
                </c:pt>
                <c:pt idx="7">
                  <c:v>260</c:v>
                </c:pt>
                <c:pt idx="8">
                  <c:v>228761.2</c:v>
                </c:pt>
                <c:pt idx="9">
                  <c:v>438.2</c:v>
                </c:pt>
                <c:pt idx="10">
                  <c:v>1419</c:v>
                </c:pt>
                <c:pt idx="11">
                  <c:v>245231.2</c:v>
                </c:pt>
                <c:pt idx="12">
                  <c:v>438.2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90754</c:v>
                </c:pt>
                <c:pt idx="5">
                  <c:v>0</c:v>
                </c:pt>
                <c:pt idx="6">
                  <c:v>124851.2</c:v>
                </c:pt>
                <c:pt idx="7">
                  <c:v>267000</c:v>
                </c:pt>
                <c:pt idx="8">
                  <c:v>0</c:v>
                </c:pt>
                <c:pt idx="9">
                  <c:v>135000</c:v>
                </c:pt>
                <c:pt idx="10">
                  <c:v>180000</c:v>
                </c:pt>
                <c:pt idx="11">
                  <c:v>0</c:v>
                </c:pt>
                <c:pt idx="1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62656"/>
        <c:axId val="145198464"/>
      </c:barChart>
      <c:catAx>
        <c:axId val="14586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198464"/>
        <c:crosses val="autoZero"/>
        <c:auto val="1"/>
        <c:lblAlgn val="ctr"/>
        <c:lblOffset val="100"/>
        <c:noMultiLvlLbl val="0"/>
      </c:catAx>
      <c:valAx>
        <c:axId val="1451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6265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64192"/>
        <c:axId val="145200768"/>
      </c:barChart>
      <c:catAx>
        <c:axId val="1458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0768"/>
        <c:crosses val="autoZero"/>
        <c:auto val="1"/>
        <c:lblAlgn val="ctr"/>
        <c:lblOffset val="100"/>
        <c:noMultiLvlLbl val="0"/>
      </c:catAx>
      <c:valAx>
        <c:axId val="145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Cost Units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7.398907187866647</c:v>
                </c:pt>
                <c:pt idx="2">
                  <c:v>4.997808261244634</c:v>
                </c:pt>
                <c:pt idx="3">
                  <c:v>9.9249378718887016</c:v>
                </c:pt>
                <c:pt idx="4">
                  <c:v>11.180068193038315</c:v>
                </c:pt>
                <c:pt idx="5">
                  <c:v>9.0602194867796015</c:v>
                </c:pt>
                <c:pt idx="6">
                  <c:v>7.3892678376285676</c:v>
                </c:pt>
                <c:pt idx="7">
                  <c:v>7.4045188984760841</c:v>
                </c:pt>
                <c:pt idx="8">
                  <c:v>7.3485733761776988</c:v>
                </c:pt>
                <c:pt idx="9">
                  <c:v>6.1099439799031803</c:v>
                </c:pt>
                <c:pt idx="10">
                  <c:v>8.1363475059195594</c:v>
                </c:pt>
                <c:pt idx="11">
                  <c:v>8.4698569521465323</c:v>
                </c:pt>
                <c:pt idx="12">
                  <c:v>6.7208830947378226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15.422563366927967</c:v>
                </c:pt>
                <c:pt idx="1">
                  <c:v>9.3887763869018244</c:v>
                </c:pt>
                <c:pt idx="2">
                  <c:v>5.5545583190728083</c:v>
                </c:pt>
                <c:pt idx="3">
                  <c:v>13.399544991207318</c:v>
                </c:pt>
                <c:pt idx="4">
                  <c:v>17.799274644027108</c:v>
                </c:pt>
                <c:pt idx="5">
                  <c:v>16.329678396659361</c:v>
                </c:pt>
                <c:pt idx="6">
                  <c:v>9.4400374080213645</c:v>
                </c:pt>
                <c:pt idx="7">
                  <c:v>8.6732788439856652</c:v>
                </c:pt>
                <c:pt idx="8">
                  <c:v>10.855085759420001</c:v>
                </c:pt>
                <c:pt idx="9">
                  <c:v>6.4949073897127301</c:v>
                </c:pt>
                <c:pt idx="10">
                  <c:v>13.126929333355099</c:v>
                </c:pt>
                <c:pt idx="11">
                  <c:v>11.536720644253574</c:v>
                </c:pt>
                <c:pt idx="12">
                  <c:v>6.9672336716130276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23.420152333572815</c:v>
                </c:pt>
                <c:pt idx="1">
                  <c:v>16.707714990842224</c:v>
                </c:pt>
                <c:pt idx="2">
                  <c:v>14.804127516767888</c:v>
                </c:pt>
                <c:pt idx="3">
                  <c:v>22.144022260804519</c:v>
                </c:pt>
                <c:pt idx="4">
                  <c:v>25.672912174903463</c:v>
                </c:pt>
                <c:pt idx="5">
                  <c:v>27.3607989059192</c:v>
                </c:pt>
                <c:pt idx="6">
                  <c:v>17.153726883399123</c:v>
                </c:pt>
                <c:pt idx="7">
                  <c:v>19.932963549848331</c:v>
                </c:pt>
                <c:pt idx="8">
                  <c:v>15.155189972288127</c:v>
                </c:pt>
                <c:pt idx="9">
                  <c:v>15.670810701575377</c:v>
                </c:pt>
                <c:pt idx="10">
                  <c:v>17.444913339108858</c:v>
                </c:pt>
                <c:pt idx="11">
                  <c:v>20.26627057739989</c:v>
                </c:pt>
                <c:pt idx="12">
                  <c:v>15.604398131672594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11.484910715644761</c:v>
                </c:pt>
                <c:pt idx="1">
                  <c:v>5.6479072134832045</c:v>
                </c:pt>
                <c:pt idx="2">
                  <c:v>4.6140886815629809</c:v>
                </c:pt>
                <c:pt idx="3">
                  <c:v>10.053908242768639</c:v>
                </c:pt>
                <c:pt idx="4">
                  <c:v>9.6259674964440407</c:v>
                </c:pt>
                <c:pt idx="5">
                  <c:v>5.2242313362448565</c:v>
                </c:pt>
                <c:pt idx="6">
                  <c:v>5.7929759032515049</c:v>
                </c:pt>
                <c:pt idx="7">
                  <c:v>7.3948282072276657</c:v>
                </c:pt>
                <c:pt idx="8">
                  <c:v>8.0587394420620413</c:v>
                </c:pt>
                <c:pt idx="9">
                  <c:v>5.7765678254074855</c:v>
                </c:pt>
                <c:pt idx="10">
                  <c:v>11.529292386779332</c:v>
                </c:pt>
                <c:pt idx="11">
                  <c:v>8.5764757553694029</c:v>
                </c:pt>
                <c:pt idx="12">
                  <c:v>5.3712370777130864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45865216"/>
        <c:axId val="145965056"/>
      </c:lineChart>
      <c:catAx>
        <c:axId val="14586521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45965056"/>
        <c:crosses val="autoZero"/>
        <c:auto val="1"/>
        <c:lblAlgn val="ctr"/>
        <c:lblOffset val="100"/>
        <c:noMultiLvlLbl val="0"/>
      </c:catAx>
      <c:valAx>
        <c:axId val="14596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27300</c:v>
                </c:pt>
                <c:pt idx="4">
                  <c:v>11880</c:v>
                </c:pt>
                <c:pt idx="5">
                  <c:v>5400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286120</c:v>
                </c:pt>
                <c:pt idx="1">
                  <c:v>0</c:v>
                </c:pt>
                <c:pt idx="2">
                  <c:v>130</c:v>
                </c:pt>
                <c:pt idx="3">
                  <c:v>910</c:v>
                </c:pt>
                <c:pt idx="4">
                  <c:v>2496</c:v>
                </c:pt>
                <c:pt idx="5">
                  <c:v>99520</c:v>
                </c:pt>
                <c:pt idx="6">
                  <c:v>3120</c:v>
                </c:pt>
                <c:pt idx="7">
                  <c:v>2600</c:v>
                </c:pt>
                <c:pt idx="8">
                  <c:v>161650</c:v>
                </c:pt>
                <c:pt idx="9">
                  <c:v>67100</c:v>
                </c:pt>
                <c:pt idx="10">
                  <c:v>3050</c:v>
                </c:pt>
                <c:pt idx="11">
                  <c:v>170800</c:v>
                </c:pt>
                <c:pt idx="12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180000</c:v>
                </c:pt>
                <c:pt idx="5">
                  <c:v>0</c:v>
                </c:pt>
                <c:pt idx="6">
                  <c:v>73155</c:v>
                </c:pt>
                <c:pt idx="7">
                  <c:v>150000</c:v>
                </c:pt>
                <c:pt idx="8">
                  <c:v>0</c:v>
                </c:pt>
                <c:pt idx="9">
                  <c:v>25000</c:v>
                </c:pt>
                <c:pt idx="10">
                  <c:v>240000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47872"/>
        <c:axId val="146007744"/>
      </c:barChart>
      <c:catAx>
        <c:axId val="1672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007744"/>
        <c:crosses val="autoZero"/>
        <c:auto val="1"/>
        <c:lblAlgn val="ctr"/>
        <c:lblOffset val="100"/>
        <c:noMultiLvlLbl val="0"/>
      </c:catAx>
      <c:valAx>
        <c:axId val="146007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4787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CAPEX_Euros_OASE!$G$2</c:f>
              <c:strCache>
                <c:ptCount val="1"/>
                <c:pt idx="0">
                  <c:v>Total Cost OASE (CU)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CAPEX_Euros_OASE!$G$3:$G$15</c:f>
              <c:numCache>
                <c:formatCode>General</c:formatCode>
                <c:ptCount val="13"/>
                <c:pt idx="0">
                  <c:v>257876.76484436693</c:v>
                </c:pt>
                <c:pt idx="1">
                  <c:v>216506.82213135384</c:v>
                </c:pt>
                <c:pt idx="2">
                  <c:v>146245.86534054048</c:v>
                </c:pt>
                <c:pt idx="3">
                  <c:v>290423.53200720716</c:v>
                </c:pt>
                <c:pt idx="4">
                  <c:v>327151.15546468715</c:v>
                </c:pt>
                <c:pt idx="5">
                  <c:v>265120.14262214472</c:v>
                </c:pt>
                <c:pt idx="6">
                  <c:v>216224.75546468716</c:v>
                </c:pt>
                <c:pt idx="7">
                  <c:v>216671.03200720716</c:v>
                </c:pt>
                <c:pt idx="8">
                  <c:v>215033.95413371181</c:v>
                </c:pt>
                <c:pt idx="9">
                  <c:v>178789.18073992687</c:v>
                </c:pt>
                <c:pt idx="10">
                  <c:v>238085.80071821815</c:v>
                </c:pt>
                <c:pt idx="11">
                  <c:v>247844.95413371181</c:v>
                </c:pt>
                <c:pt idx="12">
                  <c:v>196666.48111821816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CAPEX_Euros_Phillipson!$I$1</c:f>
              <c:strCache>
                <c:ptCount val="1"/>
                <c:pt idx="0">
                  <c:v>Total Cost Phillipson (CU)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CAPEX_Euros_Phillipson!$I$2:$I$14</c:f>
              <c:numCache>
                <c:formatCode>General</c:formatCode>
                <c:ptCount val="13"/>
                <c:pt idx="0">
                  <c:v>336071.45736119698</c:v>
                </c:pt>
                <c:pt idx="1">
                  <c:v>165269.06088094553</c:v>
                </c:pt>
                <c:pt idx="2">
                  <c:v>135017.46299989594</c:v>
                </c:pt>
                <c:pt idx="3">
                  <c:v>294197.46299989591</c:v>
                </c:pt>
                <c:pt idx="4">
                  <c:v>281675.06088094553</c:v>
                </c:pt>
                <c:pt idx="5">
                  <c:v>152871.45736119698</c:v>
                </c:pt>
                <c:pt idx="6">
                  <c:v>169514.06088094553</c:v>
                </c:pt>
                <c:pt idx="7">
                  <c:v>216387.46299989594</c:v>
                </c:pt>
                <c:pt idx="8">
                  <c:v>235814.83355361945</c:v>
                </c:pt>
                <c:pt idx="9">
                  <c:v>169033.92770707383</c:v>
                </c:pt>
                <c:pt idx="10">
                  <c:v>337370.15382193681</c:v>
                </c:pt>
                <c:pt idx="11">
                  <c:v>250964.83355361945</c:v>
                </c:pt>
                <c:pt idx="12">
                  <c:v>157173.13936804034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CAPEX_Euros_BSG!$I$1</c:f>
              <c:strCache>
                <c:ptCount val="1"/>
                <c:pt idx="0">
                  <c:v>Total Cost BSG (CU)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CAPEX_Euros_BSG!$I$2:$I$14</c:f>
              <c:numCache>
                <c:formatCode>General</c:formatCode>
                <c:ptCount val="13"/>
                <c:pt idx="0">
                  <c:v>685320.49758500769</c:v>
                </c:pt>
                <c:pt idx="1">
                  <c:v>488901.15606202511</c:v>
                </c:pt>
                <c:pt idx="2">
                  <c:v>433198.37939566193</c:v>
                </c:pt>
                <c:pt idx="3">
                  <c:v>647978.37939566188</c:v>
                </c:pt>
                <c:pt idx="4">
                  <c:v>751240.75606202509</c:v>
                </c:pt>
                <c:pt idx="5">
                  <c:v>800631.69758500764</c:v>
                </c:pt>
                <c:pt idx="6">
                  <c:v>501952.35606202512</c:v>
                </c:pt>
                <c:pt idx="7">
                  <c:v>583278.37939566188</c:v>
                </c:pt>
                <c:pt idx="8">
                  <c:v>443471.16896909516</c:v>
                </c:pt>
                <c:pt idx="9">
                  <c:v>458559.26274949865</c:v>
                </c:pt>
                <c:pt idx="10">
                  <c:v>510473.05412900343</c:v>
                </c:pt>
                <c:pt idx="11">
                  <c:v>593031.60963587556</c:v>
                </c:pt>
                <c:pt idx="12">
                  <c:v>456615.89812900347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CAPEX_Euros_Rokkas!$I$1</c:f>
              <c:strCache>
                <c:ptCount val="1"/>
                <c:pt idx="0">
                  <c:v>Total Cost Rokkas (CU)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CAPEX_Euros_Rokkas!$I$2:$I$14</c:f>
              <c:numCache>
                <c:formatCode>General</c:formatCode>
                <c:ptCount val="13"/>
                <c:pt idx="0">
                  <c:v>451295.0492430462</c:v>
                </c:pt>
                <c:pt idx="1">
                  <c:v>274734.37463352119</c:v>
                </c:pt>
                <c:pt idx="2">
                  <c:v>162537.48553270852</c:v>
                </c:pt>
                <c:pt idx="3">
                  <c:v>392097.48553270852</c:v>
                </c:pt>
                <c:pt idx="4">
                  <c:v>520842.37463352119</c:v>
                </c:pt>
                <c:pt idx="5">
                  <c:v>477839.0492430462</c:v>
                </c:pt>
                <c:pt idx="6">
                  <c:v>276234.37463352119</c:v>
                </c:pt>
                <c:pt idx="7">
                  <c:v>253797.48553270852</c:v>
                </c:pt>
                <c:pt idx="8">
                  <c:v>317641.51949214807</c:v>
                </c:pt>
                <c:pt idx="9">
                  <c:v>190053.9800377739</c:v>
                </c:pt>
                <c:pt idx="10">
                  <c:v>384120.20615263691</c:v>
                </c:pt>
                <c:pt idx="11">
                  <c:v>337587.51949214807</c:v>
                </c:pt>
                <c:pt idx="12">
                  <c:v>203875.19169874041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49312"/>
        <c:axId val="146010048"/>
      </c:barChart>
      <c:catAx>
        <c:axId val="16794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6010048"/>
        <c:crosses val="autoZero"/>
        <c:auto val="1"/>
        <c:lblAlgn val="ctr"/>
        <c:lblOffset val="100"/>
        <c:noMultiLvlLbl val="0"/>
      </c:catAx>
      <c:valAx>
        <c:axId val="14601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1000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949312"/>
        <c:crosses val="autoZero"/>
        <c:crossBetween val="between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14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108857</xdr:rowOff>
    </xdr:from>
    <xdr:to>
      <xdr:col>20</xdr:col>
      <xdr:colOff>149677</xdr:colOff>
      <xdr:row>69</xdr:row>
      <xdr:rowOff>24766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16</xdr:row>
      <xdr:rowOff>142875</xdr:rowOff>
    </xdr:from>
    <xdr:to>
      <xdr:col>11</xdr:col>
      <xdr:colOff>445983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</xdr:colOff>
      <xdr:row>1</xdr:row>
      <xdr:rowOff>114300</xdr:rowOff>
    </xdr:from>
    <xdr:to>
      <xdr:col>27</xdr:col>
      <xdr:colOff>352425</xdr:colOff>
      <xdr:row>47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1952625</xdr:colOff>
      <xdr:row>50</xdr:row>
      <xdr:rowOff>64292</xdr:rowOff>
    </xdr:from>
    <xdr:to>
      <xdr:col>16</xdr:col>
      <xdr:colOff>364330</xdr:colOff>
      <xdr:row>80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881063</xdr:colOff>
      <xdr:row>52</xdr:row>
      <xdr:rowOff>119062</xdr:rowOff>
    </xdr:from>
    <xdr:to>
      <xdr:col>8</xdr:col>
      <xdr:colOff>1678780</xdr:colOff>
      <xdr:row>112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10" totalsRowShown="0" headerRowDxfId="183" dataDxfId="182" tableBorderDxfId="181">
  <autoFilter ref="A1:K10" xr:uid="{00000000-0009-0000-0100-000002000000}"/>
  <tableColumns count="11">
    <tableColumn id="1" xr3:uid="{00000000-0010-0000-0000-000001000000}" name="Position of component" dataDxfId="180"/>
    <tableColumn id="2" xr3:uid="{00000000-0010-0000-0000-000002000000}" name="Component Name" dataDxfId="179"/>
    <tableColumn id="3" xr3:uid="{00000000-0010-0000-0000-000003000000}" name="Cost per Unit (OASE)" dataDxfId="178"/>
    <tableColumn id="6" xr3:uid="{00000000-0010-0000-0000-000006000000}" name="Cost per Unit (Rokkas)" dataDxfId="177">
      <calculatedColumnFormula>10000/50</calculatedColumnFormula>
    </tableColumn>
    <tableColumn id="8" xr3:uid="{00000000-0010-0000-0000-000008000000}" name="Cost per Unit (BSG)" dataDxfId="176"/>
    <tableColumn id="10" xr3:uid="{00000000-0010-0000-0000-00000A000000}" name="Cost per Unit(Philipson)" dataDxfId="175"/>
    <tableColumn id="4" xr3:uid="{00000000-0010-0000-0000-000004000000}" name="Quantity" dataDxfId="174"/>
    <tableColumn id="5" xr3:uid="{00000000-0010-0000-0000-000005000000}" name="Component Cost(OASE)" dataDxfId="173">
      <calculatedColumnFormula>Table2[[#This Row],[Cost per Unit (OASE)]]*Table2[[#This Row],[Quantity]]</calculatedColumnFormula>
    </tableColumn>
    <tableColumn id="7" xr3:uid="{00000000-0010-0000-0000-000007000000}" name="Component Cost(Rokkas)" dataDxfId="172">
      <calculatedColumnFormula>Table2[[#This Row],[Cost per Unit (Rokkas)]]*Table2[[#This Row],[Quantity]]</calculatedColumnFormula>
    </tableColumn>
    <tableColumn id="9" xr3:uid="{00000000-0010-0000-0000-000009000000}" name="Component Cost(BSG)" dataDxfId="171">
      <calculatedColumnFormula>Table2[[#This Row],[Cost per Unit (BSG)]]*Table2[[#This Row],[Quantity]]</calculatedColumnFormula>
    </tableColumn>
    <tableColumn id="11" xr3:uid="{00000000-0010-0000-0000-00000B000000}" name="Component Cost(Phillipson)" dataDxfId="170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21213" displayName="Table21213" ref="A1:K9" totalsRowShown="0" headerRowDxfId="59" dataDxfId="58" tableBorderDxfId="57">
  <autoFilter ref="A1:K9" xr:uid="{00000000-0009-0000-0100-00000C000000}"/>
  <tableColumns count="11">
    <tableColumn id="1" xr3:uid="{00000000-0010-0000-0900-000001000000}" name="Position of component" dataDxfId="56"/>
    <tableColumn id="2" xr3:uid="{00000000-0010-0000-0900-000002000000}" name="Component Name" dataDxfId="55"/>
    <tableColumn id="3" xr3:uid="{00000000-0010-0000-0900-000003000000}" name="Cost per Unit (OASE)" dataDxfId="54"/>
    <tableColumn id="6" xr3:uid="{00000000-0010-0000-0900-000006000000}" name="Cost per Unit (Rokkas)" dataDxfId="53"/>
    <tableColumn id="8" xr3:uid="{00000000-0010-0000-0900-000008000000}" name="Cost per Unit(BSG)" dataDxfId="52"/>
    <tableColumn id="11" xr3:uid="{00000000-0010-0000-0900-00000B000000}" name="Cost per uNit(Phillipson)" dataDxfId="51"/>
    <tableColumn id="4" xr3:uid="{00000000-0010-0000-0900-000004000000}" name="Quantity" dataDxfId="50"/>
    <tableColumn id="5" xr3:uid="{00000000-0010-0000-0900-000005000000}" name="Component Cost" dataDxfId="49">
      <calculatedColumnFormula>Table21213[[#This Row],[Cost per Unit (OASE)]]*Table21213[[#This Row],[Quantity]]</calculatedColumnFormula>
    </tableColumn>
    <tableColumn id="7" xr3:uid="{00000000-0010-0000-0900-000007000000}" name="Component Cost(Rokkas)" dataDxfId="48">
      <calculatedColumnFormula>Table21213[[#This Row],[Cost per Unit (Rokkas)]]*Table21213[[#This Row],[Quantity]]</calculatedColumnFormula>
    </tableColumn>
    <tableColumn id="9" xr3:uid="{00000000-0010-0000-0900-000009000000}" name="Component Cost(BSG)" dataDxfId="47">
      <calculatedColumnFormula>Table21213[[#This Row],[Cost per Unit(BSG)]]*Table21213[[#This Row],[Quantity]]</calculatedColumnFormula>
    </tableColumn>
    <tableColumn id="10" xr3:uid="{00000000-0010-0000-0900-00000A000000}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121314" displayName="Table2121314" ref="A1:K9" totalsRowShown="0" headerRowDxfId="45" dataDxfId="44" tableBorderDxfId="43">
  <autoFilter ref="A1:K9" xr:uid="{00000000-0009-0000-0100-00000D000000}"/>
  <tableColumns count="11">
    <tableColumn id="1" xr3:uid="{00000000-0010-0000-0A00-000001000000}" name="Position of component" dataDxfId="42"/>
    <tableColumn id="2" xr3:uid="{00000000-0010-0000-0A00-000002000000}" name="Component Name" dataDxfId="41"/>
    <tableColumn id="3" xr3:uid="{00000000-0010-0000-0A00-000003000000}" name="Cost per Unit (OASE)" dataDxfId="40"/>
    <tableColumn id="6" xr3:uid="{00000000-0010-0000-0A00-000006000000}" name="Cost per Unit (Rokkas)" dataDxfId="39"/>
    <tableColumn id="8" xr3:uid="{00000000-0010-0000-0A00-000008000000}" name="Cost per Unit(BSG)" dataDxfId="38"/>
    <tableColumn id="10" xr3:uid="{00000000-0010-0000-0A00-00000A000000}" name="Cost per Unit(Phillipson)" dataDxfId="37"/>
    <tableColumn id="4" xr3:uid="{00000000-0010-0000-0A00-000004000000}" name="Quantity" dataDxfId="36"/>
    <tableColumn id="5" xr3:uid="{00000000-0010-0000-0A00-000005000000}" name="Component Cost" dataDxfId="35">
      <calculatedColumnFormula>Table2121314[[#This Row],[Cost per Unit (OASE)]]*Table2121314[[#This Row],[Quantity]]</calculatedColumnFormula>
    </tableColumn>
    <tableColumn id="7" xr3:uid="{00000000-0010-0000-0A00-000007000000}" name="Component Cost(Rokkas)" dataDxfId="34">
      <calculatedColumnFormula>Table2121314[[#This Row],[Cost per Unit (Rokkas)]]*Table2121314[[#This Row],[Quantity]]</calculatedColumnFormula>
    </tableColumn>
    <tableColumn id="9" xr3:uid="{00000000-0010-0000-0A00-000009000000}" name="Component Cost(BSG)" dataDxfId="33">
      <calculatedColumnFormula>Table2121314[[#This Row],[Cost per Unit(BSG)]]*Table2121314[[#This Row],[Quantity]]</calculatedColumnFormula>
    </tableColumn>
    <tableColumn id="11" xr3:uid="{00000000-0010-0000-0A00-00000B000000}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21215" displayName="Table21215" ref="A1:K10" totalsRowShown="0" headerRowDxfId="31" dataDxfId="30" tableBorderDxfId="29">
  <autoFilter ref="A1:K10" xr:uid="{00000000-0009-0000-0100-00000E000000}"/>
  <tableColumns count="11">
    <tableColumn id="1" xr3:uid="{00000000-0010-0000-0B00-000001000000}" name="Position of component" dataDxfId="28"/>
    <tableColumn id="2" xr3:uid="{00000000-0010-0000-0B00-000002000000}" name="Component Name" dataDxfId="27"/>
    <tableColumn id="3" xr3:uid="{00000000-0010-0000-0B00-000003000000}" name="Cost per Unit (OASE)" dataDxfId="26"/>
    <tableColumn id="6" xr3:uid="{00000000-0010-0000-0B00-000006000000}" name="Cost per Unit (Rokkas)" dataDxfId="25"/>
    <tableColumn id="8" xr3:uid="{00000000-0010-0000-0B00-000008000000}" name="Cost per Unit (BSG)" dataDxfId="24"/>
    <tableColumn id="10" xr3:uid="{00000000-0010-0000-0B00-00000A000000}" name="Cost per Unit(Phillipson)" dataDxfId="23"/>
    <tableColumn id="4" xr3:uid="{00000000-0010-0000-0B00-000004000000}" name="Quantity" dataDxfId="22"/>
    <tableColumn id="5" xr3:uid="{00000000-0010-0000-0B00-000005000000}" name="Component Cost" dataDxfId="21">
      <calculatedColumnFormula>Table21215[[#This Row],[Cost per Unit (OASE)]]*Table21215[[#This Row],[Quantity]]</calculatedColumnFormula>
    </tableColumn>
    <tableColumn id="7" xr3:uid="{00000000-0010-0000-0B00-000007000000}" name="Component Cost(Rokkas)" dataDxfId="20">
      <calculatedColumnFormula>Table21215[[#This Row],[Cost per Unit (Rokkas)]]*Table21215[[#This Row],[Quantity]]</calculatedColumnFormula>
    </tableColumn>
    <tableColumn id="9" xr3:uid="{00000000-0010-0000-0B00-000009000000}" name="Component Cost(BSG)" dataDxfId="19">
      <calculatedColumnFormula>Table21215[[#This Row],[Cost per Unit (BSG)]]*Table21215[[#This Row],[Quantity]]</calculatedColumnFormula>
    </tableColumn>
    <tableColumn id="11" xr3:uid="{00000000-0010-0000-0B00-00000B000000}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e2121316" displayName="Table2121316" ref="A1:K9" totalsRowShown="0" headerRowDxfId="17" dataDxfId="16" tableBorderDxfId="15">
  <autoFilter ref="A1:K9" xr:uid="{00000000-0009-0000-0100-00000F000000}"/>
  <tableColumns count="11">
    <tableColumn id="1" xr3:uid="{00000000-0010-0000-0C00-000001000000}" name="Position of component" dataDxfId="14"/>
    <tableColumn id="2" xr3:uid="{00000000-0010-0000-0C00-000002000000}" name="Component Name" dataDxfId="13"/>
    <tableColumn id="3" xr3:uid="{00000000-0010-0000-0C00-000003000000}" name="Cost per Unit (OASE)" dataDxfId="12"/>
    <tableColumn id="6" xr3:uid="{00000000-0010-0000-0C00-000006000000}" name="Cost per Unit (Rokkas)" dataDxfId="11"/>
    <tableColumn id="8" xr3:uid="{00000000-0010-0000-0C00-000008000000}" name="Cost per Unit(BSG)" dataDxfId="10"/>
    <tableColumn id="10" xr3:uid="{00000000-0010-0000-0C00-00000A000000}" name="Cost per Unit(Phillipson)" dataDxfId="9"/>
    <tableColumn id="4" xr3:uid="{00000000-0010-0000-0C00-000004000000}" name="Quantity" dataDxfId="8"/>
    <tableColumn id="5" xr3:uid="{00000000-0010-0000-0C00-000005000000}" name="Component Cost" dataDxfId="7">
      <calculatedColumnFormula>Table2121316[[#This Row],[Cost per Unit (OASE)]]*Table2121316[[#This Row],[Quantity]]</calculatedColumnFormula>
    </tableColumn>
    <tableColumn id="7" xr3:uid="{00000000-0010-0000-0C00-000007000000}" name="Component Cost(Rokkas)" dataDxfId="6">
      <calculatedColumnFormula>D2*G2</calculatedColumnFormula>
    </tableColumn>
    <tableColumn id="9" xr3:uid="{00000000-0010-0000-0C00-000009000000}" name="Component Cost(BSG)" dataDxfId="5">
      <calculatedColumnFormula>Table2121316[[#This Row],[Cost per Unit(BSG)]]*Table2121316[[#This Row],[Quantity]]</calculatedColumnFormula>
    </tableColumn>
    <tableColumn id="11" xr3:uid="{00000000-0010-0000-0C00-00000B000000}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able717218" displayName="Table717218" ref="A1:M14" totalsRowShown="0">
  <autoFilter ref="A1:M14" xr:uid="{00000000-0009-0000-0100-000011000000}"/>
  <tableColumns count="13">
    <tableColumn id="1" xr3:uid="{00000000-0010-0000-0D00-000001000000}" name="Technology"/>
    <tableColumn id="13" xr3:uid="{00000000-0010-0000-0D00-00000D000000}" name="Duct Length" dataCellStyle="Heading 4"/>
    <tableColumn id="12" xr3:uid="{00000000-0010-0000-0D00-00000C000000}" name="Fiber Length" dataCellStyle="Heading 4"/>
    <tableColumn id="2" xr3:uid="{00000000-0010-0000-0D00-000002000000}" name="Duct Cost">
      <calculatedColumnFormula>27*Table717218[[#This Row],[Duct Length]]/50</calculatedColumnFormula>
    </tableColumn>
    <tableColumn id="3" xr3:uid="{00000000-0010-0000-0D00-000003000000}" name="Fiber Cost">
      <calculatedColumnFormula>0.3*Table717218[[#This Row],[Fiber Length]]/50</calculatedColumnFormula>
    </tableColumn>
    <tableColumn id="4" xr3:uid="{00000000-0010-0000-0D00-000004000000}" name="Central Office E&amp;I Costs"/>
    <tableColumn id="5" xr3:uid="{00000000-0010-0000-0D00-000005000000}" name="Remote Node E&amp;I Costs"/>
    <tableColumn id="6" xr3:uid="{00000000-0010-0000-0D00-000006000000}" name="Building E&amp;I Costs"/>
    <tableColumn id="7" xr3:uid="{00000000-0010-0000-0D00-000007000000}" name="Total Cost Phillipson (CU)">
      <calculatedColumnFormula>SUM(Table717218[[#This Row],[Duct Cost]:[Building E&amp;I Costs]])</calculatedColumnFormula>
    </tableColumn>
    <tableColumn id="8" xr3:uid="{00000000-0010-0000-0D00-000008000000}" name="Total Cost in Euros(Phillipson)" dataDxfId="3">
      <calculatedColumnFormula>I2*50</calculatedColumnFormula>
    </tableColumn>
    <tableColumn id="9" xr3:uid="{00000000-0010-0000-0D00-000009000000}" name="No. Of HH"/>
    <tableColumn id="10" xr3:uid="{00000000-0010-0000-0D00-00000A000000}" name="Cost per Home passed(Phillipson)">
      <calculatedColumnFormula>I2/K2</calculatedColumnFormula>
    </tableColumn>
    <tableColumn id="11" xr3:uid="{00000000-0010-0000-0D00-00000B000000}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E000000}" name="Table7" displayName="Table7" ref="A2:K15" totalsRowShown="0">
  <autoFilter ref="A2:K15" xr:uid="{00000000-0009-0000-0100-000007000000}"/>
  <tableColumns count="11">
    <tableColumn id="1" xr3:uid="{00000000-0010-0000-0E00-000001000000}" name="Technology"/>
    <tableColumn id="2" xr3:uid="{00000000-0010-0000-0E00-000002000000}" name="Duct Cost"/>
    <tableColumn id="3" xr3:uid="{00000000-0010-0000-0E00-000003000000}" name="Fiber Cost"/>
    <tableColumn id="4" xr3:uid="{00000000-0010-0000-0E00-000004000000}" name="Central Office E&amp;I Costs"/>
    <tableColumn id="5" xr3:uid="{00000000-0010-0000-0E00-000005000000}" name="Remote Node E&amp;I Costs"/>
    <tableColumn id="6" xr3:uid="{00000000-0010-0000-0E00-000006000000}" name="Building E&amp;I Costs"/>
    <tableColumn id="7" xr3:uid="{00000000-0010-0000-0E00-000007000000}" name="Total Cost OASE (CU)">
      <calculatedColumnFormula>SUM(B3:F3)</calculatedColumnFormula>
    </tableColumn>
    <tableColumn id="8" xr3:uid="{00000000-0010-0000-0E00-000008000000}" name="Total Cost in Euros" dataDxfId="2">
      <calculatedColumnFormula>G3*50</calculatedColumnFormula>
    </tableColumn>
    <tableColumn id="9" xr3:uid="{00000000-0010-0000-0E00-000009000000}" name="No. Of HH"/>
    <tableColumn id="10" xr3:uid="{00000000-0010-0000-0E00-00000A000000}" name="Cost per Home passed(OASE)">
      <calculatedColumnFormula>G3/I3</calculatedColumnFormula>
    </tableColumn>
    <tableColumn id="11" xr3:uid="{00000000-0010-0000-0E00-00000B000000}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717" displayName="Table717" ref="A1:M14" totalsRowShown="0">
  <autoFilter ref="A1:M14" xr:uid="{00000000-0009-0000-0100-000010000000}"/>
  <tableColumns count="13">
    <tableColumn id="1" xr3:uid="{00000000-0010-0000-0F00-000001000000}" name="Technology"/>
    <tableColumn id="13" xr3:uid="{00000000-0010-0000-0F00-00000D000000}" name="Duct Length" dataCellStyle="Heading 4">
      <calculatedColumnFormula>B75+C75+D75</calculatedColumnFormula>
    </tableColumn>
    <tableColumn id="12" xr3:uid="{00000000-0010-0000-0F00-00000C000000}" name="Fiber Length" dataCellStyle="Heading 4">
      <calculatedColumnFormula>E75+F75+G75</calculatedColumnFormula>
    </tableColumn>
    <tableColumn id="2" xr3:uid="{00000000-0010-0000-0F00-000002000000}" name="Duct Cost">
      <calculatedColumnFormula>35*Table717[[#This Row],[Duct Length]]/50</calculatedColumnFormula>
    </tableColumn>
    <tableColumn id="3" xr3:uid="{00000000-0010-0000-0F00-000003000000}" name="Fiber Cost">
      <calculatedColumnFormula>Table717[[#This Row],[Fiber Length]]*0.3/50</calculatedColumnFormula>
    </tableColumn>
    <tableColumn id="4" xr3:uid="{00000000-0010-0000-0F00-000004000000}" name="Central Office E&amp;I Costs"/>
    <tableColumn id="5" xr3:uid="{00000000-0010-0000-0F00-000005000000}" name="Remote Node E&amp;I Costs"/>
    <tableColumn id="6" xr3:uid="{00000000-0010-0000-0F00-000006000000}" name="Building E&amp;I Costs"/>
    <tableColumn id="7" xr3:uid="{00000000-0010-0000-0F00-000007000000}" name="Total Cost Rokkas (CU)">
      <calculatedColumnFormula>SUM(Table717[[#This Row],[Duct Cost]:[Building E&amp;I Costs]])</calculatedColumnFormula>
    </tableColumn>
    <tableColumn id="8" xr3:uid="{00000000-0010-0000-0F00-000008000000}" name="Total Cost in Euros(Rokkas)" dataDxfId="1">
      <calculatedColumnFormula>I2*50</calculatedColumnFormula>
    </tableColumn>
    <tableColumn id="9" xr3:uid="{00000000-0010-0000-0F00-000009000000}" name="No. Of HH"/>
    <tableColumn id="10" xr3:uid="{00000000-0010-0000-0F00-00000A000000}" name="Cost per Home passed(Rokkas)">
      <calculatedColumnFormula>I2/K2</calculatedColumnFormula>
    </tableColumn>
    <tableColumn id="11" xr3:uid="{00000000-0010-0000-0F00-00000B000000}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0000000}" name="Table7172" displayName="Table7172" ref="A1:M14" totalsRowShown="0">
  <autoFilter ref="A1:M14" xr:uid="{00000000-0009-0000-0100-000001000000}"/>
  <tableColumns count="13">
    <tableColumn id="1" xr3:uid="{00000000-0010-0000-1000-000001000000}" name="Technology"/>
    <tableColumn id="13" xr3:uid="{00000000-0010-0000-1000-00000D000000}" name="Duct Length" dataCellStyle="Heading 4"/>
    <tableColumn id="12" xr3:uid="{00000000-0010-0000-1000-00000C000000}" name="Fiber Length" dataCellStyle="Heading 4"/>
    <tableColumn id="2" xr3:uid="{00000000-0010-0000-1000-000002000000}" name="Duct Cost">
      <calculatedColumnFormula>71.26*Table7172[[#This Row],[Duct Length]]/50</calculatedColumnFormula>
    </tableColumn>
    <tableColumn id="3" xr3:uid="{00000000-0010-0000-1000-000003000000}" name="Fiber Cost">
      <calculatedColumnFormula>9.61*Table7172[[#This Row],[Fiber Length]]/50</calculatedColumnFormula>
    </tableColumn>
    <tableColumn id="4" xr3:uid="{00000000-0010-0000-1000-000004000000}" name="Central Office E&amp;I Costs"/>
    <tableColumn id="5" xr3:uid="{00000000-0010-0000-1000-000005000000}" name="Remote Node E&amp;I Costs"/>
    <tableColumn id="6" xr3:uid="{00000000-0010-0000-1000-000006000000}" name="Building E&amp;I Costs"/>
    <tableColumn id="7" xr3:uid="{00000000-0010-0000-1000-000007000000}" name="Total Cost BSG (CU)">
      <calculatedColumnFormula>SUM(Table7172[[#This Row],[Duct Cost]:[Building E&amp;I Costs]])</calculatedColumnFormula>
    </tableColumn>
    <tableColumn id="8" xr3:uid="{00000000-0010-0000-1000-000008000000}" name="Total Cost in Euros(BSG)" dataDxfId="0">
      <calculatedColumnFormula>I2*50</calculatedColumnFormula>
    </tableColumn>
    <tableColumn id="9" xr3:uid="{00000000-0010-0000-1000-000009000000}" name="No. Of HH"/>
    <tableColumn id="10" xr3:uid="{00000000-0010-0000-1000-00000A000000}" name="Cost per Home passed(BSG)">
      <calculatedColumnFormula>I2/K2</calculatedColumnFormula>
    </tableColumn>
    <tableColumn id="11" xr3:uid="{00000000-0010-0000-1000-00000B000000}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le29" displayName="Table29" ref="A1:K11" totalsRowShown="0" headerRowDxfId="169" dataDxfId="168" tableBorderDxfId="167">
  <autoFilter ref="A1:K11" xr:uid="{00000000-0009-0000-0100-000008000000}"/>
  <tableColumns count="11">
    <tableColumn id="1" xr3:uid="{00000000-0010-0000-0100-000001000000}" name="Position of component" dataDxfId="166"/>
    <tableColumn id="2" xr3:uid="{00000000-0010-0000-0100-000002000000}" name="Component Name" dataDxfId="165"/>
    <tableColumn id="3" xr3:uid="{00000000-0010-0000-0100-000003000000}" name="Cost per Unit (OASE)" dataDxfId="164"/>
    <tableColumn id="6" xr3:uid="{00000000-0010-0000-0100-000006000000}" name="Cost per Unit (Rokkas)" dataDxfId="163"/>
    <tableColumn id="8" xr3:uid="{00000000-0010-0000-0100-000008000000}" name="Cost per Unit(BSG)" dataDxfId="162"/>
    <tableColumn id="10" xr3:uid="{00000000-0010-0000-0100-00000A000000}" name="Cost per Unit (Phillipson)" dataDxfId="161"/>
    <tableColumn id="4" xr3:uid="{00000000-0010-0000-0100-000004000000}" name="Quantity" dataDxfId="160"/>
    <tableColumn id="5" xr3:uid="{00000000-0010-0000-0100-000005000000}" name="Component Cost" dataDxfId="159">
      <calculatedColumnFormula>Table29[[#This Row],[Cost per Unit (OASE)]]*Table29[[#This Row],[Quantity]]</calculatedColumnFormula>
    </tableColumn>
    <tableColumn id="7" xr3:uid="{00000000-0010-0000-0100-000007000000}" name="Component Cost(Rokkas)" dataDxfId="158">
      <calculatedColumnFormula>D2*G2</calculatedColumnFormula>
    </tableColumn>
    <tableColumn id="9" xr3:uid="{00000000-0010-0000-0100-000009000000}" name="Component Cost(BSG)" dataDxfId="157">
      <calculatedColumnFormula>Table29[[#This Row],[Cost per Unit(BSG)]]*Table29[[#This Row],[Quantity]]</calculatedColumnFormula>
    </tableColumn>
    <tableColumn id="11" xr3:uid="{00000000-0010-0000-0100-00000B000000}" name="Component Cost(Phillipson)" dataDxfId="156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1:K10" totalsRowShown="0" headerRowDxfId="155" dataDxfId="154" tableBorderDxfId="153">
  <autoFilter ref="A1:K10" xr:uid="{00000000-0009-0000-0100-000003000000}"/>
  <tableColumns count="11">
    <tableColumn id="1" xr3:uid="{00000000-0010-0000-0200-000001000000}" name="Position of component" dataDxfId="152"/>
    <tableColumn id="2" xr3:uid="{00000000-0010-0000-0200-000002000000}" name="Component Name" dataDxfId="151"/>
    <tableColumn id="3" xr3:uid="{00000000-0010-0000-0200-000003000000}" name="Cost per Unit (OASE)" dataDxfId="150"/>
    <tableColumn id="7" xr3:uid="{00000000-0010-0000-0200-000007000000}" name="Cost per Unit (Rokkas)" dataDxfId="149"/>
    <tableColumn id="6" xr3:uid="{00000000-0010-0000-0200-000006000000}" name="Cost per Unit(BSG)" dataDxfId="148"/>
    <tableColumn id="10" xr3:uid="{00000000-0010-0000-0200-00000A000000}" name="Cost per Unit(Phillipson)" dataDxfId="147"/>
    <tableColumn id="4" xr3:uid="{00000000-0010-0000-0200-000004000000}" name="Quantity" dataDxfId="146"/>
    <tableColumn id="5" xr3:uid="{00000000-0010-0000-0200-000005000000}" name="Component Cost" dataDxfId="145">
      <calculatedColumnFormula>Table24[[#This Row],[Cost per Unit (OASE)]]*Table24[[#This Row],[Quantity]]</calculatedColumnFormula>
    </tableColumn>
    <tableColumn id="8" xr3:uid="{00000000-0010-0000-0200-000008000000}" name="Component Cost(Rokkas)" dataDxfId="144">
      <calculatedColumnFormula>Table24[[#This Row],[Cost per Unit (Rokkas)]]*Table24[[#This Row],[Quantity]]</calculatedColumnFormula>
    </tableColumn>
    <tableColumn id="9" xr3:uid="{00000000-0010-0000-0200-000009000000}" name="Component Cost(BSG)" dataDxfId="143">
      <calculatedColumnFormula>Table24[[#This Row],[Cost per Unit(BSG)]]*Table24[[#This Row],[Quantity]]</calculatedColumnFormula>
    </tableColumn>
    <tableColumn id="11" xr3:uid="{00000000-0010-0000-0200-00000B000000}" name="Component Cost(Phillipson)" dataDxfId="142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" displayName="Table245" ref="A1:K10" totalsRowShown="0" headerRowDxfId="141" dataDxfId="140" tableBorderDxfId="139">
  <autoFilter ref="A1:K10" xr:uid="{00000000-0009-0000-0100-000004000000}"/>
  <tableColumns count="11">
    <tableColumn id="1" xr3:uid="{00000000-0010-0000-0300-000001000000}" name="Position of component" dataDxfId="138"/>
    <tableColumn id="2" xr3:uid="{00000000-0010-0000-0300-000002000000}" name="Component Name" dataDxfId="137"/>
    <tableColumn id="3" xr3:uid="{00000000-0010-0000-0300-000003000000}" name="Cost per Unit (OASE)" dataDxfId="136"/>
    <tableColumn id="6" xr3:uid="{00000000-0010-0000-0300-000006000000}" name="Cost per Unit(Rokkas)" dataDxfId="135"/>
    <tableColumn id="8" xr3:uid="{00000000-0010-0000-0300-000008000000}" name="Cost per Unit(BSG)" dataDxfId="134"/>
    <tableColumn id="10" xr3:uid="{00000000-0010-0000-0300-00000A000000}" name="Cost per Unit(Phillipson)" dataDxfId="133"/>
    <tableColumn id="4" xr3:uid="{00000000-0010-0000-0300-000004000000}" name="Quantity" dataDxfId="132"/>
    <tableColumn id="5" xr3:uid="{00000000-0010-0000-0300-000005000000}" name="Component Cost(OASE)" dataDxfId="131">
      <calculatedColumnFormula>Table245[[#This Row],[Cost per Unit (OASE)]]*Table245[[#This Row],[Quantity]]</calculatedColumnFormula>
    </tableColumn>
    <tableColumn id="7" xr3:uid="{00000000-0010-0000-0300-000007000000}" name="Component Cost(Rokkas)" dataDxfId="130"/>
    <tableColumn id="9" xr3:uid="{00000000-0010-0000-0300-000009000000}" name="Component Cost(BSG)" dataDxfId="129">
      <calculatedColumnFormula>Table245[[#This Row],[Cost per Unit(BSG)]]*Table245[[#This Row],[Quantity]]</calculatedColumnFormula>
    </tableColumn>
    <tableColumn id="11" xr3:uid="{00000000-0010-0000-0300-00000B000000}" name="Component Cost(Phillipson)" dataDxfId="128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456" displayName="Table2456" ref="A1:K10" totalsRowShown="0" headerRowDxfId="127" dataDxfId="126" tableBorderDxfId="125">
  <autoFilter ref="A1:K10" xr:uid="{00000000-0009-0000-0100-000005000000}"/>
  <tableColumns count="11">
    <tableColumn id="1" xr3:uid="{00000000-0010-0000-0400-000001000000}" name="Position of component" dataDxfId="124"/>
    <tableColumn id="2" xr3:uid="{00000000-0010-0000-0400-000002000000}" name="Component Name" dataDxfId="123"/>
    <tableColumn id="3" xr3:uid="{00000000-0010-0000-0400-000003000000}" name="Cost per Unit (OASE)" dataDxfId="122"/>
    <tableColumn id="6" xr3:uid="{00000000-0010-0000-0400-000006000000}" name="Cost per Unit(Rokkas)" dataDxfId="121"/>
    <tableColumn id="8" xr3:uid="{00000000-0010-0000-0400-000008000000}" name="Cost per Unit (BSG)" dataDxfId="120"/>
    <tableColumn id="10" xr3:uid="{00000000-0010-0000-0400-00000A000000}" name="Cost per Unit(Phillipson)" dataDxfId="119"/>
    <tableColumn id="4" xr3:uid="{00000000-0010-0000-0400-000004000000}" name="Quantity" dataDxfId="118"/>
    <tableColumn id="5" xr3:uid="{00000000-0010-0000-0400-000005000000}" name="Component Cost" dataDxfId="117">
      <calculatedColumnFormula>Table2456[[#This Row],[Cost per Unit (OASE)]]*Table2456[[#This Row],[Quantity]]</calculatedColumnFormula>
    </tableColumn>
    <tableColumn id="7" xr3:uid="{00000000-0010-0000-0400-000007000000}" name="Component Cost(Rokkas)" dataDxfId="116">
      <calculatedColumnFormula>Table2456[[#This Row],[Cost per Unit(Rokkas)]]*Table2456[[#This Row],[Quantity]]</calculatedColumnFormula>
    </tableColumn>
    <tableColumn id="9" xr3:uid="{00000000-0010-0000-0400-000009000000}" name="Component Cost(BSG)" dataDxfId="115">
      <calculatedColumnFormula>Table2456[[#This Row],[Cost per Unit (BSG)]]*Table2456[[#This Row],[Quantity]]</calculatedColumnFormula>
    </tableColumn>
    <tableColumn id="11" xr3:uid="{00000000-0010-0000-0400-00000B000000}" name="Component Cost(Phillipson)" dataDxfId="114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47" displayName="Table247" ref="A1:K10" totalsRowShown="0" tableBorderDxfId="113">
  <autoFilter ref="A1:K10" xr:uid="{00000000-0009-0000-0100-000006000000}"/>
  <tableColumns count="11">
    <tableColumn id="1" xr3:uid="{00000000-0010-0000-0500-000001000000}" name="Position of component" dataDxfId="112"/>
    <tableColumn id="2" xr3:uid="{00000000-0010-0000-0500-000002000000}" name="Component Name" dataDxfId="111"/>
    <tableColumn id="3" xr3:uid="{00000000-0010-0000-0500-000003000000}" name="Cost per Unit (OASE)" dataDxfId="110"/>
    <tableColumn id="6" xr3:uid="{00000000-0010-0000-0500-000006000000}" name="Cost per Unit (Rokkas)" dataDxfId="109"/>
    <tableColumn id="8" xr3:uid="{00000000-0010-0000-0500-000008000000}" name="Cost per Unit (BSG)" dataDxfId="108"/>
    <tableColumn id="10" xr3:uid="{00000000-0010-0000-0500-00000A000000}" name="Cost per Unit(Phillipson)" dataDxfId="107"/>
    <tableColumn id="4" xr3:uid="{00000000-0010-0000-0500-000004000000}" name="Quantity" dataDxfId="106"/>
    <tableColumn id="5" xr3:uid="{00000000-0010-0000-0500-000005000000}" name="Component Cost" dataDxfId="105">
      <calculatedColumnFormula>Table247[[#This Row],[Cost per Unit (OASE)]]*Table247[[#This Row],[Quantity]]</calculatedColumnFormula>
    </tableColumn>
    <tableColumn id="7" xr3:uid="{00000000-0010-0000-0500-000007000000}" name="Component Cost(Rokkas)" dataDxfId="104">
      <calculatedColumnFormula>Table247[[#This Row],[Cost per Unit (Rokkas)]]*Table247[[#This Row],[Quantity]]</calculatedColumnFormula>
    </tableColumn>
    <tableColumn id="9" xr3:uid="{00000000-0010-0000-0500-000009000000}" name="Component Cost(BSG)" dataDxfId="103">
      <calculatedColumnFormula>Table247[[#This Row],[Cost per Unit (BSG)]]*Table247[[#This Row],[Quantity]]</calculatedColumnFormula>
    </tableColumn>
    <tableColumn id="11" xr3:uid="{00000000-0010-0000-0500-00000B000000}" name="Component Cost(Phillipson)" dataDxfId="102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2410" displayName="Table2410" ref="A1:K10" totalsRowShown="0" headerRowDxfId="101" dataDxfId="100" tableBorderDxfId="99">
  <autoFilter ref="A1:K10" xr:uid="{00000000-0009-0000-0100-000009000000}"/>
  <tableColumns count="11">
    <tableColumn id="1" xr3:uid="{00000000-0010-0000-0600-000001000000}" name="Position of component" dataDxfId="98"/>
    <tableColumn id="2" xr3:uid="{00000000-0010-0000-0600-000002000000}" name="Component Name" dataDxfId="97"/>
    <tableColumn id="3" xr3:uid="{00000000-0010-0000-0600-000003000000}" name="Cost per Unit (OASE)" dataDxfId="96"/>
    <tableColumn id="6" xr3:uid="{00000000-0010-0000-0600-000006000000}" name="Cost per Unit (Rokkas)" dataDxfId="95"/>
    <tableColumn id="8" xr3:uid="{00000000-0010-0000-0600-000008000000}" name="Cost per Unit(BSG)" dataDxfId="94"/>
    <tableColumn id="10" xr3:uid="{00000000-0010-0000-0600-00000A000000}" name="Cost per Unit(Phillipson)" dataDxfId="93"/>
    <tableColumn id="4" xr3:uid="{00000000-0010-0000-0600-000004000000}" name="Quantity" dataDxfId="92"/>
    <tableColumn id="5" xr3:uid="{00000000-0010-0000-0600-000005000000}" name="Component Cost" dataDxfId="91">
      <calculatedColumnFormula>Table2410[[#This Row],[Cost per Unit (OASE)]]*Table2410[[#This Row],[Quantity]]</calculatedColumnFormula>
    </tableColumn>
    <tableColumn id="7" xr3:uid="{00000000-0010-0000-0600-000007000000}" name="Component Cost(Rokkas)" dataDxfId="90">
      <calculatedColumnFormula>Table2410[[#This Row],[Cost per Unit (Rokkas)]]*Table2410[[#This Row],[Quantity]]</calculatedColumnFormula>
    </tableColumn>
    <tableColumn id="9" xr3:uid="{00000000-0010-0000-0600-000009000000}" name="Component Cost(BSG)" dataDxfId="89">
      <calculatedColumnFormula>Table2410[[#This Row],[Cost per Unit(BSG)]]*Table2410[[#This Row],[Quantity]]</calculatedColumnFormula>
    </tableColumn>
    <tableColumn id="11" xr3:uid="{00000000-0010-0000-0600-00000B000000}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24511" displayName="Table24511" ref="A1:K10" totalsRowShown="0" headerRowDxfId="87" dataDxfId="86" tableBorderDxfId="85">
  <autoFilter ref="A1:K10" xr:uid="{00000000-0009-0000-0100-00000A000000}"/>
  <tableColumns count="11">
    <tableColumn id="1" xr3:uid="{00000000-0010-0000-0700-000001000000}" name="Position of component" dataDxfId="84"/>
    <tableColumn id="2" xr3:uid="{00000000-0010-0000-0700-000002000000}" name="Component Name" dataDxfId="83"/>
    <tableColumn id="3" xr3:uid="{00000000-0010-0000-0700-000003000000}" name="Cost per Unit (OASE)" dataDxfId="82"/>
    <tableColumn id="6" xr3:uid="{00000000-0010-0000-0700-000006000000}" name="Cost per Unit(Rokkas)" dataDxfId="81"/>
    <tableColumn id="8" xr3:uid="{00000000-0010-0000-0700-000008000000}" name="Cost per Unit(BSG)" dataDxfId="80"/>
    <tableColumn id="10" xr3:uid="{00000000-0010-0000-0700-00000A000000}" name="Cost per Unit(Phillipson)" dataDxfId="79"/>
    <tableColumn id="4" xr3:uid="{00000000-0010-0000-0700-000004000000}" name="Quantity" dataDxfId="78"/>
    <tableColumn id="5" xr3:uid="{00000000-0010-0000-0700-000005000000}" name="Component Cost" dataDxfId="77">
      <calculatedColumnFormula>Table24511[[#This Row],[Cost per Unit (OASE)]]*Table24511[[#This Row],[Quantity]]</calculatedColumnFormula>
    </tableColumn>
    <tableColumn id="7" xr3:uid="{00000000-0010-0000-0700-000007000000}" name="Component Cost(Rokkas)" dataDxfId="76">
      <calculatedColumnFormula>Table24511[[#This Row],[Cost per Unit(Rokkas)]]*Table24511[[#This Row],[Quantity]]</calculatedColumnFormula>
    </tableColumn>
    <tableColumn id="9" xr3:uid="{00000000-0010-0000-0700-000009000000}" name="Component Cost(BSG)" dataDxfId="75">
      <calculatedColumnFormula>Table24511[[#This Row],[Cost per Unit(BSG)]]*Table24511[[#This Row],[Quantity]]</calculatedColumnFormula>
    </tableColumn>
    <tableColumn id="11" xr3:uid="{00000000-0010-0000-0700-00000B000000}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12" displayName="Table212" ref="A1:K10" totalsRowShown="0" headerRowDxfId="73" dataDxfId="72" tableBorderDxfId="71">
  <autoFilter ref="A1:K10" xr:uid="{00000000-0009-0000-0100-00000B000000}"/>
  <tableColumns count="11">
    <tableColumn id="1" xr3:uid="{00000000-0010-0000-0800-000001000000}" name="Position of component" dataDxfId="70"/>
    <tableColumn id="2" xr3:uid="{00000000-0010-0000-0800-000002000000}" name="Component Name" dataDxfId="69"/>
    <tableColumn id="3" xr3:uid="{00000000-0010-0000-0800-000003000000}" name="Cost per Unit (OASE)" dataDxfId="68"/>
    <tableColumn id="6" xr3:uid="{00000000-0010-0000-0800-000006000000}" name="Cost per Unit (Rokkas)" dataDxfId="67"/>
    <tableColumn id="8" xr3:uid="{00000000-0010-0000-0800-000008000000}" name="Cost per Unit (BSG)" dataDxfId="66"/>
    <tableColumn id="10" xr3:uid="{00000000-0010-0000-0800-00000A000000}" name="Cost per Unit(Phillipson)" dataDxfId="65"/>
    <tableColumn id="4" xr3:uid="{00000000-0010-0000-0800-000004000000}" name="Quantity" dataDxfId="64"/>
    <tableColumn id="5" xr3:uid="{00000000-0010-0000-0800-000005000000}" name="Component Cost" dataDxfId="63">
      <calculatedColumnFormula>Table212[[#This Row],[Cost per Unit (OASE)]]*Table212[[#This Row],[Quantity]]</calculatedColumnFormula>
    </tableColumn>
    <tableColumn id="7" xr3:uid="{00000000-0010-0000-0800-000007000000}" name="Component Cost(Rokkas)" dataDxfId="62">
      <calculatedColumnFormula>Table212[[#This Row],[Cost per Unit (Rokkas)]]*Table212[[#This Row],[Quantity]]</calculatedColumnFormula>
    </tableColumn>
    <tableColumn id="9" xr3:uid="{00000000-0010-0000-0800-000009000000}" name="Component Cost(BSG)" dataDxfId="61">
      <calculatedColumnFormula>Table212[[#This Row],[Cost per Unit (BSG)]]*Table212[[#This Row],[Quantity]]</calculatedColumnFormula>
    </tableColumn>
    <tableColumn id="11" xr3:uid="{00000000-0010-0000-0800-00000B000000}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roadbanduk.org/wp-content/uploads/2012/08/http___www-broadbanduk6.pdf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ieeexplore.ieee.org/document/7347221/" TargetMode="External"/><Relationship Id="rId1" Type="http://schemas.openxmlformats.org/officeDocument/2006/relationships/hyperlink" Target="https://ieeexplore.ieee.org/xpl/mostRecentIssue.jsp?punumber=7347193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esearchgate.net/publication/26035752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B13" sqref="B13"/>
    </sheetView>
  </sheetViews>
  <sheetFormatPr defaultRowHeight="14.5" x14ac:dyDescent="0.35"/>
  <cols>
    <col min="1" max="1" width="35.7265625" customWidth="1"/>
    <col min="2" max="2" width="79" customWidth="1"/>
    <col min="3" max="3" width="36.81640625" customWidth="1"/>
    <col min="4" max="4" width="36.1796875" customWidth="1"/>
    <col min="5" max="5" width="40.81640625" customWidth="1"/>
    <col min="6" max="6" width="18" customWidth="1"/>
    <col min="7" max="7" width="19" customWidth="1"/>
    <col min="8" max="8" width="25.453125" customWidth="1"/>
  </cols>
  <sheetData>
    <row r="1" spans="1:8" x14ac:dyDescent="0.35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x14ac:dyDescent="0.35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x14ac:dyDescent="0.35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9" x14ac:dyDescent="0.35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x14ac:dyDescent="0.35">
      <c r="A8" t="s">
        <v>92</v>
      </c>
    </row>
    <row r="10" spans="1:8" x14ac:dyDescent="0.35">
      <c r="A10" t="s">
        <v>93</v>
      </c>
      <c r="B10" t="s">
        <v>96</v>
      </c>
      <c r="C10" t="s">
        <v>95</v>
      </c>
      <c r="D10" t="s">
        <v>94</v>
      </c>
      <c r="E10" t="s">
        <v>100</v>
      </c>
    </row>
    <row r="11" spans="1:8" ht="180" x14ac:dyDescent="0.35">
      <c r="A11" s="25" t="s">
        <v>98</v>
      </c>
      <c r="B11" s="26" t="s">
        <v>97</v>
      </c>
      <c r="C11" t="s">
        <v>101</v>
      </c>
      <c r="D11" s="32">
        <v>42348</v>
      </c>
      <c r="E11" s="26" t="s">
        <v>99</v>
      </c>
    </row>
    <row r="12" spans="1:8" ht="90" x14ac:dyDescent="0.35">
      <c r="A12" s="25" t="s">
        <v>102</v>
      </c>
      <c r="B12" s="26" t="s">
        <v>103</v>
      </c>
      <c r="C12" t="s">
        <v>104</v>
      </c>
      <c r="D12" s="27">
        <v>41161</v>
      </c>
      <c r="E12" t="s">
        <v>105</v>
      </c>
    </row>
    <row r="13" spans="1:8" ht="112.5" x14ac:dyDescent="0.35">
      <c r="A13" s="25" t="s">
        <v>114</v>
      </c>
      <c r="B13" s="26" t="s">
        <v>117</v>
      </c>
      <c r="C13" t="s">
        <v>116</v>
      </c>
      <c r="D13" s="27">
        <v>41589</v>
      </c>
      <c r="E13" t="s">
        <v>115</v>
      </c>
    </row>
  </sheetData>
  <hyperlinks>
    <hyperlink ref="E11" r:id="rId1" display="https://ieeexplore.ieee.org/xpl/mostRecentIssue.jsp?punumber=7347193" xr:uid="{00000000-0004-0000-0000-000000000000}"/>
    <hyperlink ref="B11" r:id="rId2" xr:uid="{00000000-0004-0000-0000-000001000000}"/>
    <hyperlink ref="B12" r:id="rId3" xr:uid="{00000000-0004-0000-0000-000002000000}"/>
    <hyperlink ref="B13" r:id="rId4" xr:uid="{00000000-0004-0000-0000-000003000000}"/>
  </hyperlinks>
  <pageMargins left="0.7" right="0.7" top="0.75" bottom="0.75" header="0.3" footer="0.3"/>
  <pageSetup paperSize="9" orientation="portrait" verticalDpi="0" r:id="rId5"/>
  <headerFooter>
    <oddFooter>&amp;LUnrestricted</oddFooter>
  </headerFooter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workbookViewId="0">
      <selection activeCell="C8" sqref="C8"/>
    </sheetView>
  </sheetViews>
  <sheetFormatPr defaultColWidth="9.1796875" defaultRowHeight="14.5" x14ac:dyDescent="0.35"/>
  <cols>
    <col min="1" max="1" width="29.26953125" style="13" customWidth="1"/>
    <col min="2" max="2" width="38" style="13" customWidth="1"/>
    <col min="3" max="3" width="21.26953125" style="13" customWidth="1"/>
    <col min="4" max="4" width="18" style="13" customWidth="1"/>
    <col min="5" max="5" width="17.81640625" style="13" customWidth="1"/>
    <col min="6" max="6" width="23.81640625" style="24" customWidth="1"/>
    <col min="7" max="7" width="16.54296875" style="13" customWidth="1"/>
    <col min="8" max="16384" width="9.1796875" style="13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85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6</v>
      </c>
      <c r="H2" s="4">
        <f>Table24511[[#This Row],[Cost per Unit (OASE)]]*Table24511[[#This Row],[Quantity]]</f>
        <v>96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x14ac:dyDescent="0.35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60</v>
      </c>
      <c r="G3" s="4">
        <v>130</v>
      </c>
      <c r="H3" s="4">
        <f>Table24511[[#This Row],[Cost per Unit (OASE)]]*Table24511[[#This Row],[Quantity]]</f>
        <v>2210</v>
      </c>
      <c r="I3" s="12">
        <f>Table24511[[#This Row],[Cost per Unit(Rokkas)]]*Table24511[[#This Row],[Quantity]]</f>
        <v>26000</v>
      </c>
      <c r="J3" s="12">
        <f>Table24511[[#This Row],[Cost per Unit(BSG)]]*Table24511[[#This Row],[Quantity]]</f>
        <v>39000</v>
      </c>
      <c r="K3" s="35">
        <f>Table24511[[#This Row],[Cost per Unit(Phillipson)]]*Table24511[[#This Row],[Quantity]]</f>
        <v>7800</v>
      </c>
    </row>
    <row r="4" spans="1:11" x14ac:dyDescent="0.3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130</v>
      </c>
      <c r="H4" s="4">
        <f>Table24511[[#This Row],[Cost per Unit (OASE)]]*Table24511[[#This Row],[Quantity]]</f>
        <v>8190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x14ac:dyDescent="0.3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130</v>
      </c>
      <c r="H5" s="4">
        <f>Table24511[[#This Row],[Cost per Unit (OASE)]]*Table24511[[#This Row],[Quantity]]</f>
        <v>299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x14ac:dyDescent="0.3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x14ac:dyDescent="0.3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2</v>
      </c>
      <c r="H7" s="4">
        <f>Table24511[[#This Row],[Cost per Unit (OASE)]]*Table24511[[#This Row],[Quantity]]</f>
        <v>800</v>
      </c>
      <c r="I7" s="12">
        <f>Table24511[[#This Row],[Cost per Unit(Rokkas)]]*Table24511[[#This Row],[Quantity]]</f>
        <v>6000</v>
      </c>
      <c r="J7" s="12">
        <f>Table24511[[#This Row],[Cost per Unit(BSG)]]*Table24511[[#This Row],[Quantity]]</f>
        <v>400</v>
      </c>
      <c r="K7" s="35">
        <f>Table24511[[#This Row],[Cost per Unit(Phillipson)]]*Table24511[[#This Row],[Quantity]]</f>
        <v>0</v>
      </c>
    </row>
    <row r="8" spans="1:11" x14ac:dyDescent="0.3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130</v>
      </c>
      <c r="H8" s="4">
        <f>Table24511[[#This Row],[Cost per Unit (OASE)]]*Table24511[[#This Row],[Quantity]]</f>
        <v>3120</v>
      </c>
      <c r="I8" s="12">
        <f>Table24511[[#This Row],[Cost per Unit(Rokkas)]]*Table24511[[#This Row],[Quantity]]</f>
        <v>520</v>
      </c>
      <c r="J8" s="12">
        <f>Table24511[[#This Row],[Cost per Unit(BSG)]]*Table24511[[#This Row],[Quantity]]</f>
        <v>260</v>
      </c>
      <c r="K8" s="35">
        <f>Table24511[[#This Row],[Cost per Unit(Phillipson)]]*Table24511[[#This Row],[Quantity]]</f>
        <v>2600</v>
      </c>
    </row>
    <row r="9" spans="1:11" x14ac:dyDescent="0.35">
      <c r="A9" s="6" t="s">
        <v>32</v>
      </c>
      <c r="B9" s="6" t="s">
        <v>63</v>
      </c>
      <c r="C9" s="4">
        <v>10</v>
      </c>
      <c r="D9" s="4">
        <v>10</v>
      </c>
      <c r="E9" s="4">
        <v>24</v>
      </c>
      <c r="F9" s="4">
        <v>10</v>
      </c>
      <c r="G9" s="4">
        <v>10000</v>
      </c>
      <c r="H9" s="4">
        <f>Table24511[[#This Row],[Cost per Unit (OASE)]]*Table24511[[#This Row],[Quantity]]</f>
        <v>100000</v>
      </c>
      <c r="I9" s="12">
        <f>Table24511[[#This Row],[Cost per Unit(Rokkas)]]*Table24511[[#This Row],[Quantity]]</f>
        <v>100000</v>
      </c>
      <c r="J9" s="12">
        <f>Table24511[[#This Row],[Cost per Unit(BSG)]]*Table24511[[#This Row],[Quantity]]</f>
        <v>240000</v>
      </c>
      <c r="K9" s="35">
        <f>Table24511[[#This Row],[Cost per Unit(Phillipson)]]*Table24511[[#This Row],[Quantity]]</f>
        <v>100000</v>
      </c>
    </row>
    <row r="10" spans="1:11" x14ac:dyDescent="0.35">
      <c r="A10" s="6" t="s">
        <v>32</v>
      </c>
      <c r="B10" s="6" t="s">
        <v>86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10000</v>
      </c>
      <c r="H10" s="4">
        <f>Table24511[[#This Row],[Cost per Unit (OASE)]]*Table24511[[#This Row],[Quantity]]</f>
        <v>23000</v>
      </c>
      <c r="I10" s="12">
        <f>Table24511[[#This Row],[Cost per Unit(Rokkas)]]*Table24511[[#This Row],[Quantity]]</f>
        <v>50000</v>
      </c>
      <c r="J10" s="12">
        <f>Table24511[[#This Row],[Cost per Unit(BSG)]]*Table24511[[#This Row],[Quantity]]</f>
        <v>27000</v>
      </c>
      <c r="K10" s="35">
        <f>Table24511[[#This Row],[Cost per Unit(Phillipson)]]*Table24511[[#This Row],[Quantity]]</f>
        <v>50000</v>
      </c>
    </row>
    <row r="13" spans="1:11" x14ac:dyDescent="0.35">
      <c r="A13" s="13" t="s">
        <v>82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ht="15" thickBot="1" x14ac:dyDescent="0.4">
      <c r="A14" s="13" t="s">
        <v>83</v>
      </c>
      <c r="B14" s="14">
        <f>SUM(H2:H7)</f>
        <v>11664.333333333334</v>
      </c>
      <c r="C14" s="14">
        <f>SUM(H8:H8)</f>
        <v>3120</v>
      </c>
      <c r="D14" s="10">
        <f>SUM(H9:H10)</f>
        <v>123000</v>
      </c>
      <c r="E14" s="5">
        <f>SUM(B14:D14)</f>
        <v>137784.33333333334</v>
      </c>
      <c r="F14" s="5"/>
    </row>
    <row r="15" spans="1:11" ht="15.5" thickTop="1" thickBot="1" x14ac:dyDescent="0.4">
      <c r="A15" s="13" t="s">
        <v>84</v>
      </c>
      <c r="B15" s="13">
        <f>SUM(I2:I7)</f>
        <v>32000</v>
      </c>
      <c r="C15" s="13">
        <f>SUM(I8)</f>
        <v>520</v>
      </c>
      <c r="D15" s="13">
        <f>SUM(I9:I10)</f>
        <v>150000</v>
      </c>
      <c r="E15" s="5">
        <f>SUM(B15:D15)</f>
        <v>182520</v>
      </c>
      <c r="F15" s="5"/>
    </row>
    <row r="16" spans="1:11" ht="15.5" thickTop="1" thickBot="1" x14ac:dyDescent="0.4">
      <c r="A16" s="13" t="s">
        <v>108</v>
      </c>
      <c r="B16" s="13">
        <f>SUM(J2:J7)</f>
        <v>39400</v>
      </c>
      <c r="C16" s="13">
        <f>SUM(J8)</f>
        <v>260</v>
      </c>
      <c r="D16" s="13">
        <f>SUM(J9:J10)</f>
        <v>267000</v>
      </c>
      <c r="E16" s="5">
        <f>SUM(B16:D16)</f>
        <v>306660</v>
      </c>
      <c r="F16" s="5"/>
    </row>
    <row r="17" spans="1:5" ht="15.5" thickTop="1" thickBot="1" x14ac:dyDescent="0.4">
      <c r="A17" s="13" t="s">
        <v>6</v>
      </c>
      <c r="B17" s="24">
        <f>SUM(K2:K7)</f>
        <v>7800</v>
      </c>
      <c r="C17" s="24">
        <f>SUM(K8)</f>
        <v>2600</v>
      </c>
      <c r="D17" s="24">
        <f>SUM(K9:K10)</f>
        <v>150000</v>
      </c>
      <c r="E17" s="5">
        <f>SUM(B17:D17)</f>
        <v>160400</v>
      </c>
    </row>
    <row r="18" spans="1:5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0"/>
  <sheetViews>
    <sheetView workbookViewId="0">
      <selection activeCell="A2" sqref="A2:F10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21.26953125" style="21" customWidth="1"/>
    <col min="5" max="6" width="21.26953125" style="24" customWidth="1"/>
    <col min="7" max="7" width="18" style="19" customWidth="1"/>
    <col min="8" max="8" width="17.81640625" style="19" customWidth="1"/>
    <col min="9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106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40</v>
      </c>
      <c r="H2" s="4">
        <f>Table212[[#This Row],[Cost per Unit (OASE)]]*Table212[[#This Row],[Quantity]]</f>
        <v>3200</v>
      </c>
      <c r="I2" s="12">
        <f>Table212[[#This Row],[Cost per Unit (Rokkas)]]*Table212[[#This Row],[Quantity]]</f>
        <v>5600</v>
      </c>
      <c r="J2" s="12">
        <f>Table212[[#This Row],[Cost per Unit (BSG)]]*Table212[[#This Row],[Quantity]]</f>
        <v>11520</v>
      </c>
      <c r="K2" s="35">
        <f>Table212[[#This Row],[Cost per Unit(Phillipson)]]*Table212[[#This Row],[Quantity]]</f>
        <v>2000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f>200/50</f>
        <v>4</v>
      </c>
      <c r="E3" s="4">
        <v>0</v>
      </c>
      <c r="F3" s="4">
        <v>0</v>
      </c>
      <c r="G3" s="4">
        <v>8</v>
      </c>
      <c r="H3" s="4">
        <f>Table212[[#This Row],[Cost per Unit (OASE)]]*Table212[[#This Row],[Quantity]]</f>
        <v>320</v>
      </c>
      <c r="I3" s="12">
        <f>Table212[[#This Row],[Cost per Unit (Rokkas)]]*Table212[[#This Row],[Quantity]]</f>
        <v>32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x14ac:dyDescent="0.3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Table212[[#This Row],[Cost per Unit (OASE)]]*Table212[[#This Row],[Quantity]]</f>
        <v>192</v>
      </c>
      <c r="I6" s="12">
        <f>Table212[[#This Row],[Cost per Unit (Rokkas)]]*Table212[[#This Row],[Quantity]]</f>
        <v>32</v>
      </c>
      <c r="J6" s="12">
        <f>Table212[[#This Row],[Cost per Unit (BSG)]]*Table212[[#This Row],[Quantity]]</f>
        <v>11.2</v>
      </c>
      <c r="K6" s="35">
        <f>Table212[[#This Row],[Cost per Unit(Phillipson)]]*Table212[[#This Row],[Quantity]]</f>
        <v>0</v>
      </c>
    </row>
    <row r="7" spans="1:11" x14ac:dyDescent="0.35">
      <c r="A7" s="6" t="s">
        <v>30</v>
      </c>
      <c r="B7" s="6" t="s">
        <v>112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610</v>
      </c>
      <c r="H7" s="4">
        <f>Table212[[#This Row],[Cost per Unit (OASE)]]*Table212[[#This Row],[Quantity]]</f>
        <v>68320</v>
      </c>
      <c r="I7" s="12">
        <f>Table212[[#This Row],[Cost per Unit (Rokkas)]]*Table212[[#This Row],[Quantity]]</f>
        <v>189100</v>
      </c>
      <c r="J7" s="12">
        <f>Table212[[#This Row],[Cost per Unit (BSG)]]*Table212[[#This Row],[Quantity]]</f>
        <v>179340</v>
      </c>
      <c r="K7" s="35">
        <f>Table212[[#This Row],[Cost per Unit(Phillipson)]]*Table212[[#This Row],[Quantity]]</f>
        <v>134200</v>
      </c>
    </row>
    <row r="8" spans="1:11" x14ac:dyDescent="0.35">
      <c r="A8" s="6" t="s">
        <v>30</v>
      </c>
      <c r="B8" s="6" t="s">
        <v>73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610*3</f>
        <v>1830</v>
      </c>
      <c r="H8" s="4">
        <f>Table212[[#This Row],[Cost per Unit (OASE)]]*Table212[[#This Row],[Quantity]]</f>
        <v>5673</v>
      </c>
      <c r="I8" s="12">
        <f>Table212[[#This Row],[Cost per Unit (Rokkas)]]*Table212[[#This Row],[Quantity]]</f>
        <v>9150</v>
      </c>
      <c r="J8" s="12">
        <f>Table212[[#This Row],[Cost per Unit (BSG)]]*Table212[[#This Row],[Quantity]]</f>
        <v>5490</v>
      </c>
      <c r="K8" s="35">
        <f>Table212[[#This Row],[Cost per Unit(Phillipson)]]*Table212[[#This Row],[Quantity]]</f>
        <v>9150</v>
      </c>
    </row>
    <row r="9" spans="1:11" x14ac:dyDescent="0.35">
      <c r="A9" s="6" t="s">
        <v>30</v>
      </c>
      <c r="B9" s="6" t="s">
        <v>74</v>
      </c>
      <c r="C9" s="4">
        <v>12</v>
      </c>
      <c r="D9" s="4">
        <v>10</v>
      </c>
      <c r="E9" s="4">
        <v>24</v>
      </c>
      <c r="F9" s="4">
        <v>10</v>
      </c>
      <c r="G9" s="4">
        <f>610*3</f>
        <v>1830</v>
      </c>
      <c r="H9" s="4">
        <f>Table212[[#This Row],[Cost per Unit (OASE)]]*Table212[[#This Row],[Quantity]]</f>
        <v>21960</v>
      </c>
      <c r="I9" s="12">
        <f>Table212[[#This Row],[Cost per Unit (Rokkas)]]*Table212[[#This Row],[Quantity]]</f>
        <v>18300</v>
      </c>
      <c r="J9" s="12">
        <f>Table212[[#This Row],[Cost per Unit (BSG)]]*Table212[[#This Row],[Quantity]]</f>
        <v>43920</v>
      </c>
      <c r="K9" s="35">
        <f>Table212[[#This Row],[Cost per Unit(Phillipson)]]*Table212[[#This Row],[Quantity]]</f>
        <v>18300</v>
      </c>
    </row>
    <row r="10" spans="1:11" x14ac:dyDescent="0.35">
      <c r="A10" s="6" t="s">
        <v>75</v>
      </c>
      <c r="B10" s="6" t="s">
        <v>64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x14ac:dyDescent="0.35">
      <c r="A15" s="19" t="s">
        <v>82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ht="15" thickBot="1" x14ac:dyDescent="0.4">
      <c r="A16" s="19" t="s">
        <v>83</v>
      </c>
      <c r="B16" s="20">
        <f>SUM(H2:H5)</f>
        <v>4000</v>
      </c>
      <c r="C16" s="20">
        <f>SUM(H6:H9)</f>
        <v>96145</v>
      </c>
      <c r="D16" s="10">
        <f>SUM(H10)</f>
        <v>0</v>
      </c>
      <c r="E16" s="5">
        <f>SUM(B16:D16)</f>
        <v>100145</v>
      </c>
      <c r="F16" s="5"/>
      <c r="G16" s="10"/>
    </row>
    <row r="17" spans="1:6" ht="15.5" thickTop="1" thickBot="1" x14ac:dyDescent="0.4">
      <c r="A17" s="19" t="s">
        <v>84</v>
      </c>
      <c r="B17" s="19">
        <f>SUM(I2:I5)</f>
        <v>8632</v>
      </c>
      <c r="C17" s="19">
        <f>SUM(I6:I9)</f>
        <v>216582</v>
      </c>
      <c r="D17" s="21">
        <v>0</v>
      </c>
      <c r="E17" s="5">
        <f>SUM(B17:D17)</f>
        <v>225214</v>
      </c>
      <c r="F17" s="5"/>
    </row>
    <row r="18" spans="1:6" ht="15.5" thickTop="1" thickBot="1" x14ac:dyDescent="0.4">
      <c r="A18" s="19" t="s">
        <v>108</v>
      </c>
      <c r="B18" s="19">
        <f>SUM(J2:J5)</f>
        <v>11720</v>
      </c>
      <c r="C18" s="19">
        <f>SUM(J6:J9)</f>
        <v>228761.2</v>
      </c>
      <c r="D18" s="21">
        <v>0</v>
      </c>
      <c r="E18" s="5">
        <f>SUM(B18:D18)</f>
        <v>240481.2</v>
      </c>
      <c r="F18" s="5"/>
    </row>
    <row r="19" spans="1:6" ht="15.5" thickTop="1" thickBot="1" x14ac:dyDescent="0.4">
      <c r="A19" s="19" t="s">
        <v>6</v>
      </c>
      <c r="B19" s="24">
        <f>SUM(K2:K5)</f>
        <v>2000</v>
      </c>
      <c r="C19" s="24">
        <f>SUM(K6:K9)</f>
        <v>161650</v>
      </c>
      <c r="D19" s="24">
        <v>0</v>
      </c>
      <c r="E19" s="5">
        <f>SUM(B19:D19)</f>
        <v>163650</v>
      </c>
    </row>
    <row r="20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A2" sqref="A2:F9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21.26953125" style="21" customWidth="1"/>
    <col min="5" max="6" width="21.26953125" style="24" customWidth="1"/>
    <col min="7" max="7" width="18" style="19" customWidth="1"/>
    <col min="8" max="8" width="17.81640625" style="19" customWidth="1"/>
    <col min="9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122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80</v>
      </c>
      <c r="H2" s="4">
        <f>Table21213[[#This Row],[Cost per Unit (OASE)]]*Table21213[[#This Row],[Quantity]]</f>
        <v>6400</v>
      </c>
      <c r="I2" s="12">
        <f>Table21213[[#This Row],[Cost per Unit (Rokkas)]]*Table21213[[#This Row],[Quantity]]</f>
        <v>16000</v>
      </c>
      <c r="J2" s="12">
        <f>Table21213[[#This Row],[Cost per Unit(BSG)]]*Table21213[[#This Row],[Quantity]]</f>
        <v>24000</v>
      </c>
      <c r="K2" s="35">
        <f>Table21213[[#This Row],[Cost per uNit(Phillipson)]]*Table21213[[#This Row],[Quantity]]</f>
        <v>4400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v>4</v>
      </c>
      <c r="E3" s="4">
        <v>0</v>
      </c>
      <c r="F3" s="4">
        <v>0</v>
      </c>
      <c r="G3" s="4">
        <v>8</v>
      </c>
      <c r="H3" s="4">
        <f>Table21213[[#This Row],[Cost per Unit (OASE)]]*Table21213[[#This Row],[Quantity]]</f>
        <v>320</v>
      </c>
      <c r="I3" s="12">
        <f>Table21213[[#This Row],[Cost per Unit (Rokkas)]]*Table21213[[#This Row],[Quantity]]</f>
        <v>32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x14ac:dyDescent="0.3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Table21213[[#This Row],[Cost per Unit (OASE)]]*Table21213[[#This Row],[Quantity]]</f>
        <v>192</v>
      </c>
      <c r="I6" s="12">
        <f>Table21213[[#This Row],[Cost per Unit (Rokkas)]]*Table21213[[#This Row],[Quantity]]</f>
        <v>32</v>
      </c>
      <c r="J6" s="12">
        <f>Table21213[[#This Row],[Cost per Unit(BSG)]]*Table21213[[#This Row],[Quantity]]</f>
        <v>11.2</v>
      </c>
      <c r="K6" s="35">
        <f>Table21213[[#This Row],[Cost per uNit(Phillipson)]]*Table21213[[#This Row],[Quantity]]</f>
        <v>0</v>
      </c>
    </row>
    <row r="7" spans="1:11" x14ac:dyDescent="0.35">
      <c r="A7" s="6" t="s">
        <v>30</v>
      </c>
      <c r="B7" s="6" t="s">
        <v>77</v>
      </c>
      <c r="C7" s="4">
        <v>0.9</v>
      </c>
      <c r="D7" s="4">
        <v>10</v>
      </c>
      <c r="E7" s="4">
        <v>1.4</v>
      </c>
      <c r="F7" s="4">
        <v>220</v>
      </c>
      <c r="G7" s="4">
        <v>305</v>
      </c>
      <c r="H7" s="4">
        <f>Table21213[[#This Row],[Cost per Unit (OASE)]]*Table21213[[#This Row],[Quantity]]</f>
        <v>274.5</v>
      </c>
      <c r="I7" s="12">
        <f>Table21213[[#This Row],[Cost per Unit (Rokkas)]]*Table21213[[#This Row],[Quantity]]</f>
        <v>3050</v>
      </c>
      <c r="J7" s="12">
        <f>Table21213[[#This Row],[Cost per Unit(BSG)]]*Table21213[[#This Row],[Quantity]]</f>
        <v>427</v>
      </c>
      <c r="K7" s="35">
        <f>Table21213[[#This Row],[Cost per uNit(Phillipson)]]*Table21213[[#This Row],[Quantity]]</f>
        <v>67100</v>
      </c>
    </row>
    <row r="8" spans="1:11" x14ac:dyDescent="0.35">
      <c r="A8" s="6" t="s">
        <v>75</v>
      </c>
      <c r="B8" s="6" t="s">
        <v>73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x14ac:dyDescent="0.35">
      <c r="A9" s="6" t="s">
        <v>75</v>
      </c>
      <c r="B9" s="6" t="s">
        <v>63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x14ac:dyDescent="0.35">
      <c r="A14" s="19" t="s">
        <v>82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4">
      <c r="A15" s="19" t="s">
        <v>83</v>
      </c>
      <c r="B15" s="20">
        <f>SUM(H2:H5)</f>
        <v>7280</v>
      </c>
      <c r="C15" s="20">
        <f>SUM(H6:H7)</f>
        <v>466.5</v>
      </c>
      <c r="D15" s="10">
        <f>SUM(H8:H9)</f>
        <v>55500</v>
      </c>
      <c r="E15" s="5">
        <f>SUM(B15:D15)</f>
        <v>63246.5</v>
      </c>
      <c r="F15" s="5"/>
      <c r="G15" s="10"/>
    </row>
    <row r="16" spans="1:11" ht="15.5" thickTop="1" thickBot="1" x14ac:dyDescent="0.4">
      <c r="A16" s="19" t="s">
        <v>84</v>
      </c>
      <c r="B16" s="19">
        <f>SUM(I2:I5)</f>
        <v>19032</v>
      </c>
      <c r="C16" s="19">
        <f>SUM(I6:I7)</f>
        <v>3082</v>
      </c>
      <c r="D16" s="21">
        <f>SUM(I8:I9)</f>
        <v>75000</v>
      </c>
      <c r="E16" s="5">
        <f t="shared" ref="E16:E18" si="0">SUM(B16:D16)</f>
        <v>97114</v>
      </c>
      <c r="F16" s="5"/>
    </row>
    <row r="17" spans="1:6" ht="15.5" thickTop="1" thickBot="1" x14ac:dyDescent="0.4">
      <c r="A17" s="19" t="s">
        <v>108</v>
      </c>
      <c r="B17" s="19">
        <f>SUM(J2:J5)</f>
        <v>24000</v>
      </c>
      <c r="C17" s="19">
        <f>SUM(J6:J7)</f>
        <v>438.2</v>
      </c>
      <c r="D17" s="21">
        <f>SUM(J8:J9)</f>
        <v>135000</v>
      </c>
      <c r="E17" s="5">
        <f t="shared" si="0"/>
        <v>159438.20000000001</v>
      </c>
      <c r="F17" s="5"/>
    </row>
    <row r="18" spans="1:6" ht="15.5" thickTop="1" thickBot="1" x14ac:dyDescent="0.4">
      <c r="A18" s="19" t="s">
        <v>6</v>
      </c>
      <c r="B18" s="24">
        <f>SUM(K2:K5)</f>
        <v>4400</v>
      </c>
      <c r="C18" s="24">
        <f>SUM(K6:K7)</f>
        <v>67100</v>
      </c>
      <c r="D18" s="24">
        <f>SUM(K8:K9)</f>
        <v>25000</v>
      </c>
      <c r="E18" s="5">
        <f t="shared" si="0"/>
        <v>96500</v>
      </c>
    </row>
    <row r="19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workbookViewId="0">
      <selection activeCell="D8" sqref="D8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21.26953125" style="21" customWidth="1"/>
    <col min="5" max="6" width="21.26953125" style="24" customWidth="1"/>
    <col min="7" max="7" width="18" style="19" customWidth="1"/>
    <col min="8" max="8" width="17.81640625" style="19" customWidth="1"/>
    <col min="9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Table2121314[[#This Row],[Cost per Unit (OASE)]]*Table2121314[[#This Row],[Quantity]]</f>
        <v>12800</v>
      </c>
      <c r="I2" s="12">
        <f>Table2121314[[#This Row],[Cost per Unit (Rokkas)]]*Table2121314[[#This Row],[Quantity]]</f>
        <v>32000</v>
      </c>
      <c r="J2" s="12">
        <f>Table2121314[[#This Row],[Cost per Unit(BSG)]]*Table2121314[[#This Row],[Quantity]]</f>
        <v>48000</v>
      </c>
      <c r="K2" s="35">
        <f>Table2121314[[#This Row],[Cost per Unit(Phillipson)]]*Table2121314[[#This Row],[Quantity]]</f>
        <v>8800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Table2121314[[#This Row],[Cost per Unit (OASE)]]*Table2121314[[#This Row],[Quantity]]</f>
        <v>640</v>
      </c>
      <c r="I3" s="12">
        <f>Table2121314[[#This Row],[Cost per Unit (Rokkas)]]*Table2121314[[#This Row],[Quantity]]</f>
        <v>64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x14ac:dyDescent="0.35">
      <c r="A6" s="6" t="s">
        <v>28</v>
      </c>
      <c r="B6" s="6" t="s">
        <v>47</v>
      </c>
      <c r="C6" s="4">
        <v>10</v>
      </c>
      <c r="D6" s="4">
        <v>10</v>
      </c>
      <c r="E6" s="4">
        <v>124</v>
      </c>
      <c r="F6" s="4">
        <v>0</v>
      </c>
      <c r="G6" s="4">
        <v>8</v>
      </c>
      <c r="H6" s="4">
        <f>Table2121314[[#This Row],[Cost per Unit (OASE)]]*Table2121314[[#This Row],[Quantity]]</f>
        <v>80</v>
      </c>
      <c r="I6" s="12">
        <f>Table2121314[[#This Row],[Cost per Unit (Rokkas)]]*Table2121314[[#This Row],[Quantity]]</f>
        <v>80</v>
      </c>
      <c r="J6" s="12">
        <f>Table2121314[[#This Row],[Cost per Unit(BSG)]]*Table2121314[[#This Row],[Quantity]]</f>
        <v>992</v>
      </c>
      <c r="K6" s="35">
        <f>Table2121314[[#This Row],[Cost per Unit(Phillipson)]]*Table2121314[[#This Row],[Quantity]]</f>
        <v>0</v>
      </c>
    </row>
    <row r="7" spans="1:11" x14ac:dyDescent="0.35">
      <c r="A7" s="6" t="s">
        <v>30</v>
      </c>
      <c r="B7" s="6" t="s">
        <v>77</v>
      </c>
      <c r="C7" s="4">
        <v>1</v>
      </c>
      <c r="D7" s="4">
        <v>10</v>
      </c>
      <c r="E7" s="4">
        <v>1.4</v>
      </c>
      <c r="F7" s="4">
        <v>10</v>
      </c>
      <c r="G7" s="4">
        <v>305</v>
      </c>
      <c r="H7" s="4">
        <f>Table2121314[[#This Row],[Cost per Unit (OASE)]]*Table2121314[[#This Row],[Quantity]]</f>
        <v>305</v>
      </c>
      <c r="I7" s="12">
        <f>Table2121314[[#This Row],[Cost per Unit (Rokkas)]]*Table2121314[[#This Row],[Quantity]]</f>
        <v>3050</v>
      </c>
      <c r="J7" s="12">
        <f>Table2121314[[#This Row],[Cost per Unit(BSG)]]*Table2121314[[#This Row],[Quantity]]</f>
        <v>427</v>
      </c>
      <c r="K7" s="35">
        <f>Table2121314[[#This Row],[Cost per Unit(Phillipson)]]*Table2121314[[#This Row],[Quantity]]</f>
        <v>3050</v>
      </c>
    </row>
    <row r="8" spans="1:11" x14ac:dyDescent="0.35">
      <c r="A8" s="6" t="s">
        <v>75</v>
      </c>
      <c r="B8" s="6" t="s">
        <v>73</v>
      </c>
      <c r="C8" s="4">
        <f>3.3</f>
        <v>3.3</v>
      </c>
      <c r="D8" s="4">
        <f>5+3</f>
        <v>8</v>
      </c>
      <c r="E8" s="4">
        <f>3+3</f>
        <v>6</v>
      </c>
      <c r="F8" s="4">
        <f>5+3</f>
        <v>8</v>
      </c>
      <c r="G8" s="4">
        <v>30000</v>
      </c>
      <c r="H8" s="4">
        <f>Table2121314[[#This Row],[Cost per Unit (OASE)]]*Table2121314[[#This Row],[Quantity]]</f>
        <v>99000</v>
      </c>
      <c r="I8" s="12">
        <f>Table2121314[[#This Row],[Cost per Unit (Rokkas)]]*Table2121314[[#This Row],[Quantity]]</f>
        <v>240000</v>
      </c>
      <c r="J8" s="12">
        <f>Table2121314[[#This Row],[Cost per Unit(BSG)]]*Table2121314[[#This Row],[Quantity]]</f>
        <v>180000</v>
      </c>
      <c r="K8" s="35">
        <f>Table2121314[[#This Row],[Cost per Unit(Phillipson)]]*Table2121314[[#This Row],[Quantity]]</f>
        <v>240000</v>
      </c>
    </row>
    <row r="9" spans="1:11" x14ac:dyDescent="0.35">
      <c r="A9" s="6" t="s">
        <v>75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x14ac:dyDescent="0.35">
      <c r="A14" s="19" t="s">
        <v>82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4">
      <c r="A15" s="19" t="s">
        <v>83</v>
      </c>
      <c r="B15" s="20">
        <f>SUM(H2:H5)</f>
        <v>14160</v>
      </c>
      <c r="C15" s="20">
        <f>SUM(H6:H7)</f>
        <v>385</v>
      </c>
      <c r="D15" s="10">
        <f>SUM(H8:H9)</f>
        <v>108000</v>
      </c>
      <c r="E15" s="5">
        <f>SUM(B15:D15)</f>
        <v>122545</v>
      </c>
      <c r="F15" s="5"/>
      <c r="G15" s="10"/>
    </row>
    <row r="16" spans="1:11" ht="15.5" thickTop="1" thickBot="1" x14ac:dyDescent="0.4">
      <c r="A16" s="19" t="s">
        <v>84</v>
      </c>
      <c r="B16" s="19">
        <f>SUM(I2:I5)</f>
        <v>35064</v>
      </c>
      <c r="C16" s="19">
        <f>SUM(I6:I7)</f>
        <v>3130</v>
      </c>
      <c r="D16" s="21">
        <f>SUM(I8:I9)</f>
        <v>240000</v>
      </c>
      <c r="E16" s="5">
        <f>SUM(B16:D16)</f>
        <v>278194</v>
      </c>
      <c r="F16" s="5"/>
    </row>
    <row r="17" spans="1:6" ht="15.5" thickTop="1" thickBot="1" x14ac:dyDescent="0.4">
      <c r="A17" s="19" t="s">
        <v>108</v>
      </c>
      <c r="B17" s="19">
        <f>SUM(J2:J5)</f>
        <v>48000</v>
      </c>
      <c r="C17" s="19">
        <f>SUM(J6:J7)</f>
        <v>1419</v>
      </c>
      <c r="D17" s="21">
        <f>SUM(J8:J9)</f>
        <v>180000</v>
      </c>
      <c r="E17" s="5">
        <f>SUM(B17:D17)</f>
        <v>229419</v>
      </c>
      <c r="F17" s="5"/>
    </row>
    <row r="18" spans="1:6" ht="15.5" thickTop="1" thickBot="1" x14ac:dyDescent="0.4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240000</v>
      </c>
      <c r="E18" s="5">
        <f>SUM(B18:D18)</f>
        <v>251850</v>
      </c>
    </row>
    <row r="19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0"/>
  <sheetViews>
    <sheetView topLeftCell="B1" workbookViewId="0">
      <selection activeCell="C8" sqref="C8:F8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18" style="19" customWidth="1"/>
    <col min="5" max="5" width="17.81640625" style="19" customWidth="1"/>
    <col min="6" max="6" width="17.81640625" style="24" customWidth="1"/>
    <col min="7" max="7" width="18.26953125" style="19" customWidth="1"/>
    <col min="8" max="8" width="9.1796875" style="19"/>
    <col min="9" max="9" width="22.453125" style="19" customWidth="1"/>
    <col min="10" max="10" width="22.26953125" style="19" customWidth="1"/>
    <col min="11" max="11" width="20.7265625" style="19" customWidth="1"/>
    <col min="12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106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160</v>
      </c>
      <c r="H2" s="4">
        <f>Table21215[[#This Row],[Cost per Unit (OASE)]]*Table21215[[#This Row],[Quantity]]</f>
        <v>25600</v>
      </c>
      <c r="I2" s="12">
        <f>Table21215[[#This Row],[Cost per Unit (Rokkas)]]*Table21215[[#This Row],[Quantity]]</f>
        <v>22400</v>
      </c>
      <c r="J2" s="12">
        <f>Table21215[[#This Row],[Cost per Unit (BSG)]]*Table21215[[#This Row],[Quantity]]</f>
        <v>46080</v>
      </c>
      <c r="K2" s="35">
        <f>Table21215[[#This Row],[Cost per Unit(Phillipson)]]*Table21215[[#This Row],[Quantity]]</f>
        <v>8000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f>200/50</f>
        <v>4</v>
      </c>
      <c r="E3" s="4">
        <v>0</v>
      </c>
      <c r="F3" s="4">
        <v>0</v>
      </c>
      <c r="G3" s="4">
        <v>32</v>
      </c>
      <c r="H3" s="4">
        <f>Table21215[[#This Row],[Cost per Unit (OASE)]]*Table21215[[#This Row],[Quantity]]</f>
        <v>1280</v>
      </c>
      <c r="I3" s="12">
        <f>Table21215[[#This Row],[Cost per Unit (Rokkas)]]*Table21215[[#This Row],[Quantity]]</f>
        <v>128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x14ac:dyDescent="0.3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Table21215[[#This Row],[Cost per Unit (OASE)]]*Table21215[[#This Row],[Quantity]]</f>
        <v>192</v>
      </c>
      <c r="I6" s="12">
        <f>Table21215[[#This Row],[Cost per Unit (Rokkas)]]*Table21215[[#This Row],[Quantity]]</f>
        <v>32</v>
      </c>
      <c r="J6" s="12">
        <f>Table21215[[#This Row],[Cost per Unit (BSG)]]*Table21215[[#This Row],[Quantity]]</f>
        <v>11.2</v>
      </c>
      <c r="K6" s="35">
        <f>Table21215[[#This Row],[Cost per Unit(Phillipson)]]*Table21215[[#This Row],[Quantity]]</f>
        <v>0</v>
      </c>
    </row>
    <row r="7" spans="1:11" x14ac:dyDescent="0.35">
      <c r="A7" s="6" t="s">
        <v>30</v>
      </c>
      <c r="B7" s="6" t="s">
        <v>112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f>610</f>
        <v>610</v>
      </c>
      <c r="H7" s="4">
        <f>Table21215[[#This Row],[Cost per Unit (OASE)]]*Table21215[[#This Row],[Quantity]]</f>
        <v>68320</v>
      </c>
      <c r="I7" s="12">
        <f>Table21215[[#This Row],[Cost per Unit (Rokkas)]]*Table21215[[#This Row],[Quantity]]</f>
        <v>183000</v>
      </c>
      <c r="J7" s="12">
        <f>Table21215[[#This Row],[Cost per Unit (BSG)]]*Table21215[[#This Row],[Quantity]]</f>
        <v>179340</v>
      </c>
      <c r="K7" s="35">
        <f>Table21215[[#This Row],[Cost per Unit(Phillipson)]]*Table21215[[#This Row],[Quantity]]</f>
        <v>134200</v>
      </c>
    </row>
    <row r="8" spans="1:11" x14ac:dyDescent="0.35">
      <c r="A8" s="6" t="s">
        <v>30</v>
      </c>
      <c r="B8" s="6" t="s">
        <v>73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x14ac:dyDescent="0.35">
      <c r="A9" s="6" t="s">
        <v>30</v>
      </c>
      <c r="B9" s="6" t="s">
        <v>74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x14ac:dyDescent="0.35">
      <c r="A10" s="6" t="s">
        <v>75</v>
      </c>
      <c r="B10" s="6" t="s">
        <v>64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x14ac:dyDescent="0.35">
      <c r="A15" s="19" t="s">
        <v>82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4">
      <c r="A16" s="19" t="s">
        <v>83</v>
      </c>
      <c r="B16" s="20">
        <f>SUM(H2:H5)</f>
        <v>27600</v>
      </c>
      <c r="C16" s="20">
        <f>SUM(H6:H9)</f>
        <v>105356</v>
      </c>
      <c r="D16" s="10">
        <f>SUM(H10)</f>
        <v>0</v>
      </c>
      <c r="E16" s="5">
        <f>SUM(B16:D16)</f>
        <v>132956</v>
      </c>
      <c r="F16" s="5"/>
    </row>
    <row r="17" spans="1:6" ht="15.5" thickTop="1" thickBot="1" x14ac:dyDescent="0.4">
      <c r="A17" s="19" t="s">
        <v>84</v>
      </c>
      <c r="B17" s="19">
        <f>SUM(I2:I5)</f>
        <v>25528</v>
      </c>
      <c r="C17" s="19">
        <f>SUM(I6:I9)</f>
        <v>219632</v>
      </c>
      <c r="D17" s="19">
        <v>0</v>
      </c>
      <c r="E17" s="5">
        <f>SUM(B17:D17)</f>
        <v>245160</v>
      </c>
      <c r="F17" s="5"/>
    </row>
    <row r="18" spans="1:6" ht="15.5" thickTop="1" thickBot="1" x14ac:dyDescent="0.4">
      <c r="A18" s="19" t="s">
        <v>108</v>
      </c>
      <c r="B18" s="19">
        <f>SUM(J2:J5)</f>
        <v>46280</v>
      </c>
      <c r="C18" s="19">
        <f>SUM(J6:J9)</f>
        <v>245231.2</v>
      </c>
      <c r="D18" s="19">
        <v>0</v>
      </c>
      <c r="E18" s="5">
        <f>SUM(B18:D18)</f>
        <v>291511.2</v>
      </c>
      <c r="F18" s="5"/>
    </row>
    <row r="19" spans="1:6" ht="15.5" thickTop="1" thickBot="1" x14ac:dyDescent="0.4">
      <c r="A19" s="19" t="s">
        <v>6</v>
      </c>
      <c r="B19" s="24">
        <f>SUM(K2:K5)</f>
        <v>8000</v>
      </c>
      <c r="C19" s="24">
        <f>SUM(K6:K9)</f>
        <v>170800</v>
      </c>
      <c r="D19" s="24">
        <v>0</v>
      </c>
      <c r="E19" s="5">
        <f>SUM(B19:D19)</f>
        <v>178800</v>
      </c>
    </row>
    <row r="20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workbookViewId="0">
      <selection activeCell="C2" sqref="C2:C9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18" style="19" customWidth="1"/>
    <col min="5" max="5" width="17.81640625" style="19" customWidth="1"/>
    <col min="6" max="6" width="17.81640625" style="24" customWidth="1"/>
    <col min="7" max="8" width="9.1796875" style="19"/>
    <col min="9" max="9" width="20.1796875" style="19" customWidth="1"/>
    <col min="10" max="10" width="29.7265625" style="19" customWidth="1"/>
    <col min="11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160</v>
      </c>
      <c r="H2" s="4">
        <f>Table2121316[[#This Row],[Cost per Unit (OASE)]]*Table2121316[[#This Row],[Quantity]]</f>
        <v>12800</v>
      </c>
      <c r="I2" s="12">
        <f t="shared" ref="I2:I9" si="0">D2*G2</f>
        <v>32000</v>
      </c>
      <c r="J2" s="12">
        <f>Table2121316[[#This Row],[Cost per Unit(BSG)]]*Table2121316[[#This Row],[Quantity]]</f>
        <v>48000</v>
      </c>
      <c r="K2" s="35">
        <f>Table2121316[[#This Row],[Cost per Unit(Phillipson)]]*Table2121316[[#This Row],[Quantity]]</f>
        <v>8800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v>4</v>
      </c>
      <c r="E3" s="4">
        <v>0</v>
      </c>
      <c r="F3" s="4">
        <v>0</v>
      </c>
      <c r="G3" s="4">
        <v>16</v>
      </c>
      <c r="H3" s="4">
        <f>Table2121316[[#This Row],[Cost per Unit (OASE)]]*Table2121316[[#This Row],[Quantity]]</f>
        <v>640</v>
      </c>
      <c r="I3" s="12">
        <f t="shared" si="0"/>
        <v>64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x14ac:dyDescent="0.3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8</v>
      </c>
      <c r="H6" s="4">
        <f>Table2121316[[#This Row],[Cost per Unit (OASE)]]*Table2121316[[#This Row],[Quantity]]</f>
        <v>192</v>
      </c>
      <c r="I6" s="12">
        <f t="shared" si="0"/>
        <v>32</v>
      </c>
      <c r="J6" s="12">
        <f>Table2121316[[#This Row],[Cost per Unit(BSG)]]*Table2121316[[#This Row],[Quantity]]</f>
        <v>11.2</v>
      </c>
      <c r="K6" s="35">
        <f>Table2121316[[#This Row],[Cost per Unit(Phillipson)]]*Table2121316[[#This Row],[Quantity]]</f>
        <v>0</v>
      </c>
    </row>
    <row r="7" spans="1:11" x14ac:dyDescent="0.35">
      <c r="A7" s="6" t="s">
        <v>30</v>
      </c>
      <c r="B7" s="6" t="s">
        <v>77</v>
      </c>
      <c r="C7" s="4">
        <v>0.9</v>
      </c>
      <c r="D7" s="4">
        <v>10</v>
      </c>
      <c r="E7" s="4">
        <v>1.4</v>
      </c>
      <c r="F7" s="4">
        <v>10</v>
      </c>
      <c r="G7" s="4">
        <v>305</v>
      </c>
      <c r="H7" s="4">
        <f>Table2121316[[#This Row],[Cost per Unit (OASE)]]*Table2121316[[#This Row],[Quantity]]</f>
        <v>274.5</v>
      </c>
      <c r="I7" s="12">
        <f t="shared" si="0"/>
        <v>3050</v>
      </c>
      <c r="J7" s="12">
        <f>Table2121316[[#This Row],[Cost per Unit(BSG)]]*Table2121316[[#This Row],[Quantity]]</f>
        <v>427</v>
      </c>
      <c r="K7" s="35">
        <f>Table2121316[[#This Row],[Cost per Unit(Phillipson)]]*Table2121316[[#This Row],[Quantity]]</f>
        <v>3050</v>
      </c>
    </row>
    <row r="8" spans="1:11" x14ac:dyDescent="0.35">
      <c r="A8" s="6" t="s">
        <v>75</v>
      </c>
      <c r="B8" s="6" t="s">
        <v>73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15000</v>
      </c>
      <c r="K8" s="35">
        <f>Table2121316[[#This Row],[Cost per Unit(Phillipson)]]*Table2121316[[#This Row],[Quantity]]</f>
        <v>25000</v>
      </c>
    </row>
    <row r="9" spans="1:11" x14ac:dyDescent="0.35">
      <c r="A9" s="6" t="s">
        <v>75</v>
      </c>
      <c r="B9" s="6" t="s">
        <v>63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x14ac:dyDescent="0.35">
      <c r="A14" s="19" t="s">
        <v>82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ht="15" thickBot="1" x14ac:dyDescent="0.4">
      <c r="A15" s="19" t="s">
        <v>83</v>
      </c>
      <c r="B15" s="20">
        <f>SUM(H2:H5)</f>
        <v>14160</v>
      </c>
      <c r="C15" s="20">
        <f>SUM(H6:H7)</f>
        <v>466.5</v>
      </c>
      <c r="D15" s="10">
        <f>SUM(H8:H9)</f>
        <v>66500</v>
      </c>
      <c r="E15" s="5">
        <f>SUM(B15:D15)</f>
        <v>81126.5</v>
      </c>
      <c r="F15" s="5"/>
    </row>
    <row r="16" spans="1:11" ht="15.5" thickTop="1" thickBot="1" x14ac:dyDescent="0.4">
      <c r="A16" s="19" t="s">
        <v>84</v>
      </c>
      <c r="B16" s="19">
        <f>SUM(I2:I5)</f>
        <v>35064</v>
      </c>
      <c r="C16" s="19">
        <f>SUM(I6:I7)</f>
        <v>3082</v>
      </c>
      <c r="D16" s="19">
        <f>SUM(I8:I9)</f>
        <v>75000</v>
      </c>
      <c r="E16" s="5">
        <f>SUM(B16:D16)</f>
        <v>113146</v>
      </c>
      <c r="F16" s="5"/>
    </row>
    <row r="17" spans="1:6" ht="15.5" thickTop="1" thickBot="1" x14ac:dyDescent="0.4">
      <c r="A17" s="19" t="s">
        <v>108</v>
      </c>
      <c r="B17" s="19">
        <f>SUM(J2:J5)</f>
        <v>48000</v>
      </c>
      <c r="C17" s="19">
        <f>SUM(J6:J7)</f>
        <v>438.2</v>
      </c>
      <c r="D17" s="19">
        <f>SUM(J8:J9)</f>
        <v>135000</v>
      </c>
      <c r="E17" s="5">
        <f>SUM(B17:D17)</f>
        <v>183438.2</v>
      </c>
      <c r="F17" s="5"/>
    </row>
    <row r="18" spans="1:6" ht="15.5" thickTop="1" thickBot="1" x14ac:dyDescent="0.4">
      <c r="A18" s="19" t="s">
        <v>6</v>
      </c>
      <c r="B18" s="24">
        <f>SUM(K2:K5)</f>
        <v>8800</v>
      </c>
      <c r="C18" s="24">
        <f>SUM(K6:K7)</f>
        <v>3050</v>
      </c>
      <c r="D18" s="24">
        <f>SUM(K8:K9)</f>
        <v>75000</v>
      </c>
      <c r="E18" s="5">
        <f>SUM(B18:D18)</f>
        <v>86850</v>
      </c>
    </row>
    <row r="19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1"/>
  <sheetViews>
    <sheetView workbookViewId="0">
      <selection activeCell="E2" sqref="E2"/>
    </sheetView>
  </sheetViews>
  <sheetFormatPr defaultRowHeight="14.5" x14ac:dyDescent="0.35"/>
  <cols>
    <col min="1" max="1" width="53.81640625" customWidth="1"/>
    <col min="2" max="2" width="23" customWidth="1"/>
    <col min="3" max="3" width="17.26953125" customWidth="1"/>
    <col min="4" max="4" width="19.26953125" customWidth="1"/>
    <col min="5" max="5" width="17" customWidth="1"/>
    <col min="6" max="6" width="18.453125" customWidth="1"/>
    <col min="7" max="7" width="15.7265625" customWidth="1"/>
    <col min="8" max="8" width="17.1796875" customWidth="1"/>
    <col min="9" max="9" width="32" customWidth="1"/>
    <col min="12" max="12" width="23" customWidth="1"/>
    <col min="13" max="13" width="19.26953125" customWidth="1"/>
  </cols>
  <sheetData>
    <row r="1" spans="1:13" x14ac:dyDescent="0.35">
      <c r="A1" s="24" t="s">
        <v>49</v>
      </c>
      <c r="B1" s="24" t="s">
        <v>88</v>
      </c>
      <c r="C1" s="24" t="s">
        <v>89</v>
      </c>
      <c r="D1" s="24" t="s">
        <v>1</v>
      </c>
      <c r="E1" s="24" t="s">
        <v>2</v>
      </c>
      <c r="F1" s="24" t="s">
        <v>61</v>
      </c>
      <c r="G1" s="24" t="s">
        <v>59</v>
      </c>
      <c r="H1" s="24" t="s">
        <v>60</v>
      </c>
      <c r="I1" s="24" t="s">
        <v>149</v>
      </c>
      <c r="J1" s="24" t="s">
        <v>123</v>
      </c>
      <c r="K1" s="24" t="s">
        <v>56</v>
      </c>
      <c r="L1" s="24" t="s">
        <v>126</v>
      </c>
      <c r="M1" s="24" t="s">
        <v>58</v>
      </c>
    </row>
    <row r="2" spans="1:13" x14ac:dyDescent="0.35">
      <c r="A2" s="24" t="s">
        <v>50</v>
      </c>
      <c r="B2" s="24">
        <v>85947.449261557893</v>
      </c>
      <c r="C2" s="24">
        <v>256639.12665928461</v>
      </c>
      <c r="D2" s="24">
        <f>27*Table717218[[#This Row],[Duct Length]]/50</f>
        <v>46411.622601241266</v>
      </c>
      <c r="E2" s="24">
        <f>0.3*Table717218[[#This Row],[Fiber Length]]/50</f>
        <v>1539.8347599557078</v>
      </c>
      <c r="F2" s="24">
        <f>'FTTCab GPON 26 Mbps'!B$21</f>
        <v>2000</v>
      </c>
      <c r="G2" s="24">
        <f>'FTTCab GPON 26 Mbps'!C$21</f>
        <v>286120</v>
      </c>
      <c r="H2" s="24">
        <f>'FTTCab GPON 26 Mbps'!D$21</f>
        <v>0</v>
      </c>
      <c r="I2" s="24">
        <f>SUM(Table717218[[#This Row],[Duct Cost]:[Building E&amp;I Costs]])</f>
        <v>336071.45736119698</v>
      </c>
      <c r="J2" s="24">
        <f t="shared" ref="J2:J14" si="0">I2*50</f>
        <v>16803572.868059848</v>
      </c>
      <c r="K2" s="24">
        <v>29262</v>
      </c>
      <c r="L2" s="24">
        <f>I2/K2</f>
        <v>11.484910715644761</v>
      </c>
      <c r="M2" s="24">
        <v>25</v>
      </c>
    </row>
    <row r="3" spans="1:13" x14ac:dyDescent="0.35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2970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165269.06088094553</v>
      </c>
      <c r="J3" s="24">
        <f t="shared" si="0"/>
        <v>8263453.0440472765</v>
      </c>
      <c r="K3" s="24">
        <v>29262</v>
      </c>
      <c r="L3" s="24">
        <f t="shared" ref="L3:L14" si="1">I3/K3</f>
        <v>5.6479072134832045</v>
      </c>
      <c r="M3" s="24">
        <v>50</v>
      </c>
    </row>
    <row r="4" spans="1:13" x14ac:dyDescent="0.35">
      <c r="A4" s="24" t="s">
        <v>135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3900</v>
      </c>
      <c r="G4" s="24">
        <f>'FTTB WR-WDMPON 50 Mbps'!C$18</f>
        <v>130</v>
      </c>
      <c r="H4" s="24">
        <f>'FTTB WR-WDMPON 50 Mbps'!D$18</f>
        <v>75000</v>
      </c>
      <c r="I4" s="24">
        <f>SUM(Table717218[[#This Row],[Duct Cost]:[Building E&amp;I Costs]])</f>
        <v>135017.46299989594</v>
      </c>
      <c r="J4" s="24">
        <f t="shared" si="0"/>
        <v>6750873.1499947971</v>
      </c>
      <c r="K4" s="24">
        <v>29262</v>
      </c>
      <c r="L4" s="24">
        <f t="shared" si="1"/>
        <v>4.6140886815629809</v>
      </c>
      <c r="M4" s="24">
        <v>50</v>
      </c>
    </row>
    <row r="5" spans="1:13" x14ac:dyDescent="0.35">
      <c r="A5" s="24" t="s">
        <v>136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27300</v>
      </c>
      <c r="G5" s="24">
        <f>'FTTH WR-WDMPON 100 Mbps'!C$18</f>
        <v>910</v>
      </c>
      <c r="H5" s="24">
        <f>'FTTH WR-WDMPON 100 Mbps'!D$18</f>
        <v>210000</v>
      </c>
      <c r="I5" s="24">
        <f>SUM(Table717218[[#This Row],[Duct Cost]:[Building E&amp;I Costs]])</f>
        <v>294197.46299989591</v>
      </c>
      <c r="J5" s="24">
        <f t="shared" si="0"/>
        <v>14709873.149994796</v>
      </c>
      <c r="K5" s="24">
        <v>29262</v>
      </c>
      <c r="L5" s="24">
        <f t="shared" si="1"/>
        <v>10.053908242768639</v>
      </c>
      <c r="M5" s="24">
        <v>100</v>
      </c>
    </row>
    <row r="6" spans="1:13" x14ac:dyDescent="0.35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11880</v>
      </c>
      <c r="G6" s="24">
        <f>'FTTH XGPON 100 Mbps'!C$20</f>
        <v>2496</v>
      </c>
      <c r="H6" s="24">
        <f>'FTTH XGPON 100 Mbps'!D$20</f>
        <v>180000</v>
      </c>
      <c r="I6" s="24">
        <f>SUM(Table717218[[#This Row],[Duct Cost]:[Building E&amp;I Costs]])</f>
        <v>281675.06088094553</v>
      </c>
      <c r="J6" s="24">
        <f t="shared" si="0"/>
        <v>14083753.044047277</v>
      </c>
      <c r="K6" s="24">
        <v>29262</v>
      </c>
      <c r="L6" s="24">
        <f t="shared" si="1"/>
        <v>9.6259674964440407</v>
      </c>
      <c r="M6" s="24">
        <v>100</v>
      </c>
    </row>
    <row r="7" spans="1:13" x14ac:dyDescent="0.35">
      <c r="A7" s="24" t="s">
        <v>65</v>
      </c>
      <c r="B7" s="24">
        <v>85947.449261557893</v>
      </c>
      <c r="C7" s="24">
        <v>256639.12665928461</v>
      </c>
      <c r="D7" s="24">
        <f>27*Table717218[[#This Row],[Duct Length]]/50</f>
        <v>46411.622601241266</v>
      </c>
      <c r="E7" s="24">
        <f>0.3*Table717218[[#This Row],[Fiber Length]]/50</f>
        <v>1539.8347599557078</v>
      </c>
      <c r="F7" s="24">
        <f>FTTCab_GPON_100!B$19</f>
        <v>5400</v>
      </c>
      <c r="G7" s="24">
        <f>FTTCab_GPON_100!C$19</f>
        <v>99520</v>
      </c>
      <c r="H7" s="24">
        <f>FTTCab_GPON_100!D$19</f>
        <v>0</v>
      </c>
      <c r="I7" s="24">
        <f>SUM(Table717218[[#This Row],[Duct Cost]:[Building E&amp;I Costs]])</f>
        <v>152871.45736119698</v>
      </c>
      <c r="J7" s="24">
        <f t="shared" si="0"/>
        <v>7643572.8680598494</v>
      </c>
      <c r="K7" s="24">
        <v>29262</v>
      </c>
      <c r="L7" s="24">
        <f t="shared" si="1"/>
        <v>5.2242313362448565</v>
      </c>
      <c r="M7" s="24">
        <v>100</v>
      </c>
    </row>
    <row r="8" spans="1:13" x14ac:dyDescent="0.35">
      <c r="A8" s="24" t="s">
        <v>66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5940</v>
      </c>
      <c r="G8" s="24">
        <f>FTTB_XGPON_100!C$19</f>
        <v>3120</v>
      </c>
      <c r="H8" s="24">
        <f>FTTB_XGPON_100!D$19</f>
        <v>73155</v>
      </c>
      <c r="I8" s="24">
        <f>SUM(Table717218[[#This Row],[Duct Cost]:[Building E&amp;I Costs]])</f>
        <v>169514.06088094553</v>
      </c>
      <c r="J8" s="24">
        <f t="shared" si="0"/>
        <v>8475703.0440472774</v>
      </c>
      <c r="K8" s="24">
        <v>29262</v>
      </c>
      <c r="L8" s="24">
        <f t="shared" si="1"/>
        <v>5.7929759032515049</v>
      </c>
      <c r="M8" s="24">
        <v>100</v>
      </c>
    </row>
    <row r="9" spans="1:13" x14ac:dyDescent="0.35">
      <c r="A9" s="24" t="s">
        <v>137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7800</v>
      </c>
      <c r="G9" s="24">
        <f>FTTB_WRWDM_100!C$17</f>
        <v>2600</v>
      </c>
      <c r="H9" s="24">
        <f>FTTB_WRWDM_100!D$17</f>
        <v>150000</v>
      </c>
      <c r="I9" s="24">
        <f>SUM(Table717218[[#This Row],[Duct Cost]:[Building E&amp;I Costs]])</f>
        <v>216387.46299989594</v>
      </c>
      <c r="J9" s="24">
        <f t="shared" si="0"/>
        <v>10819373.149994798</v>
      </c>
      <c r="K9" s="24">
        <v>29262</v>
      </c>
      <c r="L9" s="24">
        <f t="shared" si="1"/>
        <v>7.3948282072276657</v>
      </c>
      <c r="M9" s="24">
        <v>100</v>
      </c>
    </row>
    <row r="10" spans="1:13" x14ac:dyDescent="0.35">
      <c r="A10" s="22" t="s">
        <v>68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2000</v>
      </c>
      <c r="G10" s="24">
        <f>FTTCab_Hybridpon_25!C$19</f>
        <v>161650</v>
      </c>
      <c r="H10" s="24">
        <f>FTTCab_Hybridpon_25!D$19</f>
        <v>0</v>
      </c>
      <c r="I10" s="24">
        <f>SUM(Table717218[[#This Row],[Duct Cost]:[Building E&amp;I Costs]])</f>
        <v>235814.83355361945</v>
      </c>
      <c r="J10" s="24">
        <f t="shared" si="0"/>
        <v>11790741.677680973</v>
      </c>
      <c r="K10" s="24">
        <v>29262</v>
      </c>
      <c r="L10" s="24">
        <f t="shared" si="1"/>
        <v>8.0587394420620413</v>
      </c>
      <c r="M10" s="24">
        <v>25</v>
      </c>
    </row>
    <row r="11" spans="1:13" x14ac:dyDescent="0.35">
      <c r="A11" s="22" t="s">
        <v>69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4400</v>
      </c>
      <c r="G11" s="24">
        <f>FTTB_Hybridpon_50!C$18</f>
        <v>67100</v>
      </c>
      <c r="H11" s="24">
        <f>FTTB_Hybridpon_50!D$18</f>
        <v>25000</v>
      </c>
      <c r="I11" s="24">
        <f>SUM(Table717218[[#This Row],[Duct Cost]:[Building E&amp;I Costs]])</f>
        <v>169033.92770707383</v>
      </c>
      <c r="J11" s="24">
        <f t="shared" si="0"/>
        <v>8451696.3853536919</v>
      </c>
      <c r="K11" s="24">
        <v>29262</v>
      </c>
      <c r="L11" s="24">
        <f t="shared" si="1"/>
        <v>5.7765678254074855</v>
      </c>
      <c r="M11" s="24">
        <v>50</v>
      </c>
    </row>
    <row r="12" spans="1:13" x14ac:dyDescent="0.35">
      <c r="A12" s="22" t="s">
        <v>70</v>
      </c>
      <c r="B12" s="16">
        <v>127537.82706687541</v>
      </c>
      <c r="C12" s="16">
        <v>2774954.5343040172</v>
      </c>
      <c r="D12" s="24">
        <f>27*Table717218[[#This Row],[Duct Length]]/50</f>
        <v>68870.426616112716</v>
      </c>
      <c r="E12" s="24">
        <f>0.3*Table717218[[#This Row],[Fiber Length]]/50</f>
        <v>16649.727205824103</v>
      </c>
      <c r="F12" s="24">
        <f>FTTH_Hybridpon_100!B$18</f>
        <v>8800</v>
      </c>
      <c r="G12" s="24">
        <f>FTTH_Hybridpon_100!C$18</f>
        <v>3050</v>
      </c>
      <c r="H12" s="24">
        <f>FTTH_Hybridpon_100!D$18</f>
        <v>240000</v>
      </c>
      <c r="I12" s="24">
        <f>SUM(Table717218[[#This Row],[Duct Cost]:[Building E&amp;I Costs]])</f>
        <v>337370.15382193681</v>
      </c>
      <c r="J12" s="24">
        <f t="shared" si="0"/>
        <v>16868507.691096842</v>
      </c>
      <c r="K12" s="24">
        <v>29262</v>
      </c>
      <c r="L12" s="24">
        <f t="shared" si="1"/>
        <v>11.529292386779332</v>
      </c>
      <c r="M12" s="24">
        <v>100</v>
      </c>
    </row>
    <row r="13" spans="1:13" x14ac:dyDescent="0.35">
      <c r="A13" s="22" t="s">
        <v>71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8000</v>
      </c>
      <c r="G13" s="24">
        <f>FTTC_Hybridpon_100!C$19</f>
        <v>170800</v>
      </c>
      <c r="H13" s="24">
        <f>FTTC_Hybridpon_100!D$19</f>
        <v>0</v>
      </c>
      <c r="I13" s="24">
        <f>SUM(Table717218[[#This Row],[Duct Cost]:[Building E&amp;I Costs]])</f>
        <v>250964.83355361945</v>
      </c>
      <c r="J13" s="24">
        <f t="shared" si="0"/>
        <v>12548241.677680973</v>
      </c>
      <c r="K13" s="24">
        <v>29262</v>
      </c>
      <c r="L13" s="24">
        <f t="shared" si="1"/>
        <v>8.5764757553694029</v>
      </c>
      <c r="M13" s="24">
        <v>100</v>
      </c>
    </row>
    <row r="14" spans="1:13" x14ac:dyDescent="0.35">
      <c r="A14" s="15" t="s">
        <v>72</v>
      </c>
      <c r="B14" s="16">
        <v>127537.82706687541</v>
      </c>
      <c r="C14" s="16">
        <v>242118.791987937</v>
      </c>
      <c r="D14" s="24">
        <f>27*Table717218[[#This Row],[Duct Length]]/50</f>
        <v>68870.426616112716</v>
      </c>
      <c r="E14" s="24">
        <f>0.3*Table717218[[#This Row],[Fiber Length]]/50</f>
        <v>1452.7127519276221</v>
      </c>
      <c r="F14" s="17">
        <f>FTTB_Hybridpon_100!B$18</f>
        <v>8800</v>
      </c>
      <c r="G14" s="17">
        <f>FTTB_Hybridpon_100!C$18</f>
        <v>3050</v>
      </c>
      <c r="H14" s="17">
        <f>FTTB_Hybridpon_100!D$18</f>
        <v>75000</v>
      </c>
      <c r="I14" s="24">
        <f>SUM(Table717218[[#This Row],[Duct Cost]:[Building E&amp;I Costs]])</f>
        <v>157173.13936804034</v>
      </c>
      <c r="J14" s="24">
        <f t="shared" si="0"/>
        <v>7858656.9684020169</v>
      </c>
      <c r="K14" s="24">
        <v>29262</v>
      </c>
      <c r="L14" s="24">
        <f t="shared" si="1"/>
        <v>5.3712370777130864</v>
      </c>
      <c r="M14" s="17">
        <v>100</v>
      </c>
    </row>
    <row r="47" spans="4:7" x14ac:dyDescent="0.35">
      <c r="D47" s="24" t="s">
        <v>1</v>
      </c>
      <c r="E47" s="24" t="s">
        <v>2</v>
      </c>
      <c r="F47" s="24" t="s">
        <v>127</v>
      </c>
      <c r="G47" s="24" t="s">
        <v>3</v>
      </c>
    </row>
    <row r="48" spans="4:7" x14ac:dyDescent="0.35">
      <c r="D48" s="37">
        <f>D2</f>
        <v>46411.622601241266</v>
      </c>
      <c r="E48" s="37">
        <f t="shared" ref="E48:F48" si="2">E2</f>
        <v>1539.8347599557078</v>
      </c>
      <c r="F48" s="37">
        <f t="shared" si="2"/>
        <v>2000</v>
      </c>
      <c r="G48">
        <f>G2+H2</f>
        <v>286120</v>
      </c>
    </row>
    <row r="49" spans="4:7" x14ac:dyDescent="0.35">
      <c r="D49" s="37">
        <f t="shared" ref="D49:F49" si="3">D3</f>
        <v>83454.683914942696</v>
      </c>
      <c r="E49" s="37">
        <f t="shared" si="3"/>
        <v>3844.3769660028456</v>
      </c>
      <c r="F49" s="37">
        <f t="shared" si="3"/>
        <v>2970</v>
      </c>
      <c r="G49" s="24">
        <f t="shared" ref="G49:G60" si="4">G3+H3</f>
        <v>75000</v>
      </c>
    </row>
    <row r="50" spans="4:7" x14ac:dyDescent="0.35">
      <c r="D50" s="37">
        <f t="shared" ref="D50:F50" si="5">D4</f>
        <v>51603.826048242438</v>
      </c>
      <c r="E50" s="37">
        <f t="shared" si="5"/>
        <v>4383.6369516535042</v>
      </c>
      <c r="F50" s="37">
        <f t="shared" si="5"/>
        <v>3900</v>
      </c>
      <c r="G50" s="24">
        <f t="shared" si="4"/>
        <v>75130</v>
      </c>
    </row>
    <row r="51" spans="4:7" x14ac:dyDescent="0.35">
      <c r="D51" s="37">
        <f t="shared" ref="D51:F51" si="6">D5</f>
        <v>51603.826048242438</v>
      </c>
      <c r="E51" s="37">
        <f t="shared" si="6"/>
        <v>4383.6369516535042</v>
      </c>
      <c r="F51" s="37">
        <f t="shared" si="6"/>
        <v>27300</v>
      </c>
      <c r="G51" s="24">
        <f t="shared" si="4"/>
        <v>210910</v>
      </c>
    </row>
    <row r="52" spans="4:7" x14ac:dyDescent="0.35">
      <c r="D52" s="37">
        <f t="shared" ref="D52:F52" si="7">D6</f>
        <v>83454.683914942696</v>
      </c>
      <c r="E52" s="37">
        <f t="shared" si="7"/>
        <v>3844.3769660028456</v>
      </c>
      <c r="F52" s="37">
        <f t="shared" si="7"/>
        <v>11880</v>
      </c>
      <c r="G52" s="24">
        <f t="shared" si="4"/>
        <v>182496</v>
      </c>
    </row>
    <row r="53" spans="4:7" x14ac:dyDescent="0.35">
      <c r="D53" s="37">
        <f t="shared" ref="D53:F53" si="8">D7</f>
        <v>46411.622601241266</v>
      </c>
      <c r="E53" s="37">
        <f t="shared" si="8"/>
        <v>1539.8347599557078</v>
      </c>
      <c r="F53" s="37">
        <f t="shared" si="8"/>
        <v>5400</v>
      </c>
      <c r="G53" s="24">
        <f t="shared" si="4"/>
        <v>99520</v>
      </c>
    </row>
    <row r="54" spans="4:7" x14ac:dyDescent="0.35">
      <c r="D54" s="37">
        <f t="shared" ref="D54:F54" si="9">D8</f>
        <v>83454.683914942696</v>
      </c>
      <c r="E54" s="37">
        <f t="shared" si="9"/>
        <v>3844.3769660028456</v>
      </c>
      <c r="F54" s="37">
        <f t="shared" si="9"/>
        <v>5940</v>
      </c>
      <c r="G54" s="24">
        <f t="shared" si="4"/>
        <v>76275</v>
      </c>
    </row>
    <row r="55" spans="4:7" x14ac:dyDescent="0.35">
      <c r="D55" s="37">
        <f t="shared" ref="D55:F55" si="10">D9</f>
        <v>51603.826048242438</v>
      </c>
      <c r="E55" s="37">
        <f t="shared" si="10"/>
        <v>4383.6369516535042</v>
      </c>
      <c r="F55" s="37">
        <f t="shared" si="10"/>
        <v>7800</v>
      </c>
      <c r="G55" s="24">
        <f t="shared" si="4"/>
        <v>152600</v>
      </c>
    </row>
    <row r="56" spans="4:7" x14ac:dyDescent="0.35">
      <c r="D56" s="37">
        <f t="shared" ref="D56:F56" si="11">D10</f>
        <v>68386.565042534159</v>
      </c>
      <c r="E56" s="37">
        <f t="shared" si="11"/>
        <v>3778.2685110852781</v>
      </c>
      <c r="F56" s="37">
        <f t="shared" si="11"/>
        <v>2000</v>
      </c>
      <c r="G56" s="24">
        <f t="shared" si="4"/>
        <v>161650</v>
      </c>
    </row>
    <row r="57" spans="4:7" x14ac:dyDescent="0.35">
      <c r="D57" s="37">
        <f t="shared" ref="D57:F57" si="12">D11</f>
        <v>68870.426616112716</v>
      </c>
      <c r="E57" s="37">
        <f t="shared" si="12"/>
        <v>3663.5010909611156</v>
      </c>
      <c r="F57" s="37">
        <f t="shared" si="12"/>
        <v>4400</v>
      </c>
      <c r="G57" s="24">
        <f t="shared" si="4"/>
        <v>92100</v>
      </c>
    </row>
    <row r="58" spans="4:7" x14ac:dyDescent="0.35">
      <c r="D58" s="37">
        <f t="shared" ref="D58:F58" si="13">D12</f>
        <v>68870.426616112716</v>
      </c>
      <c r="E58" s="37">
        <f t="shared" si="13"/>
        <v>16649.727205824103</v>
      </c>
      <c r="F58" s="37">
        <f t="shared" si="13"/>
        <v>8800</v>
      </c>
      <c r="G58" s="24">
        <f t="shared" si="4"/>
        <v>243050</v>
      </c>
    </row>
    <row r="59" spans="4:7" x14ac:dyDescent="0.35">
      <c r="D59" s="37">
        <f t="shared" ref="D59:F59" si="14">D13</f>
        <v>68386.565042534159</v>
      </c>
      <c r="E59" s="37">
        <f t="shared" si="14"/>
        <v>3778.2685110852781</v>
      </c>
      <c r="F59" s="37">
        <f t="shared" si="14"/>
        <v>8000</v>
      </c>
      <c r="G59" s="24">
        <f t="shared" si="4"/>
        <v>170800</v>
      </c>
    </row>
    <row r="60" spans="4:7" x14ac:dyDescent="0.35">
      <c r="D60" s="37">
        <f t="shared" ref="D60:F61" si="15">D14</f>
        <v>68870.426616112716</v>
      </c>
      <c r="E60" s="37">
        <f t="shared" si="15"/>
        <v>1452.7127519276221</v>
      </c>
      <c r="F60" s="37">
        <f t="shared" si="15"/>
        <v>8800</v>
      </c>
      <c r="G60" s="24">
        <f t="shared" si="4"/>
        <v>78050</v>
      </c>
    </row>
    <row r="61" spans="4:7" x14ac:dyDescent="0.35">
      <c r="D61" s="37">
        <f>D15</f>
        <v>0</v>
      </c>
      <c r="E61" s="37">
        <f t="shared" si="15"/>
        <v>0</v>
      </c>
      <c r="F61" s="37">
        <f t="shared" si="15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9"/>
  <sheetViews>
    <sheetView tabSelected="1" topLeftCell="B10" zoomScale="80" zoomScaleNormal="80" workbookViewId="0">
      <selection activeCell="B19" sqref="B19:F31"/>
    </sheetView>
  </sheetViews>
  <sheetFormatPr defaultRowHeight="14.5" x14ac:dyDescent="0.35"/>
  <cols>
    <col min="1" max="4" width="36.26953125" customWidth="1"/>
    <col min="5" max="5" width="32.81640625" customWidth="1"/>
    <col min="6" max="6" width="36.7265625" customWidth="1"/>
    <col min="7" max="8" width="29.54296875" customWidth="1"/>
    <col min="9" max="9" width="32.7265625" customWidth="1"/>
    <col min="10" max="10" width="30.1796875" customWidth="1"/>
    <col min="11" max="11" width="18.81640625" customWidth="1"/>
  </cols>
  <sheetData>
    <row r="1" spans="1:11" x14ac:dyDescent="0.35">
      <c r="A1" t="s">
        <v>57</v>
      </c>
    </row>
    <row r="2" spans="1:11" x14ac:dyDescent="0.35">
      <c r="A2" t="s">
        <v>49</v>
      </c>
      <c r="B2" t="s">
        <v>1</v>
      </c>
      <c r="C2" t="s">
        <v>2</v>
      </c>
      <c r="D2" t="s">
        <v>61</v>
      </c>
      <c r="E2" t="s">
        <v>59</v>
      </c>
      <c r="F2" t="s">
        <v>60</v>
      </c>
      <c r="G2" t="s">
        <v>146</v>
      </c>
      <c r="H2" t="s">
        <v>55</v>
      </c>
      <c r="I2" t="s">
        <v>56</v>
      </c>
      <c r="J2" t="s">
        <v>113</v>
      </c>
      <c r="K2" t="s">
        <v>58</v>
      </c>
    </row>
    <row r="3" spans="1:11" x14ac:dyDescent="0.35">
      <c r="A3" t="s">
        <v>138</v>
      </c>
      <c r="B3">
        <v>96261.143172944852</v>
      </c>
      <c r="C3">
        <v>5.1327825331856927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257876.76484436693</v>
      </c>
      <c r="H3">
        <f t="shared" ref="H3:H15" si="0">G3*50</f>
        <v>12893838.242218347</v>
      </c>
      <c r="I3">
        <v>29262</v>
      </c>
      <c r="J3">
        <f>G3/I3</f>
        <v>8.812684192617283</v>
      </c>
      <c r="K3">
        <v>25</v>
      </c>
    </row>
    <row r="4" spans="1:11" x14ac:dyDescent="0.35">
      <c r="A4" t="s">
        <v>51</v>
      </c>
      <c r="B4">
        <v>146337.87420813384</v>
      </c>
      <c r="C4">
        <v>12.814589886676153</v>
      </c>
      <c r="D4">
        <f>'FTTB XGPON 50 Mbps'!B$17</f>
        <v>6405.333333333333</v>
      </c>
      <c r="E4" s="24">
        <f>'FTTB XGPON 50 Mbps'!C$17</f>
        <v>3250.8</v>
      </c>
      <c r="F4" s="24">
        <f>'FTTB XGPON 50 Mbps'!D$17</f>
        <v>60500</v>
      </c>
      <c r="G4" s="13">
        <f>SUM(B4:F4)</f>
        <v>216506.82213135384</v>
      </c>
      <c r="H4" s="19">
        <f t="shared" si="0"/>
        <v>10825341.106567692</v>
      </c>
      <c r="I4">
        <v>29262</v>
      </c>
      <c r="J4" s="24">
        <f t="shared" ref="J4:J15" si="1">G4/I4</f>
        <v>7.398907187866647</v>
      </c>
      <c r="K4">
        <v>50</v>
      </c>
    </row>
    <row r="5" spans="1:11" x14ac:dyDescent="0.35">
      <c r="A5" t="s">
        <v>135</v>
      </c>
      <c r="B5">
        <v>78872.086550701642</v>
      </c>
      <c r="C5">
        <v>14.612123172178348</v>
      </c>
      <c r="D5">
        <f>'FTTB WR-WDMPON 50 Mbps'!B15</f>
        <v>5299.166666666667</v>
      </c>
      <c r="E5" s="24">
        <f>'FTTB WR-WDMPON 50 Mbps'!C15</f>
        <v>1560</v>
      </c>
      <c r="F5" s="24">
        <f>'FTTB WR-WDMPON 50 Mbps'!D15</f>
        <v>60500</v>
      </c>
      <c r="G5" s="13">
        <f t="shared" ref="G5:G6" si="2">SUM(B5:F5)</f>
        <v>146245.86534054048</v>
      </c>
      <c r="H5" s="19">
        <f t="shared" si="0"/>
        <v>7312293.2670270242</v>
      </c>
      <c r="I5">
        <v>29262</v>
      </c>
      <c r="J5" s="24">
        <f t="shared" si="1"/>
        <v>4.997808261244634</v>
      </c>
      <c r="K5">
        <v>50</v>
      </c>
    </row>
    <row r="6" spans="1:11" x14ac:dyDescent="0.35">
      <c r="A6" t="s">
        <v>136</v>
      </c>
      <c r="B6">
        <v>78872.086550701642</v>
      </c>
      <c r="C6">
        <v>14.612123172178348</v>
      </c>
      <c r="D6">
        <f>'FTTH WR-WDMPON 100 Mbps'!B15</f>
        <v>41616.833333333336</v>
      </c>
      <c r="E6" s="24">
        <f>'FTTH WR-WDMPON 100 Mbps'!C15</f>
        <v>10920</v>
      </c>
      <c r="F6" s="24">
        <f>'FTTH WR-WDMPON 100 Mbps'!D15</f>
        <v>159000</v>
      </c>
      <c r="G6" s="13">
        <f t="shared" si="2"/>
        <v>290423.53200720716</v>
      </c>
      <c r="H6" s="19">
        <f t="shared" si="0"/>
        <v>14521176.600360358</v>
      </c>
      <c r="I6">
        <v>29262</v>
      </c>
      <c r="J6" s="24">
        <f t="shared" si="1"/>
        <v>9.9249378718887016</v>
      </c>
      <c r="K6">
        <v>100</v>
      </c>
    </row>
    <row r="7" spans="1:11" x14ac:dyDescent="0.35">
      <c r="A7" t="s">
        <v>54</v>
      </c>
      <c r="B7">
        <v>146337.87420813384</v>
      </c>
      <c r="C7">
        <v>12.814589886676153</v>
      </c>
      <c r="D7">
        <f>'FTTH XGPON 100 Mbps'!B17</f>
        <v>20010.666666666668</v>
      </c>
      <c r="E7" s="24">
        <f>'FTTH XGPON 100 Mbps'!C17</f>
        <v>8011.2</v>
      </c>
      <c r="F7" s="24">
        <f>'FTTH XGPON 100 Mbps'!D17</f>
        <v>152778.6</v>
      </c>
      <c r="G7" s="13">
        <f>SUM(B7:F7)</f>
        <v>327151.15546468715</v>
      </c>
      <c r="H7" s="19">
        <f t="shared" si="0"/>
        <v>16357557.773234358</v>
      </c>
      <c r="I7">
        <v>29262</v>
      </c>
      <c r="J7" s="24">
        <f t="shared" si="1"/>
        <v>11.180068193038315</v>
      </c>
      <c r="K7">
        <v>100</v>
      </c>
    </row>
    <row r="8" spans="1:11" x14ac:dyDescent="0.35">
      <c r="A8" t="s">
        <v>169</v>
      </c>
      <c r="B8" s="13">
        <v>96261.143172944852</v>
      </c>
      <c r="C8" s="13">
        <v>5.1327825331856927</v>
      </c>
      <c r="D8" s="13">
        <f>FTTCab_GPON_100!B16</f>
        <v>5802.666666666667</v>
      </c>
      <c r="E8" s="24">
        <f>FTTCab_GPON_100!C16</f>
        <v>163051.20000000001</v>
      </c>
      <c r="F8" s="24">
        <f>FTTCab_GPON_100!D16</f>
        <v>0</v>
      </c>
      <c r="G8">
        <f>SUM(B8:F8)</f>
        <v>265120.14262214472</v>
      </c>
      <c r="H8" s="19">
        <f t="shared" si="0"/>
        <v>13256007.131107235</v>
      </c>
      <c r="I8" s="13">
        <v>29262</v>
      </c>
      <c r="J8" s="24">
        <f t="shared" si="1"/>
        <v>9.0602194867796015</v>
      </c>
      <c r="K8" s="13">
        <v>100</v>
      </c>
    </row>
    <row r="9" spans="1:11" x14ac:dyDescent="0.35">
      <c r="A9" t="s">
        <v>66</v>
      </c>
      <c r="B9" s="13">
        <v>146337.87420813384</v>
      </c>
      <c r="C9" s="13">
        <v>12.814589886676153</v>
      </c>
      <c r="D9">
        <f>FTTB_XGPON_100!B16</f>
        <v>10322.666666666666</v>
      </c>
      <c r="E9">
        <f>FTTB_XGPON_100!C16</f>
        <v>2002.8</v>
      </c>
      <c r="F9">
        <f>FTTB_XGPON_100!D16</f>
        <v>57548.6</v>
      </c>
      <c r="G9">
        <f>SUM(B9:F9)</f>
        <v>216224.75546468716</v>
      </c>
      <c r="H9" s="19">
        <f t="shared" si="0"/>
        <v>10811237.773234358</v>
      </c>
      <c r="I9" s="13">
        <v>29262</v>
      </c>
      <c r="J9" s="24">
        <f t="shared" si="1"/>
        <v>7.3892678376285676</v>
      </c>
      <c r="K9" s="13">
        <v>100</v>
      </c>
    </row>
    <row r="10" spans="1:11" x14ac:dyDescent="0.35">
      <c r="A10" s="13" t="s">
        <v>137</v>
      </c>
      <c r="B10" s="13">
        <v>78872.086550701642</v>
      </c>
      <c r="C10" s="13">
        <v>14.612123172178348</v>
      </c>
      <c r="D10">
        <f>FTTB_WRWDM_100!B14</f>
        <v>11664.333333333334</v>
      </c>
      <c r="E10" s="24">
        <f>FTTB_WRWDM_100!C14</f>
        <v>3120</v>
      </c>
      <c r="F10" s="24">
        <f>FTTB_WRWDM_100!D14</f>
        <v>123000</v>
      </c>
      <c r="G10">
        <f>SUM(B10:F10)</f>
        <v>216671.03200720716</v>
      </c>
      <c r="H10" s="19">
        <f t="shared" si="0"/>
        <v>10833551.600360358</v>
      </c>
      <c r="I10" s="13">
        <v>29262</v>
      </c>
      <c r="J10" s="24">
        <f t="shared" si="1"/>
        <v>7.4045188984760841</v>
      </c>
      <c r="K10" s="13">
        <v>100</v>
      </c>
    </row>
    <row r="11" spans="1:11" x14ac:dyDescent="0.35">
      <c r="A11" s="18" t="s">
        <v>68</v>
      </c>
      <c r="B11">
        <v>114876.35990534152</v>
      </c>
      <c r="C11">
        <v>12.594228370284263</v>
      </c>
      <c r="D11">
        <f>FTTCab_Hybridpon_25!B16</f>
        <v>4000</v>
      </c>
      <c r="E11" s="24">
        <f>FTTCab_Hybridpon_25!C16</f>
        <v>96145</v>
      </c>
      <c r="F11" s="24">
        <f>FTTCab_Hybridpon_25!D16</f>
        <v>0</v>
      </c>
      <c r="G11">
        <f t="shared" ref="G11:G15" si="3">SUM(B11:F11)</f>
        <v>215033.95413371181</v>
      </c>
      <c r="H11" s="19">
        <f t="shared" si="0"/>
        <v>10751697.706685591</v>
      </c>
      <c r="I11" s="19">
        <v>29262</v>
      </c>
      <c r="J11" s="24">
        <f t="shared" si="1"/>
        <v>7.3485733761776988</v>
      </c>
      <c r="K11">
        <v>25</v>
      </c>
    </row>
    <row r="12" spans="1:11" x14ac:dyDescent="0.35">
      <c r="A12" s="18" t="s">
        <v>69</v>
      </c>
      <c r="B12">
        <v>115530.46906962365</v>
      </c>
      <c r="C12">
        <v>12.211670303203721</v>
      </c>
      <c r="D12">
        <f>FTTB_Hybridpon_50!B15</f>
        <v>7280</v>
      </c>
      <c r="E12" s="24">
        <f>FTTB_Hybridpon_50!C15</f>
        <v>466.5</v>
      </c>
      <c r="F12" s="24">
        <f>FTTB_Hybridpon_50!D15</f>
        <v>55500</v>
      </c>
      <c r="G12">
        <f t="shared" si="3"/>
        <v>178789.18073992687</v>
      </c>
      <c r="H12" s="19">
        <f t="shared" si="0"/>
        <v>8939459.0369963441</v>
      </c>
      <c r="I12" s="19">
        <v>29262</v>
      </c>
      <c r="J12" s="24">
        <f t="shared" si="1"/>
        <v>6.1099439799031803</v>
      </c>
      <c r="K12">
        <v>50</v>
      </c>
    </row>
    <row r="13" spans="1:11" x14ac:dyDescent="0.35">
      <c r="A13" s="18" t="s">
        <v>70</v>
      </c>
      <c r="B13">
        <v>115530.46906962365</v>
      </c>
      <c r="C13">
        <v>10.331648594515361</v>
      </c>
      <c r="D13">
        <f>FTTH_Hybridpon_100!B15</f>
        <v>14160</v>
      </c>
      <c r="E13" s="24">
        <f>FTTH_Hybridpon_100!C15</f>
        <v>385</v>
      </c>
      <c r="F13" s="24">
        <f>FTTH_Hybridpon_100!D15</f>
        <v>108000</v>
      </c>
      <c r="G13">
        <f t="shared" si="3"/>
        <v>238085.80071821815</v>
      </c>
      <c r="H13" s="19">
        <f t="shared" si="0"/>
        <v>11904290.035910908</v>
      </c>
      <c r="I13" s="19">
        <v>29262</v>
      </c>
      <c r="J13" s="24">
        <f t="shared" si="1"/>
        <v>8.1363475059195594</v>
      </c>
      <c r="K13">
        <v>100</v>
      </c>
    </row>
    <row r="14" spans="1:11" x14ac:dyDescent="0.35">
      <c r="A14" s="18" t="s">
        <v>71</v>
      </c>
      <c r="B14">
        <v>114876.35990534152</v>
      </c>
      <c r="C14">
        <v>12.594228370284263</v>
      </c>
      <c r="D14">
        <f>FTTC_Hybridpon_100!B16</f>
        <v>27600</v>
      </c>
      <c r="E14" s="24">
        <f>FTTC_Hybridpon_100!C16</f>
        <v>105356</v>
      </c>
      <c r="F14" s="24">
        <f>FTTC_Hybridpon_100!D16</f>
        <v>0</v>
      </c>
      <c r="G14">
        <f t="shared" si="3"/>
        <v>247844.95413371181</v>
      </c>
      <c r="H14" s="19">
        <f t="shared" si="0"/>
        <v>12392247.706685591</v>
      </c>
      <c r="I14" s="19">
        <v>29262</v>
      </c>
      <c r="J14" s="24">
        <f t="shared" si="1"/>
        <v>8.4698569521465323</v>
      </c>
      <c r="K14">
        <v>100</v>
      </c>
    </row>
    <row r="15" spans="1:11" x14ac:dyDescent="0.35">
      <c r="A15" s="15" t="s">
        <v>72</v>
      </c>
      <c r="B15" s="17">
        <v>115530.46906962365</v>
      </c>
      <c r="C15" s="17">
        <v>9.5120485945153614</v>
      </c>
      <c r="D15" s="17">
        <f>FTTB_Hybridpon_100!B15</f>
        <v>14160</v>
      </c>
      <c r="E15" s="17">
        <f>FTTB_Hybridpon_100!C15</f>
        <v>466.5</v>
      </c>
      <c r="F15" s="17">
        <f>FTTB_Hybridpon_100!D15</f>
        <v>66500</v>
      </c>
      <c r="G15" s="17">
        <f t="shared" si="3"/>
        <v>196666.48111821816</v>
      </c>
      <c r="H15" s="19">
        <f t="shared" si="0"/>
        <v>9833324.0559109077</v>
      </c>
      <c r="I15" s="21">
        <v>29262</v>
      </c>
      <c r="J15" s="24">
        <f t="shared" si="1"/>
        <v>6.7208830947378226</v>
      </c>
      <c r="K15" s="17">
        <v>100</v>
      </c>
    </row>
    <row r="18" spans="1:7" x14ac:dyDescent="0.35">
      <c r="A18" s="41" t="s">
        <v>49</v>
      </c>
      <c r="B18" s="42" t="s">
        <v>1</v>
      </c>
      <c r="C18" s="42" t="s">
        <v>2</v>
      </c>
      <c r="D18" s="42" t="s">
        <v>61</v>
      </c>
      <c r="E18" s="42" t="s">
        <v>59</v>
      </c>
      <c r="F18" s="42" t="s">
        <v>60</v>
      </c>
      <c r="G18" s="42" t="s">
        <v>146</v>
      </c>
    </row>
    <row r="19" spans="1:7" x14ac:dyDescent="0.35">
      <c r="A19" s="43" t="s">
        <v>138</v>
      </c>
      <c r="B19">
        <f>B3/29262</f>
        <v>3.2896296621196384</v>
      </c>
      <c r="C19" s="24">
        <f t="shared" ref="C19:G19" si="4">C3/29262</f>
        <v>1.7540778255709428E-4</v>
      </c>
      <c r="D19" s="24">
        <f t="shared" si="4"/>
        <v>0.10446616392894842</v>
      </c>
      <c r="E19" s="24">
        <f t="shared" si="4"/>
        <v>5.4184129587861394</v>
      </c>
      <c r="F19" s="24">
        <f t="shared" si="4"/>
        <v>0</v>
      </c>
      <c r="G19" s="24">
        <f t="shared" si="4"/>
        <v>8.812684192617283</v>
      </c>
    </row>
    <row r="20" spans="1:7" x14ac:dyDescent="0.35">
      <c r="A20" s="44" t="s">
        <v>51</v>
      </c>
      <c r="B20" s="24">
        <f t="shared" ref="B20:G31" si="5">B4/29262</f>
        <v>5.0009525735812259</v>
      </c>
      <c r="C20" s="24">
        <f t="shared" si="5"/>
        <v>4.3792597521277266E-4</v>
      </c>
      <c r="D20" s="24">
        <f t="shared" si="5"/>
        <v>0.21889595151846536</v>
      </c>
      <c r="E20" s="24">
        <f t="shared" si="5"/>
        <v>0.11109288497026862</v>
      </c>
      <c r="F20" s="24">
        <f t="shared" si="5"/>
        <v>2.0675278518214748</v>
      </c>
      <c r="G20" s="24">
        <f t="shared" si="5"/>
        <v>7.398907187866647</v>
      </c>
    </row>
    <row r="21" spans="1:7" x14ac:dyDescent="0.35">
      <c r="A21" s="43" t="s">
        <v>135</v>
      </c>
      <c r="B21" s="24">
        <f t="shared" si="5"/>
        <v>2.6953757962785061</v>
      </c>
      <c r="C21" s="24">
        <f t="shared" si="5"/>
        <v>4.9935490302024292E-4</v>
      </c>
      <c r="D21" s="24">
        <f t="shared" si="5"/>
        <v>0.18109379627731073</v>
      </c>
      <c r="E21" s="24">
        <f t="shared" si="5"/>
        <v>5.3311461964322328E-2</v>
      </c>
      <c r="F21" s="24">
        <f t="shared" si="5"/>
        <v>2.0675278518214748</v>
      </c>
      <c r="G21" s="24">
        <f t="shared" si="5"/>
        <v>4.997808261244634</v>
      </c>
    </row>
    <row r="22" spans="1:7" x14ac:dyDescent="0.35">
      <c r="A22" s="44" t="s">
        <v>136</v>
      </c>
      <c r="B22" s="24">
        <f t="shared" si="5"/>
        <v>2.6953757962785061</v>
      </c>
      <c r="C22" s="24">
        <f t="shared" si="5"/>
        <v>4.9935490302024292E-4</v>
      </c>
      <c r="D22" s="24">
        <f t="shared" si="5"/>
        <v>1.4222142482856037</v>
      </c>
      <c r="E22" s="24">
        <f t="shared" si="5"/>
        <v>0.37318023375025633</v>
      </c>
      <c r="F22" s="24">
        <f t="shared" si="5"/>
        <v>5.4336682386713147</v>
      </c>
      <c r="G22" s="24">
        <f t="shared" si="5"/>
        <v>9.9249378718887016</v>
      </c>
    </row>
    <row r="23" spans="1:7" x14ac:dyDescent="0.35">
      <c r="A23" s="43" t="s">
        <v>54</v>
      </c>
      <c r="B23" s="24">
        <f t="shared" si="5"/>
        <v>5.0009525735812259</v>
      </c>
      <c r="C23" s="24">
        <f t="shared" si="5"/>
        <v>4.3792597521277266E-4</v>
      </c>
      <c r="D23" s="24">
        <f t="shared" si="5"/>
        <v>0.68384480441072615</v>
      </c>
      <c r="E23" s="24">
        <f t="shared" si="5"/>
        <v>0.27377486159524295</v>
      </c>
      <c r="F23" s="24">
        <f t="shared" si="5"/>
        <v>5.2210580274759071</v>
      </c>
      <c r="G23" s="24">
        <f t="shared" si="5"/>
        <v>11.180068193038315</v>
      </c>
    </row>
    <row r="24" spans="1:7" x14ac:dyDescent="0.35">
      <c r="A24" s="44" t="s">
        <v>169</v>
      </c>
      <c r="B24" s="24">
        <f t="shared" si="5"/>
        <v>3.2896296621196384</v>
      </c>
      <c r="C24" s="24">
        <f t="shared" si="5"/>
        <v>1.7540778255709428E-4</v>
      </c>
      <c r="D24" s="24">
        <f t="shared" si="5"/>
        <v>0.19830041236643658</v>
      </c>
      <c r="E24" s="24">
        <f t="shared" si="5"/>
        <v>5.5721140045109703</v>
      </c>
      <c r="F24" s="24">
        <f t="shared" si="5"/>
        <v>0</v>
      </c>
      <c r="G24" s="24">
        <f t="shared" si="5"/>
        <v>9.0602194867796015</v>
      </c>
    </row>
    <row r="25" spans="1:7" x14ac:dyDescent="0.35">
      <c r="A25" s="43" t="s">
        <v>66</v>
      </c>
      <c r="B25" s="24">
        <f t="shared" si="5"/>
        <v>5.0009525735812259</v>
      </c>
      <c r="C25" s="24">
        <f t="shared" si="5"/>
        <v>4.3792597521277266E-4</v>
      </c>
      <c r="D25" s="24">
        <f t="shared" si="5"/>
        <v>0.35276695600665253</v>
      </c>
      <c r="E25" s="24">
        <f t="shared" si="5"/>
        <v>6.8443715398810737E-2</v>
      </c>
      <c r="F25" s="24">
        <f t="shared" si="5"/>
        <v>1.9666666666666666</v>
      </c>
      <c r="G25" s="24">
        <f t="shared" si="5"/>
        <v>7.3892678376285676</v>
      </c>
    </row>
    <row r="26" spans="1:7" x14ac:dyDescent="0.35">
      <c r="A26" s="44" t="s">
        <v>137</v>
      </c>
      <c r="B26" s="24">
        <f t="shared" si="5"/>
        <v>2.6953757962785061</v>
      </c>
      <c r="C26" s="24">
        <f t="shared" si="5"/>
        <v>4.9935490302024292E-4</v>
      </c>
      <c r="D26" s="24">
        <f t="shared" si="5"/>
        <v>0.39861709156357505</v>
      </c>
      <c r="E26" s="24">
        <f t="shared" si="5"/>
        <v>0.10662292392864466</v>
      </c>
      <c r="F26" s="24">
        <f t="shared" si="5"/>
        <v>4.2034037318023376</v>
      </c>
      <c r="G26" s="24">
        <f t="shared" si="5"/>
        <v>7.4045188984760841</v>
      </c>
    </row>
    <row r="27" spans="1:7" x14ac:dyDescent="0.35">
      <c r="A27" s="45" t="s">
        <v>68</v>
      </c>
      <c r="B27" s="24">
        <f t="shared" si="5"/>
        <v>3.9257863408291138</v>
      </c>
      <c r="C27" s="24">
        <f t="shared" si="5"/>
        <v>4.3039533764897353E-4</v>
      </c>
      <c r="D27" s="24">
        <f t="shared" si="5"/>
        <v>0.13669605631877521</v>
      </c>
      <c r="E27" s="24">
        <f t="shared" si="5"/>
        <v>3.2856605836921604</v>
      </c>
      <c r="F27" s="24">
        <f t="shared" si="5"/>
        <v>0</v>
      </c>
      <c r="G27" s="24">
        <f t="shared" si="5"/>
        <v>7.3485733761776988</v>
      </c>
    </row>
    <row r="28" spans="1:7" x14ac:dyDescent="0.35">
      <c r="A28" s="46" t="s">
        <v>69</v>
      </c>
      <c r="B28" s="24">
        <f t="shared" si="5"/>
        <v>3.9481398766189479</v>
      </c>
      <c r="C28" s="24">
        <f t="shared" si="5"/>
        <v>4.1732179287826262E-4</v>
      </c>
      <c r="D28" s="24">
        <f t="shared" si="5"/>
        <v>0.24878682250017087</v>
      </c>
      <c r="E28" s="24">
        <f t="shared" si="5"/>
        <v>1.5942177568177156E-2</v>
      </c>
      <c r="F28" s="24">
        <f t="shared" si="5"/>
        <v>1.8966577814230059</v>
      </c>
      <c r="G28" s="24">
        <f t="shared" si="5"/>
        <v>6.1099439799031803</v>
      </c>
    </row>
    <row r="29" spans="1:7" x14ac:dyDescent="0.35">
      <c r="A29" s="45" t="s">
        <v>70</v>
      </c>
      <c r="B29" s="24">
        <f t="shared" si="5"/>
        <v>3.9481398766189479</v>
      </c>
      <c r="C29" s="24">
        <f t="shared" si="5"/>
        <v>3.5307390453541659E-4</v>
      </c>
      <c r="D29" s="24">
        <f t="shared" si="5"/>
        <v>0.48390403936846421</v>
      </c>
      <c r="E29" s="24">
        <f t="shared" si="5"/>
        <v>1.3156995420682114E-2</v>
      </c>
      <c r="F29" s="24">
        <f t="shared" si="5"/>
        <v>3.6907935206069307</v>
      </c>
      <c r="G29" s="24">
        <f t="shared" si="5"/>
        <v>8.1363475059195594</v>
      </c>
    </row>
    <row r="30" spans="1:7" x14ac:dyDescent="0.35">
      <c r="A30" s="46" t="s">
        <v>71</v>
      </c>
      <c r="B30" s="24">
        <f t="shared" si="5"/>
        <v>3.9257863408291138</v>
      </c>
      <c r="C30" s="24">
        <f t="shared" si="5"/>
        <v>4.3039533764897353E-4</v>
      </c>
      <c r="D30" s="24">
        <f t="shared" si="5"/>
        <v>0.94320278859954887</v>
      </c>
      <c r="E30" s="24">
        <f t="shared" si="5"/>
        <v>3.60043742738022</v>
      </c>
      <c r="F30" s="24">
        <f t="shared" si="5"/>
        <v>0</v>
      </c>
      <c r="G30" s="24">
        <f t="shared" si="5"/>
        <v>8.4698569521465323</v>
      </c>
    </row>
    <row r="31" spans="1:7" x14ac:dyDescent="0.35">
      <c r="A31" s="47" t="s">
        <v>72</v>
      </c>
      <c r="B31" s="24">
        <f t="shared" si="5"/>
        <v>3.9481398766189479</v>
      </c>
      <c r="C31" s="24">
        <f t="shared" si="5"/>
        <v>3.2506488259569961E-4</v>
      </c>
      <c r="D31" s="24">
        <f t="shared" si="5"/>
        <v>0.48390403936846421</v>
      </c>
      <c r="E31" s="24">
        <f t="shared" si="5"/>
        <v>1.5942177568177156E-2</v>
      </c>
      <c r="F31" s="24">
        <f t="shared" si="5"/>
        <v>2.2725719362996379</v>
      </c>
      <c r="G31" s="24">
        <f t="shared" si="5"/>
        <v>6.7208830947378226</v>
      </c>
    </row>
    <row r="56" spans="3:6" x14ac:dyDescent="0.35">
      <c r="C56" s="22" t="s">
        <v>1</v>
      </c>
      <c r="D56" s="22" t="s">
        <v>2</v>
      </c>
      <c r="E56" s="22" t="s">
        <v>78</v>
      </c>
      <c r="F56" s="22" t="s">
        <v>3</v>
      </c>
    </row>
    <row r="57" spans="3:6" x14ac:dyDescent="0.35">
      <c r="C57">
        <f>B3</f>
        <v>96261.143172944852</v>
      </c>
      <c r="D57" s="24">
        <f t="shared" ref="D57:E57" si="6">C3</f>
        <v>5.1327825331856927</v>
      </c>
      <c r="E57" s="24">
        <f t="shared" si="6"/>
        <v>3056.8888888888887</v>
      </c>
      <c r="F57">
        <f>E3+F3</f>
        <v>158553.60000000001</v>
      </c>
    </row>
    <row r="58" spans="3:6" x14ac:dyDescent="0.35">
      <c r="C58" s="24">
        <f t="shared" ref="C58:E58" si="7">B4</f>
        <v>146337.87420813384</v>
      </c>
      <c r="D58" s="24">
        <f t="shared" si="7"/>
        <v>12.814589886676153</v>
      </c>
      <c r="E58" s="24">
        <f t="shared" si="7"/>
        <v>6405.333333333333</v>
      </c>
      <c r="F58" s="21">
        <f t="shared" ref="F58:F69" si="8">E4+F4</f>
        <v>63750.8</v>
      </c>
    </row>
    <row r="59" spans="3:6" x14ac:dyDescent="0.35">
      <c r="C59" s="24">
        <f t="shared" ref="C59:E59" si="9">B5</f>
        <v>78872.086550701642</v>
      </c>
      <c r="D59" s="24">
        <f t="shared" si="9"/>
        <v>14.612123172178348</v>
      </c>
      <c r="E59" s="24">
        <f t="shared" si="9"/>
        <v>5299.166666666667</v>
      </c>
      <c r="F59" s="21">
        <f t="shared" si="8"/>
        <v>62060</v>
      </c>
    </row>
    <row r="60" spans="3:6" x14ac:dyDescent="0.35">
      <c r="C60" s="24">
        <f t="shared" ref="C60:E60" si="10">B6</f>
        <v>78872.086550701642</v>
      </c>
      <c r="D60" s="24">
        <f t="shared" si="10"/>
        <v>14.612123172178348</v>
      </c>
      <c r="E60" s="24">
        <f t="shared" si="10"/>
        <v>41616.833333333336</v>
      </c>
      <c r="F60" s="21">
        <f t="shared" si="8"/>
        <v>169920</v>
      </c>
    </row>
    <row r="61" spans="3:6" x14ac:dyDescent="0.35">
      <c r="C61" s="24">
        <f t="shared" ref="C61:E61" si="11">B7</f>
        <v>146337.87420813384</v>
      </c>
      <c r="D61" s="24">
        <f t="shared" si="11"/>
        <v>12.814589886676153</v>
      </c>
      <c r="E61" s="24">
        <f t="shared" si="11"/>
        <v>20010.666666666668</v>
      </c>
      <c r="F61" s="21">
        <f t="shared" si="8"/>
        <v>160789.80000000002</v>
      </c>
    </row>
    <row r="62" spans="3:6" x14ac:dyDescent="0.35">
      <c r="C62" s="24">
        <f t="shared" ref="C62:E62" si="12">B8</f>
        <v>96261.143172944852</v>
      </c>
      <c r="D62" s="24">
        <f t="shared" si="12"/>
        <v>5.1327825331856927</v>
      </c>
      <c r="E62" s="24">
        <f t="shared" si="12"/>
        <v>5802.666666666667</v>
      </c>
      <c r="F62" s="21">
        <f t="shared" si="8"/>
        <v>163051.20000000001</v>
      </c>
    </row>
    <row r="63" spans="3:6" x14ac:dyDescent="0.35">
      <c r="C63" s="24">
        <f t="shared" ref="C63:E63" si="13">B9</f>
        <v>146337.87420813384</v>
      </c>
      <c r="D63" s="24">
        <f t="shared" si="13"/>
        <v>12.814589886676153</v>
      </c>
      <c r="E63" s="24">
        <f t="shared" si="13"/>
        <v>10322.666666666666</v>
      </c>
      <c r="F63" s="21">
        <f t="shared" si="8"/>
        <v>59551.4</v>
      </c>
    </row>
    <row r="64" spans="3:6" x14ac:dyDescent="0.35">
      <c r="C64" s="24">
        <f t="shared" ref="C64:E64" si="14">B10</f>
        <v>78872.086550701642</v>
      </c>
      <c r="D64" s="24">
        <f t="shared" si="14"/>
        <v>14.612123172178348</v>
      </c>
      <c r="E64" s="24">
        <f t="shared" si="14"/>
        <v>11664.333333333334</v>
      </c>
      <c r="F64" s="21">
        <f t="shared" si="8"/>
        <v>126120</v>
      </c>
    </row>
    <row r="65" spans="3:6" x14ac:dyDescent="0.35">
      <c r="C65" s="24">
        <f t="shared" ref="C65:E65" si="15">B11</f>
        <v>114876.35990534152</v>
      </c>
      <c r="D65" s="24">
        <f t="shared" si="15"/>
        <v>12.594228370284263</v>
      </c>
      <c r="E65" s="24">
        <f t="shared" si="15"/>
        <v>4000</v>
      </c>
      <c r="F65" s="21">
        <f t="shared" si="8"/>
        <v>96145</v>
      </c>
    </row>
    <row r="66" spans="3:6" x14ac:dyDescent="0.35">
      <c r="C66" s="24">
        <f t="shared" ref="C66:E66" si="16">B12</f>
        <v>115530.46906962365</v>
      </c>
      <c r="D66" s="24">
        <f t="shared" si="16"/>
        <v>12.211670303203721</v>
      </c>
      <c r="E66" s="24">
        <f t="shared" si="16"/>
        <v>7280</v>
      </c>
      <c r="F66" s="21">
        <f t="shared" si="8"/>
        <v>55966.5</v>
      </c>
    </row>
    <row r="67" spans="3:6" x14ac:dyDescent="0.35">
      <c r="C67" s="24">
        <f t="shared" ref="C67:E67" si="17">B13</f>
        <v>115530.46906962365</v>
      </c>
      <c r="D67" s="24">
        <f t="shared" si="17"/>
        <v>10.331648594515361</v>
      </c>
      <c r="E67" s="24">
        <f t="shared" si="17"/>
        <v>14160</v>
      </c>
      <c r="F67" s="21">
        <f t="shared" si="8"/>
        <v>108385</v>
      </c>
    </row>
    <row r="68" spans="3:6" x14ac:dyDescent="0.35">
      <c r="C68" s="24">
        <f t="shared" ref="C68:E68" si="18">B14</f>
        <v>114876.35990534152</v>
      </c>
      <c r="D68" s="24">
        <f t="shared" si="18"/>
        <v>12.594228370284263</v>
      </c>
      <c r="E68" s="24">
        <f t="shared" si="18"/>
        <v>27600</v>
      </c>
      <c r="F68" s="21">
        <f t="shared" si="8"/>
        <v>105356</v>
      </c>
    </row>
    <row r="69" spans="3:6" x14ac:dyDescent="0.35">
      <c r="C69" s="24">
        <f t="shared" ref="C69:E69" si="19">B15</f>
        <v>115530.46906962365</v>
      </c>
      <c r="D69" s="24">
        <f t="shared" si="19"/>
        <v>9.5120485945153614</v>
      </c>
      <c r="E69" s="24">
        <f t="shared" si="19"/>
        <v>14160</v>
      </c>
      <c r="F69" s="21">
        <f t="shared" si="8"/>
        <v>66966.5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239"/>
  <sheetViews>
    <sheetView topLeftCell="B1" zoomScaleNormal="100" workbookViewId="0">
      <selection activeCell="E2" sqref="E2"/>
    </sheetView>
  </sheetViews>
  <sheetFormatPr defaultRowHeight="14.5" x14ac:dyDescent="0.35"/>
  <cols>
    <col min="1" max="1" width="45" customWidth="1"/>
    <col min="2" max="3" width="45" style="21" customWidth="1"/>
    <col min="4" max="4" width="47.81640625" customWidth="1"/>
    <col min="5" max="5" width="22.81640625" customWidth="1"/>
    <col min="6" max="6" width="26.26953125" customWidth="1"/>
    <col min="7" max="7" width="25.453125" customWidth="1"/>
    <col min="8" max="8" width="26.26953125" customWidth="1"/>
    <col min="9" max="9" width="27.453125" customWidth="1"/>
    <col min="10" max="10" width="33.7265625" customWidth="1"/>
    <col min="11" max="11" width="22.453125" customWidth="1"/>
    <col min="12" max="12" width="18.453125" customWidth="1"/>
    <col min="13" max="13" width="17" customWidth="1"/>
  </cols>
  <sheetData>
    <row r="1" spans="1:13" x14ac:dyDescent="0.35">
      <c r="A1" s="21" t="s">
        <v>49</v>
      </c>
      <c r="B1" s="21" t="s">
        <v>88</v>
      </c>
      <c r="C1" s="21" t="s">
        <v>89</v>
      </c>
      <c r="D1" s="21" t="s">
        <v>1</v>
      </c>
      <c r="E1" s="21" t="s">
        <v>2</v>
      </c>
      <c r="F1" s="21" t="s">
        <v>61</v>
      </c>
      <c r="G1" s="21" t="s">
        <v>59</v>
      </c>
      <c r="H1" s="21" t="s">
        <v>60</v>
      </c>
      <c r="I1" s="21" t="s">
        <v>147</v>
      </c>
      <c r="J1" s="21" t="s">
        <v>91</v>
      </c>
      <c r="K1" s="21" t="s">
        <v>56</v>
      </c>
      <c r="L1" s="21" t="s">
        <v>90</v>
      </c>
      <c r="M1" s="21" t="s">
        <v>58</v>
      </c>
    </row>
    <row r="2" spans="1:13" x14ac:dyDescent="0.35">
      <c r="A2" s="21" t="s">
        <v>50</v>
      </c>
      <c r="B2" s="21">
        <f>B75+C75+D75</f>
        <v>85947.449261557893</v>
      </c>
      <c r="C2" s="21">
        <f>E75+F75+G75</f>
        <v>256639.12665928461</v>
      </c>
      <c r="D2" s="21">
        <f>35*Table717[[#This Row],[Duct Length]]/50</f>
        <v>60163.214483090531</v>
      </c>
      <c r="E2" s="21">
        <f>Table717[[#This Row],[Fiber Length]]*0.3/50</f>
        <v>1539.8347599557078</v>
      </c>
      <c r="F2" s="24">
        <f>'FTTCab GPON 26 Mbps'!$B$19</f>
        <v>7048</v>
      </c>
      <c r="G2" s="24">
        <f>'FTTCab GPON 26 Mbps'!C$19</f>
        <v>382544</v>
      </c>
      <c r="H2" s="24">
        <f>'FTTCab GPON 26 Mbps'!D$19</f>
        <v>0</v>
      </c>
      <c r="I2" s="21">
        <f>SUM(Table717[[#This Row],[Duct Cost]:[Building E&amp;I Costs]])</f>
        <v>451295.0492430462</v>
      </c>
      <c r="J2" s="21">
        <f t="shared" ref="J2:J14" si="0">I2*50</f>
        <v>22564752.46215231</v>
      </c>
      <c r="K2" s="21">
        <v>29262</v>
      </c>
      <c r="L2" s="21">
        <f>I2/K2</f>
        <v>15.422563366927967</v>
      </c>
      <c r="M2" s="21">
        <v>25</v>
      </c>
    </row>
    <row r="3" spans="1:13" x14ac:dyDescent="0.35">
      <c r="A3" s="21" t="s">
        <v>51</v>
      </c>
      <c r="B3" s="24">
        <f t="shared" ref="B3:B14" si="1">B76+C76+D76</f>
        <v>154545.71095359759</v>
      </c>
      <c r="C3" s="24">
        <f t="shared" ref="C3:C14" si="2">E76+F76+G76</f>
        <v>640729.49433380761</v>
      </c>
      <c r="D3" s="24">
        <f>35*Table717[[#This Row],[Duct Length]]/50</f>
        <v>108181.99766751831</v>
      </c>
      <c r="E3" s="24">
        <f>Table717[[#This Row],[Fiber Length]]*0.3/50</f>
        <v>3844.3769660028456</v>
      </c>
      <c r="F3" s="24">
        <f>'FTTB XGPON 50 Mbps'!$B$18</f>
        <v>14424</v>
      </c>
      <c r="G3" s="24">
        <f>'FTTB XGPON 50 Mbps'!C$18</f>
        <v>8284</v>
      </c>
      <c r="H3" s="24">
        <f>'FTTB XGPON 50 Mbps'!D$18</f>
        <v>140000</v>
      </c>
      <c r="I3" s="24">
        <f>SUM(Table717[[#This Row],[Duct Cost]:[Building E&amp;I Costs]])</f>
        <v>274734.37463352119</v>
      </c>
      <c r="J3" s="21">
        <f t="shared" si="0"/>
        <v>13736718.731676059</v>
      </c>
      <c r="K3" s="21">
        <v>29262</v>
      </c>
      <c r="L3" s="24">
        <f t="shared" ref="L3:L14" si="3">I3/K3</f>
        <v>9.3887763869018244</v>
      </c>
      <c r="M3" s="21">
        <v>50</v>
      </c>
    </row>
    <row r="4" spans="1:13" x14ac:dyDescent="0.35">
      <c r="A4" s="21" t="s">
        <v>52</v>
      </c>
      <c r="B4" s="24">
        <f t="shared" si="1"/>
        <v>95562.640830078599</v>
      </c>
      <c r="C4" s="24">
        <f t="shared" si="2"/>
        <v>730606.15860891738</v>
      </c>
      <c r="D4" s="24">
        <f>35*Table717[[#This Row],[Duct Length]]/50</f>
        <v>66893.848581055019</v>
      </c>
      <c r="E4" s="24">
        <f>Table717[[#This Row],[Fiber Length]]*0.3/50</f>
        <v>4383.6369516535042</v>
      </c>
      <c r="F4" s="24">
        <f>'FTTB WR-WDMPON 50 Mbps'!$B$16</f>
        <v>16000</v>
      </c>
      <c r="G4" s="24">
        <f>'FTTB WR-WDMPON 50 Mbps'!C16</f>
        <v>260</v>
      </c>
      <c r="H4" s="24">
        <f>'FTTB WR-WDMPON 50 Mbps'!D16</f>
        <v>75000</v>
      </c>
      <c r="I4" s="24">
        <f>SUM(Table717[[#This Row],[Duct Cost]:[Building E&amp;I Costs]])</f>
        <v>162537.48553270852</v>
      </c>
      <c r="J4" s="21">
        <f t="shared" si="0"/>
        <v>8126874.2766354261</v>
      </c>
      <c r="K4" s="21">
        <v>29262</v>
      </c>
      <c r="L4" s="24">
        <f t="shared" si="3"/>
        <v>5.5545583190728083</v>
      </c>
      <c r="M4" s="21">
        <v>50</v>
      </c>
    </row>
    <row r="5" spans="1:13" x14ac:dyDescent="0.35">
      <c r="A5" s="21" t="s">
        <v>53</v>
      </c>
      <c r="B5" s="24">
        <f t="shared" si="1"/>
        <v>95562.640830078599</v>
      </c>
      <c r="C5" s="24">
        <f t="shared" si="2"/>
        <v>730606.15860891738</v>
      </c>
      <c r="D5" s="24">
        <f>35*Table717[[#This Row],[Duct Length]]/50</f>
        <v>66893.848581055019</v>
      </c>
      <c r="E5" s="24">
        <f>Table717[[#This Row],[Fiber Length]]*0.3/50</f>
        <v>4383.6369516535042</v>
      </c>
      <c r="F5" s="24">
        <f>'FTTH WR-WDMPON 100 Mbps'!$B$16</f>
        <v>109000</v>
      </c>
      <c r="G5" s="24">
        <f>'FTTH WR-WDMPON 100 Mbps'!C16</f>
        <v>1820</v>
      </c>
      <c r="H5" s="24">
        <f>'FTTH WR-WDMPON 100 Mbps'!D16</f>
        <v>210000</v>
      </c>
      <c r="I5" s="24">
        <f>SUM(Table717[[#This Row],[Duct Cost]:[Building E&amp;I Costs]])</f>
        <v>392097.48553270852</v>
      </c>
      <c r="J5" s="21">
        <f t="shared" si="0"/>
        <v>19604874.276635427</v>
      </c>
      <c r="K5" s="21">
        <v>29262</v>
      </c>
      <c r="L5" s="24">
        <f t="shared" si="3"/>
        <v>13.399544991207318</v>
      </c>
      <c r="M5" s="21">
        <v>100</v>
      </c>
    </row>
    <row r="6" spans="1:13" x14ac:dyDescent="0.35">
      <c r="A6" s="21" t="s">
        <v>54</v>
      </c>
      <c r="B6" s="24">
        <f t="shared" si="1"/>
        <v>154545.71095359759</v>
      </c>
      <c r="C6" s="24">
        <f t="shared" si="2"/>
        <v>640729.49433380761</v>
      </c>
      <c r="D6" s="24">
        <f>35*Table717[[#This Row],[Duct Length]]/50</f>
        <v>108181.99766751831</v>
      </c>
      <c r="E6" s="24">
        <f>Table717[[#This Row],[Fiber Length]]*0.3/50</f>
        <v>3844.3769660028456</v>
      </c>
      <c r="F6" s="24">
        <f>'FTTH XGPON 100 Mbps'!$B$18</f>
        <v>35736</v>
      </c>
      <c r="G6" s="24">
        <f>'FTTH XGPON 100 Mbps'!C18</f>
        <v>76032</v>
      </c>
      <c r="H6" s="24">
        <f>'FTTH XGPON 100 Mbps'!D18</f>
        <v>297048</v>
      </c>
      <c r="I6" s="24">
        <f>SUM(Table717[[#This Row],[Duct Cost]:[Building E&amp;I Costs]])</f>
        <v>520842.37463352119</v>
      </c>
      <c r="J6" s="21">
        <f t="shared" si="0"/>
        <v>26042118.731676061</v>
      </c>
      <c r="K6" s="21">
        <v>29262</v>
      </c>
      <c r="L6" s="24">
        <f t="shared" si="3"/>
        <v>17.799274644027108</v>
      </c>
      <c r="M6" s="21">
        <v>100</v>
      </c>
    </row>
    <row r="7" spans="1:13" x14ac:dyDescent="0.35">
      <c r="A7" s="21" t="s">
        <v>65</v>
      </c>
      <c r="B7" s="24">
        <f t="shared" si="1"/>
        <v>85947.449261557893</v>
      </c>
      <c r="C7" s="24">
        <f t="shared" si="2"/>
        <v>256639.12665928461</v>
      </c>
      <c r="D7" s="24">
        <f>35*Table717[[#This Row],[Duct Length]]/50</f>
        <v>60163.214483090531</v>
      </c>
      <c r="E7" s="24">
        <f>Table717[[#This Row],[Fiber Length]]*0.3/50</f>
        <v>1539.8347599557078</v>
      </c>
      <c r="F7" s="24">
        <f>FTTCab_GPON_100!$B$17</f>
        <v>11808</v>
      </c>
      <c r="G7" s="24">
        <f>FTTCab_GPON_100!C17</f>
        <v>404328</v>
      </c>
      <c r="H7" s="24">
        <f>FTTCab_GPON_100!D17</f>
        <v>0</v>
      </c>
      <c r="I7" s="24">
        <f>SUM(Table717[[#This Row],[Duct Cost]:[Building E&amp;I Costs]])</f>
        <v>477839.0492430462</v>
      </c>
      <c r="J7" s="21">
        <f t="shared" si="0"/>
        <v>23891952.46215231</v>
      </c>
      <c r="K7" s="21">
        <v>29262</v>
      </c>
      <c r="L7" s="24">
        <f t="shared" si="3"/>
        <v>16.329678396659361</v>
      </c>
      <c r="M7" s="21">
        <v>100</v>
      </c>
    </row>
    <row r="8" spans="1:13" x14ac:dyDescent="0.35">
      <c r="A8" s="21" t="s">
        <v>66</v>
      </c>
      <c r="B8" s="24">
        <f t="shared" si="1"/>
        <v>154545.71095359759</v>
      </c>
      <c r="C8" s="24">
        <f t="shared" si="2"/>
        <v>640729.49433380761</v>
      </c>
      <c r="D8" s="24">
        <f>35*Table717[[#This Row],[Duct Length]]/50</f>
        <v>108181.99766751831</v>
      </c>
      <c r="E8" s="24">
        <f>Table717[[#This Row],[Fiber Length]]*0.3/50</f>
        <v>3844.3769660028456</v>
      </c>
      <c r="F8" s="24">
        <f>FTTB_XGPON_100!$B$17</f>
        <v>19368</v>
      </c>
      <c r="G8" s="24">
        <f>FTTB_XGPON_100!C17</f>
        <v>8284</v>
      </c>
      <c r="H8" s="24">
        <f>FTTB_XGPON_100!D17</f>
        <v>136556</v>
      </c>
      <c r="I8" s="24">
        <f>SUM(Table717[[#This Row],[Duct Cost]:[Building E&amp;I Costs]])</f>
        <v>276234.37463352119</v>
      </c>
      <c r="J8" s="21">
        <f t="shared" si="0"/>
        <v>13811718.731676059</v>
      </c>
      <c r="K8" s="21">
        <v>29262</v>
      </c>
      <c r="L8" s="24">
        <f t="shared" si="3"/>
        <v>9.4400374080213645</v>
      </c>
      <c r="M8" s="21">
        <v>100</v>
      </c>
    </row>
    <row r="9" spans="1:13" x14ac:dyDescent="0.35">
      <c r="A9" s="21" t="s">
        <v>67</v>
      </c>
      <c r="B9" s="24">
        <f t="shared" si="1"/>
        <v>95562.640830078599</v>
      </c>
      <c r="C9" s="24">
        <f t="shared" si="2"/>
        <v>730606.15860891738</v>
      </c>
      <c r="D9" s="24">
        <f>35*Table717[[#This Row],[Duct Length]]/50</f>
        <v>66893.848581055019</v>
      </c>
      <c r="E9" s="24">
        <f>Table717[[#This Row],[Fiber Length]]*0.3/50</f>
        <v>4383.6369516535042</v>
      </c>
      <c r="F9" s="24">
        <f>FTTB_WRWDM_100!$B$15</f>
        <v>32000</v>
      </c>
      <c r="G9" s="24">
        <f>FTTB_WRWDM_100!C15</f>
        <v>520</v>
      </c>
      <c r="H9" s="24">
        <f>FTTB_WRWDM_100!D15</f>
        <v>150000</v>
      </c>
      <c r="I9" s="24">
        <f>SUM(Table717[[#This Row],[Duct Cost]:[Building E&amp;I Costs]])</f>
        <v>253797.48553270852</v>
      </c>
      <c r="J9" s="21">
        <f t="shared" si="0"/>
        <v>12689874.276635427</v>
      </c>
      <c r="K9" s="21">
        <v>29262</v>
      </c>
      <c r="L9" s="24">
        <f t="shared" si="3"/>
        <v>8.6732788439856652</v>
      </c>
      <c r="M9" s="21">
        <v>100</v>
      </c>
    </row>
    <row r="10" spans="1:13" x14ac:dyDescent="0.35">
      <c r="A10" s="22" t="s">
        <v>68</v>
      </c>
      <c r="B10" s="24">
        <f t="shared" si="1"/>
        <v>126641.78711580401</v>
      </c>
      <c r="C10" s="24">
        <f t="shared" si="2"/>
        <v>629711.41851421306</v>
      </c>
      <c r="D10" s="24">
        <f>35*Table717[[#This Row],[Duct Length]]/50</f>
        <v>88649.250981062796</v>
      </c>
      <c r="E10" s="24">
        <f>Table717[[#This Row],[Fiber Length]]*0.3/50</f>
        <v>3778.2685110852781</v>
      </c>
      <c r="F10" s="24">
        <f>FTTCab_Hybridpon_25!$B$17</f>
        <v>8632</v>
      </c>
      <c r="G10" s="24">
        <f>FTTCab_Hybridpon_25!C17</f>
        <v>216582</v>
      </c>
      <c r="H10" s="24">
        <f>FTTCab_Hybridpon_25!D17</f>
        <v>0</v>
      </c>
      <c r="I10" s="24">
        <f>SUM(Table717[[#This Row],[Duct Cost]:[Building E&amp;I Costs]])</f>
        <v>317641.51949214807</v>
      </c>
      <c r="J10" s="21">
        <f t="shared" si="0"/>
        <v>15882075.974607404</v>
      </c>
      <c r="K10" s="21">
        <v>29262</v>
      </c>
      <c r="L10" s="24">
        <f t="shared" si="3"/>
        <v>10.855085759420001</v>
      </c>
      <c r="M10" s="21">
        <v>25</v>
      </c>
    </row>
    <row r="11" spans="1:13" x14ac:dyDescent="0.35">
      <c r="A11" s="22" t="s">
        <v>69</v>
      </c>
      <c r="B11" s="24">
        <f t="shared" si="1"/>
        <v>127537.82706687541</v>
      </c>
      <c r="C11" s="24">
        <f t="shared" si="2"/>
        <v>610583.51516018598</v>
      </c>
      <c r="D11" s="24">
        <f>35*Table717[[#This Row],[Duct Length]]/50</f>
        <v>89276.478946812786</v>
      </c>
      <c r="E11" s="24">
        <f>Table717[[#This Row],[Fiber Length]]*0.3/50</f>
        <v>3663.5010909611156</v>
      </c>
      <c r="F11" s="24">
        <f>FTTB_Hybridpon_50!$B$16</f>
        <v>19032</v>
      </c>
      <c r="G11" s="24">
        <f>FTTB_Hybridpon_50!C16</f>
        <v>3082</v>
      </c>
      <c r="H11" s="24">
        <f>FTTB_Hybridpon_50!D16</f>
        <v>75000</v>
      </c>
      <c r="I11" s="24">
        <f>SUM(Table717[[#This Row],[Duct Cost]:[Building E&amp;I Costs]])</f>
        <v>190053.9800377739</v>
      </c>
      <c r="J11" s="21">
        <f t="shared" si="0"/>
        <v>9502699.0018886942</v>
      </c>
      <c r="K11" s="21">
        <v>29262</v>
      </c>
      <c r="L11" s="24">
        <f t="shared" si="3"/>
        <v>6.4949073897127301</v>
      </c>
      <c r="M11" s="21">
        <v>50</v>
      </c>
    </row>
    <row r="12" spans="1:13" x14ac:dyDescent="0.35">
      <c r="A12" s="22" t="s">
        <v>70</v>
      </c>
      <c r="B12" s="24">
        <f t="shared" si="1"/>
        <v>127537.82706687541</v>
      </c>
      <c r="C12" s="24">
        <f t="shared" si="2"/>
        <v>2774954.5343040172</v>
      </c>
      <c r="D12" s="24">
        <f>35*Table717[[#This Row],[Duct Length]]/50</f>
        <v>89276.478946812786</v>
      </c>
      <c r="E12" s="24">
        <f>Table717[[#This Row],[Fiber Length]]*0.3/50</f>
        <v>16649.727205824103</v>
      </c>
      <c r="F12" s="24">
        <f>FTTH_Hybridpon_100!$B$16</f>
        <v>35064</v>
      </c>
      <c r="G12" s="24">
        <f>FTTH_Hybridpon_100!C16</f>
        <v>3130</v>
      </c>
      <c r="H12" s="24">
        <f>FTTH_Hybridpon_100!D16</f>
        <v>240000</v>
      </c>
      <c r="I12" s="24">
        <f>SUM(Table717[[#This Row],[Duct Cost]:[Building E&amp;I Costs]])</f>
        <v>384120.20615263691</v>
      </c>
      <c r="J12" s="21">
        <f t="shared" si="0"/>
        <v>19206010.307631847</v>
      </c>
      <c r="K12" s="21">
        <v>29262</v>
      </c>
      <c r="L12" s="24">
        <f t="shared" si="3"/>
        <v>13.126929333355099</v>
      </c>
      <c r="M12" s="21">
        <v>100</v>
      </c>
    </row>
    <row r="13" spans="1:13" x14ac:dyDescent="0.35">
      <c r="A13" s="22" t="s">
        <v>71</v>
      </c>
      <c r="B13" s="24">
        <f t="shared" si="1"/>
        <v>126641.78711580401</v>
      </c>
      <c r="C13" s="24">
        <f t="shared" si="2"/>
        <v>629711.41851421306</v>
      </c>
      <c r="D13" s="24">
        <f>35*Table717[[#This Row],[Duct Length]]/50</f>
        <v>88649.250981062796</v>
      </c>
      <c r="E13" s="24">
        <f>Table717[[#This Row],[Fiber Length]]*0.3/50</f>
        <v>3778.2685110852781</v>
      </c>
      <c r="F13" s="24">
        <f>FTTC_Hybridpon_100!$B$17</f>
        <v>25528</v>
      </c>
      <c r="G13" s="24">
        <f>FTTC_Hybridpon_100!C17</f>
        <v>219632</v>
      </c>
      <c r="H13" s="24">
        <f>FTTC_Hybridpon_100!D17</f>
        <v>0</v>
      </c>
      <c r="I13" s="24">
        <f>SUM(Table717[[#This Row],[Duct Cost]:[Building E&amp;I Costs]])</f>
        <v>337587.51949214807</v>
      </c>
      <c r="J13" s="21">
        <f t="shared" si="0"/>
        <v>16879375.974607404</v>
      </c>
      <c r="K13" s="21">
        <v>29262</v>
      </c>
      <c r="L13" s="24">
        <f t="shared" si="3"/>
        <v>11.536720644253574</v>
      </c>
      <c r="M13" s="21">
        <v>100</v>
      </c>
    </row>
    <row r="14" spans="1:13" x14ac:dyDescent="0.35">
      <c r="A14" s="15" t="s">
        <v>72</v>
      </c>
      <c r="B14" s="24">
        <f t="shared" si="1"/>
        <v>127537.82706687541</v>
      </c>
      <c r="C14" s="24">
        <f t="shared" si="2"/>
        <v>242118.791987937</v>
      </c>
      <c r="D14" s="24">
        <f>35*Table717[[#This Row],[Duct Length]]/50</f>
        <v>89276.478946812786</v>
      </c>
      <c r="E14" s="24">
        <f>Table717[[#This Row],[Fiber Length]]*0.3/50</f>
        <v>1452.7127519276221</v>
      </c>
      <c r="F14" s="17">
        <f>FTTB_Hybridpon_100!$B$16</f>
        <v>35064</v>
      </c>
      <c r="G14" s="17">
        <f>FTTB_Hybridpon_100!C16</f>
        <v>3082</v>
      </c>
      <c r="H14" s="17">
        <f>FTTB_Hybridpon_100!D16</f>
        <v>75000</v>
      </c>
      <c r="I14" s="24">
        <f>SUM(Table717[[#This Row],[Duct Cost]:[Building E&amp;I Costs]])</f>
        <v>203875.19169874041</v>
      </c>
      <c r="J14" s="21">
        <f t="shared" si="0"/>
        <v>10193759.584937021</v>
      </c>
      <c r="K14" s="21">
        <v>29262</v>
      </c>
      <c r="L14" s="24">
        <f t="shared" si="3"/>
        <v>6.9672336716130276</v>
      </c>
      <c r="M14" s="17">
        <v>100</v>
      </c>
    </row>
    <row r="28" spans="2:5" x14ac:dyDescent="0.35">
      <c r="B28" s="24"/>
      <c r="C28" s="24"/>
      <c r="D28" s="24"/>
    </row>
    <row r="29" spans="2:5" x14ac:dyDescent="0.35">
      <c r="B29" s="24"/>
      <c r="C29" s="24"/>
      <c r="D29" s="24"/>
      <c r="E29" s="23"/>
    </row>
    <row r="30" spans="2:5" x14ac:dyDescent="0.35">
      <c r="B30" s="24"/>
      <c r="C30" s="24"/>
      <c r="D30" s="24"/>
      <c r="E30" s="23"/>
    </row>
    <row r="31" spans="2:5" x14ac:dyDescent="0.35">
      <c r="B31" s="24"/>
      <c r="C31" s="24"/>
      <c r="D31" s="24"/>
      <c r="E31" s="23"/>
    </row>
    <row r="32" spans="2:5" x14ac:dyDescent="0.35">
      <c r="B32" s="24"/>
      <c r="C32" s="24"/>
      <c r="D32" s="24"/>
      <c r="E32" s="23"/>
    </row>
    <row r="33" spans="2:5" x14ac:dyDescent="0.35">
      <c r="B33" s="24"/>
      <c r="C33" s="24"/>
      <c r="D33" s="24"/>
      <c r="E33" s="23"/>
    </row>
    <row r="34" spans="2:5" x14ac:dyDescent="0.35">
      <c r="B34" s="24"/>
      <c r="C34" s="24"/>
      <c r="D34" s="24"/>
      <c r="E34" s="23"/>
    </row>
    <row r="35" spans="2:5" x14ac:dyDescent="0.35">
      <c r="B35" s="24"/>
      <c r="C35" s="24"/>
      <c r="D35" s="24"/>
      <c r="E35" s="23"/>
    </row>
    <row r="36" spans="2:5" x14ac:dyDescent="0.35">
      <c r="B36" s="24"/>
      <c r="C36" s="24"/>
      <c r="D36" s="24"/>
      <c r="E36" s="23"/>
    </row>
    <row r="37" spans="2:5" x14ac:dyDescent="0.35">
      <c r="B37" s="24"/>
      <c r="C37" s="24"/>
      <c r="D37" s="24"/>
      <c r="E37" s="23"/>
    </row>
    <row r="38" spans="2:5" x14ac:dyDescent="0.35">
      <c r="B38" s="24"/>
      <c r="C38" s="24"/>
      <c r="D38" s="24"/>
      <c r="E38" s="23"/>
    </row>
    <row r="39" spans="2:5" x14ac:dyDescent="0.35">
      <c r="B39" s="24"/>
      <c r="C39" s="24"/>
      <c r="D39" s="24"/>
      <c r="E39" s="23"/>
    </row>
    <row r="40" spans="2:5" x14ac:dyDescent="0.35">
      <c r="B40" s="24"/>
      <c r="C40" s="24"/>
      <c r="D40" s="24"/>
      <c r="E40" s="23"/>
    </row>
    <row r="55" spans="6:9" x14ac:dyDescent="0.35">
      <c r="F55" t="s">
        <v>1</v>
      </c>
      <c r="G55" t="s">
        <v>2</v>
      </c>
      <c r="H55" t="s">
        <v>127</v>
      </c>
      <c r="I55" t="s">
        <v>3</v>
      </c>
    </row>
    <row r="56" spans="6:9" x14ac:dyDescent="0.35">
      <c r="F56">
        <f>D2</f>
        <v>60163.214483090531</v>
      </c>
      <c r="G56" s="24">
        <f t="shared" ref="G56:H68" si="4">E2</f>
        <v>1539.8347599557078</v>
      </c>
      <c r="H56" s="24">
        <f t="shared" si="4"/>
        <v>7048</v>
      </c>
      <c r="I56">
        <f>G2+H2</f>
        <v>382544</v>
      </c>
    </row>
    <row r="57" spans="6:9" x14ac:dyDescent="0.35">
      <c r="F57" s="24">
        <f t="shared" ref="F57:F120" si="5">D3</f>
        <v>108181.99766751831</v>
      </c>
      <c r="G57" s="24">
        <f t="shared" si="4"/>
        <v>3844.3769660028456</v>
      </c>
      <c r="H57" s="24">
        <f t="shared" si="4"/>
        <v>14424</v>
      </c>
      <c r="I57" s="24">
        <f t="shared" ref="I57:I68" si="6">G3+H3</f>
        <v>148284</v>
      </c>
    </row>
    <row r="58" spans="6:9" x14ac:dyDescent="0.35">
      <c r="F58" s="24">
        <f t="shared" si="5"/>
        <v>66893.848581055019</v>
      </c>
      <c r="G58" s="24">
        <f t="shared" si="4"/>
        <v>4383.6369516535042</v>
      </c>
      <c r="H58" s="24">
        <f t="shared" si="4"/>
        <v>16000</v>
      </c>
      <c r="I58" s="24">
        <f t="shared" si="6"/>
        <v>75260</v>
      </c>
    </row>
    <row r="59" spans="6:9" x14ac:dyDescent="0.35">
      <c r="F59" s="24">
        <f t="shared" si="5"/>
        <v>66893.848581055019</v>
      </c>
      <c r="G59" s="24">
        <f t="shared" si="4"/>
        <v>4383.6369516535042</v>
      </c>
      <c r="H59" s="24">
        <f t="shared" si="4"/>
        <v>109000</v>
      </c>
      <c r="I59" s="24">
        <f t="shared" si="6"/>
        <v>211820</v>
      </c>
    </row>
    <row r="60" spans="6:9" x14ac:dyDescent="0.35">
      <c r="F60" s="24">
        <f t="shared" si="5"/>
        <v>108181.99766751831</v>
      </c>
      <c r="G60" s="24">
        <f t="shared" si="4"/>
        <v>3844.3769660028456</v>
      </c>
      <c r="H60" s="24">
        <f t="shared" si="4"/>
        <v>35736</v>
      </c>
      <c r="I60" s="24">
        <f t="shared" si="6"/>
        <v>373080</v>
      </c>
    </row>
    <row r="61" spans="6:9" x14ac:dyDescent="0.35">
      <c r="F61" s="24">
        <f t="shared" si="5"/>
        <v>60163.214483090531</v>
      </c>
      <c r="G61" s="24">
        <f t="shared" si="4"/>
        <v>1539.8347599557078</v>
      </c>
      <c r="H61" s="24">
        <f t="shared" si="4"/>
        <v>11808</v>
      </c>
      <c r="I61" s="24">
        <f t="shared" si="6"/>
        <v>404328</v>
      </c>
    </row>
    <row r="62" spans="6:9" x14ac:dyDescent="0.35">
      <c r="F62" s="24">
        <f t="shared" si="5"/>
        <v>108181.99766751831</v>
      </c>
      <c r="G62" s="24">
        <f t="shared" si="4"/>
        <v>3844.3769660028456</v>
      </c>
      <c r="H62" s="24">
        <f t="shared" si="4"/>
        <v>19368</v>
      </c>
      <c r="I62" s="24">
        <f t="shared" si="6"/>
        <v>144840</v>
      </c>
    </row>
    <row r="63" spans="6:9" x14ac:dyDescent="0.35">
      <c r="F63" s="24">
        <f t="shared" si="5"/>
        <v>66893.848581055019</v>
      </c>
      <c r="G63" s="24">
        <f t="shared" si="4"/>
        <v>4383.6369516535042</v>
      </c>
      <c r="H63" s="24">
        <f t="shared" si="4"/>
        <v>32000</v>
      </c>
      <c r="I63" s="24">
        <f t="shared" si="6"/>
        <v>150520</v>
      </c>
    </row>
    <row r="64" spans="6:9" x14ac:dyDescent="0.35">
      <c r="F64" s="24">
        <f t="shared" si="5"/>
        <v>88649.250981062796</v>
      </c>
      <c r="G64" s="24">
        <f t="shared" si="4"/>
        <v>3778.2685110852781</v>
      </c>
      <c r="H64" s="24">
        <f t="shared" si="4"/>
        <v>8632</v>
      </c>
      <c r="I64" s="24">
        <f t="shared" si="6"/>
        <v>216582</v>
      </c>
    </row>
    <row r="65" spans="2:9" x14ac:dyDescent="0.35">
      <c r="F65" s="24">
        <f t="shared" si="5"/>
        <v>89276.478946812786</v>
      </c>
      <c r="G65" s="24">
        <f t="shared" si="4"/>
        <v>3663.5010909611156</v>
      </c>
      <c r="H65" s="24">
        <f t="shared" si="4"/>
        <v>19032</v>
      </c>
      <c r="I65" s="24">
        <f t="shared" si="6"/>
        <v>78082</v>
      </c>
    </row>
    <row r="66" spans="2:9" x14ac:dyDescent="0.35">
      <c r="F66" s="24">
        <f t="shared" si="5"/>
        <v>89276.478946812786</v>
      </c>
      <c r="G66" s="24">
        <f t="shared" si="4"/>
        <v>16649.727205824103</v>
      </c>
      <c r="H66" s="24">
        <f t="shared" si="4"/>
        <v>35064</v>
      </c>
      <c r="I66" s="24">
        <f t="shared" si="6"/>
        <v>243130</v>
      </c>
    </row>
    <row r="67" spans="2:9" x14ac:dyDescent="0.35">
      <c r="F67" s="24">
        <f t="shared" si="5"/>
        <v>88649.250981062796</v>
      </c>
      <c r="G67" s="24">
        <f t="shared" si="4"/>
        <v>3778.2685110852781</v>
      </c>
      <c r="H67" s="24">
        <f t="shared" si="4"/>
        <v>25528</v>
      </c>
      <c r="I67" s="24">
        <f t="shared" si="6"/>
        <v>219632</v>
      </c>
    </row>
    <row r="68" spans="2:9" x14ac:dyDescent="0.35">
      <c r="F68" s="24">
        <f t="shared" si="5"/>
        <v>89276.478946812786</v>
      </c>
      <c r="G68" s="24">
        <f t="shared" si="4"/>
        <v>1452.7127519276221</v>
      </c>
      <c r="H68" s="24">
        <f t="shared" si="4"/>
        <v>35064</v>
      </c>
      <c r="I68" s="24">
        <f t="shared" si="6"/>
        <v>78082</v>
      </c>
    </row>
    <row r="69" spans="2:9" x14ac:dyDescent="0.35">
      <c r="F69" s="24">
        <f t="shared" si="5"/>
        <v>0</v>
      </c>
    </row>
    <row r="70" spans="2:9" x14ac:dyDescent="0.35">
      <c r="F70" s="24">
        <f t="shared" si="5"/>
        <v>0</v>
      </c>
    </row>
    <row r="71" spans="2:9" x14ac:dyDescent="0.35">
      <c r="F71" s="24">
        <f t="shared" si="5"/>
        <v>0</v>
      </c>
    </row>
    <row r="72" spans="2:9" x14ac:dyDescent="0.35">
      <c r="F72" s="24">
        <f t="shared" si="5"/>
        <v>0</v>
      </c>
    </row>
    <row r="73" spans="2:9" x14ac:dyDescent="0.35">
      <c r="F73" s="24">
        <f t="shared" si="5"/>
        <v>0</v>
      </c>
    </row>
    <row r="74" spans="2:9" x14ac:dyDescent="0.35">
      <c r="B74" s="21" t="s">
        <v>128</v>
      </c>
      <c r="C74" s="21" t="s">
        <v>129</v>
      </c>
      <c r="D74" t="s">
        <v>130</v>
      </c>
      <c r="E74" t="s">
        <v>131</v>
      </c>
      <c r="F74" s="24" t="s">
        <v>132</v>
      </c>
      <c r="G74" t="s">
        <v>133</v>
      </c>
    </row>
    <row r="75" spans="2:9" x14ac:dyDescent="0.35">
      <c r="B75" s="38">
        <v>31505.122417993502</v>
      </c>
      <c r="C75" s="38">
        <v>54442.326843564399</v>
      </c>
      <c r="D75" s="38">
        <v>0</v>
      </c>
      <c r="E75" s="38">
        <v>171056.49354431301</v>
      </c>
      <c r="F75" s="38">
        <v>85582.633114971599</v>
      </c>
      <c r="G75" s="38">
        <v>0</v>
      </c>
    </row>
    <row r="76" spans="2:9" x14ac:dyDescent="0.35">
      <c r="B76" s="38">
        <v>31505.122417993502</v>
      </c>
      <c r="C76" s="38">
        <v>54442.326843564399</v>
      </c>
      <c r="D76" s="38">
        <v>68598.261692039698</v>
      </c>
      <c r="E76" s="38">
        <v>171056.49354431301</v>
      </c>
      <c r="F76" s="38">
        <v>85582.633114971599</v>
      </c>
      <c r="G76" s="38">
        <v>384090.36767452297</v>
      </c>
    </row>
    <row r="77" spans="2:9" x14ac:dyDescent="0.35">
      <c r="B77" s="38">
        <v>23362.458319857102</v>
      </c>
      <c r="C77" s="38">
        <v>0</v>
      </c>
      <c r="D77" s="38">
        <v>72200.182510221493</v>
      </c>
      <c r="E77" s="38">
        <v>72320.005945671393</v>
      </c>
      <c r="F77" s="38">
        <v>0</v>
      </c>
      <c r="G77" s="38">
        <v>658286.15266324603</v>
      </c>
    </row>
    <row r="78" spans="2:9" x14ac:dyDescent="0.35">
      <c r="B78" s="38">
        <v>23362.458319857102</v>
      </c>
      <c r="C78" s="38">
        <v>0</v>
      </c>
      <c r="D78" s="38">
        <v>72200.182510221493</v>
      </c>
      <c r="E78" s="38">
        <v>72320.005945671393</v>
      </c>
      <c r="F78" s="38">
        <v>0</v>
      </c>
      <c r="G78" s="38">
        <v>658286.15266324603</v>
      </c>
    </row>
    <row r="79" spans="2:9" x14ac:dyDescent="0.35">
      <c r="B79" s="38">
        <v>31505.122417993502</v>
      </c>
      <c r="C79" s="38">
        <v>54442.326843564399</v>
      </c>
      <c r="D79" s="38">
        <v>68598.261692039698</v>
      </c>
      <c r="E79" s="38">
        <v>171056.49354431301</v>
      </c>
      <c r="F79" s="38">
        <v>85582.633114971599</v>
      </c>
      <c r="G79" s="38">
        <v>384090.36767452297</v>
      </c>
    </row>
    <row r="80" spans="2:9" x14ac:dyDescent="0.35">
      <c r="B80" s="38">
        <v>31505.122417993502</v>
      </c>
      <c r="C80" s="38">
        <v>54442.326843564399</v>
      </c>
      <c r="D80" s="38">
        <v>0</v>
      </c>
      <c r="E80" s="38">
        <v>171056.49354431301</v>
      </c>
      <c r="F80" s="38">
        <v>85582.633114971599</v>
      </c>
      <c r="G80" s="38">
        <v>0</v>
      </c>
    </row>
    <row r="81" spans="2:7" x14ac:dyDescent="0.35">
      <c r="B81" s="38">
        <v>31505.122417993502</v>
      </c>
      <c r="C81" s="38">
        <v>54442.326843564399</v>
      </c>
      <c r="D81" s="38">
        <v>68598.261692039698</v>
      </c>
      <c r="E81" s="38">
        <v>171056.49354431301</v>
      </c>
      <c r="F81" s="38">
        <v>85582.633114971599</v>
      </c>
      <c r="G81" s="38">
        <v>384090.36767452297</v>
      </c>
    </row>
    <row r="82" spans="2:7" x14ac:dyDescent="0.35">
      <c r="B82" s="38">
        <v>23362.458319857102</v>
      </c>
      <c r="C82" s="38">
        <v>0</v>
      </c>
      <c r="D82" s="38">
        <v>72200.182510221493</v>
      </c>
      <c r="E82" s="38">
        <v>72320.005945671393</v>
      </c>
      <c r="F82" s="38">
        <v>0</v>
      </c>
      <c r="G82" s="38">
        <v>658286.15266324603</v>
      </c>
    </row>
    <row r="83" spans="2:7" x14ac:dyDescent="0.35">
      <c r="B83" s="38">
        <v>7039.7238495865004</v>
      </c>
      <c r="C83" s="38">
        <v>50467.597460168901</v>
      </c>
      <c r="D83" s="38">
        <v>69134.465806048596</v>
      </c>
      <c r="E83" s="38">
        <v>8635.1542501059794</v>
      </c>
      <c r="F83" s="38">
        <v>233483.63773783101</v>
      </c>
      <c r="G83" s="38">
        <v>387592.626526276</v>
      </c>
    </row>
    <row r="84" spans="2:7" x14ac:dyDescent="0.35">
      <c r="B84" s="38">
        <v>7039.7238495865004</v>
      </c>
      <c r="C84" s="38">
        <v>50467.597460168901</v>
      </c>
      <c r="D84" s="38">
        <v>70030.505757120001</v>
      </c>
      <c r="E84" s="38">
        <v>8635.1542501059794</v>
      </c>
      <c r="F84" s="38">
        <v>233483.63773783101</v>
      </c>
      <c r="G84" s="38">
        <v>368464.72317224898</v>
      </c>
    </row>
    <row r="85" spans="2:7" x14ac:dyDescent="0.35">
      <c r="B85" s="38">
        <v>7039.7238495865004</v>
      </c>
      <c r="C85" s="38">
        <v>50467.597460168901</v>
      </c>
      <c r="D85" s="38">
        <v>70030.505757120001</v>
      </c>
      <c r="E85" s="38">
        <v>8635.1542501059794</v>
      </c>
      <c r="F85" s="38">
        <v>233483.63773783101</v>
      </c>
      <c r="G85" s="38">
        <f>$Q$12+20*$B$13</f>
        <v>2532835.7423160803</v>
      </c>
    </row>
    <row r="86" spans="2:7" x14ac:dyDescent="0.35">
      <c r="B86" s="38">
        <v>7039.7238495865004</v>
      </c>
      <c r="C86" s="38">
        <v>50467.597460168901</v>
      </c>
      <c r="D86" s="38">
        <v>69134.465806048596</v>
      </c>
      <c r="E86" s="38">
        <v>8635.1542501059794</v>
      </c>
      <c r="F86" s="38">
        <v>233483.63773783101</v>
      </c>
      <c r="G86" s="38">
        <v>387592.626526276</v>
      </c>
    </row>
    <row r="87" spans="2:7" x14ac:dyDescent="0.35">
      <c r="B87" s="38">
        <v>7039.7238495865004</v>
      </c>
      <c r="C87" s="38">
        <v>50467.597460168901</v>
      </c>
      <c r="D87" s="38">
        <v>70030.505757120001</v>
      </c>
      <c r="E87" s="38">
        <v>8635.1542501059794</v>
      </c>
      <c r="F87" s="38">
        <v>233483.63773783101</v>
      </c>
      <c r="G87" s="38">
        <f>$Q$12</f>
        <v>0</v>
      </c>
    </row>
    <row r="88" spans="2:7" x14ac:dyDescent="0.35">
      <c r="F88" s="24">
        <f t="shared" si="5"/>
        <v>0</v>
      </c>
    </row>
    <row r="89" spans="2:7" x14ac:dyDescent="0.35">
      <c r="F89" s="24">
        <f t="shared" si="5"/>
        <v>0</v>
      </c>
    </row>
    <row r="90" spans="2:7" x14ac:dyDescent="0.35">
      <c r="F90" s="24">
        <f t="shared" si="5"/>
        <v>0</v>
      </c>
    </row>
    <row r="91" spans="2:7" x14ac:dyDescent="0.35">
      <c r="F91" s="24">
        <f t="shared" si="5"/>
        <v>0</v>
      </c>
    </row>
    <row r="92" spans="2:7" x14ac:dyDescent="0.35">
      <c r="F92" s="24">
        <f t="shared" si="5"/>
        <v>0</v>
      </c>
    </row>
    <row r="93" spans="2:7" x14ac:dyDescent="0.35">
      <c r="F93" s="24">
        <f t="shared" si="5"/>
        <v>0</v>
      </c>
    </row>
    <row r="94" spans="2:7" x14ac:dyDescent="0.35">
      <c r="F94" s="24">
        <f t="shared" si="5"/>
        <v>0</v>
      </c>
    </row>
    <row r="95" spans="2:7" x14ac:dyDescent="0.35">
      <c r="F95" s="24">
        <f t="shared" si="5"/>
        <v>0</v>
      </c>
    </row>
    <row r="96" spans="2:7" x14ac:dyDescent="0.35">
      <c r="F96" s="24">
        <f t="shared" si="5"/>
        <v>0</v>
      </c>
    </row>
    <row r="97" spans="6:6" x14ac:dyDescent="0.35">
      <c r="F97" s="24">
        <f t="shared" si="5"/>
        <v>0</v>
      </c>
    </row>
    <row r="98" spans="6:6" x14ac:dyDescent="0.35">
      <c r="F98" s="24">
        <f t="shared" si="5"/>
        <v>0</v>
      </c>
    </row>
    <row r="99" spans="6:6" x14ac:dyDescent="0.35">
      <c r="F99" s="24">
        <f t="shared" si="5"/>
        <v>0</v>
      </c>
    </row>
    <row r="100" spans="6:6" x14ac:dyDescent="0.35">
      <c r="F100" s="24">
        <f t="shared" si="5"/>
        <v>0</v>
      </c>
    </row>
    <row r="101" spans="6:6" x14ac:dyDescent="0.35">
      <c r="F101" s="24">
        <f t="shared" si="5"/>
        <v>0</v>
      </c>
    </row>
    <row r="102" spans="6:6" x14ac:dyDescent="0.35">
      <c r="F102" s="24">
        <f t="shared" si="5"/>
        <v>0</v>
      </c>
    </row>
    <row r="103" spans="6:6" x14ac:dyDescent="0.35">
      <c r="F103" s="24">
        <f t="shared" si="5"/>
        <v>0</v>
      </c>
    </row>
    <row r="104" spans="6:6" x14ac:dyDescent="0.35">
      <c r="F104" s="24">
        <f t="shared" si="5"/>
        <v>0</v>
      </c>
    </row>
    <row r="105" spans="6:6" x14ac:dyDescent="0.35">
      <c r="F105" s="24">
        <f t="shared" si="5"/>
        <v>0</v>
      </c>
    </row>
    <row r="106" spans="6:6" x14ac:dyDescent="0.35">
      <c r="F106" s="24">
        <f t="shared" si="5"/>
        <v>0</v>
      </c>
    </row>
    <row r="107" spans="6:6" x14ac:dyDescent="0.35">
      <c r="F107" s="24">
        <f t="shared" si="5"/>
        <v>0</v>
      </c>
    </row>
    <row r="108" spans="6:6" x14ac:dyDescent="0.35">
      <c r="F108" s="24">
        <f t="shared" si="5"/>
        <v>0</v>
      </c>
    </row>
    <row r="109" spans="6:6" x14ac:dyDescent="0.35">
      <c r="F109" s="24">
        <f t="shared" si="5"/>
        <v>0</v>
      </c>
    </row>
    <row r="110" spans="6:6" x14ac:dyDescent="0.35">
      <c r="F110" s="24">
        <f t="shared" si="5"/>
        <v>0</v>
      </c>
    </row>
    <row r="111" spans="6:6" x14ac:dyDescent="0.35">
      <c r="F111" s="24">
        <f t="shared" si="5"/>
        <v>0</v>
      </c>
    </row>
    <row r="112" spans="6:6" x14ac:dyDescent="0.35">
      <c r="F112" s="24">
        <f t="shared" si="5"/>
        <v>0</v>
      </c>
    </row>
    <row r="113" spans="6:6" x14ac:dyDescent="0.35">
      <c r="F113" s="24">
        <f t="shared" si="5"/>
        <v>0</v>
      </c>
    </row>
    <row r="114" spans="6:6" x14ac:dyDescent="0.35">
      <c r="F114" s="24">
        <f t="shared" si="5"/>
        <v>0</v>
      </c>
    </row>
    <row r="115" spans="6:6" x14ac:dyDescent="0.35">
      <c r="F115" s="24">
        <f t="shared" si="5"/>
        <v>0</v>
      </c>
    </row>
    <row r="116" spans="6:6" x14ac:dyDescent="0.35">
      <c r="F116" s="24">
        <f t="shared" si="5"/>
        <v>0</v>
      </c>
    </row>
    <row r="117" spans="6:6" x14ac:dyDescent="0.35">
      <c r="F117" s="24">
        <f t="shared" si="5"/>
        <v>0</v>
      </c>
    </row>
    <row r="118" spans="6:6" x14ac:dyDescent="0.35">
      <c r="F118" s="24">
        <f t="shared" si="5"/>
        <v>0</v>
      </c>
    </row>
    <row r="119" spans="6:6" x14ac:dyDescent="0.35">
      <c r="F119" s="24">
        <f t="shared" si="5"/>
        <v>0</v>
      </c>
    </row>
    <row r="120" spans="6:6" x14ac:dyDescent="0.35">
      <c r="F120" s="24">
        <f t="shared" si="5"/>
        <v>0</v>
      </c>
    </row>
    <row r="121" spans="6:6" x14ac:dyDescent="0.35">
      <c r="F121" s="24">
        <f t="shared" ref="F121:F184" si="7">D67</f>
        <v>0</v>
      </c>
    </row>
    <row r="122" spans="6:6" x14ac:dyDescent="0.35">
      <c r="F122" s="24">
        <f t="shared" si="7"/>
        <v>0</v>
      </c>
    </row>
    <row r="123" spans="6:6" x14ac:dyDescent="0.35">
      <c r="F123" s="24">
        <f t="shared" si="7"/>
        <v>0</v>
      </c>
    </row>
    <row r="124" spans="6:6" x14ac:dyDescent="0.35">
      <c r="F124" s="24">
        <f t="shared" si="7"/>
        <v>0</v>
      </c>
    </row>
    <row r="125" spans="6:6" x14ac:dyDescent="0.35">
      <c r="F125" s="24">
        <f t="shared" si="7"/>
        <v>0</v>
      </c>
    </row>
    <row r="126" spans="6:6" x14ac:dyDescent="0.35">
      <c r="F126" s="24">
        <f t="shared" si="7"/>
        <v>0</v>
      </c>
    </row>
    <row r="127" spans="6:6" x14ac:dyDescent="0.35">
      <c r="F127" s="24">
        <f t="shared" si="7"/>
        <v>0</v>
      </c>
    </row>
    <row r="128" spans="6:6" x14ac:dyDescent="0.35">
      <c r="F128" s="24" t="str">
        <f t="shared" si="7"/>
        <v>LMF Duct Length</v>
      </c>
    </row>
    <row r="129" spans="6:6" x14ac:dyDescent="0.35">
      <c r="F129" s="24">
        <f t="shared" si="7"/>
        <v>0</v>
      </c>
    </row>
    <row r="130" spans="6:6" x14ac:dyDescent="0.35">
      <c r="F130" s="24">
        <f t="shared" si="7"/>
        <v>68598.261692039698</v>
      </c>
    </row>
    <row r="131" spans="6:6" x14ac:dyDescent="0.35">
      <c r="F131" s="24">
        <f t="shared" si="7"/>
        <v>72200.182510221493</v>
      </c>
    </row>
    <row r="132" spans="6:6" x14ac:dyDescent="0.35">
      <c r="F132" s="24">
        <f t="shared" si="7"/>
        <v>72200.182510221493</v>
      </c>
    </row>
    <row r="133" spans="6:6" x14ac:dyDescent="0.35">
      <c r="F133" s="24">
        <f t="shared" si="7"/>
        <v>68598.261692039698</v>
      </c>
    </row>
    <row r="134" spans="6:6" x14ac:dyDescent="0.35">
      <c r="F134" s="24">
        <f t="shared" si="7"/>
        <v>0</v>
      </c>
    </row>
    <row r="135" spans="6:6" x14ac:dyDescent="0.35">
      <c r="F135" s="24">
        <f t="shared" si="7"/>
        <v>68598.261692039698</v>
      </c>
    </row>
    <row r="136" spans="6:6" x14ac:dyDescent="0.35">
      <c r="F136" s="24">
        <f t="shared" si="7"/>
        <v>72200.182510221493</v>
      </c>
    </row>
    <row r="137" spans="6:6" x14ac:dyDescent="0.35">
      <c r="F137" s="24">
        <f t="shared" si="7"/>
        <v>69134.465806048596</v>
      </c>
    </row>
    <row r="138" spans="6:6" x14ac:dyDescent="0.35">
      <c r="F138" s="24">
        <f t="shared" si="7"/>
        <v>70030.505757120001</v>
      </c>
    </row>
    <row r="139" spans="6:6" x14ac:dyDescent="0.35">
      <c r="F139" s="24">
        <f t="shared" si="7"/>
        <v>70030.505757120001</v>
      </c>
    </row>
    <row r="140" spans="6:6" x14ac:dyDescent="0.35">
      <c r="F140" s="24">
        <f t="shared" si="7"/>
        <v>69134.465806048596</v>
      </c>
    </row>
    <row r="141" spans="6:6" x14ac:dyDescent="0.35">
      <c r="F141" s="24">
        <f t="shared" si="7"/>
        <v>70030.505757120001</v>
      </c>
    </row>
    <row r="142" spans="6:6" x14ac:dyDescent="0.35">
      <c r="F142" s="24">
        <f t="shared" si="7"/>
        <v>0</v>
      </c>
    </row>
    <row r="143" spans="6:6" x14ac:dyDescent="0.35">
      <c r="F143" s="24">
        <f t="shared" si="7"/>
        <v>0</v>
      </c>
    </row>
    <row r="144" spans="6:6" x14ac:dyDescent="0.35">
      <c r="F144" s="24">
        <f t="shared" si="7"/>
        <v>0</v>
      </c>
    </row>
    <row r="145" spans="6:6" x14ac:dyDescent="0.35">
      <c r="F145" s="24">
        <f t="shared" si="7"/>
        <v>0</v>
      </c>
    </row>
    <row r="146" spans="6:6" x14ac:dyDescent="0.35">
      <c r="F146" s="24">
        <f t="shared" si="7"/>
        <v>0</v>
      </c>
    </row>
    <row r="147" spans="6:6" x14ac:dyDescent="0.35">
      <c r="F147" s="24">
        <f t="shared" si="7"/>
        <v>0</v>
      </c>
    </row>
    <row r="148" spans="6:6" x14ac:dyDescent="0.35">
      <c r="F148" s="24">
        <f t="shared" si="7"/>
        <v>0</v>
      </c>
    </row>
    <row r="149" spans="6:6" x14ac:dyDescent="0.35">
      <c r="F149" s="24">
        <f t="shared" si="7"/>
        <v>0</v>
      </c>
    </row>
    <row r="150" spans="6:6" x14ac:dyDescent="0.35">
      <c r="F150" s="24">
        <f t="shared" si="7"/>
        <v>0</v>
      </c>
    </row>
    <row r="151" spans="6:6" x14ac:dyDescent="0.35">
      <c r="F151" s="24">
        <f t="shared" si="7"/>
        <v>0</v>
      </c>
    </row>
    <row r="152" spans="6:6" x14ac:dyDescent="0.35">
      <c r="F152" s="24">
        <f t="shared" si="7"/>
        <v>0</v>
      </c>
    </row>
    <row r="153" spans="6:6" x14ac:dyDescent="0.35">
      <c r="F153" s="24">
        <f t="shared" si="7"/>
        <v>0</v>
      </c>
    </row>
    <row r="154" spans="6:6" x14ac:dyDescent="0.35">
      <c r="F154" s="24">
        <f t="shared" si="7"/>
        <v>0</v>
      </c>
    </row>
    <row r="155" spans="6:6" x14ac:dyDescent="0.35">
      <c r="F155" s="24">
        <f t="shared" si="7"/>
        <v>0</v>
      </c>
    </row>
    <row r="156" spans="6:6" x14ac:dyDescent="0.35">
      <c r="F156" s="24">
        <f t="shared" si="7"/>
        <v>0</v>
      </c>
    </row>
    <row r="157" spans="6:6" x14ac:dyDescent="0.35">
      <c r="F157" s="24">
        <f t="shared" si="7"/>
        <v>0</v>
      </c>
    </row>
    <row r="158" spans="6:6" x14ac:dyDescent="0.35">
      <c r="F158" s="24">
        <f t="shared" si="7"/>
        <v>0</v>
      </c>
    </row>
    <row r="159" spans="6:6" x14ac:dyDescent="0.35">
      <c r="F159" s="24">
        <f t="shared" si="7"/>
        <v>0</v>
      </c>
    </row>
    <row r="160" spans="6:6" x14ac:dyDescent="0.35">
      <c r="F160" s="24">
        <f t="shared" si="7"/>
        <v>0</v>
      </c>
    </row>
    <row r="161" spans="6:6" x14ac:dyDescent="0.35">
      <c r="F161" s="24">
        <f t="shared" si="7"/>
        <v>0</v>
      </c>
    </row>
    <row r="162" spans="6:6" x14ac:dyDescent="0.35">
      <c r="F162" s="24">
        <f t="shared" si="7"/>
        <v>0</v>
      </c>
    </row>
    <row r="163" spans="6:6" x14ac:dyDescent="0.35">
      <c r="F163" s="24">
        <f t="shared" si="7"/>
        <v>0</v>
      </c>
    </row>
    <row r="164" spans="6:6" x14ac:dyDescent="0.35">
      <c r="F164" s="24">
        <f t="shared" si="7"/>
        <v>0</v>
      </c>
    </row>
    <row r="165" spans="6:6" x14ac:dyDescent="0.35">
      <c r="F165" s="24">
        <f t="shared" si="7"/>
        <v>0</v>
      </c>
    </row>
    <row r="166" spans="6:6" x14ac:dyDescent="0.35">
      <c r="F166" s="24">
        <f t="shared" si="7"/>
        <v>0</v>
      </c>
    </row>
    <row r="167" spans="6:6" x14ac:dyDescent="0.35">
      <c r="F167" s="24">
        <f t="shared" si="7"/>
        <v>0</v>
      </c>
    </row>
    <row r="168" spans="6:6" x14ac:dyDescent="0.35">
      <c r="F168" s="24">
        <f t="shared" si="7"/>
        <v>0</v>
      </c>
    </row>
    <row r="169" spans="6:6" x14ac:dyDescent="0.35">
      <c r="F169" s="24">
        <f t="shared" si="7"/>
        <v>0</v>
      </c>
    </row>
    <row r="170" spans="6:6" x14ac:dyDescent="0.35">
      <c r="F170" s="24">
        <f t="shared" si="7"/>
        <v>0</v>
      </c>
    </row>
    <row r="171" spans="6:6" x14ac:dyDescent="0.35">
      <c r="F171" s="24">
        <f t="shared" si="7"/>
        <v>0</v>
      </c>
    </row>
    <row r="172" spans="6:6" x14ac:dyDescent="0.35">
      <c r="F172" s="24">
        <f t="shared" si="7"/>
        <v>0</v>
      </c>
    </row>
    <row r="173" spans="6:6" x14ac:dyDescent="0.35">
      <c r="F173" s="24">
        <f t="shared" si="7"/>
        <v>0</v>
      </c>
    </row>
    <row r="174" spans="6:6" x14ac:dyDescent="0.35">
      <c r="F174" s="24">
        <f t="shared" si="7"/>
        <v>0</v>
      </c>
    </row>
    <row r="175" spans="6:6" x14ac:dyDescent="0.35">
      <c r="F175" s="24">
        <f t="shared" si="7"/>
        <v>0</v>
      </c>
    </row>
    <row r="176" spans="6:6" x14ac:dyDescent="0.35">
      <c r="F176" s="24">
        <f t="shared" si="7"/>
        <v>0</v>
      </c>
    </row>
    <row r="177" spans="6:6" x14ac:dyDescent="0.35">
      <c r="F177" s="24">
        <f t="shared" si="7"/>
        <v>0</v>
      </c>
    </row>
    <row r="178" spans="6:6" x14ac:dyDescent="0.35">
      <c r="F178" s="24">
        <f t="shared" si="7"/>
        <v>0</v>
      </c>
    </row>
    <row r="179" spans="6:6" x14ac:dyDescent="0.35">
      <c r="F179" s="24">
        <f t="shared" si="7"/>
        <v>0</v>
      </c>
    </row>
    <row r="180" spans="6:6" x14ac:dyDescent="0.35">
      <c r="F180" s="24">
        <f t="shared" si="7"/>
        <v>0</v>
      </c>
    </row>
    <row r="181" spans="6:6" x14ac:dyDescent="0.35">
      <c r="F181" s="24">
        <f t="shared" si="7"/>
        <v>0</v>
      </c>
    </row>
    <row r="182" spans="6:6" x14ac:dyDescent="0.35">
      <c r="F182" s="24">
        <f t="shared" si="7"/>
        <v>0</v>
      </c>
    </row>
    <row r="183" spans="6:6" x14ac:dyDescent="0.35">
      <c r="F183" s="24">
        <f t="shared" si="7"/>
        <v>0</v>
      </c>
    </row>
    <row r="184" spans="6:6" x14ac:dyDescent="0.35">
      <c r="F184" s="24">
        <f t="shared" si="7"/>
        <v>0</v>
      </c>
    </row>
    <row r="185" spans="6:6" x14ac:dyDescent="0.35">
      <c r="F185" s="24">
        <f t="shared" ref="F185:F239" si="8">D131</f>
        <v>0</v>
      </c>
    </row>
    <row r="186" spans="6:6" x14ac:dyDescent="0.35">
      <c r="F186" s="24">
        <f t="shared" si="8"/>
        <v>0</v>
      </c>
    </row>
    <row r="187" spans="6:6" x14ac:dyDescent="0.35">
      <c r="F187" s="24">
        <f t="shared" si="8"/>
        <v>0</v>
      </c>
    </row>
    <row r="188" spans="6:6" x14ac:dyDescent="0.35">
      <c r="F188" s="24">
        <f t="shared" si="8"/>
        <v>0</v>
      </c>
    </row>
    <row r="189" spans="6:6" x14ac:dyDescent="0.35">
      <c r="F189" s="24">
        <f t="shared" si="8"/>
        <v>0</v>
      </c>
    </row>
    <row r="190" spans="6:6" x14ac:dyDescent="0.35">
      <c r="F190" s="24">
        <f t="shared" si="8"/>
        <v>0</v>
      </c>
    </row>
    <row r="191" spans="6:6" x14ac:dyDescent="0.35">
      <c r="F191" s="24">
        <f t="shared" si="8"/>
        <v>0</v>
      </c>
    </row>
    <row r="192" spans="6:6" x14ac:dyDescent="0.35">
      <c r="F192" s="24">
        <f t="shared" si="8"/>
        <v>0</v>
      </c>
    </row>
    <row r="193" spans="6:6" x14ac:dyDescent="0.35">
      <c r="F193" s="24">
        <f t="shared" si="8"/>
        <v>0</v>
      </c>
    </row>
    <row r="194" spans="6:6" x14ac:dyDescent="0.35">
      <c r="F194" s="24">
        <f t="shared" si="8"/>
        <v>0</v>
      </c>
    </row>
    <row r="195" spans="6:6" x14ac:dyDescent="0.35">
      <c r="F195" s="24">
        <f t="shared" si="8"/>
        <v>0</v>
      </c>
    </row>
    <row r="196" spans="6:6" x14ac:dyDescent="0.35">
      <c r="F196" s="24">
        <f t="shared" si="8"/>
        <v>0</v>
      </c>
    </row>
    <row r="197" spans="6:6" x14ac:dyDescent="0.35">
      <c r="F197" s="24">
        <f t="shared" si="8"/>
        <v>0</v>
      </c>
    </row>
    <row r="198" spans="6:6" x14ac:dyDescent="0.35">
      <c r="F198" s="24">
        <f t="shared" si="8"/>
        <v>0</v>
      </c>
    </row>
    <row r="199" spans="6:6" x14ac:dyDescent="0.35">
      <c r="F199" s="24">
        <f t="shared" si="8"/>
        <v>0</v>
      </c>
    </row>
    <row r="200" spans="6:6" x14ac:dyDescent="0.35">
      <c r="F200" s="24">
        <f t="shared" si="8"/>
        <v>0</v>
      </c>
    </row>
    <row r="201" spans="6:6" x14ac:dyDescent="0.35">
      <c r="F201" s="24">
        <f t="shared" si="8"/>
        <v>0</v>
      </c>
    </row>
    <row r="202" spans="6:6" x14ac:dyDescent="0.35">
      <c r="F202" s="24">
        <f t="shared" si="8"/>
        <v>0</v>
      </c>
    </row>
    <row r="203" spans="6:6" x14ac:dyDescent="0.35">
      <c r="F203" s="24">
        <f t="shared" si="8"/>
        <v>0</v>
      </c>
    </row>
    <row r="204" spans="6:6" x14ac:dyDescent="0.35">
      <c r="F204" s="24">
        <f t="shared" si="8"/>
        <v>0</v>
      </c>
    </row>
    <row r="205" spans="6:6" x14ac:dyDescent="0.35">
      <c r="F205" s="24">
        <f t="shared" si="8"/>
        <v>0</v>
      </c>
    </row>
    <row r="206" spans="6:6" x14ac:dyDescent="0.35">
      <c r="F206" s="24">
        <f t="shared" si="8"/>
        <v>0</v>
      </c>
    </row>
    <row r="207" spans="6:6" x14ac:dyDescent="0.35">
      <c r="F207" s="24">
        <f t="shared" si="8"/>
        <v>0</v>
      </c>
    </row>
    <row r="208" spans="6:6" x14ac:dyDescent="0.35">
      <c r="F208" s="24">
        <f t="shared" si="8"/>
        <v>0</v>
      </c>
    </row>
    <row r="209" spans="6:6" x14ac:dyDescent="0.35">
      <c r="F209" s="24">
        <f t="shared" si="8"/>
        <v>0</v>
      </c>
    </row>
    <row r="210" spans="6:6" x14ac:dyDescent="0.35">
      <c r="F210" s="24">
        <f t="shared" si="8"/>
        <v>0</v>
      </c>
    </row>
    <row r="211" spans="6:6" x14ac:dyDescent="0.35">
      <c r="F211" s="24">
        <f t="shared" si="8"/>
        <v>0</v>
      </c>
    </row>
    <row r="212" spans="6:6" x14ac:dyDescent="0.35">
      <c r="F212" s="24">
        <f t="shared" si="8"/>
        <v>0</v>
      </c>
    </row>
    <row r="213" spans="6:6" x14ac:dyDescent="0.35">
      <c r="F213" s="24">
        <f t="shared" si="8"/>
        <v>0</v>
      </c>
    </row>
    <row r="214" spans="6:6" x14ac:dyDescent="0.35">
      <c r="F214" s="24">
        <f t="shared" si="8"/>
        <v>0</v>
      </c>
    </row>
    <row r="215" spans="6:6" x14ac:dyDescent="0.35">
      <c r="F215" s="24">
        <f t="shared" si="8"/>
        <v>0</v>
      </c>
    </row>
    <row r="216" spans="6:6" x14ac:dyDescent="0.35">
      <c r="F216" s="24">
        <f t="shared" si="8"/>
        <v>0</v>
      </c>
    </row>
    <row r="217" spans="6:6" x14ac:dyDescent="0.35">
      <c r="F217" s="24">
        <f t="shared" si="8"/>
        <v>0</v>
      </c>
    </row>
    <row r="218" spans="6:6" x14ac:dyDescent="0.35">
      <c r="F218" s="24">
        <f t="shared" si="8"/>
        <v>0</v>
      </c>
    </row>
    <row r="219" spans="6:6" x14ac:dyDescent="0.35">
      <c r="F219" s="24">
        <f t="shared" si="8"/>
        <v>0</v>
      </c>
    </row>
    <row r="220" spans="6:6" x14ac:dyDescent="0.35">
      <c r="F220" s="24">
        <f t="shared" si="8"/>
        <v>0</v>
      </c>
    </row>
    <row r="221" spans="6:6" x14ac:dyDescent="0.35">
      <c r="F221" s="24">
        <f t="shared" si="8"/>
        <v>0</v>
      </c>
    </row>
    <row r="222" spans="6:6" x14ac:dyDescent="0.35">
      <c r="F222" s="24">
        <f t="shared" si="8"/>
        <v>0</v>
      </c>
    </row>
    <row r="223" spans="6:6" x14ac:dyDescent="0.35">
      <c r="F223" s="24">
        <f t="shared" si="8"/>
        <v>0</v>
      </c>
    </row>
    <row r="224" spans="6:6" x14ac:dyDescent="0.35">
      <c r="F224" s="24">
        <f t="shared" si="8"/>
        <v>0</v>
      </c>
    </row>
    <row r="225" spans="6:6" x14ac:dyDescent="0.35">
      <c r="F225" s="24">
        <f t="shared" si="8"/>
        <v>0</v>
      </c>
    </row>
    <row r="226" spans="6:6" x14ac:dyDescent="0.35">
      <c r="F226" s="24">
        <f t="shared" si="8"/>
        <v>0</v>
      </c>
    </row>
    <row r="227" spans="6:6" x14ac:dyDescent="0.35">
      <c r="F227" s="24">
        <f t="shared" si="8"/>
        <v>0</v>
      </c>
    </row>
    <row r="228" spans="6:6" x14ac:dyDescent="0.35">
      <c r="F228" s="24">
        <f t="shared" si="8"/>
        <v>0</v>
      </c>
    </row>
    <row r="229" spans="6:6" x14ac:dyDescent="0.35">
      <c r="F229" s="24">
        <f t="shared" si="8"/>
        <v>0</v>
      </c>
    </row>
    <row r="230" spans="6:6" x14ac:dyDescent="0.35">
      <c r="F230" s="24">
        <f t="shared" si="8"/>
        <v>0</v>
      </c>
    </row>
    <row r="231" spans="6:6" x14ac:dyDescent="0.35">
      <c r="F231" s="24">
        <f t="shared" si="8"/>
        <v>0</v>
      </c>
    </row>
    <row r="232" spans="6:6" x14ac:dyDescent="0.35">
      <c r="F232" s="24">
        <f t="shared" si="8"/>
        <v>0</v>
      </c>
    </row>
    <row r="233" spans="6:6" x14ac:dyDescent="0.35">
      <c r="F233" s="24">
        <f t="shared" si="8"/>
        <v>0</v>
      </c>
    </row>
    <row r="234" spans="6:6" x14ac:dyDescent="0.35">
      <c r="F234" s="24">
        <f t="shared" si="8"/>
        <v>0</v>
      </c>
    </row>
    <row r="235" spans="6:6" x14ac:dyDescent="0.35">
      <c r="F235" s="24">
        <f t="shared" si="8"/>
        <v>0</v>
      </c>
    </row>
    <row r="236" spans="6:6" x14ac:dyDescent="0.35">
      <c r="F236" s="24">
        <f t="shared" si="8"/>
        <v>0</v>
      </c>
    </row>
    <row r="237" spans="6:6" x14ac:dyDescent="0.35">
      <c r="F237" s="24">
        <f t="shared" si="8"/>
        <v>0</v>
      </c>
    </row>
    <row r="238" spans="6:6" x14ac:dyDescent="0.35">
      <c r="F238" s="24">
        <f t="shared" si="8"/>
        <v>0</v>
      </c>
    </row>
    <row r="239" spans="6:6" x14ac:dyDescent="0.35">
      <c r="F239" s="24">
        <f t="shared" si="8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59"/>
  <sheetViews>
    <sheetView topLeftCell="D1" zoomScale="90" zoomScaleNormal="90" workbookViewId="0">
      <selection activeCell="E2" sqref="E2"/>
    </sheetView>
  </sheetViews>
  <sheetFormatPr defaultRowHeight="14.5" x14ac:dyDescent="0.35"/>
  <cols>
    <col min="1" max="1" width="34.7265625" customWidth="1"/>
    <col min="2" max="2" width="29.7265625" customWidth="1"/>
    <col min="3" max="3" width="24.26953125" customWidth="1"/>
    <col min="4" max="4" width="21.81640625" customWidth="1"/>
    <col min="5" max="5" width="21.7265625" customWidth="1"/>
    <col min="6" max="6" width="35.453125" customWidth="1"/>
    <col min="7" max="7" width="32.1796875" customWidth="1"/>
    <col min="8" max="8" width="30.26953125" customWidth="1"/>
    <col min="9" max="9" width="31.26953125" customWidth="1"/>
    <col min="10" max="10" width="15.26953125" customWidth="1"/>
  </cols>
  <sheetData>
    <row r="1" spans="1:13" x14ac:dyDescent="0.35">
      <c r="A1" s="24" t="s">
        <v>49</v>
      </c>
      <c r="B1" s="24" t="s">
        <v>88</v>
      </c>
      <c r="C1" s="24" t="s">
        <v>89</v>
      </c>
      <c r="D1" s="24" t="s">
        <v>1</v>
      </c>
      <c r="E1" s="24" t="s">
        <v>2</v>
      </c>
      <c r="F1" s="24" t="s">
        <v>61</v>
      </c>
      <c r="G1" s="24" t="s">
        <v>59</v>
      </c>
      <c r="H1" s="24" t="s">
        <v>60</v>
      </c>
      <c r="I1" s="24" t="s">
        <v>148</v>
      </c>
      <c r="J1" s="24" t="s">
        <v>110</v>
      </c>
      <c r="K1" s="24" t="s">
        <v>56</v>
      </c>
      <c r="L1" s="24" t="s">
        <v>111</v>
      </c>
      <c r="M1" s="24" t="s">
        <v>58</v>
      </c>
    </row>
    <row r="2" spans="1:13" x14ac:dyDescent="0.35">
      <c r="A2" s="24" t="s">
        <v>50</v>
      </c>
      <c r="B2" s="24">
        <v>85947.449261557893</v>
      </c>
      <c r="C2" s="24">
        <v>942011.40945595957</v>
      </c>
      <c r="D2" s="24">
        <f>71.26*Table7172[[#This Row],[Duct Length]]/50</f>
        <v>122492.30468757232</v>
      </c>
      <c r="E2" s="24">
        <f>9.61*Table7172[[#This Row],[Fiber Length]]/50</f>
        <v>181054.59289743542</v>
      </c>
      <c r="F2" s="24">
        <f>'FTTCab GPON 26 Mbps'!B$20</f>
        <v>11620</v>
      </c>
      <c r="G2" s="24">
        <f>'FTTCab GPON 26 Mbps'!C$20</f>
        <v>370153.6</v>
      </c>
      <c r="H2" s="24">
        <f>'FTTCab GPON 26 Mbps'!D$20</f>
        <v>0</v>
      </c>
      <c r="I2" s="24">
        <f>SUM(Table7172[[#This Row],[Duct Cost]:[Building E&amp;I Costs]])</f>
        <v>685320.49758500769</v>
      </c>
      <c r="J2" s="24">
        <f t="shared" ref="J2:J14" si="0">I2*50</f>
        <v>34266024.879250385</v>
      </c>
      <c r="K2" s="24">
        <v>29262</v>
      </c>
      <c r="L2" s="24">
        <f>I2/K2</f>
        <v>23.420152333572815</v>
      </c>
      <c r="M2" s="24">
        <v>25</v>
      </c>
    </row>
    <row r="3" spans="1:13" x14ac:dyDescent="0.35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16300</v>
      </c>
      <c r="G3" s="24">
        <f>'FTTB XGPON 50 Mbps'!C$19</f>
        <v>1194.4000000000001</v>
      </c>
      <c r="H3" s="24">
        <f>'FTTB XGPON 50 Mbps'!D$19</f>
        <v>128000</v>
      </c>
      <c r="I3" s="24">
        <f>SUM(Table7172[[#This Row],[Duct Cost]:[Building E&amp;I Costs]])</f>
        <v>488901.15606202511</v>
      </c>
      <c r="J3" s="24">
        <f t="shared" si="0"/>
        <v>24445057.803101256</v>
      </c>
      <c r="K3" s="24">
        <v>29262</v>
      </c>
      <c r="L3" s="24">
        <f t="shared" ref="L3:L14" si="1">I3/K3</f>
        <v>16.707714990842224</v>
      </c>
      <c r="M3" s="24">
        <v>50</v>
      </c>
    </row>
    <row r="4" spans="1:13" x14ac:dyDescent="0.35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22950</v>
      </c>
      <c r="G4" s="24">
        <f>'FTTB WR-WDMPON 50 Mbps'!C$17</f>
        <v>130</v>
      </c>
      <c r="H4" s="24">
        <f>'FTTB WR-WDMPON 50 Mbps'!D$17</f>
        <v>133500</v>
      </c>
      <c r="I4" s="24">
        <f>SUM(Table7172[[#This Row],[Duct Cost]:[Building E&amp;I Costs]])</f>
        <v>433198.37939566193</v>
      </c>
      <c r="J4" s="24">
        <f t="shared" si="0"/>
        <v>21659918.969783098</v>
      </c>
      <c r="K4" s="24">
        <v>29262</v>
      </c>
      <c r="L4" s="24">
        <f t="shared" si="1"/>
        <v>14.804127516767888</v>
      </c>
      <c r="M4" s="24">
        <v>50</v>
      </c>
    </row>
    <row r="5" spans="1:13" x14ac:dyDescent="0.35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160450</v>
      </c>
      <c r="G5" s="24">
        <f>'FTTH WR-WDMPON 100 Mbps'!C$17</f>
        <v>910</v>
      </c>
      <c r="H5" s="24">
        <f>'FTTH WR-WDMPON 100 Mbps'!D$17</f>
        <v>210000</v>
      </c>
      <c r="I5" s="24">
        <f>SUM(Table7172[[#This Row],[Duct Cost]:[Building E&amp;I Costs]])</f>
        <v>647978.37939566188</v>
      </c>
      <c r="J5" s="24">
        <f t="shared" si="0"/>
        <v>32398918.969783094</v>
      </c>
      <c r="K5" s="24">
        <v>29262</v>
      </c>
      <c r="L5" s="24">
        <f t="shared" si="1"/>
        <v>22.144022260804519</v>
      </c>
      <c r="M5" s="24">
        <v>100</v>
      </c>
    </row>
    <row r="6" spans="1:13" x14ac:dyDescent="0.35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187400</v>
      </c>
      <c r="G6" s="24">
        <f>'FTTH XGPON 100 Mbps'!C$19</f>
        <v>129680</v>
      </c>
      <c r="H6" s="24">
        <f>'FTTH XGPON 100 Mbps'!D$19</f>
        <v>90754</v>
      </c>
      <c r="I6" s="24">
        <f>SUM(Table7172[[#This Row],[Duct Cost]:[Building E&amp;I Costs]])</f>
        <v>751240.75606202509</v>
      </c>
      <c r="J6" s="24">
        <f t="shared" si="0"/>
        <v>37562037.803101256</v>
      </c>
      <c r="K6" s="24">
        <v>29262</v>
      </c>
      <c r="L6" s="24">
        <f t="shared" si="1"/>
        <v>25.672912174903463</v>
      </c>
      <c r="M6" s="24">
        <v>100</v>
      </c>
    </row>
    <row r="7" spans="1:13" x14ac:dyDescent="0.35">
      <c r="A7" s="24" t="s">
        <v>65</v>
      </c>
      <c r="B7" s="24">
        <v>85947.449261557893</v>
      </c>
      <c r="C7" s="24">
        <v>942011.40945595957</v>
      </c>
      <c r="D7" s="24">
        <f>71.26*Table7172[[#This Row],[Duct Length]]/50</f>
        <v>122492.30468757232</v>
      </c>
      <c r="E7" s="24">
        <f>9.61*Table7172[[#This Row],[Fiber Length]]/50</f>
        <v>181054.59289743542</v>
      </c>
      <c r="F7" s="24">
        <f>FTTCab_GPON_100!B$18</f>
        <v>31204</v>
      </c>
      <c r="G7" s="24">
        <f>FTTCab_GPON_100!C$18</f>
        <v>465880.8</v>
      </c>
      <c r="H7" s="24">
        <f>FTTCab_GPON_100!D$18</f>
        <v>0</v>
      </c>
      <c r="I7" s="24">
        <f>SUM(Table7172[[#This Row],[Duct Cost]:[Building E&amp;I Costs]])</f>
        <v>800631.69758500764</v>
      </c>
      <c r="J7" s="24">
        <f t="shared" si="0"/>
        <v>40031584.879250385</v>
      </c>
      <c r="K7" s="24">
        <v>29262</v>
      </c>
      <c r="L7" s="24">
        <f t="shared" si="1"/>
        <v>27.3607989059192</v>
      </c>
      <c r="M7" s="24">
        <v>100</v>
      </c>
    </row>
    <row r="8" spans="1:13" x14ac:dyDescent="0.35">
      <c r="A8" s="24" t="s">
        <v>66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32500</v>
      </c>
      <c r="G8" s="24">
        <f>FTTB_XGPON_100!C$18</f>
        <v>1194.4000000000001</v>
      </c>
      <c r="H8" s="24">
        <f>FTTB_XGPON_100!D$18</f>
        <v>124851.2</v>
      </c>
      <c r="I8" s="24">
        <f>SUM(Table7172[[#This Row],[Duct Cost]:[Building E&amp;I Costs]])</f>
        <v>501952.35606202512</v>
      </c>
      <c r="J8" s="24">
        <f t="shared" si="0"/>
        <v>25097617.803101256</v>
      </c>
      <c r="K8" s="24">
        <v>29262</v>
      </c>
      <c r="L8" s="24">
        <f t="shared" si="1"/>
        <v>17.153726883399123</v>
      </c>
      <c r="M8" s="24">
        <v>100</v>
      </c>
    </row>
    <row r="9" spans="1:13" x14ac:dyDescent="0.35">
      <c r="A9" s="24" t="s">
        <v>67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39400</v>
      </c>
      <c r="G9" s="24">
        <f>FTTB_WRWDM_100!C$16</f>
        <v>260</v>
      </c>
      <c r="H9" s="24">
        <f>FTTB_WRWDM_100!D$16</f>
        <v>267000</v>
      </c>
      <c r="I9" s="24">
        <f>SUM(Table7172[[#This Row],[Duct Cost]:[Building E&amp;I Costs]])</f>
        <v>583278.37939566188</v>
      </c>
      <c r="J9" s="24">
        <f t="shared" si="0"/>
        <v>29163918.969783094</v>
      </c>
      <c r="K9" s="24">
        <v>29262</v>
      </c>
      <c r="L9" s="24">
        <f t="shared" si="1"/>
        <v>19.932963549848331</v>
      </c>
      <c r="M9" s="24">
        <v>100</v>
      </c>
    </row>
    <row r="10" spans="1:13" x14ac:dyDescent="0.35">
      <c r="A10" s="22" t="s">
        <v>68</v>
      </c>
      <c r="B10" s="16">
        <v>57507.321309755403</v>
      </c>
      <c r="C10" s="16">
        <v>629711.41851421306</v>
      </c>
      <c r="D10" s="24">
        <f>71.26*Table7172[[#This Row],[Duct Length]]/50</f>
        <v>81959.434330663411</v>
      </c>
      <c r="E10" s="24">
        <f>9.61*Table7172[[#This Row],[Fiber Length]]/50</f>
        <v>121030.53463843174</v>
      </c>
      <c r="F10" s="24">
        <f>FTTCab_Hybridpon_25!B$18</f>
        <v>11720</v>
      </c>
      <c r="G10" s="24">
        <f>FTTCab_Hybridpon_25!C$18</f>
        <v>228761.2</v>
      </c>
      <c r="H10" s="24">
        <f>FTTCab_Hybridpon_25!D$18</f>
        <v>0</v>
      </c>
      <c r="I10" s="24">
        <f>SUM(Table7172[[#This Row],[Duct Cost]:[Building E&amp;I Costs]])</f>
        <v>443471.16896909516</v>
      </c>
      <c r="J10" s="24">
        <f t="shared" si="0"/>
        <v>22173558.448454756</v>
      </c>
      <c r="K10" s="24">
        <v>29262</v>
      </c>
      <c r="L10" s="24">
        <f t="shared" si="1"/>
        <v>15.155189972288127</v>
      </c>
      <c r="M10" s="24">
        <v>25</v>
      </c>
    </row>
    <row r="11" spans="1:13" x14ac:dyDescent="0.35">
      <c r="A11" s="22" t="s">
        <v>69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24000</v>
      </c>
      <c r="G11" s="24">
        <f>FTTB_Hybridpon_50!C$17</f>
        <v>438.2</v>
      </c>
      <c r="H11" s="24">
        <f>FTTB_Hybridpon_50!D$17</f>
        <v>135000</v>
      </c>
      <c r="I11" s="24">
        <f>SUM(Table7172[[#This Row],[Duct Cost]:[Building E&amp;I Costs]])</f>
        <v>458559.26274949865</v>
      </c>
      <c r="J11" s="24">
        <f t="shared" si="0"/>
        <v>22927963.137474932</v>
      </c>
      <c r="K11" s="24">
        <v>29262</v>
      </c>
      <c r="L11" s="24">
        <f t="shared" si="1"/>
        <v>15.670810701575377</v>
      </c>
      <c r="M11" s="24">
        <v>50</v>
      </c>
    </row>
    <row r="12" spans="1:13" x14ac:dyDescent="0.35">
      <c r="A12" s="22" t="s">
        <v>70</v>
      </c>
      <c r="B12" s="16">
        <v>127537.82706687541</v>
      </c>
      <c r="C12" s="16">
        <v>516582.42972576799</v>
      </c>
      <c r="D12" s="24">
        <f>71.26*Table7172[[#This Row],[Duct Length]]/50</f>
        <v>181766.91113571086</v>
      </c>
      <c r="E12" s="24">
        <f>9.61*Table7172[[#This Row],[Fiber Length]]/50</f>
        <v>99287.142993292597</v>
      </c>
      <c r="F12" s="24">
        <f>FTTH_Hybridpon_100!B$17</f>
        <v>48000</v>
      </c>
      <c r="G12" s="24">
        <f>FTTH_Hybridpon_100!C$17</f>
        <v>1419</v>
      </c>
      <c r="H12" s="24">
        <f>FTTH_Hybridpon_100!D$17</f>
        <v>180000</v>
      </c>
      <c r="I12" s="24">
        <f>SUM(Table7172[[#This Row],[Duct Cost]:[Building E&amp;I Costs]])</f>
        <v>510473.05412900343</v>
      </c>
      <c r="J12" s="24">
        <f t="shared" si="0"/>
        <v>25523652.706450172</v>
      </c>
      <c r="K12" s="24">
        <v>29262</v>
      </c>
      <c r="L12" s="24">
        <f t="shared" si="1"/>
        <v>17.444913339108858</v>
      </c>
      <c r="M12" s="24">
        <v>100</v>
      </c>
    </row>
    <row r="13" spans="1:13" x14ac:dyDescent="0.35">
      <c r="A13" s="22" t="s">
        <v>71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46280</v>
      </c>
      <c r="G13" s="24">
        <f>FTTC_Hybridpon_100!C$18</f>
        <v>245231.2</v>
      </c>
      <c r="H13" s="24">
        <f>FTTC_Hybridpon_100!D$18</f>
        <v>0</v>
      </c>
      <c r="I13" s="24">
        <f>SUM(Table7172[[#This Row],[Duct Cost]:[Building E&amp;I Costs]])</f>
        <v>593031.60963587556</v>
      </c>
      <c r="J13" s="24">
        <f t="shared" si="0"/>
        <v>29651580.481793776</v>
      </c>
      <c r="K13" s="24">
        <v>29262</v>
      </c>
      <c r="L13" s="24">
        <f t="shared" si="1"/>
        <v>20.26627057739989</v>
      </c>
      <c r="M13" s="24">
        <v>100</v>
      </c>
    </row>
    <row r="14" spans="1:13" x14ac:dyDescent="0.35">
      <c r="A14" s="15" t="s">
        <v>72</v>
      </c>
      <c r="B14" s="16">
        <v>127537.82706687541</v>
      </c>
      <c r="C14" s="16">
        <v>475602.42972576804</v>
      </c>
      <c r="D14" s="24">
        <f>71.26*Table7172[[#This Row],[Duct Length]]/50</f>
        <v>181766.91113571086</v>
      </c>
      <c r="E14" s="24">
        <f>9.61*Table7172[[#This Row],[Fiber Length]]/50</f>
        <v>91410.786993292611</v>
      </c>
      <c r="F14" s="17">
        <f>FTTB_Hybridpon_100!B$17</f>
        <v>48000</v>
      </c>
      <c r="G14" s="17">
        <f>FTTB_Hybridpon_100!C$17</f>
        <v>438.2</v>
      </c>
      <c r="H14" s="17">
        <f>FTTB_Hybridpon_100!D$17</f>
        <v>135000</v>
      </c>
      <c r="I14" s="24">
        <f>SUM(Table7172[[#This Row],[Duct Cost]:[Building E&amp;I Costs]])</f>
        <v>456615.89812900347</v>
      </c>
      <c r="J14" s="24">
        <f t="shared" si="0"/>
        <v>22830794.906450175</v>
      </c>
      <c r="K14" s="24">
        <v>29262</v>
      </c>
      <c r="L14" s="24">
        <f t="shared" si="1"/>
        <v>15.604398131672594</v>
      </c>
      <c r="M14" s="17">
        <v>100</v>
      </c>
    </row>
    <row r="45" spans="6:9" x14ac:dyDescent="0.35">
      <c r="F45" t="s">
        <v>1</v>
      </c>
      <c r="G45" t="s">
        <v>2</v>
      </c>
      <c r="H45" t="s">
        <v>127</v>
      </c>
      <c r="I45" t="s">
        <v>3</v>
      </c>
    </row>
    <row r="46" spans="6:9" x14ac:dyDescent="0.35">
      <c r="F46">
        <f>D2</f>
        <v>122492.30468757232</v>
      </c>
      <c r="G46" s="24">
        <f t="shared" ref="G46:H58" si="2">E2</f>
        <v>181054.59289743542</v>
      </c>
      <c r="H46" s="24">
        <f t="shared" si="2"/>
        <v>11620</v>
      </c>
      <c r="I46">
        <f>G2+H2</f>
        <v>370153.6</v>
      </c>
    </row>
    <row r="47" spans="6:9" x14ac:dyDescent="0.35">
      <c r="F47" s="24">
        <f t="shared" ref="F47:F59" si="3">D3</f>
        <v>220258.5472510673</v>
      </c>
      <c r="G47" s="24">
        <f t="shared" si="2"/>
        <v>123148.20881095782</v>
      </c>
      <c r="H47" s="24">
        <f t="shared" si="2"/>
        <v>16300</v>
      </c>
      <c r="I47" s="24">
        <f t="shared" ref="I47:I58" si="4">G3+H3</f>
        <v>129194.4</v>
      </c>
    </row>
    <row r="48" spans="6:9" x14ac:dyDescent="0.35">
      <c r="F48" s="24">
        <f t="shared" si="3"/>
        <v>136195.87571102803</v>
      </c>
      <c r="G48" s="24">
        <f t="shared" si="2"/>
        <v>140422.50368463391</v>
      </c>
      <c r="H48" s="24">
        <f t="shared" si="2"/>
        <v>22950</v>
      </c>
      <c r="I48" s="24">
        <f t="shared" si="4"/>
        <v>133630</v>
      </c>
    </row>
    <row r="49" spans="6:9" x14ac:dyDescent="0.35">
      <c r="F49" s="24">
        <f t="shared" si="3"/>
        <v>136195.87571102803</v>
      </c>
      <c r="G49" s="24">
        <f t="shared" si="2"/>
        <v>140422.50368463391</v>
      </c>
      <c r="H49" s="24">
        <f t="shared" si="2"/>
        <v>160450</v>
      </c>
      <c r="I49" s="24">
        <f t="shared" si="4"/>
        <v>210910</v>
      </c>
    </row>
    <row r="50" spans="6:9" x14ac:dyDescent="0.35">
      <c r="F50" s="24">
        <f t="shared" si="3"/>
        <v>220258.5472510673</v>
      </c>
      <c r="G50" s="24">
        <f t="shared" si="2"/>
        <v>123148.20881095782</v>
      </c>
      <c r="H50" s="24">
        <f t="shared" si="2"/>
        <v>187400</v>
      </c>
      <c r="I50" s="24">
        <f t="shared" si="4"/>
        <v>220434</v>
      </c>
    </row>
    <row r="51" spans="6:9" x14ac:dyDescent="0.35">
      <c r="F51" s="24">
        <f t="shared" si="3"/>
        <v>122492.30468757232</v>
      </c>
      <c r="G51" s="24">
        <f t="shared" si="2"/>
        <v>181054.59289743542</v>
      </c>
      <c r="H51" s="24">
        <f t="shared" si="2"/>
        <v>31204</v>
      </c>
      <c r="I51" s="24">
        <f t="shared" si="4"/>
        <v>465880.8</v>
      </c>
    </row>
    <row r="52" spans="6:9" x14ac:dyDescent="0.35">
      <c r="F52" s="24">
        <f t="shared" si="3"/>
        <v>220258.5472510673</v>
      </c>
      <c r="G52" s="24">
        <f t="shared" si="2"/>
        <v>123148.20881095782</v>
      </c>
      <c r="H52" s="24">
        <f t="shared" si="2"/>
        <v>32500</v>
      </c>
      <c r="I52" s="24">
        <f t="shared" si="4"/>
        <v>126045.59999999999</v>
      </c>
    </row>
    <row r="53" spans="6:9" x14ac:dyDescent="0.35">
      <c r="F53" s="24">
        <f t="shared" si="3"/>
        <v>136195.87571102803</v>
      </c>
      <c r="G53" s="24">
        <f t="shared" si="2"/>
        <v>140422.50368463391</v>
      </c>
      <c r="H53" s="24">
        <f t="shared" si="2"/>
        <v>39400</v>
      </c>
      <c r="I53" s="24">
        <f t="shared" si="4"/>
        <v>267260</v>
      </c>
    </row>
    <row r="54" spans="6:9" x14ac:dyDescent="0.35">
      <c r="F54" s="24">
        <f t="shared" si="3"/>
        <v>81959.434330663411</v>
      </c>
      <c r="G54" s="24">
        <f t="shared" si="2"/>
        <v>121030.53463843174</v>
      </c>
      <c r="H54" s="24">
        <f t="shared" si="2"/>
        <v>11720</v>
      </c>
      <c r="I54" s="24">
        <f t="shared" si="4"/>
        <v>228761.2</v>
      </c>
    </row>
    <row r="55" spans="6:9" x14ac:dyDescent="0.35">
      <c r="F55" s="24">
        <f t="shared" si="3"/>
        <v>181766.91113571086</v>
      </c>
      <c r="G55" s="24">
        <f t="shared" si="2"/>
        <v>117354.15161378775</v>
      </c>
      <c r="H55" s="24">
        <f t="shared" si="2"/>
        <v>24000</v>
      </c>
      <c r="I55" s="24">
        <f t="shared" si="4"/>
        <v>135438.20000000001</v>
      </c>
    </row>
    <row r="56" spans="6:9" x14ac:dyDescent="0.35">
      <c r="F56" s="24">
        <f t="shared" si="3"/>
        <v>181766.91113571086</v>
      </c>
      <c r="G56" s="24">
        <f t="shared" si="2"/>
        <v>99287.142993292597</v>
      </c>
      <c r="H56" s="24">
        <f t="shared" si="2"/>
        <v>48000</v>
      </c>
      <c r="I56" s="24">
        <f t="shared" si="4"/>
        <v>181419</v>
      </c>
    </row>
    <row r="57" spans="6:9" x14ac:dyDescent="0.35">
      <c r="F57" s="24">
        <f t="shared" si="3"/>
        <v>180489.8749974439</v>
      </c>
      <c r="G57" s="24">
        <f t="shared" si="2"/>
        <v>121030.53463843174</v>
      </c>
      <c r="H57" s="24">
        <f t="shared" si="2"/>
        <v>46280</v>
      </c>
      <c r="I57" s="24">
        <f t="shared" si="4"/>
        <v>245231.2</v>
      </c>
    </row>
    <row r="58" spans="6:9" x14ac:dyDescent="0.35">
      <c r="F58" s="24">
        <f t="shared" si="3"/>
        <v>181766.91113571086</v>
      </c>
      <c r="G58" s="24">
        <f t="shared" si="2"/>
        <v>91410.786993292611</v>
      </c>
      <c r="H58" s="24">
        <f t="shared" si="2"/>
        <v>48000</v>
      </c>
      <c r="I58" s="24">
        <f t="shared" si="4"/>
        <v>135438.20000000001</v>
      </c>
    </row>
    <row r="59" spans="6:9" x14ac:dyDescent="0.35">
      <c r="F59" s="24">
        <f t="shared" si="3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0" zoomScaleNormal="70" workbookViewId="0">
      <selection activeCell="Z52" sqref="Z52"/>
    </sheetView>
  </sheetViews>
  <sheetFormatPr defaultRowHeight="14.5" x14ac:dyDescent="0.3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0"/>
  <sheetViews>
    <sheetView workbookViewId="0">
      <selection activeCell="A29" sqref="A29:E40"/>
    </sheetView>
  </sheetViews>
  <sheetFormatPr defaultRowHeight="14.5" x14ac:dyDescent="0.35"/>
  <cols>
    <col min="1" max="1" width="19.1796875" customWidth="1"/>
    <col min="2" max="2" width="33.26953125" customWidth="1"/>
    <col min="3" max="3" width="35.54296875" customWidth="1"/>
    <col min="4" max="4" width="19.26953125" customWidth="1"/>
    <col min="5" max="5" width="27.7265625" customWidth="1"/>
  </cols>
  <sheetData>
    <row r="1" spans="1:4" x14ac:dyDescent="0.35">
      <c r="A1" t="s">
        <v>142</v>
      </c>
      <c r="B1" t="s">
        <v>139</v>
      </c>
      <c r="C1" t="s">
        <v>140</v>
      </c>
      <c r="D1" t="s">
        <v>141</v>
      </c>
    </row>
    <row r="2" spans="1:4" x14ac:dyDescent="0.35">
      <c r="A2" t="s">
        <v>143</v>
      </c>
      <c r="B2">
        <v>163694.15</v>
      </c>
      <c r="C2">
        <v>324385.89</v>
      </c>
      <c r="D2">
        <v>1637509.37</v>
      </c>
    </row>
    <row r="3" spans="1:4" x14ac:dyDescent="0.35">
      <c r="A3" t="s">
        <v>144</v>
      </c>
      <c r="B3">
        <v>161452.51999999999</v>
      </c>
      <c r="C3">
        <v>321301.68</v>
      </c>
      <c r="D3">
        <v>1627712.63</v>
      </c>
    </row>
    <row r="4" spans="1:4" x14ac:dyDescent="0.35">
      <c r="A4" t="s">
        <v>145</v>
      </c>
      <c r="B4">
        <v>156956.23000000001</v>
      </c>
      <c r="C4">
        <v>315135.05</v>
      </c>
      <c r="D4">
        <v>1608124.77</v>
      </c>
    </row>
    <row r="10" spans="1:4" x14ac:dyDescent="0.35">
      <c r="A10" t="s">
        <v>49</v>
      </c>
      <c r="B10" t="s">
        <v>146</v>
      </c>
      <c r="C10" t="s">
        <v>147</v>
      </c>
    </row>
    <row r="11" spans="1:4" x14ac:dyDescent="0.35">
      <c r="A11" t="s">
        <v>50</v>
      </c>
      <c r="B11">
        <v>257876.76484436693</v>
      </c>
      <c r="C11">
        <v>451295.0492430462</v>
      </c>
    </row>
    <row r="12" spans="1:4" x14ac:dyDescent="0.35">
      <c r="A12" t="s">
        <v>51</v>
      </c>
      <c r="B12">
        <v>216506.82213135384</v>
      </c>
      <c r="C12">
        <v>201494.37463352116</v>
      </c>
    </row>
    <row r="13" spans="1:4" x14ac:dyDescent="0.35">
      <c r="A13" t="s">
        <v>135</v>
      </c>
      <c r="B13">
        <v>146245.86534054048</v>
      </c>
      <c r="C13">
        <v>162537.48553270852</v>
      </c>
    </row>
    <row r="14" spans="1:4" x14ac:dyDescent="0.35">
      <c r="A14" t="s">
        <v>136</v>
      </c>
      <c r="B14">
        <v>290423.53200720716</v>
      </c>
      <c r="C14">
        <v>392097.48553270852</v>
      </c>
    </row>
    <row r="15" spans="1:4" x14ac:dyDescent="0.35">
      <c r="A15" t="s">
        <v>54</v>
      </c>
      <c r="B15">
        <v>337135.15546468715</v>
      </c>
      <c r="C15">
        <v>300898.37463352119</v>
      </c>
    </row>
    <row r="16" spans="1:4" x14ac:dyDescent="0.35">
      <c r="A16" t="s">
        <v>65</v>
      </c>
      <c r="B16">
        <v>205024.94262214471</v>
      </c>
      <c r="C16">
        <v>477839.0492430462</v>
      </c>
    </row>
    <row r="17" spans="1:15" x14ac:dyDescent="0.35">
      <c r="A17" t="s">
        <v>66</v>
      </c>
      <c r="B17">
        <v>218720.75546468716</v>
      </c>
      <c r="C17">
        <v>207956.37463352116</v>
      </c>
    </row>
    <row r="18" spans="1:15" x14ac:dyDescent="0.35">
      <c r="A18" t="s">
        <v>137</v>
      </c>
      <c r="B18">
        <v>153163.03200720716</v>
      </c>
      <c r="C18">
        <v>175537.48553270852</v>
      </c>
    </row>
    <row r="19" spans="1:15" x14ac:dyDescent="0.35">
      <c r="A19" t="s">
        <v>68</v>
      </c>
      <c r="B19">
        <v>215033.95413371181</v>
      </c>
      <c r="C19">
        <v>317641.51949214807</v>
      </c>
    </row>
    <row r="20" spans="1:15" x14ac:dyDescent="0.35">
      <c r="A20" t="s">
        <v>69</v>
      </c>
      <c r="B20">
        <v>178789.18073992687</v>
      </c>
      <c r="C20">
        <v>190053.9800377739</v>
      </c>
    </row>
    <row r="21" spans="1:15" x14ac:dyDescent="0.35">
      <c r="A21" t="s">
        <v>70</v>
      </c>
      <c r="B21">
        <v>328167.30071821815</v>
      </c>
      <c r="C21">
        <v>294072.20615263691</v>
      </c>
    </row>
    <row r="22" spans="1:15" x14ac:dyDescent="0.35">
      <c r="A22" t="s">
        <v>71</v>
      </c>
      <c r="B22">
        <v>247844.95413371181</v>
      </c>
      <c r="C22">
        <v>337587.51949214807</v>
      </c>
    </row>
    <row r="23" spans="1:15" x14ac:dyDescent="0.35">
      <c r="A23" t="s">
        <v>72</v>
      </c>
      <c r="B23">
        <v>196666.48111821816</v>
      </c>
      <c r="C23">
        <v>203875.19169874041</v>
      </c>
    </row>
    <row r="29" spans="1:15" x14ac:dyDescent="0.35">
      <c r="A29" t="s">
        <v>150</v>
      </c>
      <c r="B29" t="s">
        <v>151</v>
      </c>
      <c r="C29" t="s">
        <v>152</v>
      </c>
      <c r="D29" t="s">
        <v>154</v>
      </c>
      <c r="E29" t="s">
        <v>153</v>
      </c>
    </row>
    <row r="30" spans="1:15" x14ac:dyDescent="0.35">
      <c r="A30" t="s">
        <v>155</v>
      </c>
      <c r="B30" s="24" t="s">
        <v>157</v>
      </c>
      <c r="C30" t="s">
        <v>165</v>
      </c>
      <c r="D30" t="s">
        <v>166</v>
      </c>
      <c r="E30" t="s">
        <v>167</v>
      </c>
    </row>
    <row r="31" spans="1:15" x14ac:dyDescent="0.35">
      <c r="A31" t="s">
        <v>156</v>
      </c>
      <c r="B31" t="s">
        <v>163</v>
      </c>
      <c r="C31" t="s">
        <v>164</v>
      </c>
      <c r="D31" s="24" t="s">
        <v>164</v>
      </c>
      <c r="E31" t="s">
        <v>168</v>
      </c>
      <c r="K31" t="s">
        <v>160</v>
      </c>
      <c r="L31" s="28">
        <v>1</v>
      </c>
      <c r="M31" s="28">
        <f>100/50</f>
        <v>2</v>
      </c>
      <c r="N31" s="28">
        <f>80/50</f>
        <v>1.6</v>
      </c>
      <c r="O31" s="28">
        <f>250/50</f>
        <v>5</v>
      </c>
    </row>
    <row r="32" spans="1:15" x14ac:dyDescent="0.35">
      <c r="A32" s="39" t="s">
        <v>23</v>
      </c>
      <c r="B32" s="28">
        <v>40</v>
      </c>
      <c r="C32" s="28">
        <f>2500/50</f>
        <v>50</v>
      </c>
      <c r="D32" s="28">
        <f>3500/50</f>
        <v>70</v>
      </c>
      <c r="E32" s="28">
        <f>57600/4/50</f>
        <v>288</v>
      </c>
      <c r="K32" t="s">
        <v>161</v>
      </c>
    </row>
    <row r="33" spans="1:11" x14ac:dyDescent="0.35">
      <c r="A33" s="39" t="s">
        <v>38</v>
      </c>
      <c r="B33" s="28">
        <v>80</v>
      </c>
      <c r="C33" s="28">
        <v>55</v>
      </c>
      <c r="D33" s="28">
        <v>200</v>
      </c>
      <c r="E33" s="28">
        <f>60000/4/50</f>
        <v>300</v>
      </c>
      <c r="K33" t="s">
        <v>162</v>
      </c>
    </row>
    <row r="34" spans="1:11" x14ac:dyDescent="0.35">
      <c r="A34" s="39" t="s">
        <v>158</v>
      </c>
      <c r="B34" s="29">
        <v>8.8000000000000007</v>
      </c>
      <c r="C34" s="29">
        <v>60</v>
      </c>
      <c r="D34" s="29">
        <f>10000/50</f>
        <v>200</v>
      </c>
      <c r="E34" s="29">
        <v>350</v>
      </c>
      <c r="K34" t="s">
        <v>159</v>
      </c>
    </row>
    <row r="35" spans="1:11" x14ac:dyDescent="0.35">
      <c r="A35" s="39" t="s">
        <v>29</v>
      </c>
      <c r="B35" s="28">
        <v>1.8</v>
      </c>
      <c r="C35" s="28">
        <v>0</v>
      </c>
      <c r="D35" s="28">
        <f>500/50</f>
        <v>10</v>
      </c>
      <c r="E35" s="28">
        <f>70/50</f>
        <v>1.4</v>
      </c>
    </row>
    <row r="36" spans="1:11" x14ac:dyDescent="0.35">
      <c r="A36" s="40" t="s">
        <v>124</v>
      </c>
      <c r="B36" s="29">
        <f>24+100</f>
        <v>124</v>
      </c>
      <c r="C36" s="29">
        <f>11000/50</f>
        <v>220</v>
      </c>
      <c r="D36" s="29">
        <f>(15000)/50</f>
        <v>300</v>
      </c>
      <c r="E36" s="29">
        <f>(1200+13500)/50</f>
        <v>294</v>
      </c>
    </row>
    <row r="37" spans="1:11" x14ac:dyDescent="0.35">
      <c r="A37" s="39" t="s">
        <v>160</v>
      </c>
      <c r="B37" s="28">
        <v>1</v>
      </c>
      <c r="C37" s="28">
        <f>250/50</f>
        <v>5</v>
      </c>
      <c r="D37" s="28">
        <f>100/50</f>
        <v>2</v>
      </c>
      <c r="E37" s="28">
        <f>80/50</f>
        <v>1.6</v>
      </c>
    </row>
    <row r="38" spans="1:11" x14ac:dyDescent="0.35">
      <c r="A38" s="24" t="s">
        <v>161</v>
      </c>
      <c r="B38" s="28">
        <v>1.8</v>
      </c>
      <c r="C38" s="28">
        <v>5</v>
      </c>
      <c r="D38" s="28">
        <v>4</v>
      </c>
      <c r="E38" s="28">
        <v>1.8</v>
      </c>
    </row>
    <row r="39" spans="1:11" x14ac:dyDescent="0.35">
      <c r="A39" s="24" t="s">
        <v>162</v>
      </c>
      <c r="B39" s="28">
        <v>2.2999999999999998</v>
      </c>
      <c r="C39" s="28">
        <v>5</v>
      </c>
      <c r="D39" s="28">
        <f>250/50</f>
        <v>5</v>
      </c>
      <c r="E39" s="28">
        <v>2.2999999999999998</v>
      </c>
    </row>
    <row r="40" spans="1:11" x14ac:dyDescent="0.35">
      <c r="A40" s="24" t="s">
        <v>159</v>
      </c>
      <c r="B40" s="28">
        <v>3.1</v>
      </c>
      <c r="C40" s="28">
        <v>5</v>
      </c>
      <c r="D40" s="28">
        <f>250/50</f>
        <v>5</v>
      </c>
      <c r="E40" s="28">
        <v>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pane xSplit="4" ySplit="16" topLeftCell="E17" activePane="bottomRight" state="frozen"/>
      <selection activeCell="B47" sqref="B47"/>
      <selection pane="topRight" activeCell="B47" sqref="B47"/>
      <selection pane="bottomLeft" activeCell="B47" sqref="B47"/>
      <selection pane="bottomRight" activeCell="C2" sqref="C2:C10"/>
    </sheetView>
  </sheetViews>
  <sheetFormatPr defaultRowHeight="14.5" x14ac:dyDescent="0.35"/>
  <cols>
    <col min="1" max="1" width="29.26953125" customWidth="1"/>
    <col min="2" max="2" width="38" customWidth="1"/>
    <col min="3" max="3" width="21.26953125" customWidth="1"/>
    <col min="4" max="4" width="21.26953125" style="21" customWidth="1"/>
    <col min="5" max="6" width="21.26953125" style="24" customWidth="1"/>
    <col min="7" max="7" width="22.54296875" customWidth="1"/>
    <col min="8" max="8" width="30.1796875" customWidth="1"/>
    <col min="9" max="9" width="23.54296875" customWidth="1"/>
    <col min="10" max="10" width="20.4531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106</v>
      </c>
      <c r="F1" s="7" t="s">
        <v>118</v>
      </c>
      <c r="G1" s="7" t="s">
        <v>21</v>
      </c>
      <c r="H1" s="7" t="s">
        <v>79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11520</v>
      </c>
      <c r="K2" s="33">
        <f>Table2[[#This Row],[Cost per Unit(Philipson)]]*Table2[[#This Row],[Quantity]]</f>
        <v>2000</v>
      </c>
    </row>
    <row r="3" spans="1:11" x14ac:dyDescent="0.35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x14ac:dyDescent="0.3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436.79999999999995</v>
      </c>
      <c r="K6" s="33">
        <f>Table2[[#This Row],[Cost per Unit(Philipson)]]*Table2[[#This Row],[Quantity]]</f>
        <v>0</v>
      </c>
    </row>
    <row r="7" spans="1:11" x14ac:dyDescent="0.35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x14ac:dyDescent="0.3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3980.8</v>
      </c>
      <c r="K8" s="33">
        <f>Table2[[#This Row],[Cost per Unit(Philipson)]]*Table2[[#This Row],[Quantity]]</f>
        <v>12440</v>
      </c>
    </row>
    <row r="9" spans="1:11" x14ac:dyDescent="0.35">
      <c r="A9" s="6" t="s">
        <v>30</v>
      </c>
      <c r="B9" s="6" t="s">
        <v>124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</f>
        <v>373200</v>
      </c>
      <c r="J9" s="30">
        <f>Table2[[#This Row],[Cost per Unit (BSG)]]*Table2[[#This Row],[Quantity]]</f>
        <v>365736</v>
      </c>
      <c r="K9" s="33">
        <f>Table2[[#This Row],[Cost per Unit(Philipson)]]*Table2[[#This Row],[Quantity]]</f>
        <v>273680</v>
      </c>
    </row>
    <row r="10" spans="1:11" x14ac:dyDescent="0.35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x14ac:dyDescent="0.35">
      <c r="A11" s="6"/>
      <c r="B11" s="6"/>
      <c r="C11" s="4"/>
      <c r="D11" s="4"/>
      <c r="E11" s="4"/>
      <c r="F11" s="4"/>
      <c r="G11" s="4"/>
      <c r="H11" s="11"/>
    </row>
    <row r="17" spans="1:10" x14ac:dyDescent="0.35">
      <c r="A17" t="s">
        <v>82</v>
      </c>
      <c r="B17" t="s">
        <v>35</v>
      </c>
      <c r="C17" t="s">
        <v>36</v>
      </c>
      <c r="D17" t="s">
        <v>37</v>
      </c>
      <c r="E17" t="s">
        <v>34</v>
      </c>
    </row>
    <row r="18" spans="1:10" ht="15" thickBot="1" x14ac:dyDescent="0.4">
      <c r="A18" t="s">
        <v>83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5" thickTop="1" thickBot="1" x14ac:dyDescent="0.4">
      <c r="A19" t="s">
        <v>84</v>
      </c>
      <c r="B19">
        <f>SUM(I2:I5)</f>
        <v>7048</v>
      </c>
      <c r="C19">
        <f>SUM(I6:I9)</f>
        <v>382544</v>
      </c>
      <c r="D19" s="21">
        <f>SUM(I10)</f>
        <v>0</v>
      </c>
      <c r="E19" s="5">
        <f>SUM(B19:D19)</f>
        <v>389592</v>
      </c>
    </row>
    <row r="20" spans="1:10" ht="15.5" thickTop="1" thickBot="1" x14ac:dyDescent="0.4">
      <c r="A20" t="s">
        <v>108</v>
      </c>
      <c r="B20">
        <f>SUM(J$2:J$5)</f>
        <v>11620</v>
      </c>
      <c r="C20">
        <f>SUM(J6:J9)</f>
        <v>370153.6</v>
      </c>
      <c r="D20" s="21">
        <f>SUM(J10)</f>
        <v>0</v>
      </c>
      <c r="E20" s="5">
        <f>SUM(B20:D20)</f>
        <v>381773.6</v>
      </c>
    </row>
    <row r="21" spans="1:10" ht="15.5" thickTop="1" thickBot="1" x14ac:dyDescent="0.4">
      <c r="A21" t="s">
        <v>6</v>
      </c>
      <c r="B21">
        <f>SUM(K2:K5)</f>
        <v>2000</v>
      </c>
      <c r="C21">
        <f>SUM(K6:K9)</f>
        <v>286120</v>
      </c>
      <c r="D21" s="21">
        <f>SUM(K10)</f>
        <v>0</v>
      </c>
      <c r="E21" s="5">
        <f>SUM(B21:D21)</f>
        <v>288120</v>
      </c>
    </row>
    <row r="22" spans="1:10" ht="15" thickTop="1" x14ac:dyDescent="0.35"/>
    <row r="32" spans="1:10" x14ac:dyDescent="0.35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topLeftCell="B1" workbookViewId="0">
      <selection activeCell="F31" sqref="F31"/>
    </sheetView>
  </sheetViews>
  <sheetFormatPr defaultRowHeight="14.5" x14ac:dyDescent="0.35"/>
  <cols>
    <col min="1" max="1" width="38.54296875" customWidth="1"/>
    <col min="2" max="2" width="37.453125" customWidth="1"/>
    <col min="3" max="3" width="28.81640625" customWidth="1"/>
    <col min="4" max="4" width="32.453125" customWidth="1"/>
    <col min="5" max="5" width="34.26953125" customWidth="1"/>
    <col min="6" max="6" width="34.26953125" style="24" customWidth="1"/>
    <col min="7" max="7" width="16" customWidth="1"/>
    <col min="8" max="8" width="17.4531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121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62</v>
      </c>
      <c r="C2" s="4">
        <v>40</v>
      </c>
      <c r="D2" s="4">
        <f>3500/50</f>
        <v>70</v>
      </c>
      <c r="E2" s="4">
        <f>57600/4/50</f>
        <v>288</v>
      </c>
      <c r="F2" s="4">
        <v>50</v>
      </c>
      <c r="G2" s="4">
        <f>54*2</f>
        <v>108</v>
      </c>
      <c r="H2" s="4">
        <f>Table29[[#This Row],[Cost per Unit (OASE)]]*Table29[[#This Row],[Quantity]]</f>
        <v>4320</v>
      </c>
      <c r="I2" s="12">
        <f t="shared" ref="I2:I11" si="0">D2*G2</f>
        <v>7560</v>
      </c>
      <c r="J2" s="12">
        <f>Table29[[#This Row],[Cost per Unit(BSG)]]*Table29[[#This Row],[Quantity]]</f>
        <v>31104</v>
      </c>
      <c r="K2" s="35">
        <f>Table29[[#This Row],[Cost per Unit (Phillipson)]]*Table29[[#This Row],[Quantity]]</f>
        <v>5400</v>
      </c>
    </row>
    <row r="3" spans="1:11" x14ac:dyDescent="0.35">
      <c r="A3" s="6" t="s">
        <v>27</v>
      </c>
      <c r="B3" s="6" t="s">
        <v>39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Table29[[#This Row],[Cost per Unit (OASE)]]*Table29[[#This Row],[Quantity]]</f>
        <v>1248</v>
      </c>
      <c r="I3" s="12">
        <f t="shared" si="0"/>
        <v>1248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x14ac:dyDescent="0.3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156*4</f>
        <v>624</v>
      </c>
      <c r="H6" s="4">
        <f>Table29[[#This Row],[Cost per Unit (OASE)]]*Table29[[#This Row],[Quantity]]</f>
        <v>1123.2</v>
      </c>
      <c r="I6" s="12">
        <f t="shared" si="0"/>
        <v>6240</v>
      </c>
      <c r="J6" s="12">
        <f>Table29[[#This Row],[Cost per Unit(BSG)]]*Table29[[#This Row],[Quantity]]</f>
        <v>873.59999999999991</v>
      </c>
      <c r="K6" s="35">
        <f>Table29[[#This Row],[Cost per Unit (Phillipson)]]*Table29[[#This Row],[Quantity]]</f>
        <v>0</v>
      </c>
    </row>
    <row r="7" spans="1:11" x14ac:dyDescent="0.35">
      <c r="A7" s="6" t="s">
        <v>28</v>
      </c>
      <c r="B7" s="6" t="s">
        <v>39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156*4</f>
        <v>624</v>
      </c>
      <c r="H7" s="4">
        <f>Table29[[#This Row],[Cost per Unit (OASE)]]*Table29[[#This Row],[Quantity]]</f>
        <v>2496</v>
      </c>
      <c r="I7" s="12">
        <f t="shared" si="0"/>
        <v>2496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x14ac:dyDescent="0.3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1244*4</f>
        <v>4976</v>
      </c>
      <c r="H8" s="4">
        <f>Table29[[#This Row],[Cost per Unit (OASE)]]*Table29[[#This Row],[Quantity]]</f>
        <v>4976</v>
      </c>
      <c r="I8" s="12">
        <f t="shared" si="0"/>
        <v>9952</v>
      </c>
      <c r="J8" s="12">
        <f>Table29[[#This Row],[Cost per Unit(BSG)]]*Table29[[#This Row],[Quantity]]</f>
        <v>7961.6</v>
      </c>
      <c r="K8" s="35">
        <f>Table29[[#This Row],[Cost per Unit (Phillipson)]]*Table29[[#This Row],[Quantity]]</f>
        <v>24880</v>
      </c>
    </row>
    <row r="9" spans="1:11" x14ac:dyDescent="0.35">
      <c r="A9" s="6" t="s">
        <v>30</v>
      </c>
      <c r="B9" s="6" t="s">
        <v>134</v>
      </c>
      <c r="C9" s="4">
        <f>24+100</f>
        <v>124</v>
      </c>
      <c r="D9" s="4">
        <v>10</v>
      </c>
      <c r="E9" s="4">
        <v>1.4</v>
      </c>
      <c r="F9" s="4">
        <v>20</v>
      </c>
      <c r="G9" s="4">
        <v>1244</v>
      </c>
      <c r="H9" s="4">
        <f>Table29[[#This Row],[Cost per Unit (OASE)]]*Table29[[#This Row],[Quantity]]</f>
        <v>154256</v>
      </c>
      <c r="I9" s="12">
        <f t="shared" si="0"/>
        <v>12440</v>
      </c>
      <c r="J9" s="12">
        <f>Table29[[#This Row],[Cost per Unit(BSG)]]*Table29[[#This Row],[Quantity]]</f>
        <v>1741.6</v>
      </c>
      <c r="K9" s="35">
        <f>Table29[[#This Row],[Cost per Unit (Phillipson)]]*Table29[[#This Row],[Quantity]]</f>
        <v>24880</v>
      </c>
    </row>
    <row r="10" spans="1:11" x14ac:dyDescent="0.35">
      <c r="A10" s="6" t="s">
        <v>30</v>
      </c>
      <c r="B10" s="6" t="s">
        <v>63</v>
      </c>
      <c r="C10" s="4">
        <v>0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0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x14ac:dyDescent="0.35">
      <c r="A11" s="6" t="s">
        <v>32</v>
      </c>
      <c r="B11" s="6" t="s">
        <v>64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x14ac:dyDescent="0.35">
      <c r="A12" s="6"/>
      <c r="B12" s="6"/>
      <c r="C12" s="4"/>
      <c r="D12" s="4"/>
      <c r="E12" s="4"/>
      <c r="F12" s="12"/>
    </row>
    <row r="13" spans="1:11" x14ac:dyDescent="0.35">
      <c r="A13" s="6"/>
      <c r="B13" s="6"/>
      <c r="C13" s="4"/>
      <c r="D13" s="4"/>
      <c r="E13" s="4"/>
      <c r="F13" s="12"/>
    </row>
    <row r="15" spans="1:11" x14ac:dyDescent="0.35">
      <c r="A15" t="s">
        <v>82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4">
      <c r="A16" t="s">
        <v>83</v>
      </c>
      <c r="B16" s="20">
        <f>SUM(H1:H5)</f>
        <v>5802.666666666667</v>
      </c>
      <c r="C16" s="20">
        <f>SUM(H5:H10)</f>
        <v>163051.20000000001</v>
      </c>
      <c r="D16" s="10">
        <f>SUM(H11)</f>
        <v>0</v>
      </c>
      <c r="E16" s="5">
        <f>SUM(B16:D16)</f>
        <v>168853.86666666667</v>
      </c>
      <c r="F16" s="5"/>
    </row>
    <row r="17" spans="1:8" ht="15.5" thickTop="1" thickBot="1" x14ac:dyDescent="0.4">
      <c r="A17" t="s">
        <v>84</v>
      </c>
      <c r="B17">
        <f>SUM(I2:I5)</f>
        <v>11808</v>
      </c>
      <c r="C17">
        <f>SUM(I6:I10)</f>
        <v>404328</v>
      </c>
      <c r="D17">
        <v>0</v>
      </c>
      <c r="E17" s="5">
        <f>SUM(B17:D17)</f>
        <v>416136</v>
      </c>
      <c r="F17" s="5"/>
    </row>
    <row r="18" spans="1:8" ht="15.5" thickTop="1" thickBot="1" x14ac:dyDescent="0.4">
      <c r="A18" t="s">
        <v>108</v>
      </c>
      <c r="B18">
        <f>SUM(J2:J5)</f>
        <v>31204</v>
      </c>
      <c r="C18">
        <f>SUM(J6:J10)</f>
        <v>465880.8</v>
      </c>
      <c r="D18">
        <v>0</v>
      </c>
      <c r="E18" s="5">
        <f>SUM(B18:D18)</f>
        <v>497084.8</v>
      </c>
      <c r="F18" s="5"/>
      <c r="H18" s="28"/>
    </row>
    <row r="19" spans="1:8" ht="15.5" thickTop="1" thickBot="1" x14ac:dyDescent="0.4">
      <c r="A19" t="s">
        <v>6</v>
      </c>
      <c r="B19" s="24">
        <f>SUM(K2:K5)</f>
        <v>5400</v>
      </c>
      <c r="C19" s="24">
        <f>SUM(K6:K10)</f>
        <v>99520</v>
      </c>
      <c r="D19" s="24">
        <v>0</v>
      </c>
      <c r="E19" s="5">
        <f>SUM(B19:D19)</f>
        <v>104920</v>
      </c>
      <c r="H19" s="29"/>
    </row>
    <row r="20" spans="1:8" ht="15" thickTop="1" x14ac:dyDescent="0.35">
      <c r="H20" s="28"/>
    </row>
    <row r="21" spans="1:8" x14ac:dyDescent="0.35">
      <c r="H21" s="29"/>
    </row>
    <row r="22" spans="1:8" x14ac:dyDescent="0.35">
      <c r="H22" s="28"/>
    </row>
    <row r="23" spans="1:8" x14ac:dyDescent="0.35">
      <c r="H23" s="29"/>
    </row>
    <row r="24" spans="1:8" x14ac:dyDescent="0.35">
      <c r="H24" s="28"/>
    </row>
    <row r="25" spans="1:8" x14ac:dyDescent="0.35">
      <c r="H25" s="29"/>
    </row>
    <row r="26" spans="1:8" x14ac:dyDescent="0.35">
      <c r="H26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B2" sqref="B2:F2"/>
    </sheetView>
  </sheetViews>
  <sheetFormatPr defaultRowHeight="14.5" x14ac:dyDescent="0.35"/>
  <cols>
    <col min="1" max="1" width="29.26953125" customWidth="1"/>
    <col min="2" max="2" width="38" customWidth="1"/>
    <col min="3" max="3" width="21.26953125" customWidth="1"/>
    <col min="4" max="4" width="21.26953125" style="21" customWidth="1"/>
    <col min="5" max="6" width="21.26953125" style="24" customWidth="1"/>
    <col min="7" max="7" width="18" customWidth="1"/>
    <col min="8" max="8" width="17.81640625" customWidth="1"/>
    <col min="9" max="9" width="15.1796875" customWidth="1"/>
    <col min="10" max="10" width="15.72656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v>200</v>
      </c>
      <c r="E2" s="4">
        <f>60000/4/50</f>
        <v>300</v>
      </c>
      <c r="F2" s="4">
        <v>55</v>
      </c>
      <c r="G2" s="4">
        <v>54</v>
      </c>
      <c r="H2" s="4">
        <f>Table24[[#This Row],[Cost per Unit (OASE)]]*Table24[[#This Row],[Quantity]]</f>
        <v>4320</v>
      </c>
      <c r="I2" s="12">
        <f>Table24[[#This Row],[Cost per Unit (Rokkas)]]*Table24[[#This Row],[Quantity]]</f>
        <v>10800</v>
      </c>
      <c r="J2" s="12">
        <f>Table24[[#This Row],[Cost per Unit(BSG)]]*Table24[[#This Row],[Quantity]]</f>
        <v>16200</v>
      </c>
      <c r="K2" s="35">
        <f>Table24[[#This Row],[Cost per Unit(Phillipson)]]*Table24[[#This Row],[Quantity]]</f>
        <v>2970</v>
      </c>
    </row>
    <row r="3" spans="1:11" x14ac:dyDescent="0.35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v>156</v>
      </c>
      <c r="H3" s="4">
        <f>Table24[[#This Row],[Cost per Unit (OASE)]]*Table24[[#This Row],[Quantity]]</f>
        <v>1872</v>
      </c>
      <c r="I3" s="12">
        <f>Table24[[#This Row],[Cost per Unit (Rokkas)]]*Table24[[#This Row],[Quantity]]</f>
        <v>624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x14ac:dyDescent="0.35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v>156</v>
      </c>
      <c r="H6" s="4">
        <f>Table24[[#This Row],[Cost per Unit (OASE)]]*Table24[[#This Row],[Quantity]]</f>
        <v>280.8</v>
      </c>
      <c r="I6" s="12">
        <f>Table24[[#This Row],[Cost per Unit (Rokkas)]]*Table24[[#This Row],[Quantity]]</f>
        <v>1560</v>
      </c>
      <c r="J6" s="12">
        <f>Table24[[#This Row],[Cost per Unit(BSG)]]*Table24[[#This Row],[Quantity]]</f>
        <v>218.39999999999998</v>
      </c>
      <c r="K6" s="35">
        <f>Table24[[#This Row],[Cost per Unit(Phillipson)]]*Table24[[#This Row],[Quantity]]</f>
        <v>0</v>
      </c>
    </row>
    <row r="7" spans="1:11" x14ac:dyDescent="0.35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156</v>
      </c>
      <c r="H7" s="4">
        <f>Table24[[#This Row],[Cost per Unit (OASE)]]*Table24[[#This Row],[Quantity]]</f>
        <v>1872</v>
      </c>
      <c r="I7" s="12">
        <f>Table24[[#This Row],[Cost per Unit (Rokkas)]]*Table24[[#This Row],[Quantity]]</f>
        <v>624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x14ac:dyDescent="0.3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Table24[[#This Row],[Cost per Unit (OASE)]]*Table24[[#This Row],[Quantity]]</f>
        <v>1098</v>
      </c>
      <c r="I8" s="12">
        <f>Table24[[#This Row],[Cost per Unit (Rokkas)]]*Table24[[#This Row],[Quantity]]</f>
        <v>6100</v>
      </c>
      <c r="J8" s="12">
        <f>Table24[[#This Row],[Cost per Unit(BSG)]]*Table24[[#This Row],[Quantity]]</f>
        <v>976</v>
      </c>
      <c r="K8" s="35">
        <f>Table24[[#This Row],[Cost per Unit(Phillipson)]]*Table24[[#This Row],[Quantity]]</f>
        <v>0</v>
      </c>
    </row>
    <row r="9" spans="1:11" x14ac:dyDescent="0.35">
      <c r="A9" s="6" t="s">
        <v>32</v>
      </c>
      <c r="B9" s="6" t="s">
        <v>33</v>
      </c>
      <c r="C9" s="4">
        <f>10</f>
        <v>10</v>
      </c>
      <c r="D9" s="4">
        <v>24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50000</v>
      </c>
      <c r="I9" s="12">
        <f>Table24[[#This Row],[Cost per Unit (Rokkas)]]*Table24[[#This Row],[Quantity]]</f>
        <v>120000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x14ac:dyDescent="0.35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x14ac:dyDescent="0.35">
      <c r="A11" s="6"/>
      <c r="B11" s="6"/>
      <c r="C11" s="4"/>
      <c r="D11" s="4"/>
      <c r="E11" s="4"/>
      <c r="F11" s="4"/>
      <c r="G11" s="4"/>
      <c r="H11" s="8"/>
      <c r="I11" s="12"/>
    </row>
    <row r="16" spans="1:11" x14ac:dyDescent="0.35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ht="15" thickBot="1" x14ac:dyDescent="0.4">
      <c r="A17" t="s">
        <v>83</v>
      </c>
      <c r="B17" s="9">
        <f>SUM(H2:H5)</f>
        <v>6405.333333333333</v>
      </c>
      <c r="C17" s="9">
        <f>SUM(H6:H8)</f>
        <v>3250.8</v>
      </c>
      <c r="D17" s="10">
        <f>SUM(H9:H11)</f>
        <v>60500</v>
      </c>
      <c r="E17" s="5">
        <f>SUM(B17:D17)</f>
        <v>70156.133333333331</v>
      </c>
      <c r="F17" s="5"/>
      <c r="G17" s="10"/>
    </row>
    <row r="18" spans="1:7" ht="15.5" thickTop="1" thickBot="1" x14ac:dyDescent="0.4">
      <c r="A18" t="s">
        <v>84</v>
      </c>
      <c r="B18">
        <f>SUM(I2:I5)</f>
        <v>14424</v>
      </c>
      <c r="C18">
        <f>SUM(I6:I8)</f>
        <v>8284</v>
      </c>
      <c r="D18" s="21">
        <f>SUM(I9:I10)</f>
        <v>140000</v>
      </c>
      <c r="E18" s="5">
        <f>SUM(B18:D18)</f>
        <v>162708</v>
      </c>
      <c r="F18" s="5"/>
    </row>
    <row r="19" spans="1:7" ht="15.5" thickTop="1" thickBot="1" x14ac:dyDescent="0.4">
      <c r="A19" t="s">
        <v>108</v>
      </c>
      <c r="B19">
        <f>SUM(J$2:J$5)</f>
        <v>16300</v>
      </c>
      <c r="C19">
        <f>SUM(J6:J8)</f>
        <v>1194.4000000000001</v>
      </c>
      <c r="D19" s="21">
        <f>SUM(J9:J10)</f>
        <v>128000</v>
      </c>
      <c r="E19" s="5">
        <f>SUM(B19:D19)</f>
        <v>145494.39999999999</v>
      </c>
      <c r="F19" s="5"/>
    </row>
    <row r="20" spans="1:7" ht="15.5" thickTop="1" thickBot="1" x14ac:dyDescent="0.4">
      <c r="A20" t="s">
        <v>6</v>
      </c>
      <c r="B20" s="24">
        <f>SUM(K$2:K$5)</f>
        <v>2970</v>
      </c>
      <c r="C20">
        <f>SUM(K6:K8)</f>
        <v>0</v>
      </c>
      <c r="D20" s="21">
        <f>SUM(K9:K10)</f>
        <v>75000</v>
      </c>
      <c r="E20" s="5">
        <f>SUM(B20:D20)</f>
        <v>77970</v>
      </c>
    </row>
    <row r="21" spans="1:7" ht="15" thickTop="1" x14ac:dyDescent="0.35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"/>
  <sheetViews>
    <sheetView workbookViewId="0">
      <selection activeCell="C8" sqref="C8"/>
    </sheetView>
  </sheetViews>
  <sheetFormatPr defaultRowHeight="14.5" x14ac:dyDescent="0.35"/>
  <cols>
    <col min="1" max="1" width="29.26953125" customWidth="1"/>
    <col min="2" max="2" width="38" customWidth="1"/>
    <col min="3" max="3" width="21.26953125" customWidth="1"/>
    <col min="4" max="4" width="21.26953125" style="21" customWidth="1"/>
    <col min="5" max="6" width="21.26953125" style="24" customWidth="1"/>
    <col min="7" max="7" width="18" customWidth="1"/>
    <col min="8" max="8" width="17.816406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85</v>
      </c>
      <c r="E1" s="7" t="s">
        <v>109</v>
      </c>
      <c r="F1" s="7" t="s">
        <v>120</v>
      </c>
      <c r="G1" s="7" t="s">
        <v>21</v>
      </c>
      <c r="H1" s="7" t="s">
        <v>79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3</v>
      </c>
      <c r="H2" s="4">
        <f>Table245[[#This Row],[Cost per Unit (OASE)]]*Table245[[#This Row],[Quantity]]</f>
        <v>48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x14ac:dyDescent="0.35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65</v>
      </c>
      <c r="H3" s="4">
        <f>Table245[[#This Row],[Cost per Unit (OASE)]]*Table245[[#This Row],[Quantity]]</f>
        <v>572</v>
      </c>
      <c r="I3" s="12">
        <f>Table245[[#This Row],[Cost per Unit(Rokkas)]]*Table245[[#This Row],[Quantity]]</f>
        <v>13000</v>
      </c>
      <c r="J3" s="12">
        <f>Table245[[#This Row],[Cost per Unit(BSG)]]*Table245[[#This Row],[Quantity]]</f>
        <v>22750</v>
      </c>
      <c r="K3" s="35">
        <f>Table245[[#This Row],[Cost per Unit(Phillipson)]]*Table245[[#This Row],[Quantity]]</f>
        <v>3900</v>
      </c>
    </row>
    <row r="4" spans="1:11" x14ac:dyDescent="0.3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65</v>
      </c>
      <c r="H4" s="4">
        <f>Table245[[#This Row],[Cost per Unit (OASE)]]*Table245[[#This Row],[Quantity]]</f>
        <v>4095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x14ac:dyDescent="0.3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65</v>
      </c>
      <c r="H5" s="4">
        <f>Table245[[#This Row],[Cost per Unit (OASE)]]*Table245[[#This Row],[Quantity]]</f>
        <v>149.5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x14ac:dyDescent="0.3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x14ac:dyDescent="0.3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x14ac:dyDescent="0.3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65</v>
      </c>
      <c r="H8" s="4">
        <f>Table245[[#This Row],[Cost per Unit (OASE)]]*Table245[[#This Row],[Quantity]]</f>
        <v>1560</v>
      </c>
      <c r="I8" s="12">
        <f>Table245[[#This Row],[Cost per Unit(Rokkas)]]*Table245[[#This Row],[Quantity]]</f>
        <v>260</v>
      </c>
      <c r="J8" s="12">
        <f>Table245[[#This Row],[Cost per Unit(BSG)]]*Table245[[#This Row],[Quantity]]</f>
        <v>130</v>
      </c>
      <c r="K8" s="35">
        <f>Table245[[#This Row],[Cost per Unit(Phillipson)]]*Table245[[#This Row],[Quantity]]</f>
        <v>130</v>
      </c>
    </row>
    <row r="9" spans="1:11" x14ac:dyDescent="0.35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x14ac:dyDescent="0.35">
      <c r="A10" s="6" t="s">
        <v>32</v>
      </c>
      <c r="B10" s="6" t="s">
        <v>86</v>
      </c>
      <c r="C10" s="4">
        <f>2.1</f>
        <v>2.1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10500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x14ac:dyDescent="0.35">
      <c r="A11" s="6"/>
      <c r="B11" s="6"/>
      <c r="C11" s="4"/>
      <c r="D11" s="4"/>
      <c r="E11" s="4"/>
      <c r="F11" s="4"/>
      <c r="G11" s="4"/>
      <c r="H11" s="8"/>
      <c r="I11" s="8"/>
    </row>
    <row r="14" spans="1:11" x14ac:dyDescent="0.35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ht="15" thickBot="1" x14ac:dyDescent="0.4">
      <c r="A15" t="s">
        <v>83</v>
      </c>
      <c r="B15" s="9">
        <f>SUM(H2:H7)</f>
        <v>5299.166666666667</v>
      </c>
      <c r="C15" s="9">
        <f>SUM(H8:H8)</f>
        <v>1560</v>
      </c>
      <c r="D15" s="10">
        <f>SUM(H9:H11)</f>
        <v>60500</v>
      </c>
      <c r="E15" s="5">
        <f>SUM(B15:D15)</f>
        <v>67359.166666666672</v>
      </c>
      <c r="F15" s="5"/>
      <c r="G15" s="10"/>
    </row>
    <row r="16" spans="1:11" ht="15.5" thickTop="1" thickBot="1" x14ac:dyDescent="0.4">
      <c r="A16" t="s">
        <v>84</v>
      </c>
      <c r="B16">
        <f>SUM(I2:I7)</f>
        <v>16000</v>
      </c>
      <c r="C16">
        <f>SUM(I8)</f>
        <v>260</v>
      </c>
      <c r="D16" s="21">
        <f>SUM(I9:I10)</f>
        <v>75000</v>
      </c>
      <c r="E16" s="5">
        <f t="shared" ref="E16:E18" si="0">SUM(B16:D16)</f>
        <v>91260</v>
      </c>
      <c r="F16" s="5"/>
    </row>
    <row r="17" spans="1:6" ht="15.5" thickTop="1" thickBot="1" x14ac:dyDescent="0.4">
      <c r="A17" t="s">
        <v>108</v>
      </c>
      <c r="B17">
        <f>SUM(J2:J7)</f>
        <v>22950</v>
      </c>
      <c r="C17">
        <f>J8</f>
        <v>130</v>
      </c>
      <c r="D17" s="21">
        <f>SUM(J9:J10)</f>
        <v>133500</v>
      </c>
      <c r="E17" s="5">
        <f t="shared" si="0"/>
        <v>156580</v>
      </c>
      <c r="F17" s="5"/>
    </row>
    <row r="18" spans="1:6" ht="15.5" thickTop="1" thickBot="1" x14ac:dyDescent="0.4">
      <c r="A18" t="s">
        <v>6</v>
      </c>
      <c r="B18">
        <f>SUM(K2:K7)</f>
        <v>3900</v>
      </c>
      <c r="C18">
        <f>K8</f>
        <v>130</v>
      </c>
      <c r="D18" s="21">
        <f>SUM(K9:K10)</f>
        <v>75000</v>
      </c>
      <c r="E18" s="5">
        <f t="shared" si="0"/>
        <v>79030</v>
      </c>
    </row>
    <row r="19" spans="1:6" ht="15" thickTop="1" x14ac:dyDescent="0.35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workbookViewId="0">
      <selection activeCell="C2" sqref="C2:C10"/>
    </sheetView>
  </sheetViews>
  <sheetFormatPr defaultRowHeight="14.5" x14ac:dyDescent="0.35"/>
  <cols>
    <col min="1" max="1" width="25.54296875" customWidth="1"/>
    <col min="2" max="2" width="27.7265625" customWidth="1"/>
    <col min="3" max="3" width="25" customWidth="1"/>
    <col min="4" max="4" width="28.26953125" customWidth="1"/>
    <col min="5" max="5" width="28" customWidth="1"/>
    <col min="6" max="6" width="28" style="24" customWidth="1"/>
    <col min="7" max="7" width="19.453125" customWidth="1"/>
    <col min="8" max="8" width="24.81640625" customWidth="1"/>
    <col min="9" max="9" width="26.54296875" customWidth="1"/>
    <col min="10" max="10" width="29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85</v>
      </c>
      <c r="E1" s="7" t="s">
        <v>106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f>3*7</f>
        <v>21</v>
      </c>
      <c r="H2" s="4">
        <f>Table2456[[#This Row],[Cost per Unit (OASE)]]*Table2456[[#This Row],[Quantity]]</f>
        <v>336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x14ac:dyDescent="0.35">
      <c r="A3" s="6" t="s">
        <v>27</v>
      </c>
      <c r="B3" s="6" t="s">
        <v>42</v>
      </c>
      <c r="C3" s="4">
        <v>20</v>
      </c>
      <c r="D3" s="4">
        <f>10000/50</f>
        <v>200</v>
      </c>
      <c r="E3" s="4">
        <v>350</v>
      </c>
      <c r="F3" s="4">
        <v>60</v>
      </c>
      <c r="G3" s="4">
        <f>65*7</f>
        <v>455</v>
      </c>
      <c r="H3" s="4">
        <f>Table2456[[#This Row],[Cost per Unit (OASE)]]*Table2456[[#This Row],[Quantity]]</f>
        <v>9100</v>
      </c>
      <c r="I3" s="12">
        <f>Table2456[[#This Row],[Cost per Unit(Rokkas)]]*Table2456[[#This Row],[Quantity]]</f>
        <v>91000</v>
      </c>
      <c r="J3" s="12">
        <f>Table2456[[#This Row],[Cost per Unit (BSG)]]*Table2456[[#This Row],[Quantity]]</f>
        <v>159250</v>
      </c>
      <c r="K3" s="35">
        <f>Table2456[[#This Row],[Cost per Unit(Phillipson)]]*Table2456[[#This Row],[Quantity]]</f>
        <v>27300</v>
      </c>
    </row>
    <row r="4" spans="1:11" x14ac:dyDescent="0.3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>65*7</f>
        <v>455</v>
      </c>
      <c r="H4" s="4">
        <f>Table2456[[#This Row],[Cost per Unit (OASE)]]*Table2456[[#This Row],[Quantity]]</f>
        <v>28665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x14ac:dyDescent="0.3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>65*7</f>
        <v>455</v>
      </c>
      <c r="H5" s="4">
        <f>Table2456[[#This Row],[Cost per Unit (OASE)]]*Table2456[[#This Row],[Quantity]]</f>
        <v>1046.5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x14ac:dyDescent="0.3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x14ac:dyDescent="0.35">
      <c r="A7" s="6" t="s">
        <v>27</v>
      </c>
      <c r="B7" s="6" t="s">
        <v>46</v>
      </c>
      <c r="C7" s="4">
        <f>400</f>
        <v>400</v>
      </c>
      <c r="D7" s="4">
        <v>3000</v>
      </c>
      <c r="E7" s="4">
        <v>200</v>
      </c>
      <c r="F7" s="4">
        <v>0</v>
      </c>
      <c r="G7" s="4">
        <v>6</v>
      </c>
      <c r="H7" s="4">
        <f>Table2456[[#This Row],[Cost per Unit (OASE)]]*Table2456[[#This Row],[Quantity]]</f>
        <v>2400</v>
      </c>
      <c r="I7" s="12">
        <f>Table2456[[#This Row],[Cost per Unit(Rokkas)]]*Table2456[[#This Row],[Quantity]]</f>
        <v>18000</v>
      </c>
      <c r="J7" s="12">
        <f>Table2456[[#This Row],[Cost per Unit (BSG)]]*Table2456[[#This Row],[Quantity]]</f>
        <v>1200</v>
      </c>
      <c r="K7" s="35">
        <f>Table2456[[#This Row],[Cost per Unit(Phillipson)]]*Table2456[[#This Row],[Quantity]]</f>
        <v>0</v>
      </c>
    </row>
    <row r="8" spans="1:11" x14ac:dyDescent="0.3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f>65*7</f>
        <v>455</v>
      </c>
      <c r="H8" s="4">
        <f>Table2456[[#This Row],[Cost per Unit (OASE)]]*Table2456[[#This Row],[Quantity]]</f>
        <v>10920</v>
      </c>
      <c r="I8" s="12">
        <f>Table2456[[#This Row],[Cost per Unit(Rokkas)]]*Table2456[[#This Row],[Quantity]]</f>
        <v>1820</v>
      </c>
      <c r="J8" s="12">
        <f>Table2456[[#This Row],[Cost per Unit (BSG)]]*Table2456[[#This Row],[Quantity]]</f>
        <v>910</v>
      </c>
      <c r="K8" s="35">
        <f>Table2456[[#This Row],[Cost per Unit(Phillipson)]]*Table2456[[#This Row],[Quantity]]</f>
        <v>910</v>
      </c>
    </row>
    <row r="9" spans="1:11" x14ac:dyDescent="0.35">
      <c r="A9" s="6" t="s">
        <v>32</v>
      </c>
      <c r="B9" s="6" t="s">
        <v>64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Table2456[[#This Row],[Cost per Unit (OASE)]]*Table2456[[#This Row],[Quantity]]</f>
        <v>0</v>
      </c>
      <c r="I9" s="12">
        <f>Table2456[[#This Row],[Cost per Unit(Rokkas)]]*Table2456[[#This Row],[Quantity]]</f>
        <v>0</v>
      </c>
      <c r="J9" s="12">
        <f>Table2456[[#This Row],[Cost per Unit (BSG)]]*Table2456[[#This Row],[Quantity]]</f>
        <v>0</v>
      </c>
      <c r="K9" s="35">
        <f>Table2456[[#This Row],[Cost per Unit(Phillipson)]]*Table2456[[#This Row],[Quantity]]</f>
        <v>0</v>
      </c>
    </row>
    <row r="10" spans="1:11" x14ac:dyDescent="0.35">
      <c r="A10" s="6" t="s">
        <v>32</v>
      </c>
      <c r="B10" s="6" t="s">
        <v>125</v>
      </c>
      <c r="C10" s="4">
        <f>2.3+3</f>
        <v>5.3</v>
      </c>
      <c r="D10" s="4">
        <f>2+250/50</f>
        <v>7</v>
      </c>
      <c r="E10" s="4">
        <v>7</v>
      </c>
      <c r="F10" s="4">
        <f>5+2</f>
        <v>7</v>
      </c>
      <c r="G10" s="4">
        <v>30000</v>
      </c>
      <c r="H10" s="4">
        <f>Table2456[[#This Row],[Cost per Unit (OASE)]]*Table2456[[#This Row],[Quantity]]</f>
        <v>159000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210000</v>
      </c>
      <c r="K10" s="35">
        <f>Table2456[[#This Row],[Cost per Unit(Phillipson)]]*Table2456[[#This Row],[Quantity]]</f>
        <v>210000</v>
      </c>
    </row>
    <row r="11" spans="1:11" x14ac:dyDescent="0.35">
      <c r="A11" s="6"/>
      <c r="B11" s="6"/>
      <c r="C11" s="4"/>
      <c r="D11" s="4"/>
      <c r="E11" s="8"/>
      <c r="F11" s="36"/>
    </row>
    <row r="14" spans="1:11" x14ac:dyDescent="0.35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ht="15" thickBot="1" x14ac:dyDescent="0.4">
      <c r="A15" t="s">
        <v>83</v>
      </c>
      <c r="B15" s="9">
        <f>SUM(H2:H7)</f>
        <v>41616.833333333336</v>
      </c>
      <c r="C15" s="9">
        <f>SUM(H8:H8)</f>
        <v>10920</v>
      </c>
      <c r="D15" s="10">
        <f>SUM(H9:H10)</f>
        <v>159000</v>
      </c>
      <c r="E15" s="5">
        <f>SUM(B15:D15)</f>
        <v>211536.83333333334</v>
      </c>
      <c r="F15" s="5"/>
      <c r="J15" s="28"/>
    </row>
    <row r="16" spans="1:11" ht="15.5" thickTop="1" thickBot="1" x14ac:dyDescent="0.4">
      <c r="A16" t="s">
        <v>87</v>
      </c>
      <c r="B16">
        <f>SUM(I2:I7)</f>
        <v>109000</v>
      </c>
      <c r="C16">
        <f>SUM(I8)</f>
        <v>1820</v>
      </c>
      <c r="D16">
        <f>SUM(I9:I10)</f>
        <v>210000</v>
      </c>
      <c r="E16" s="5">
        <f>SUM(B16:D16)</f>
        <v>320820</v>
      </c>
      <c r="F16" s="5"/>
      <c r="J16" s="29"/>
    </row>
    <row r="17" spans="1:10" ht="15.5" thickTop="1" thickBot="1" x14ac:dyDescent="0.4">
      <c r="A17" t="s">
        <v>108</v>
      </c>
      <c r="B17">
        <f>SUM(J2:J7)</f>
        <v>160450</v>
      </c>
      <c r="C17">
        <f>SUM(J8)</f>
        <v>910</v>
      </c>
      <c r="D17">
        <f>SUM(J9:J10)</f>
        <v>210000</v>
      </c>
      <c r="E17" s="5">
        <f>SUM(B17:D17)</f>
        <v>371360</v>
      </c>
      <c r="F17" s="5"/>
      <c r="J17" s="28"/>
    </row>
    <row r="18" spans="1:10" ht="15.5" thickTop="1" thickBot="1" x14ac:dyDescent="0.4">
      <c r="A18" t="s">
        <v>6</v>
      </c>
      <c r="B18">
        <f>SUM(K2:K7)</f>
        <v>27300</v>
      </c>
      <c r="C18" s="24">
        <f>SUM(K8)</f>
        <v>910</v>
      </c>
      <c r="D18" s="24">
        <f>SUM(K10:K11)</f>
        <v>210000</v>
      </c>
      <c r="E18" s="5">
        <f>SUM(B18:D18)</f>
        <v>238210</v>
      </c>
      <c r="J18" s="29"/>
    </row>
    <row r="19" spans="1:10" ht="15" thickTop="1" x14ac:dyDescent="0.35">
      <c r="J19" s="28"/>
    </row>
    <row r="20" spans="1:10" x14ac:dyDescent="0.35">
      <c r="J20" s="29"/>
    </row>
    <row r="21" spans="1:10" x14ac:dyDescent="0.35">
      <c r="J21" s="28"/>
    </row>
    <row r="22" spans="1:10" x14ac:dyDescent="0.35">
      <c r="J22" s="29"/>
    </row>
    <row r="23" spans="1:10" x14ac:dyDescent="0.35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workbookViewId="0">
      <selection activeCell="F11" sqref="F11"/>
    </sheetView>
  </sheetViews>
  <sheetFormatPr defaultRowHeight="14.5" x14ac:dyDescent="0.35"/>
  <cols>
    <col min="1" max="1" width="29.26953125" customWidth="1"/>
    <col min="2" max="2" width="38" customWidth="1"/>
    <col min="3" max="3" width="21.26953125" customWidth="1"/>
    <col min="4" max="4" width="18" customWidth="1"/>
    <col min="5" max="5" width="17.81640625" customWidth="1"/>
    <col min="6" max="6" width="30.26953125" style="24" customWidth="1"/>
    <col min="8" max="8" width="18.816406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106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54*4</f>
        <v>216</v>
      </c>
      <c r="H2" s="4">
        <f>Table247[[#This Row],[Cost per Unit (OASE)]]*Table247[[#This Row],[Quantity]]</f>
        <v>17280</v>
      </c>
      <c r="I2" s="12">
        <f>Table247[[#This Row],[Cost per Unit (Rokkas)]]*Table247[[#This Row],[Quantity]]</f>
        <v>30240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11880</v>
      </c>
    </row>
    <row r="3" spans="1:11" x14ac:dyDescent="0.35">
      <c r="A3" s="6" t="s">
        <v>27</v>
      </c>
      <c r="B3" s="6" t="s">
        <v>39</v>
      </c>
      <c r="C3" s="4">
        <v>4</v>
      </c>
      <c r="D3" s="4">
        <v>4</v>
      </c>
      <c r="E3" s="4">
        <v>300</v>
      </c>
      <c r="F3" s="4">
        <v>0</v>
      </c>
      <c r="G3" s="4">
        <f>156*4</f>
        <v>624</v>
      </c>
      <c r="H3" s="4">
        <f>Table247[[#This Row],[Cost per Unit (OASE)]]*Table247[[#This Row],[Quantity]]</f>
        <v>2496</v>
      </c>
      <c r="I3" s="12">
        <f>Table247[[#This Row],[Cost per Unit (Rokkas)]]*Table247[[#This Row],[Quantity]]</f>
        <v>2496</v>
      </c>
      <c r="J3" s="12">
        <f>Table247[[#This Row],[Cost per Unit (BSG)]]*Table247[[#This Row],[Quantity]]</f>
        <v>187200</v>
      </c>
      <c r="K3" s="35">
        <f>Table247[[#This Row],[Cost per Unit(Phillipson)]]*Table247[[#This Row],[Quantity]]</f>
        <v>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x14ac:dyDescent="0.35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v>24</v>
      </c>
      <c r="E6" s="4">
        <v>0</v>
      </c>
      <c r="F6" s="4">
        <v>0</v>
      </c>
      <c r="G6" s="4">
        <f>156*4</f>
        <v>624</v>
      </c>
      <c r="H6" s="4">
        <f>Table247[[#This Row],[Cost per Unit (OASE)]]*Table247[[#This Row],[Quantity]]</f>
        <v>1123.2</v>
      </c>
      <c r="I6" s="12">
        <f>Table247[[#This Row],[Cost per Unit (Rokkas)]]*Table247[[#This Row],[Quantity]]</f>
        <v>14976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x14ac:dyDescent="0.35">
      <c r="A7" s="6" t="s">
        <v>28</v>
      </c>
      <c r="B7" s="6" t="s">
        <v>39</v>
      </c>
      <c r="C7" s="4">
        <v>4</v>
      </c>
      <c r="D7" s="4">
        <v>4</v>
      </c>
      <c r="E7" s="4">
        <v>200</v>
      </c>
      <c r="F7" s="4">
        <v>4</v>
      </c>
      <c r="G7" s="4">
        <f>156*4</f>
        <v>624</v>
      </c>
      <c r="H7" s="4">
        <f>Table247[[#This Row],[Cost per Unit (OASE)]]*Table247[[#This Row],[Quantity]]</f>
        <v>2496</v>
      </c>
      <c r="I7" s="12">
        <f>Table247[[#This Row],[Cost per Unit (Rokkas)]]*Table247[[#This Row],[Quantity]]</f>
        <v>2496</v>
      </c>
      <c r="J7" s="12">
        <f>Table247[[#This Row],[Cost per Unit (BSG)]]*Table247[[#This Row],[Quantity]]</f>
        <v>124800</v>
      </c>
      <c r="K7" s="35">
        <f>Table247[[#This Row],[Cost per Unit(Phillipson)]]*Table247[[#This Row],[Quantity]]</f>
        <v>2496</v>
      </c>
    </row>
    <row r="8" spans="1:11" x14ac:dyDescent="0.35">
      <c r="A8" s="6" t="s">
        <v>30</v>
      </c>
      <c r="B8" s="6" t="s">
        <v>29</v>
      </c>
      <c r="C8" s="4">
        <v>1.8</v>
      </c>
      <c r="D8" s="4">
        <v>24</v>
      </c>
      <c r="E8" s="4">
        <v>2</v>
      </c>
      <c r="F8" s="4">
        <v>0</v>
      </c>
      <c r="G8" s="4">
        <f>610*4</f>
        <v>2440</v>
      </c>
      <c r="H8" s="4">
        <f>Table247[[#This Row],[Cost per Unit (OASE)]]*Table247[[#This Row],[Quantity]]</f>
        <v>4392</v>
      </c>
      <c r="I8" s="12">
        <f>Table247[[#This Row],[Cost per Unit (Rokkas)]]*Table247[[#This Row],[Quantity]]</f>
        <v>58560</v>
      </c>
      <c r="J8" s="12">
        <f>Table247[[#This Row],[Cost per Unit (BSG)]]*Table247[[#This Row],[Quantity]]</f>
        <v>4880</v>
      </c>
      <c r="K8" s="35">
        <f>Table247[[#This Row],[Cost per Unit(Phillipson)]]*Table247[[#This Row],[Quantity]]</f>
        <v>0</v>
      </c>
    </row>
    <row r="9" spans="1:11" x14ac:dyDescent="0.35">
      <c r="A9" s="6" t="s">
        <v>32</v>
      </c>
      <c r="B9" s="6" t="s">
        <v>29</v>
      </c>
      <c r="C9" s="4">
        <v>1.8</v>
      </c>
      <c r="D9" s="4">
        <v>24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117048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x14ac:dyDescent="0.35">
      <c r="A10" s="6" t="s">
        <v>32</v>
      </c>
      <c r="B10" s="6" t="s">
        <v>40</v>
      </c>
      <c r="C10" s="4">
        <f>1.8+3</f>
        <v>4.8</v>
      </c>
      <c r="D10" s="4">
        <v>6</v>
      </c>
      <c r="E10" s="4">
        <f>2.7</f>
        <v>2.7</v>
      </c>
      <c r="F10" s="4">
        <f>6</f>
        <v>6</v>
      </c>
      <c r="G10" s="4">
        <v>30000</v>
      </c>
      <c r="H10" s="4">
        <f>Table247[[#This Row],[Cost per Unit (OASE)]]*Table247[[#This Row],[Quantity]]</f>
        <v>144000</v>
      </c>
      <c r="I10" s="12">
        <f>Table247[[#This Row],[Cost per Unit (Rokkas)]]*Table247[[#This Row],[Quantity]]</f>
        <v>180000</v>
      </c>
      <c r="J10" s="12">
        <f>Table247[[#This Row],[Cost per Unit (BSG)]]*Table247[[#This Row],[Quantity]]</f>
        <v>81000</v>
      </c>
      <c r="K10" s="35">
        <f>Table247[[#This Row],[Cost per Unit(Phillipson)]]*Table247[[#This Row],[Quantity]]</f>
        <v>180000</v>
      </c>
    </row>
    <row r="11" spans="1:11" x14ac:dyDescent="0.35">
      <c r="A11" s="6"/>
      <c r="B11" s="6"/>
      <c r="C11" s="4"/>
      <c r="D11" s="4"/>
      <c r="E11" s="8"/>
      <c r="F11" s="36"/>
    </row>
    <row r="16" spans="1:11" x14ac:dyDescent="0.35">
      <c r="A16" t="s">
        <v>82</v>
      </c>
      <c r="B16" t="s">
        <v>35</v>
      </c>
      <c r="C16" t="s">
        <v>36</v>
      </c>
      <c r="D16" t="s">
        <v>37</v>
      </c>
      <c r="E16" t="s">
        <v>34</v>
      </c>
    </row>
    <row r="17" spans="1:6" ht="15" thickBot="1" x14ac:dyDescent="0.4">
      <c r="A17" t="s">
        <v>83</v>
      </c>
      <c r="B17" s="9">
        <f>SUM(H2:H5)</f>
        <v>20010.666666666668</v>
      </c>
      <c r="C17" s="9">
        <f>SUM(H6:H8)</f>
        <v>8011.2</v>
      </c>
      <c r="D17" s="10">
        <f>SUM(H9:H10)</f>
        <v>152778.6</v>
      </c>
      <c r="E17" s="5">
        <f>SUM(B17:D17)</f>
        <v>180800.46666666667</v>
      </c>
      <c r="F17" s="5"/>
    </row>
    <row r="18" spans="1:6" ht="15.5" thickTop="1" thickBot="1" x14ac:dyDescent="0.4">
      <c r="A18" t="s">
        <v>84</v>
      </c>
      <c r="B18">
        <f>SUM(I2:I5)</f>
        <v>35736</v>
      </c>
      <c r="C18">
        <f>SUM(I6:I8)</f>
        <v>76032</v>
      </c>
      <c r="D18">
        <f>SUM(I9:I10)</f>
        <v>297048</v>
      </c>
      <c r="E18" s="5">
        <f>SUM(B18:D18)</f>
        <v>408816</v>
      </c>
      <c r="F18" s="5"/>
    </row>
    <row r="19" spans="1:6" ht="15.5" thickTop="1" thickBot="1" x14ac:dyDescent="0.4">
      <c r="A19" t="s">
        <v>108</v>
      </c>
      <c r="B19">
        <f>SUM(J2:J5)</f>
        <v>187400</v>
      </c>
      <c r="C19">
        <f>SUM(J6:J8)</f>
        <v>129680</v>
      </c>
      <c r="D19">
        <f>SUM(J9:J10)</f>
        <v>90754</v>
      </c>
      <c r="E19" s="5">
        <f>SUM(B19:D19)</f>
        <v>407834</v>
      </c>
      <c r="F19" s="5"/>
    </row>
    <row r="20" spans="1:6" ht="15.5" thickTop="1" thickBot="1" x14ac:dyDescent="0.4">
      <c r="A20" t="s">
        <v>6</v>
      </c>
      <c r="B20" s="24">
        <f>SUM(K2:K5)</f>
        <v>11880</v>
      </c>
      <c r="C20" s="24">
        <f>SUM(K6:K8)</f>
        <v>2496</v>
      </c>
      <c r="D20" s="24">
        <f>SUM(K9:K10)</f>
        <v>180000</v>
      </c>
      <c r="E20" s="5">
        <f>SUM(B20:D20)</f>
        <v>194376</v>
      </c>
    </row>
    <row r="21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C10" sqref="C10:F10"/>
    </sheetView>
  </sheetViews>
  <sheetFormatPr defaultColWidth="9.1796875" defaultRowHeight="14.5" x14ac:dyDescent="0.35"/>
  <cols>
    <col min="1" max="1" width="29.26953125" style="13" customWidth="1"/>
    <col min="2" max="2" width="38" style="13" customWidth="1"/>
    <col min="3" max="3" width="21.26953125" style="13" customWidth="1"/>
    <col min="4" max="4" width="18" style="13" customWidth="1"/>
    <col min="5" max="5" width="17.81640625" style="13" customWidth="1"/>
    <col min="6" max="6" width="17.81640625" style="24" customWidth="1"/>
    <col min="7" max="7" width="24.453125" style="13" customWidth="1"/>
    <col min="8" max="8" width="25.54296875" style="13" customWidth="1"/>
    <col min="9" max="16384" width="9.1796875" style="13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54*2</f>
        <v>108</v>
      </c>
      <c r="H2" s="4">
        <f>Table2410[[#This Row],[Cost per Unit (OASE)]]*Table2410[[#This Row],[Quantity]]</f>
        <v>8640</v>
      </c>
      <c r="I2" s="12">
        <f>Table2410[[#This Row],[Cost per Unit (Rokkas)]]*Table2410[[#This Row],[Quantity]]</f>
        <v>15120</v>
      </c>
      <c r="J2" s="12">
        <f>Table2410[[#This Row],[Cost per Unit(BSG)]]*Table2410[[#This Row],[Quantity]]</f>
        <v>32400</v>
      </c>
      <c r="K2" s="35">
        <f>Table2410[[#This Row],[Cost per Unit(Phillipson)]]*Table2410[[#This Row],[Quantity]]</f>
        <v>5940</v>
      </c>
    </row>
    <row r="3" spans="1:11" x14ac:dyDescent="0.35">
      <c r="A3" s="6" t="s">
        <v>27</v>
      </c>
      <c r="B3" s="6" t="s">
        <v>39</v>
      </c>
      <c r="C3" s="4">
        <v>4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Table2410[[#This Row],[Cost per Unit (OASE)]]*Table2410[[#This Row],[Quantity]]</f>
        <v>1248</v>
      </c>
      <c r="I3" s="12">
        <f>Table2410[[#This Row],[Cost per Unit (Rokkas)]]*Table2410[[#This Row],[Quantity]]</f>
        <v>1248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x14ac:dyDescent="0.35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</f>
        <v>156</v>
      </c>
      <c r="H6" s="4">
        <f>Table2410[[#This Row],[Cost per Unit (OASE)]]*Table2410[[#This Row],[Quantity]]</f>
        <v>280.8</v>
      </c>
      <c r="I6" s="12">
        <f>Table2410[[#This Row],[Cost per Unit (Rokkas)]]*Table2410[[#This Row],[Quantity]]</f>
        <v>1560</v>
      </c>
      <c r="J6" s="12">
        <f>Table2410[[#This Row],[Cost per Unit(BSG)]]*Table2410[[#This Row],[Quantity]]</f>
        <v>218.39999999999998</v>
      </c>
      <c r="K6" s="35">
        <f>Table2410[[#This Row],[Cost per Unit(Phillipson)]]*Table2410[[#This Row],[Quantity]]</f>
        <v>0</v>
      </c>
    </row>
    <row r="7" spans="1:11" x14ac:dyDescent="0.35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</f>
        <v>156</v>
      </c>
      <c r="H7" s="4">
        <f>Table2410[[#This Row],[Cost per Unit (OASE)]]*Table2410[[#This Row],[Quantity]]</f>
        <v>624</v>
      </c>
      <c r="I7" s="12">
        <f>Table2410[[#This Row],[Cost per Unit (Rokkas)]]*Table2410[[#This Row],[Quantity]]</f>
        <v>624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3120</v>
      </c>
    </row>
    <row r="8" spans="1:11" x14ac:dyDescent="0.3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610</v>
      </c>
      <c r="H8" s="4">
        <f>Table2410[[#This Row],[Cost per Unit (OASE)]]*Table2410[[#This Row],[Quantity]]</f>
        <v>1098</v>
      </c>
      <c r="I8" s="12">
        <f>Table2410[[#This Row],[Cost per Unit (Rokkas)]]*Table2410[[#This Row],[Quantity]]</f>
        <v>6100</v>
      </c>
      <c r="J8" s="12">
        <f>Table2410[[#This Row],[Cost per Unit(BSG)]]*Table2410[[#This Row],[Quantity]]</f>
        <v>976</v>
      </c>
      <c r="K8" s="35">
        <f>Table2410[[#This Row],[Cost per Unit(Phillipson)]]*Table2410[[#This Row],[Quantity]]</f>
        <v>0</v>
      </c>
    </row>
    <row r="9" spans="1:11" x14ac:dyDescent="0.35">
      <c r="A9" s="6" t="s">
        <v>32</v>
      </c>
      <c r="B9" s="6" t="s">
        <v>63</v>
      </c>
      <c r="C9" s="4">
        <f>10</f>
        <v>10</v>
      </c>
      <c r="D9" s="4">
        <v>24</v>
      </c>
      <c r="E9" s="4">
        <f>24</f>
        <v>24</v>
      </c>
      <c r="F9" s="4">
        <v>10</v>
      </c>
      <c r="G9" s="4">
        <v>4877</v>
      </c>
      <c r="H9" s="4">
        <f>Table2410[[#This Row],[Cost per Unit (OASE)]]*Table2410[[#This Row],[Quantity]]</f>
        <v>48770</v>
      </c>
      <c r="I9" s="12">
        <f>Table2410[[#This Row],[Cost per Unit (Rokkas)]]*Table2410[[#This Row],[Quantity]]</f>
        <v>117048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48770</v>
      </c>
    </row>
    <row r="10" spans="1:11" x14ac:dyDescent="0.35">
      <c r="A10" s="6" t="s">
        <v>32</v>
      </c>
      <c r="B10" s="6" t="s">
        <v>40</v>
      </c>
      <c r="C10" s="4">
        <v>1.8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8778.6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x14ac:dyDescent="0.35">
      <c r="A15" s="13" t="s">
        <v>82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ht="15" thickBot="1" x14ac:dyDescent="0.4">
      <c r="A16" s="13" t="s">
        <v>83</v>
      </c>
      <c r="B16" s="14">
        <f>SUM(H2:H5)</f>
        <v>10322.666666666666</v>
      </c>
      <c r="C16" s="14">
        <f>SUM(H6:H8)</f>
        <v>2002.8</v>
      </c>
      <c r="D16" s="10">
        <f>SUM(H9:H10)</f>
        <v>57548.6</v>
      </c>
      <c r="E16" s="5">
        <f>SUM(B16:D16)</f>
        <v>69874.066666666666</v>
      </c>
      <c r="F16" s="5"/>
    </row>
    <row r="17" spans="1:6" ht="15.5" thickTop="1" thickBot="1" x14ac:dyDescent="0.4">
      <c r="A17" s="13" t="s">
        <v>84</v>
      </c>
      <c r="B17" s="13">
        <f>SUM(I2:I5)</f>
        <v>19368</v>
      </c>
      <c r="C17" s="13">
        <f>SUM(I6:I8)</f>
        <v>8284</v>
      </c>
      <c r="D17" s="13">
        <f>SUM(I9:I10)</f>
        <v>136556</v>
      </c>
      <c r="E17" s="5">
        <f>SUM(B17:D17)</f>
        <v>164208</v>
      </c>
      <c r="F17" s="5"/>
    </row>
    <row r="18" spans="1:6" ht="15.5" thickTop="1" thickBot="1" x14ac:dyDescent="0.4">
      <c r="A18" s="13" t="s">
        <v>108</v>
      </c>
      <c r="B18" s="13">
        <f>SUM(J2:J5)</f>
        <v>32500</v>
      </c>
      <c r="C18" s="13">
        <f>SUM(J6:J8)</f>
        <v>1194.4000000000001</v>
      </c>
      <c r="D18" s="13">
        <f>SUM(J9:J10)</f>
        <v>124851.2</v>
      </c>
      <c r="E18" s="5">
        <f>SUM(B18:D18)</f>
        <v>158545.60000000001</v>
      </c>
      <c r="F18" s="5"/>
    </row>
    <row r="19" spans="1:6" ht="15.5" thickTop="1" thickBot="1" x14ac:dyDescent="0.4">
      <c r="A19" s="13" t="s">
        <v>6</v>
      </c>
      <c r="B19" s="24">
        <f>SUM(K2:K5)</f>
        <v>5940</v>
      </c>
      <c r="C19" s="24">
        <f>SUM(K6:K8)</f>
        <v>3120</v>
      </c>
      <c r="D19" s="24">
        <f>SUM(K9:K10)</f>
        <v>73155</v>
      </c>
      <c r="E19" s="5">
        <f>SUM(B19:D19)</f>
        <v>82215</v>
      </c>
    </row>
    <row r="20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1</vt:i4>
      </vt:variant>
    </vt:vector>
  </HeadingPairs>
  <TitlesOfParts>
    <vt:vector size="21" baseType="lpstr">
      <vt:lpstr>Papers and Reports</vt:lpstr>
      <vt:lpstr>Results_Visual</vt:lpstr>
      <vt:lpstr>FTTCab GPON 26 Mbps</vt:lpstr>
      <vt:lpstr>FTTCab_GPON_100</vt:lpstr>
      <vt:lpstr>FTTB XGPON 50 Mbps</vt:lpstr>
      <vt:lpstr>FTTB WR-WDMPON 50 Mbps</vt:lpstr>
      <vt:lpstr>FTTH WR-WDMPON 100 Mbps</vt:lpstr>
      <vt:lpstr>FTTH XGPON 100 Mbps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CAPEX_Euros_Phillipson</vt:lpstr>
      <vt:lpstr>CAPEX_Euros_OASE</vt:lpstr>
      <vt:lpstr>CAPEX_Euros_Rokkas</vt:lpstr>
      <vt:lpstr>CAPEX_Euros_BSG</vt:lpstr>
      <vt:lpstr>Sheet1</vt:lpstr>
      <vt:lpstr>Chart2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Kireet Patri</cp:lastModifiedBy>
  <cp:lastPrinted>2018-08-29T12:46:41Z</cp:lastPrinted>
  <dcterms:created xsi:type="dcterms:W3CDTF">2018-06-18T12:55:08Z</dcterms:created>
  <dcterms:modified xsi:type="dcterms:W3CDTF">2018-09-17T01:20:39Z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