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19365" windowHeight="9285" tabRatio="961" firstSheet="8" activeTab="15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externalReferences>
    <externalReference r:id="rId20"/>
  </externalReferences>
  <calcPr calcId="145621"/>
</workbook>
</file>

<file path=xl/calcChain.xml><?xml version="1.0" encoding="utf-8"?>
<calcChain xmlns="http://schemas.openxmlformats.org/spreadsheetml/2006/main">
  <c r="C21" i="7" l="1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B22" i="7"/>
  <c r="B23" i="7"/>
  <c r="B24" i="7"/>
  <c r="B25" i="7"/>
  <c r="B26" i="7"/>
  <c r="B27" i="7"/>
  <c r="B28" i="7"/>
  <c r="B29" i="7"/>
  <c r="B30" i="7"/>
  <c r="B31" i="7"/>
  <c r="B32" i="7"/>
  <c r="B33" i="7"/>
  <c r="B21" i="7"/>
  <c r="C6" i="15" l="1"/>
  <c r="C4" i="15"/>
  <c r="C6" i="14"/>
  <c r="C4" i="14"/>
  <c r="C6" i="13"/>
  <c r="C4" i="13"/>
  <c r="C6" i="12"/>
  <c r="C4" i="12"/>
  <c r="C6" i="11"/>
  <c r="C4" i="11"/>
  <c r="C8" i="10"/>
  <c r="C6" i="10"/>
  <c r="C9" i="9"/>
  <c r="C4" i="9"/>
  <c r="C10" i="8"/>
  <c r="C9" i="8"/>
  <c r="C4" i="8"/>
  <c r="G9" i="8"/>
  <c r="G8" i="8"/>
  <c r="G7" i="8"/>
  <c r="G6" i="8"/>
  <c r="G4" i="8"/>
  <c r="G3" i="8"/>
  <c r="G2" i="8"/>
  <c r="C10" i="6"/>
  <c r="C4" i="6"/>
  <c r="C10" i="5"/>
  <c r="C8" i="5"/>
  <c r="C7" i="5"/>
  <c r="C6" i="5"/>
  <c r="C10" i="4"/>
  <c r="C8" i="4"/>
  <c r="C6" i="4"/>
  <c r="C9" i="3"/>
  <c r="C4" i="3"/>
  <c r="C9" i="2"/>
  <c r="C4" i="2"/>
  <c r="G9" i="14" l="1"/>
  <c r="G8" i="14"/>
  <c r="G9" i="11"/>
  <c r="G8" i="11"/>
  <c r="G8" i="2"/>
  <c r="G7" i="2"/>
  <c r="G6" i="2"/>
  <c r="G3" i="2"/>
  <c r="H85" i="16" l="1"/>
  <c r="H86" i="16"/>
  <c r="H87" i="16"/>
  <c r="H88" i="16"/>
  <c r="H89" i="16"/>
  <c r="H90" i="16"/>
  <c r="H91" i="16"/>
  <c r="H92" i="16"/>
  <c r="H93" i="16"/>
  <c r="H94" i="16"/>
  <c r="H95" i="16"/>
  <c r="H96" i="16"/>
  <c r="H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84" i="16"/>
  <c r="F69" i="16"/>
  <c r="F70" i="16"/>
  <c r="F71" i="16"/>
  <c r="F72" i="16"/>
  <c r="F73" i="16"/>
  <c r="F74" i="16"/>
  <c r="F75" i="16" l="1"/>
  <c r="F76" i="16"/>
  <c r="F77" i="16"/>
  <c r="F78" i="16"/>
  <c r="F79" i="16"/>
  <c r="F80" i="16"/>
  <c r="F81" i="16"/>
  <c r="F82" i="16"/>
  <c r="F83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E8" i="16"/>
  <c r="G62" i="16" s="1"/>
  <c r="E9" i="16"/>
  <c r="G63" i="16" s="1"/>
  <c r="E10" i="16"/>
  <c r="G64" i="16" s="1"/>
  <c r="E11" i="16"/>
  <c r="G65" i="16" s="1"/>
  <c r="E12" i="16"/>
  <c r="G66" i="16" s="1"/>
  <c r="E13" i="16"/>
  <c r="G67" i="16" s="1"/>
  <c r="E14" i="16"/>
  <c r="G68" i="16" s="1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D3" i="10" l="1"/>
  <c r="D7" i="14"/>
  <c r="D7" i="11"/>
  <c r="D10" i="8"/>
  <c r="D9" i="2"/>
  <c r="E9" i="3"/>
  <c r="E9" i="2"/>
  <c r="F8" i="13"/>
  <c r="E8" i="13"/>
  <c r="D8" i="13"/>
  <c r="E9" i="9"/>
  <c r="F10" i="6"/>
  <c r="E10" i="6"/>
  <c r="D10" i="6"/>
  <c r="F10" i="5"/>
  <c r="E10" i="5"/>
  <c r="D10" i="5"/>
  <c r="H13" i="19" l="1"/>
  <c r="H10" i="19"/>
  <c r="H7" i="19"/>
  <c r="E3" i="19"/>
  <c r="E4" i="19"/>
  <c r="E5" i="19"/>
  <c r="E6" i="19"/>
  <c r="E7" i="19"/>
  <c r="E8" i="19"/>
  <c r="E9" i="19"/>
  <c r="E10" i="19"/>
  <c r="E11" i="19"/>
  <c r="E12" i="19"/>
  <c r="E13" i="19"/>
  <c r="E14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K3" i="13"/>
  <c r="K4" i="13"/>
  <c r="K5" i="13"/>
  <c r="K6" i="13"/>
  <c r="K7" i="13"/>
  <c r="K8" i="13"/>
  <c r="K9" i="13"/>
  <c r="K2" i="13"/>
  <c r="K3" i="12"/>
  <c r="K4" i="12"/>
  <c r="K5" i="12"/>
  <c r="K6" i="12"/>
  <c r="K7" i="12"/>
  <c r="K8" i="12"/>
  <c r="K9" i="12"/>
  <c r="K2" i="12"/>
  <c r="K3" i="11"/>
  <c r="K4" i="11"/>
  <c r="K5" i="11"/>
  <c r="K6" i="11"/>
  <c r="K7" i="11"/>
  <c r="K10" i="11"/>
  <c r="K2" i="1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K10" i="3"/>
  <c r="K2" i="3"/>
  <c r="K4" i="2"/>
  <c r="K5" i="2"/>
  <c r="K10" i="2"/>
  <c r="D21" i="2" s="1"/>
  <c r="H2" i="19" s="1"/>
  <c r="F9" i="2"/>
  <c r="K9" i="2" s="1"/>
  <c r="F8" i="2"/>
  <c r="F2" i="2"/>
  <c r="K2" i="2" s="1"/>
  <c r="E10" i="8"/>
  <c r="H13" i="17"/>
  <c r="H10" i="17"/>
  <c r="H7" i="17"/>
  <c r="H13" i="16"/>
  <c r="H10" i="16"/>
  <c r="H7" i="16"/>
  <c r="B19" i="11" l="1"/>
  <c r="D20" i="3"/>
  <c r="H3" i="19" s="1"/>
  <c r="D20" i="6"/>
  <c r="H6" i="19" s="1"/>
  <c r="B18" i="12"/>
  <c r="F11" i="19" s="1"/>
  <c r="I11" i="19" s="1"/>
  <c r="J11" i="19" s="1"/>
  <c r="L11" i="19" s="1"/>
  <c r="C18" i="12"/>
  <c r="G11" i="19" s="1"/>
  <c r="B18" i="13"/>
  <c r="E18" i="13" s="1"/>
  <c r="C18" i="13"/>
  <c r="G12" i="19" s="1"/>
  <c r="B19" i="14"/>
  <c r="F13" i="19" s="1"/>
  <c r="D19" i="9"/>
  <c r="H8" i="19" s="1"/>
  <c r="B18" i="5"/>
  <c r="F5" i="19" s="1"/>
  <c r="B18" i="15"/>
  <c r="F14" i="19" s="1"/>
  <c r="C18" i="15"/>
  <c r="G14" i="19" s="1"/>
  <c r="D18" i="15"/>
  <c r="H14" i="19" s="1"/>
  <c r="D18" i="13"/>
  <c r="H12" i="19" s="1"/>
  <c r="D18" i="12"/>
  <c r="H11" i="19" s="1"/>
  <c r="D17" i="10"/>
  <c r="H9" i="19" s="1"/>
  <c r="D18" i="4"/>
  <c r="H4" i="19" s="1"/>
  <c r="B18" i="4"/>
  <c r="F4" i="19" s="1"/>
  <c r="E18" i="4"/>
  <c r="F10" i="19"/>
  <c r="F12" i="19"/>
  <c r="E18" i="5"/>
  <c r="I5" i="19"/>
  <c r="J5" i="19" s="1"/>
  <c r="L5" i="19" s="1"/>
  <c r="I12" i="19"/>
  <c r="J12" i="19" s="1"/>
  <c r="L12" i="19" s="1"/>
  <c r="D2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D3" i="17"/>
  <c r="D4" i="17"/>
  <c r="D5" i="17"/>
  <c r="D6" i="17"/>
  <c r="D7" i="17"/>
  <c r="D8" i="17"/>
  <c r="D9" i="17"/>
  <c r="D10" i="17"/>
  <c r="D11" i="17"/>
  <c r="D12" i="17"/>
  <c r="D13" i="17"/>
  <c r="D14" i="17"/>
  <c r="J3" i="14"/>
  <c r="J4" i="14"/>
  <c r="J5" i="14"/>
  <c r="J6" i="14"/>
  <c r="J7" i="14"/>
  <c r="J10" i="14"/>
  <c r="J2" i="14"/>
  <c r="J3" i="15"/>
  <c r="J4" i="15"/>
  <c r="J5" i="15"/>
  <c r="J6" i="15"/>
  <c r="J7" i="15"/>
  <c r="J9" i="15"/>
  <c r="J2" i="15"/>
  <c r="E8" i="15"/>
  <c r="J8" i="15" s="1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E10" i="9"/>
  <c r="J10" i="9" s="1"/>
  <c r="E8" i="9"/>
  <c r="J8" i="9" s="1"/>
  <c r="E6" i="9"/>
  <c r="E2" i="9"/>
  <c r="J4" i="8"/>
  <c r="J9" i="8"/>
  <c r="J11" i="8"/>
  <c r="E8" i="8"/>
  <c r="E6" i="8"/>
  <c r="E5" i="8"/>
  <c r="J5" i="8" s="1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I4" i="19" l="1"/>
  <c r="J4" i="19" s="1"/>
  <c r="L4" i="19" s="1"/>
  <c r="E18" i="15"/>
  <c r="I14" i="19"/>
  <c r="J14" i="19" s="1"/>
  <c r="L14" i="19" s="1"/>
  <c r="E18" i="12"/>
  <c r="D17" i="4"/>
  <c r="H4" i="17" s="1"/>
  <c r="C17" i="12"/>
  <c r="G11" i="17" s="1"/>
  <c r="D17" i="15"/>
  <c r="H14" i="17" s="1"/>
  <c r="D19" i="6"/>
  <c r="H6" i="17" s="1"/>
  <c r="D20" i="2"/>
  <c r="H2" i="17" s="1"/>
  <c r="D16" i="10"/>
  <c r="H9" i="17" s="1"/>
  <c r="B18" i="14"/>
  <c r="F13" i="17" s="1"/>
  <c r="B17" i="15"/>
  <c r="F14" i="17" s="1"/>
  <c r="C17" i="15"/>
  <c r="G14" i="17" s="1"/>
  <c r="B17" i="13"/>
  <c r="F12" i="17" s="1"/>
  <c r="D17" i="13"/>
  <c r="H12" i="17" s="1"/>
  <c r="C17" i="13"/>
  <c r="G12" i="17" s="1"/>
  <c r="B17" i="12"/>
  <c r="F11" i="17" s="1"/>
  <c r="D17" i="12"/>
  <c r="H11" i="17" s="1"/>
  <c r="B18" i="11"/>
  <c r="F10" i="17" s="1"/>
  <c r="D18" i="9"/>
  <c r="H8" i="17" s="1"/>
  <c r="D17" i="5"/>
  <c r="H5" i="17" s="1"/>
  <c r="B17" i="5"/>
  <c r="B17" i="4"/>
  <c r="F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D8" i="16"/>
  <c r="F62" i="16" s="1"/>
  <c r="D9" i="16"/>
  <c r="F63" i="16" s="1"/>
  <c r="D10" i="16"/>
  <c r="F64" i="16" s="1"/>
  <c r="D11" i="16"/>
  <c r="F65" i="16" s="1"/>
  <c r="D12" i="16"/>
  <c r="F66" i="16" s="1"/>
  <c r="D13" i="16"/>
  <c r="F67" i="16" s="1"/>
  <c r="D14" i="16"/>
  <c r="F68" i="16" s="1"/>
  <c r="D2" i="16"/>
  <c r="F56" i="16" s="1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D7" i="2"/>
  <c r="D6" i="2"/>
  <c r="D5" i="2"/>
  <c r="I5" i="2" s="1"/>
  <c r="D3" i="2"/>
  <c r="H9" i="15"/>
  <c r="H8" i="15"/>
  <c r="H7" i="15"/>
  <c r="H6" i="15"/>
  <c r="H5" i="15"/>
  <c r="H4" i="15"/>
  <c r="H3" i="15"/>
  <c r="H2" i="15"/>
  <c r="H3" i="14"/>
  <c r="H5" i="14"/>
  <c r="H7" i="14"/>
  <c r="H10" i="14"/>
  <c r="D16" i="14" s="1"/>
  <c r="F14" i="7" s="1"/>
  <c r="J8" i="14"/>
  <c r="H6" i="14"/>
  <c r="H4" i="14"/>
  <c r="H2" i="14"/>
  <c r="H9" i="13"/>
  <c r="H8" i="13"/>
  <c r="H7" i="13"/>
  <c r="H6" i="13"/>
  <c r="H5" i="13"/>
  <c r="H4" i="13"/>
  <c r="H3" i="13"/>
  <c r="H2" i="13"/>
  <c r="H9" i="12"/>
  <c r="H8" i="12"/>
  <c r="H7" i="12"/>
  <c r="H6" i="12"/>
  <c r="H5" i="12"/>
  <c r="H4" i="12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H4" i="11"/>
  <c r="H3" i="11"/>
  <c r="H5" i="11"/>
  <c r="H7" i="11"/>
  <c r="H10" i="11"/>
  <c r="D16" i="11" s="1"/>
  <c r="F11" i="7" s="1"/>
  <c r="H2" i="11"/>
  <c r="H9" i="11"/>
  <c r="J8" i="11"/>
  <c r="H6" i="11"/>
  <c r="H2" i="10"/>
  <c r="H5" i="10"/>
  <c r="H10" i="10"/>
  <c r="H9" i="10"/>
  <c r="H8" i="10"/>
  <c r="C14" i="10" s="1"/>
  <c r="E10" i="7" s="1"/>
  <c r="H7" i="10"/>
  <c r="H6" i="10"/>
  <c r="H4" i="10"/>
  <c r="H3" i="10"/>
  <c r="J2" i="9"/>
  <c r="H10" i="9"/>
  <c r="H9" i="9"/>
  <c r="H8" i="9"/>
  <c r="H5" i="9"/>
  <c r="H4" i="9"/>
  <c r="H11" i="8"/>
  <c r="D16" i="8" s="1"/>
  <c r="F8" i="7" s="1"/>
  <c r="H5" i="8"/>
  <c r="H9" i="8"/>
  <c r="H2" i="8"/>
  <c r="H4" i="8"/>
  <c r="H4" i="6"/>
  <c r="H8" i="5"/>
  <c r="H6" i="5"/>
  <c r="H2" i="5"/>
  <c r="H8" i="4"/>
  <c r="H6" i="4"/>
  <c r="H10" i="3"/>
  <c r="I3" i="3"/>
  <c r="H9" i="3"/>
  <c r="H8" i="3"/>
  <c r="H7" i="3"/>
  <c r="H5" i="3"/>
  <c r="H4" i="3"/>
  <c r="H2" i="3"/>
  <c r="H2" i="2"/>
  <c r="J6" i="2"/>
  <c r="H4" i="2"/>
  <c r="H4" i="1"/>
  <c r="E4" i="1"/>
  <c r="I4" i="17" l="1"/>
  <c r="J4" i="17" s="1"/>
  <c r="L4" i="17" s="1"/>
  <c r="I3" i="2"/>
  <c r="I8" i="2"/>
  <c r="C16" i="12"/>
  <c r="G11" i="16" s="1"/>
  <c r="I8" i="11"/>
  <c r="I2" i="9"/>
  <c r="D16" i="12"/>
  <c r="H11" i="16" s="1"/>
  <c r="D15" i="12"/>
  <c r="F12" i="7" s="1"/>
  <c r="I3" i="9"/>
  <c r="K3" i="9"/>
  <c r="J3" i="9"/>
  <c r="B18" i="9" s="1"/>
  <c r="F8" i="17" s="1"/>
  <c r="H6" i="6"/>
  <c r="K6" i="6"/>
  <c r="J6" i="6"/>
  <c r="H6" i="2"/>
  <c r="K6" i="2"/>
  <c r="H6" i="9"/>
  <c r="K6" i="9"/>
  <c r="C16" i="13"/>
  <c r="G12" i="16" s="1"/>
  <c r="I11" i="17"/>
  <c r="J11" i="17" s="1"/>
  <c r="L11" i="17" s="1"/>
  <c r="J6" i="9"/>
  <c r="H6" i="3"/>
  <c r="C17" i="3" s="1"/>
  <c r="E4" i="7" s="1"/>
  <c r="K6" i="3"/>
  <c r="C20" i="3" s="1"/>
  <c r="G3" i="19" s="1"/>
  <c r="H6" i="8"/>
  <c r="K6" i="8"/>
  <c r="H8" i="8"/>
  <c r="K8" i="8"/>
  <c r="J6" i="8"/>
  <c r="I3" i="6"/>
  <c r="K3" i="6"/>
  <c r="J3" i="6"/>
  <c r="I7" i="2"/>
  <c r="K7" i="2"/>
  <c r="J7" i="2"/>
  <c r="H3" i="8"/>
  <c r="B16" i="8" s="1"/>
  <c r="K3" i="8"/>
  <c r="B19" i="8" s="1"/>
  <c r="J3" i="8"/>
  <c r="B18" i="8" s="1"/>
  <c r="F7" i="17" s="1"/>
  <c r="H7" i="9"/>
  <c r="K7" i="9"/>
  <c r="J7" i="9"/>
  <c r="K3" i="10"/>
  <c r="B17" i="10" s="1"/>
  <c r="J3" i="10"/>
  <c r="B16" i="10" s="1"/>
  <c r="H8" i="11"/>
  <c r="C16" i="11" s="1"/>
  <c r="E11" i="7" s="1"/>
  <c r="F65" i="7" s="1"/>
  <c r="K8" i="11"/>
  <c r="H3" i="6"/>
  <c r="H8" i="14"/>
  <c r="K8" i="14"/>
  <c r="H8" i="6"/>
  <c r="K8" i="6"/>
  <c r="J8" i="6"/>
  <c r="H2" i="6"/>
  <c r="K2" i="6"/>
  <c r="J2" i="6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2" i="9"/>
  <c r="K2" i="9"/>
  <c r="I9" i="11"/>
  <c r="K9" i="11"/>
  <c r="J9" i="11"/>
  <c r="C18" i="11" s="1"/>
  <c r="I9" i="14"/>
  <c r="K9" i="14"/>
  <c r="J9" i="14"/>
  <c r="C18" i="14" s="1"/>
  <c r="I6" i="2"/>
  <c r="C19" i="2" s="1"/>
  <c r="G2" i="16" s="1"/>
  <c r="I56" i="16" s="1"/>
  <c r="H7" i="6"/>
  <c r="K7" i="6"/>
  <c r="J7" i="6"/>
  <c r="I14" i="17"/>
  <c r="J14" i="17" s="1"/>
  <c r="L14" i="17" s="1"/>
  <c r="J8" i="2"/>
  <c r="J6" i="3"/>
  <c r="C19" i="3" s="1"/>
  <c r="G3" i="17" s="1"/>
  <c r="E17" i="15"/>
  <c r="E17" i="13"/>
  <c r="I12" i="17"/>
  <c r="J12" i="17" s="1"/>
  <c r="L12" i="17" s="1"/>
  <c r="E17" i="12"/>
  <c r="D17" i="9"/>
  <c r="H8" i="16" s="1"/>
  <c r="D16" i="9"/>
  <c r="F9" i="7" s="1"/>
  <c r="F5" i="17"/>
  <c r="I5" i="17" s="1"/>
  <c r="J5" i="17" s="1"/>
  <c r="L5" i="17" s="1"/>
  <c r="E17" i="5"/>
  <c r="D15" i="5"/>
  <c r="F6" i="7" s="1"/>
  <c r="E17" i="4"/>
  <c r="D18" i="3"/>
  <c r="H3" i="16" s="1"/>
  <c r="C16" i="15"/>
  <c r="G14" i="16" s="1"/>
  <c r="I68" i="16" s="1"/>
  <c r="B16" i="15"/>
  <c r="F14" i="16" s="1"/>
  <c r="H68" i="16" s="1"/>
  <c r="B17" i="14"/>
  <c r="F13" i="16" s="1"/>
  <c r="H67" i="16" s="1"/>
  <c r="I8" i="14"/>
  <c r="H9" i="14"/>
  <c r="D16" i="13"/>
  <c r="H12" i="16" s="1"/>
  <c r="B16" i="12"/>
  <c r="D15" i="10"/>
  <c r="H9" i="16" s="1"/>
  <c r="I63" i="16" s="1"/>
  <c r="I3" i="10"/>
  <c r="B15" i="10" s="1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B16" i="5"/>
  <c r="F5" i="16" s="1"/>
  <c r="H59" i="16" s="1"/>
  <c r="C17" i="11"/>
  <c r="G10" i="16" s="1"/>
  <c r="I64" i="16" s="1"/>
  <c r="D16" i="5"/>
  <c r="H5" i="16" s="1"/>
  <c r="I59" i="16" s="1"/>
  <c r="B17" i="11"/>
  <c r="F10" i="16" s="1"/>
  <c r="H64" i="16" s="1"/>
  <c r="I6" i="3"/>
  <c r="C18" i="3" s="1"/>
  <c r="G3" i="16" s="1"/>
  <c r="I57" i="16" s="1"/>
  <c r="B18" i="3"/>
  <c r="F3" i="16" s="1"/>
  <c r="H57" i="16" s="1"/>
  <c r="I6" i="6"/>
  <c r="I10" i="8"/>
  <c r="I7" i="9"/>
  <c r="B16" i="13"/>
  <c r="H7" i="2"/>
  <c r="D17" i="6"/>
  <c r="F7" i="7" s="1"/>
  <c r="I6" i="9"/>
  <c r="B15" i="12"/>
  <c r="C15" i="12"/>
  <c r="E12" i="7" s="1"/>
  <c r="C15" i="13"/>
  <c r="E13" i="7" s="1"/>
  <c r="I8" i="6"/>
  <c r="C15" i="15"/>
  <c r="E15" i="7" s="1"/>
  <c r="D15" i="13"/>
  <c r="F13" i="7" s="1"/>
  <c r="H3" i="9"/>
  <c r="B15" i="5"/>
  <c r="D6" i="7" s="1"/>
  <c r="E60" i="7" s="1"/>
  <c r="D15" i="4"/>
  <c r="F5" i="7" s="1"/>
  <c r="B19" i="2"/>
  <c r="F2" i="16" s="1"/>
  <c r="H56" i="16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B14" i="10"/>
  <c r="D10" i="7" s="1"/>
  <c r="B15" i="4"/>
  <c r="D5" i="7" s="1"/>
  <c r="E59" i="7" s="1"/>
  <c r="B17" i="3"/>
  <c r="D4" i="7" s="1"/>
  <c r="C17" i="6" l="1"/>
  <c r="E7" i="7" s="1"/>
  <c r="F61" i="7" s="1"/>
  <c r="F66" i="7"/>
  <c r="B17" i="9"/>
  <c r="F8" i="16" s="1"/>
  <c r="H62" i="16" s="1"/>
  <c r="B19" i="6"/>
  <c r="F6" i="17" s="1"/>
  <c r="B17" i="6"/>
  <c r="D7" i="7" s="1"/>
  <c r="E61" i="7" s="1"/>
  <c r="C18" i="2"/>
  <c r="E3" i="7" s="1"/>
  <c r="F57" i="7" s="1"/>
  <c r="I66" i="16"/>
  <c r="I65" i="16"/>
  <c r="C16" i="8"/>
  <c r="E8" i="7" s="1"/>
  <c r="F62" i="7" s="1"/>
  <c r="C18" i="9"/>
  <c r="G8" i="17" s="1"/>
  <c r="I8" i="17" s="1"/>
  <c r="J8" i="17" s="1"/>
  <c r="L8" i="17" s="1"/>
  <c r="C16" i="9"/>
  <c r="E9" i="7" s="1"/>
  <c r="F63" i="7" s="1"/>
  <c r="G10" i="7"/>
  <c r="H10" i="7" s="1"/>
  <c r="J10" i="7" s="1"/>
  <c r="E64" i="7"/>
  <c r="C16" i="14"/>
  <c r="E14" i="7" s="1"/>
  <c r="F68" i="7" s="1"/>
  <c r="B20" i="6"/>
  <c r="F6" i="19" s="1"/>
  <c r="G4" i="7"/>
  <c r="H4" i="7" s="1"/>
  <c r="J4" i="7" s="1"/>
  <c r="E58" i="7"/>
  <c r="I2" i="16"/>
  <c r="J2" i="16" s="1"/>
  <c r="L2" i="16" s="1"/>
  <c r="B16" i="9"/>
  <c r="D9" i="7" s="1"/>
  <c r="C20" i="2"/>
  <c r="G2" i="17" s="1"/>
  <c r="B19" i="9"/>
  <c r="F8" i="19" s="1"/>
  <c r="C19" i="9"/>
  <c r="G8" i="19" s="1"/>
  <c r="I5" i="16"/>
  <c r="J5" i="16" s="1"/>
  <c r="L5" i="16" s="1"/>
  <c r="I14" i="16"/>
  <c r="J14" i="16" s="1"/>
  <c r="L14" i="16" s="1"/>
  <c r="C17" i="14"/>
  <c r="G13" i="16" s="1"/>
  <c r="I10" i="16"/>
  <c r="J10" i="16" s="1"/>
  <c r="L10" i="16" s="1"/>
  <c r="G10" i="17"/>
  <c r="I10" i="17" s="1"/>
  <c r="J10" i="17" s="1"/>
  <c r="L10" i="17" s="1"/>
  <c r="E18" i="11"/>
  <c r="E18" i="14"/>
  <c r="G13" i="17"/>
  <c r="I13" i="17" s="1"/>
  <c r="J13" i="17" s="1"/>
  <c r="L13" i="17" s="1"/>
  <c r="F2" i="17"/>
  <c r="E20" i="2"/>
  <c r="C19" i="8"/>
  <c r="G7" i="19" s="1"/>
  <c r="G6" i="7"/>
  <c r="H6" i="7" s="1"/>
  <c r="J6" i="7" s="1"/>
  <c r="F2" i="19"/>
  <c r="C19" i="11"/>
  <c r="F7" i="19"/>
  <c r="C18" i="8"/>
  <c r="G7" i="17" s="1"/>
  <c r="I7" i="17" s="1"/>
  <c r="J7" i="17" s="1"/>
  <c r="L7" i="17" s="1"/>
  <c r="C21" i="2"/>
  <c r="G2" i="19" s="1"/>
  <c r="E17" i="10"/>
  <c r="F9" i="19"/>
  <c r="I9" i="19" s="1"/>
  <c r="J9" i="19" s="1"/>
  <c r="L9" i="19" s="1"/>
  <c r="C20" i="6"/>
  <c r="G6" i="19" s="1"/>
  <c r="E19" i="3"/>
  <c r="C19" i="14"/>
  <c r="F3" i="19"/>
  <c r="I3" i="19" s="1"/>
  <c r="J3" i="19" s="1"/>
  <c r="L3" i="19" s="1"/>
  <c r="E20" i="3"/>
  <c r="F60" i="7"/>
  <c r="B18" i="6"/>
  <c r="F6" i="16" s="1"/>
  <c r="H60" i="16" s="1"/>
  <c r="I3" i="17"/>
  <c r="J3" i="17" s="1"/>
  <c r="L3" i="17" s="1"/>
  <c r="E16" i="10"/>
  <c r="F9" i="17"/>
  <c r="I9" i="17" s="1"/>
  <c r="J9" i="17" s="1"/>
  <c r="L9" i="17" s="1"/>
  <c r="C19" i="6"/>
  <c r="E16" i="15"/>
  <c r="G15" i="7"/>
  <c r="H15" i="7" s="1"/>
  <c r="J15" i="7" s="1"/>
  <c r="F69" i="7"/>
  <c r="F67" i="7"/>
  <c r="G13" i="7"/>
  <c r="H13" i="7" s="1"/>
  <c r="J13" i="7" s="1"/>
  <c r="E16" i="13"/>
  <c r="F12" i="16"/>
  <c r="F11" i="16"/>
  <c r="E16" i="12"/>
  <c r="E15" i="12"/>
  <c r="D12" i="7"/>
  <c r="G11" i="7"/>
  <c r="H11" i="7" s="1"/>
  <c r="J11" i="7" s="1"/>
  <c r="E15" i="10"/>
  <c r="F9" i="16"/>
  <c r="D8" i="7"/>
  <c r="C18" i="6"/>
  <c r="G6" i="16" s="1"/>
  <c r="G5" i="7"/>
  <c r="H5" i="7" s="1"/>
  <c r="J5" i="7" s="1"/>
  <c r="F59" i="7"/>
  <c r="F4" i="16"/>
  <c r="E16" i="4"/>
  <c r="F58" i="7"/>
  <c r="I3" i="16"/>
  <c r="J3" i="16" s="1"/>
  <c r="L3" i="16" s="1"/>
  <c r="G3" i="7"/>
  <c r="H3" i="7" s="1"/>
  <c r="J3" i="7" s="1"/>
  <c r="E17" i="11"/>
  <c r="E15" i="15"/>
  <c r="E16" i="14"/>
  <c r="C17" i="9"/>
  <c r="G8" i="16" s="1"/>
  <c r="C17" i="8"/>
  <c r="E15" i="5"/>
  <c r="E18" i="3"/>
  <c r="E16" i="5"/>
  <c r="E15" i="13"/>
  <c r="E14" i="10"/>
  <c r="E19" i="2"/>
  <c r="E16" i="11"/>
  <c r="E15" i="4"/>
  <c r="E17" i="3"/>
  <c r="E18" i="2"/>
  <c r="E16" i="9" l="1"/>
  <c r="E18" i="8"/>
  <c r="E17" i="6"/>
  <c r="G7" i="7"/>
  <c r="H7" i="7" s="1"/>
  <c r="J7" i="7" s="1"/>
  <c r="E17" i="14"/>
  <c r="G14" i="7"/>
  <c r="H14" i="7" s="1"/>
  <c r="J14" i="7" s="1"/>
  <c r="E18" i="9"/>
  <c r="I8" i="19"/>
  <c r="J8" i="19" s="1"/>
  <c r="L8" i="19" s="1"/>
  <c r="E17" i="9"/>
  <c r="E16" i="8"/>
  <c r="E18" i="6"/>
  <c r="I4" i="16"/>
  <c r="J4" i="16" s="1"/>
  <c r="L4" i="16" s="1"/>
  <c r="H58" i="16"/>
  <c r="I6" i="16"/>
  <c r="J6" i="16" s="1"/>
  <c r="L6" i="16" s="1"/>
  <c r="I60" i="16"/>
  <c r="I11" i="16"/>
  <c r="J11" i="16" s="1"/>
  <c r="L11" i="16" s="1"/>
  <c r="H65" i="16"/>
  <c r="I12" i="16"/>
  <c r="J12" i="16" s="1"/>
  <c r="L12" i="16" s="1"/>
  <c r="H66" i="16"/>
  <c r="I13" i="16"/>
  <c r="J13" i="16" s="1"/>
  <c r="L13" i="16" s="1"/>
  <c r="I67" i="16"/>
  <c r="I9" i="16"/>
  <c r="J9" i="16" s="1"/>
  <c r="L9" i="16" s="1"/>
  <c r="H63" i="16"/>
  <c r="E19" i="9"/>
  <c r="I8" i="16"/>
  <c r="J8" i="16" s="1"/>
  <c r="L8" i="16" s="1"/>
  <c r="I62" i="16"/>
  <c r="G9" i="7"/>
  <c r="H9" i="7" s="1"/>
  <c r="J9" i="7" s="1"/>
  <c r="E63" i="7"/>
  <c r="G12" i="7"/>
  <c r="H12" i="7" s="1"/>
  <c r="J12" i="7" s="1"/>
  <c r="E66" i="7"/>
  <c r="E21" i="2"/>
  <c r="I2" i="17"/>
  <c r="J2" i="17" s="1"/>
  <c r="L2" i="17" s="1"/>
  <c r="G8" i="7"/>
  <c r="H8" i="7" s="1"/>
  <c r="J8" i="7" s="1"/>
  <c r="E62" i="7"/>
  <c r="I6" i="19"/>
  <c r="J6" i="19" s="1"/>
  <c r="L6" i="19" s="1"/>
  <c r="E20" i="6"/>
  <c r="E19" i="8"/>
  <c r="I7" i="19"/>
  <c r="J7" i="19" s="1"/>
  <c r="L7" i="19" s="1"/>
  <c r="G6" i="17"/>
  <c r="I6" i="17" s="1"/>
  <c r="J6" i="17" s="1"/>
  <c r="L6" i="17" s="1"/>
  <c r="E19" i="6"/>
  <c r="G13" i="19"/>
  <c r="I13" i="19" s="1"/>
  <c r="J13" i="19" s="1"/>
  <c r="L13" i="19" s="1"/>
  <c r="E19" i="14"/>
  <c r="G10" i="19"/>
  <c r="I10" i="19" s="1"/>
  <c r="J10" i="19" s="1"/>
  <c r="L10" i="19" s="1"/>
  <c r="E19" i="11"/>
  <c r="I2" i="19"/>
  <c r="J2" i="19" s="1"/>
  <c r="L2" i="19" s="1"/>
  <c r="E17" i="8"/>
  <c r="G7" i="16"/>
  <c r="I7" i="16" l="1"/>
  <c r="J7" i="16" s="1"/>
  <c r="L7" i="16" s="1"/>
  <c r="I61" i="16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<sst xmlns="http://schemas.openxmlformats.org/spreadsheetml/2006/main" count="657" uniqueCount="136">
  <si>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</si>
  <si>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</si>
  <si>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</si>
  <si>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</si>
  <si>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</si>
  <si>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</si>
  <si>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</si>
  <si>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</si>
  <si>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</si>
  <si>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</si>
  <si>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</si>
  <si>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</si>
  <si>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</si>
  <si>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</si>
  <si>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</si>
  <si>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</si>
  <si>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</si>
  <si>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</si>
  <si>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</si>
  <si>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</si>
  <si>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</si>
  <si>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</si>
  <si>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</si>
  <si>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</si>
  <si>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</si>
  <si>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</si>
  <si>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</si>
  <si>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</si>
  <si>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</si>
  <si>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</si>
  <si>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</si>
  <si>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</si>
  <si>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</si>
  <si>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</si>
  <si>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</si>
  <si>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</si>
  <si>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</si>
  <si>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</si>
  <si>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</si>
  <si>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</si>
  <si>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</si>
  <si>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</si>
  <si>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</si>
  <si>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</si>
  <si>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</si>
  <si>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</si>
  <si>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</si>
  <si>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</si>
  <si>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</si>
  <si>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</si>
  <si>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</si>
  <si>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</si>
  <si>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</si>
  <si>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</si>
  <si>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</si>
  <si>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</si>
  <si>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</si>
  <si>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</si>
  <si>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</si>
  <si>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</si>
  <si>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</si>
  <si>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</si>
  <si>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</si>
  <si>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</si>
  <si>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1:4 Power Splitter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</si>
  <si>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</si>
  <si>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</si>
  <si>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</si>
  <si>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</si>
  <si>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</si>
  <si>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</si>
  <si>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</si>
  <si>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</si>
  <si>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</si>
  <si>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</si>
  <si>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</si>
  <si>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</si>
  <si>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</si>
  <si>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</si>
  <si>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</si>
  <si>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</si>
  <si>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</si>
  <si>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</si>
  <si>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</si>
  <si>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</si>
  <si>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</si>
  <si>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</si>
  <si>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</si>
  <si>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</si>
  <si>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</si>
  <si>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</si>
  <si>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</si>
  <si>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</si>
  <si>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</si>
  <si>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</si>
  <si>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</si>
  <si>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</si>
  <si>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</si>
  <si>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</si>
  <si>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</si>
  <si>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</si>
  <si>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</si>
  <si>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</si>
  <si>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</si>
  <si>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</si>
  <si>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</si>
  <si>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</si>
  <si>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</si>
  <si>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</si>
  <si>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</si>
  <si>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</si>
  <si>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</si>
  <si>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</si>
  <si>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</si>
  <si>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1:6 Mini DSLAM+Cabinet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</si>
  <si>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</si>
  <si>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</si>
  <si>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</si>
  <si>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</si>
  <si>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</si>
  <si>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</si>
  <si>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</si>
  <si>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</si>
  <si>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</si>
  <si>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</si>
  <si>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</si>
  <si>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</si>
  <si>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</si>
  <si>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</si>
  <si>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</si>
  <si>
    <t>CO Cost</t>
  </si>
  <si>
    <t>FTTB_UDWDM_50</t>
  </si>
  <si>
    <t>FTTH_UDWDM_100</t>
  </si>
  <si>
    <t>FTTC_GPON_25</t>
  </si>
  <si>
    <t>FTTC_GPON_100</t>
  </si>
  <si>
    <t>FTTB_UDWDM_100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</si>
</sst>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;[Red]\-[$€-2]\ #,##0"/>
    <numFmt numFmtId="165" formatCode="[$€-2]\ #,##0.00;[Red]\-[$€-2]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4" fillId="6" borderId="6" applyNumberFormat="0" applyAlignment="0" applyProtection="0"/>
    <xf numFmtId="0" fontId="15" fillId="7" borderId="6" applyNumberFormat="0" applyAlignment="0" applyProtection="0"/>
  </cellStyleXfs>
  <cellXfs count="4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  <xf numFmtId="0" fontId="14" fillId="6" borderId="6" xfId="7"/>
    <xf numFmtId="0" fontId="15" fillId="7" borderId="6" xfId="8"/>
    <xf numFmtId="0" fontId="1" fillId="5" borderId="7" xfId="1" applyFont="1" applyFill="1" applyBorder="1"/>
    <xf numFmtId="0" fontId="1" fillId="0" borderId="3" xfId="1" applyFont="1" applyBorder="1"/>
    <xf numFmtId="0" fontId="1" fillId="5" borderId="3" xfId="1" applyFont="1" applyFill="1" applyBorder="1"/>
    <xf numFmtId="0" fontId="0" fillId="5" borderId="9" xfId="0" applyFont="1" applyFill="1" applyBorder="1"/>
    <xf numFmtId="0" fontId="0" fillId="0" borderId="9" xfId="0" applyFont="1" applyBorder="1"/>
    <xf numFmtId="0" fontId="4" fillId="8" borderId="9" xfId="0" applyFont="1" applyFill="1" applyBorder="1"/>
    <xf numFmtId="0" fontId="4" fillId="8" borderId="8" xfId="0" applyFont="1" applyFill="1" applyBorder="1"/>
  </cellXfs>
  <cellStyles count="9">
    <cellStyle name="Bad" xfId="3" builtinId="27"/>
    <cellStyle name="Calculation" xfId="8" builtinId="22"/>
    <cellStyle name="Good" xfId="2" builtinId="26"/>
    <cellStyle name="Heading 4" xfId="1" builtinId="19"/>
    <cellStyle name="Hyperlink" xfId="6" builtinId="8"/>
    <cellStyle name="Input" xfId="7" builtinId="20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14589431.858998094</c:v>
                </c:pt>
                <c:pt idx="1">
                  <c:v>13891247.414553652</c:v>
                </c:pt>
                <c:pt idx="2">
                  <c:v>11458408.306554345</c:v>
                </c:pt>
                <c:pt idx="3">
                  <c:v>23625708.306554344</c:v>
                </c:pt>
                <c:pt idx="4">
                  <c:v>26298307.414553653</c:v>
                </c:pt>
                <c:pt idx="5">
                  <c:v>16136156.30344254</c:v>
                </c:pt>
                <c:pt idx="6">
                  <c:v>18932127.414553653</c:v>
                </c:pt>
                <c:pt idx="7">
                  <c:v>16942908.306554344</c:v>
                </c:pt>
                <c:pt idx="8">
                  <c:v>11600278.863627804</c:v>
                </c:pt>
                <c:pt idx="9">
                  <c:v>13180936.533240715</c:v>
                </c:pt>
                <c:pt idx="10">
                  <c:v>19880628.863627806</c:v>
                </c:pt>
                <c:pt idx="11">
                  <c:v>22182388.863627806</c:v>
                </c:pt>
                <c:pt idx="12">
                  <c:v>19955366.533240717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15252337.618583923</c:v>
                </c:pt>
                <c:pt idx="1">
                  <c:v>10529953.044047277</c:v>
                </c:pt>
                <c:pt idx="2">
                  <c:v>9039373.149994798</c:v>
                </c:pt>
                <c:pt idx="3">
                  <c:v>25447373.149994794</c:v>
                </c:pt>
                <c:pt idx="4">
                  <c:v>27474553.044047277</c:v>
                </c:pt>
                <c:pt idx="5">
                  <c:v>9580837.6185839232</c:v>
                </c:pt>
                <c:pt idx="6">
                  <c:v>16942953.044047277</c:v>
                </c:pt>
                <c:pt idx="7">
                  <c:v>16879373.149994794</c:v>
                </c:pt>
                <c:pt idx="8">
                  <c:v>10278741.677680973</c:v>
                </c:pt>
                <c:pt idx="9">
                  <c:v>11390696.385353692</c:v>
                </c:pt>
                <c:pt idx="10">
                  <c:v>27373830.385353688</c:v>
                </c:pt>
                <c:pt idx="11">
                  <c:v>27231241.677680973</c:v>
                </c:pt>
                <c:pt idx="12">
                  <c:v>16780696.385353692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21888173.699557699</c:v>
                </c:pt>
                <c:pt idx="1">
                  <c:v>13995173.699557699</c:v>
                </c:pt>
                <c:pt idx="2">
                  <c:v>12544221.811125843</c:v>
                </c:pt>
                <c:pt idx="3">
                  <c:v>30544221.811125845</c:v>
                </c:pt>
                <c:pt idx="4">
                  <c:v>29061973.699557699</c:v>
                </c:pt>
                <c:pt idx="5">
                  <c:v>39086223.699557699</c:v>
                </c:pt>
                <c:pt idx="6">
                  <c:v>20605973.699557699</c:v>
                </c:pt>
                <c:pt idx="7">
                  <c:v>19510221.811125845</c:v>
                </c:pt>
                <c:pt idx="8">
                  <c:v>22946360.816784542</c:v>
                </c:pt>
                <c:pt idx="9">
                  <c:v>14159149.773276474</c:v>
                </c:pt>
                <c:pt idx="10">
                  <c:v>32014349.773276474</c:v>
                </c:pt>
                <c:pt idx="11">
                  <c:v>38859749.773276478</c:v>
                </c:pt>
                <c:pt idx="12">
                  <c:v>21614349.773276474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34598097.007425137</c:v>
                </c:pt>
                <c:pt idx="1">
                  <c:v>28398257.803101256</c:v>
                </c:pt>
                <c:pt idx="2">
                  <c:v>25928918.969783098</c:v>
                </c:pt>
                <c:pt idx="3">
                  <c:v>31088918.969783094</c:v>
                </c:pt>
                <c:pt idx="4">
                  <c:v>47593137.803101256</c:v>
                </c:pt>
                <c:pt idx="5">
                  <c:v>58091882.007425137</c:v>
                </c:pt>
                <c:pt idx="6">
                  <c:v>39621177.803101249</c:v>
                </c:pt>
                <c:pt idx="7">
                  <c:v>37626918.969783098</c:v>
                </c:pt>
                <c:pt idx="8">
                  <c:v>25070690.48179378</c:v>
                </c:pt>
                <c:pt idx="9">
                  <c:v>27592803.137474932</c:v>
                </c:pt>
                <c:pt idx="10">
                  <c:v>40816278.937474929</c:v>
                </c:pt>
                <c:pt idx="11">
                  <c:v>49906100.481793776</c:v>
                </c:pt>
                <c:pt idx="12">
                  <c:v>40229553.137474932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72320"/>
        <c:axId val="210846272"/>
      </c:barChart>
      <c:catAx>
        <c:axId val="21727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846272"/>
        <c:crosses val="autoZero"/>
        <c:auto val="1"/>
        <c:lblAlgn val="ctr"/>
        <c:lblOffset val="100"/>
        <c:noMultiLvlLbl val="0"/>
      </c:catAx>
      <c:valAx>
        <c:axId val="210846272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272320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Per Subscriber CAPEX of different PON technologies (New York)</a:t>
            </a:r>
          </a:p>
        </c:rich>
      </c:tx>
      <c:layout>
        <c:manualLayout>
          <c:xMode val="edge"/>
          <c:yMode val="edge"/>
          <c:x val="0.24508880020101684"/>
          <c:y val="3.346553514076570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CAPEX_Euros_OASE!$A$21:$A$33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CAPEX_Euros_OASE!$B$21:$B$33</c:f>
              <c:numCache>
                <c:formatCode>General</c:formatCode>
                <c:ptCount val="13"/>
                <c:pt idx="0">
                  <c:v>2.6945508320902967</c:v>
                </c:pt>
                <c:pt idx="1">
                  <c:v>2.6945508320902967</c:v>
                </c:pt>
                <c:pt idx="2">
                  <c:v>1.9627365186544585</c:v>
                </c:pt>
                <c:pt idx="3">
                  <c:v>1.9627365186544585</c:v>
                </c:pt>
                <c:pt idx="4">
                  <c:v>2.6945508320902967</c:v>
                </c:pt>
                <c:pt idx="5">
                  <c:v>2.6945508320902967</c:v>
                </c:pt>
                <c:pt idx="6">
                  <c:v>2.6945508320902967</c:v>
                </c:pt>
                <c:pt idx="7">
                  <c:v>1.9627365186544585</c:v>
                </c:pt>
                <c:pt idx="8">
                  <c:v>2.3527790650920455</c:v>
                </c:pt>
                <c:pt idx="9">
                  <c:v>2.579105116267761</c:v>
                </c:pt>
                <c:pt idx="10">
                  <c:v>2.3527790650920455</c:v>
                </c:pt>
                <c:pt idx="11">
                  <c:v>2.3527790650920455</c:v>
                </c:pt>
                <c:pt idx="12">
                  <c:v>2.579105116267761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CAPEX_Euros_OASE!$A$21:$A$33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CAPEX_Euros_OASE!$C$21:$C$33</c:f>
              <c:numCache>
                <c:formatCode>General</c:formatCode>
                <c:ptCount val="13"/>
                <c:pt idx="0">
                  <c:v>5.6234541244313456E-4</c:v>
                </c:pt>
                <c:pt idx="1">
                  <c:v>5.6234541244313456E-4</c:v>
                </c:pt>
                <c:pt idx="2">
                  <c:v>3.7567468130638164E-4</c:v>
                </c:pt>
                <c:pt idx="3">
                  <c:v>3.7567468130638164E-4</c:v>
                </c:pt>
                <c:pt idx="4">
                  <c:v>5.6234541244313456E-4</c:v>
                </c:pt>
                <c:pt idx="5">
                  <c:v>5.6234541244313456E-4</c:v>
                </c:pt>
                <c:pt idx="6">
                  <c:v>5.6234541244313456E-4</c:v>
                </c:pt>
                <c:pt idx="7">
                  <c:v>3.7567468130638164E-4</c:v>
                </c:pt>
                <c:pt idx="8">
                  <c:v>5.3596455577108431E-4</c:v>
                </c:pt>
                <c:pt idx="9">
                  <c:v>5.3596455577108431E-4</c:v>
                </c:pt>
                <c:pt idx="10">
                  <c:v>5.3596455577108431E-4</c:v>
                </c:pt>
                <c:pt idx="11">
                  <c:v>5.3596455577108431E-4</c:v>
                </c:pt>
                <c:pt idx="12">
                  <c:v>5.3596455577108431E-4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CAPEX_Euros_OASE!$A$21:$A$33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CAPEX_Euros_OASE!$D$21:$D$33</c:f>
              <c:numCache>
                <c:formatCode>General</c:formatCode>
                <c:ptCount val="13"/>
                <c:pt idx="0">
                  <c:v>5.0647385827879809E-2</c:v>
                </c:pt>
                <c:pt idx="1">
                  <c:v>0.11747941735275491</c:v>
                </c:pt>
                <c:pt idx="2">
                  <c:v>0.10224825839138696</c:v>
                </c:pt>
                <c:pt idx="3">
                  <c:v>0.11722609246358455</c:v>
                </c:pt>
                <c:pt idx="4">
                  <c:v>0.45994300189993664</c:v>
                </c:pt>
                <c:pt idx="5">
                  <c:v>0.22428400534796988</c:v>
                </c:pt>
                <c:pt idx="6">
                  <c:v>0.23495883470550982</c:v>
                </c:pt>
                <c:pt idx="7">
                  <c:v>0.22526915769474351</c:v>
                </c:pt>
                <c:pt idx="8">
                  <c:v>7.7897403419886005E-2</c:v>
                </c:pt>
                <c:pt idx="9">
                  <c:v>0.16941101963267891</c:v>
                </c:pt>
                <c:pt idx="10">
                  <c:v>0.33248891703609879</c:v>
                </c:pt>
                <c:pt idx="11">
                  <c:v>0.54591513616212795</c:v>
                </c:pt>
                <c:pt idx="12">
                  <c:v>0.33248891703609879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CAPEX_Euros_OASE!$A$21:$A$33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CAPEX_Euros_OASE!$E$21:$E$33</c:f>
              <c:numCache>
                <c:formatCode>General</c:formatCode>
                <c:ptCount val="13"/>
                <c:pt idx="0">
                  <c:v>1.8740721975934134</c:v>
                </c:pt>
                <c:pt idx="1">
                  <c:v>5.3540215326155799E-2</c:v>
                </c:pt>
                <c:pt idx="2">
                  <c:v>3.0398986700443317E-2</c:v>
                </c:pt>
                <c:pt idx="3">
                  <c:v>3.0398986700443317E-2</c:v>
                </c:pt>
                <c:pt idx="4">
                  <c:v>8.0633312222925899E-2</c:v>
                </c:pt>
                <c:pt idx="5">
                  <c:v>2.1902153261557946</c:v>
                </c:pt>
                <c:pt idx="6">
                  <c:v>7.5668144395186834E-2</c:v>
                </c:pt>
                <c:pt idx="7">
                  <c:v>6.0797973400886635E-2</c:v>
                </c:pt>
                <c:pt idx="8">
                  <c:v>1.2420867637745407</c:v>
                </c:pt>
                <c:pt idx="9">
                  <c:v>1.8818872704243192E-2</c:v>
                </c:pt>
                <c:pt idx="10">
                  <c:v>3.7637745408486384E-2</c:v>
                </c:pt>
                <c:pt idx="11">
                  <c:v>4.1249588347055095</c:v>
                </c:pt>
                <c:pt idx="12">
                  <c:v>3.7637745408486384E-2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CAPEX_Euros_OASE!$A$21:$A$33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CAPEX_Euros_OASE!$F$21:$F$33</c:f>
              <c:numCache>
                <c:formatCode>General</c:formatCode>
                <c:ptCount val="13"/>
                <c:pt idx="0">
                  <c:v>0</c:v>
                </c:pt>
                <c:pt idx="1">
                  <c:v>1.5326155794806839</c:v>
                </c:pt>
                <c:pt idx="2">
                  <c:v>1.5326155794806839</c:v>
                </c:pt>
                <c:pt idx="3">
                  <c:v>5.3704876504116532</c:v>
                </c:pt>
                <c:pt idx="4">
                  <c:v>5.0918302723242554</c:v>
                </c:pt>
                <c:pt idx="5">
                  <c:v>0</c:v>
                </c:pt>
                <c:pt idx="6">
                  <c:v>2.9892336922102598</c:v>
                </c:pt>
                <c:pt idx="7">
                  <c:v>3.1158961367954401</c:v>
                </c:pt>
                <c:pt idx="8">
                  <c:v>0</c:v>
                </c:pt>
                <c:pt idx="9">
                  <c:v>1.4059531348955034</c:v>
                </c:pt>
                <c:pt idx="10">
                  <c:v>3.5718809373020899</c:v>
                </c:pt>
                <c:pt idx="11">
                  <c:v>0</c:v>
                </c:pt>
                <c:pt idx="12">
                  <c:v>3.3692210259658011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79648"/>
        <c:axId val="225126656"/>
      </c:barChart>
      <c:catAx>
        <c:axId val="22837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225126656"/>
        <c:crosses val="autoZero"/>
        <c:auto val="1"/>
        <c:lblAlgn val="ctr"/>
        <c:lblOffset val="100"/>
        <c:noMultiLvlLbl val="0"/>
      </c:catAx>
      <c:valAx>
        <c:axId val="225126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e-DE" sz="2000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3796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134032.15311618152</c:v>
                </c:pt>
                <c:pt idx="1">
                  <c:v>134032.15311618152</c:v>
                </c:pt>
                <c:pt idx="2">
                  <c:v>104446.15236112358</c:v>
                </c:pt>
                <c:pt idx="3">
                  <c:v>104446.15236112358</c:v>
                </c:pt>
                <c:pt idx="4">
                  <c:v>134032.15311618152</c:v>
                </c:pt>
                <c:pt idx="5">
                  <c:v>134032.15311618152</c:v>
                </c:pt>
                <c:pt idx="6">
                  <c:v>134032.15311618152</c:v>
                </c:pt>
                <c:pt idx="7">
                  <c:v>104446.15236112358</c:v>
                </c:pt>
                <c:pt idx="8">
                  <c:v>129857.75993294036</c:v>
                </c:pt>
                <c:pt idx="9">
                  <c:v>120923.53906277897</c:v>
                </c:pt>
                <c:pt idx="10">
                  <c:v>120923.53906277897</c:v>
                </c:pt>
                <c:pt idx="11">
                  <c:v>120923.53906277897</c:v>
                </c:pt>
                <c:pt idx="12">
                  <c:v>120923.53906277897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10655.320874972513</c:v>
                </c:pt>
                <c:pt idx="1">
                  <c:v>10655.320874972513</c:v>
                </c:pt>
                <c:pt idx="2">
                  <c:v>7118.2838613933172</c:v>
                </c:pt>
                <c:pt idx="3">
                  <c:v>7118.2838613933172</c:v>
                </c:pt>
                <c:pt idx="4">
                  <c:v>10655.320874972513</c:v>
                </c:pt>
                <c:pt idx="5">
                  <c:v>10655.320874972513</c:v>
                </c:pt>
                <c:pt idx="6">
                  <c:v>10655.320874972513</c:v>
                </c:pt>
                <c:pt idx="7">
                  <c:v>7118.2838613933172</c:v>
                </c:pt>
                <c:pt idx="8">
                  <c:v>10155.456402750504</c:v>
                </c:pt>
                <c:pt idx="9">
                  <c:v>10155.456402750504</c:v>
                </c:pt>
                <c:pt idx="10">
                  <c:v>10155.456402750504</c:v>
                </c:pt>
                <c:pt idx="11">
                  <c:v>10155.456402750504</c:v>
                </c:pt>
                <c:pt idx="12">
                  <c:v>10155.456402750504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7492</c:v>
                </c:pt>
                <c:pt idx="1">
                  <c:v>12200</c:v>
                </c:pt>
                <c:pt idx="2">
                  <c:v>19000</c:v>
                </c:pt>
                <c:pt idx="3">
                  <c:v>19000</c:v>
                </c:pt>
                <c:pt idx="4">
                  <c:v>39800</c:v>
                </c:pt>
                <c:pt idx="5">
                  <c:v>11984</c:v>
                </c:pt>
                <c:pt idx="6">
                  <c:v>21400</c:v>
                </c:pt>
                <c:pt idx="7">
                  <c:v>38000</c:v>
                </c:pt>
                <c:pt idx="8">
                  <c:v>10040</c:v>
                </c:pt>
                <c:pt idx="9">
                  <c:v>27040</c:v>
                </c:pt>
                <c:pt idx="10">
                  <c:v>51080</c:v>
                </c:pt>
                <c:pt idx="11">
                  <c:v>31160</c:v>
                </c:pt>
                <c:pt idx="12">
                  <c:v>51080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285584</c:v>
                </c:pt>
                <c:pt idx="1">
                  <c:v>11016</c:v>
                </c:pt>
                <c:pt idx="2">
                  <c:v>320</c:v>
                </c:pt>
                <c:pt idx="3">
                  <c:v>320</c:v>
                </c:pt>
                <c:pt idx="4">
                  <c:v>12752</c:v>
                </c:pt>
                <c:pt idx="5">
                  <c:v>625053</c:v>
                </c:pt>
                <c:pt idx="6">
                  <c:v>22032</c:v>
                </c:pt>
                <c:pt idx="7">
                  <c:v>640</c:v>
                </c:pt>
                <c:pt idx="8">
                  <c:v>308874</c:v>
                </c:pt>
                <c:pt idx="9">
                  <c:v>5064</c:v>
                </c:pt>
                <c:pt idx="10">
                  <c:v>10128</c:v>
                </c:pt>
                <c:pt idx="11">
                  <c:v>614956</c:v>
                </c:pt>
                <c:pt idx="12">
                  <c:v>10128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112000</c:v>
                </c:pt>
                <c:pt idx="2">
                  <c:v>120000</c:v>
                </c:pt>
                <c:pt idx="3">
                  <c:v>480000</c:v>
                </c:pt>
                <c:pt idx="4">
                  <c:v>384000</c:v>
                </c:pt>
                <c:pt idx="5">
                  <c:v>0</c:v>
                </c:pt>
                <c:pt idx="6">
                  <c:v>224000</c:v>
                </c:pt>
                <c:pt idx="7">
                  <c:v>240000</c:v>
                </c:pt>
                <c:pt idx="8">
                  <c:v>0</c:v>
                </c:pt>
                <c:pt idx="9">
                  <c:v>120000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0621696"/>
        <c:axId val="225131840"/>
        <c:axId val="0"/>
      </c:bar3DChart>
      <c:catAx>
        <c:axId val="23062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131840"/>
        <c:crosses val="autoZero"/>
        <c:auto val="1"/>
        <c:lblAlgn val="ctr"/>
        <c:lblOffset val="100"/>
        <c:noMultiLvlLbl val="0"/>
      </c:catAx>
      <c:valAx>
        <c:axId val="2251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2169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21888173.699557699</c:v>
                </c:pt>
                <c:pt idx="1">
                  <c:v>13995173.699557699</c:v>
                </c:pt>
                <c:pt idx="2">
                  <c:v>12544221.811125843</c:v>
                </c:pt>
                <c:pt idx="3">
                  <c:v>30544221.811125845</c:v>
                </c:pt>
                <c:pt idx="4">
                  <c:v>29061973.699557699</c:v>
                </c:pt>
                <c:pt idx="5">
                  <c:v>39086223.699557699</c:v>
                </c:pt>
                <c:pt idx="6">
                  <c:v>20605973.699557699</c:v>
                </c:pt>
                <c:pt idx="7">
                  <c:v>19510221.811125845</c:v>
                </c:pt>
                <c:pt idx="8">
                  <c:v>22946360.816784542</c:v>
                </c:pt>
                <c:pt idx="9">
                  <c:v>14159149.773276474</c:v>
                </c:pt>
                <c:pt idx="10">
                  <c:v>32014349.773276474</c:v>
                </c:pt>
                <c:pt idx="11">
                  <c:v>38859749.773276478</c:v>
                </c:pt>
                <c:pt idx="12">
                  <c:v>21614349.773276474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14589431.858998094</c:v>
                </c:pt>
                <c:pt idx="1">
                  <c:v>13891247.414553652</c:v>
                </c:pt>
                <c:pt idx="2">
                  <c:v>11458408.306554345</c:v>
                </c:pt>
                <c:pt idx="3">
                  <c:v>23625708.306554344</c:v>
                </c:pt>
                <c:pt idx="4">
                  <c:v>26298307.414553653</c:v>
                </c:pt>
                <c:pt idx="5">
                  <c:v>16136156.30344254</c:v>
                </c:pt>
                <c:pt idx="6">
                  <c:v>18932127.414553653</c:v>
                </c:pt>
                <c:pt idx="7">
                  <c:v>16942908.306554344</c:v>
                </c:pt>
                <c:pt idx="8">
                  <c:v>11600278.863627804</c:v>
                </c:pt>
                <c:pt idx="9">
                  <c:v>13180936.533240715</c:v>
                </c:pt>
                <c:pt idx="10">
                  <c:v>19880628.863627806</c:v>
                </c:pt>
                <c:pt idx="11">
                  <c:v>22182388.863627806</c:v>
                </c:pt>
                <c:pt idx="12">
                  <c:v>19955366.533240717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22720"/>
        <c:axId val="225167040"/>
      </c:barChart>
      <c:catAx>
        <c:axId val="230622720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225167040"/>
        <c:crosses val="autoZero"/>
        <c:auto val="1"/>
        <c:lblAlgn val="ctr"/>
        <c:lblOffset val="100"/>
        <c:noMultiLvlLbl val="0"/>
      </c:catAx>
      <c:valAx>
        <c:axId val="225167040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230622720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748.00675618746834</c:v>
                </c:pt>
                <c:pt idx="1">
                  <c:v>478.27126305644521</c:v>
                </c:pt>
                <c:pt idx="2">
                  <c:v>428.68641279221663</c:v>
                </c:pt>
                <c:pt idx="3">
                  <c:v>1043.8186662267051</c:v>
                </c:pt>
                <c:pt idx="4">
                  <c:v>993.16429839237571</c:v>
                </c:pt>
                <c:pt idx="5">
                  <c:v>1335.7331590307463</c:v>
                </c:pt>
                <c:pt idx="6">
                  <c:v>704.18883533448502</c:v>
                </c:pt>
                <c:pt idx="7">
                  <c:v>666.74259487136374</c:v>
                </c:pt>
                <c:pt idx="8">
                  <c:v>784.16925763052905</c:v>
                </c:pt>
                <c:pt idx="9">
                  <c:v>483.87498370844349</c:v>
                </c:pt>
                <c:pt idx="10">
                  <c:v>1094.0588399041924</c:v>
                </c:pt>
                <c:pt idx="11">
                  <c:v>1327.9936358853283</c:v>
                </c:pt>
                <c:pt idx="12">
                  <c:v>738.64909347537673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230.99163804620161</c:v>
                </c:pt>
                <c:pt idx="1">
                  <c:v>219.93741948311671</c:v>
                </c:pt>
                <c:pt idx="2">
                  <c:v>181.41875089541395</c:v>
                </c:pt>
                <c:pt idx="3">
                  <c:v>374.06124614557223</c:v>
                </c:pt>
                <c:pt idx="4">
                  <c:v>416.37598819749292</c:v>
                </c:pt>
                <c:pt idx="5">
                  <c:v>255.48062545032519</c:v>
                </c:pt>
                <c:pt idx="6">
                  <c:v>299.74869244068481</c:v>
                </c:pt>
                <c:pt idx="7">
                  <c:v>268.25377306134175</c:v>
                </c:pt>
                <c:pt idx="8">
                  <c:v>183.66495984211215</c:v>
                </c:pt>
                <c:pt idx="9">
                  <c:v>208.69120540279789</c:v>
                </c:pt>
                <c:pt idx="10">
                  <c:v>314.7661314697246</c:v>
                </c:pt>
                <c:pt idx="11">
                  <c:v>351.20945002577275</c:v>
                </c:pt>
                <c:pt idx="12">
                  <c:v>315.94943846169593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30623744"/>
        <c:axId val="225168768"/>
      </c:lineChart>
      <c:catAx>
        <c:axId val="23062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5168768"/>
        <c:crosses val="autoZero"/>
        <c:auto val="1"/>
        <c:lblAlgn val="ctr"/>
        <c:lblOffset val="100"/>
        <c:noMultiLvlLbl val="1"/>
      </c:catAx>
      <c:valAx>
        <c:axId val="225168768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23744"/>
        <c:crosses val="autoZero"/>
        <c:crossBetween val="between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21888173.699557699</c:v>
                </c:pt>
                <c:pt idx="1">
                  <c:v>13995173.699557699</c:v>
                </c:pt>
                <c:pt idx="2">
                  <c:v>12544221.811125843</c:v>
                </c:pt>
                <c:pt idx="3">
                  <c:v>30544221.811125845</c:v>
                </c:pt>
                <c:pt idx="4">
                  <c:v>29061973.699557699</c:v>
                </c:pt>
                <c:pt idx="5">
                  <c:v>39086223.699557699</c:v>
                </c:pt>
                <c:pt idx="6">
                  <c:v>20605973.699557699</c:v>
                </c:pt>
                <c:pt idx="7">
                  <c:v>19510221.811125845</c:v>
                </c:pt>
                <c:pt idx="8">
                  <c:v>22946360.816784542</c:v>
                </c:pt>
                <c:pt idx="9">
                  <c:v>14159149.773276474</c:v>
                </c:pt>
                <c:pt idx="10">
                  <c:v>32014349.773276474</c:v>
                </c:pt>
                <c:pt idx="11">
                  <c:v>38859749.773276478</c:v>
                </c:pt>
                <c:pt idx="12">
                  <c:v>21614349.773276474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14589431.858998094</c:v>
                </c:pt>
                <c:pt idx="1">
                  <c:v>13891247.414553652</c:v>
                </c:pt>
                <c:pt idx="2">
                  <c:v>11458408.306554345</c:v>
                </c:pt>
                <c:pt idx="3">
                  <c:v>23625708.306554344</c:v>
                </c:pt>
                <c:pt idx="4">
                  <c:v>26298307.414553653</c:v>
                </c:pt>
                <c:pt idx="5">
                  <c:v>16136156.30344254</c:v>
                </c:pt>
                <c:pt idx="6">
                  <c:v>18932127.414553653</c:v>
                </c:pt>
                <c:pt idx="7">
                  <c:v>16942908.306554344</c:v>
                </c:pt>
                <c:pt idx="8">
                  <c:v>11600278.863627804</c:v>
                </c:pt>
                <c:pt idx="9">
                  <c:v>13180936.533240715</c:v>
                </c:pt>
                <c:pt idx="10">
                  <c:v>19880628.863627806</c:v>
                </c:pt>
                <c:pt idx="11">
                  <c:v>22182388.863627806</c:v>
                </c:pt>
                <c:pt idx="12">
                  <c:v>19955366.533240717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34598097.007425137</c:v>
                </c:pt>
                <c:pt idx="1">
                  <c:v>28398257.803101256</c:v>
                </c:pt>
                <c:pt idx="2">
                  <c:v>25928918.969783098</c:v>
                </c:pt>
                <c:pt idx="3">
                  <c:v>31088918.969783094</c:v>
                </c:pt>
                <c:pt idx="4">
                  <c:v>47593137.803101256</c:v>
                </c:pt>
                <c:pt idx="5">
                  <c:v>58091882.007425137</c:v>
                </c:pt>
                <c:pt idx="6">
                  <c:v>39621177.803101249</c:v>
                </c:pt>
                <c:pt idx="7">
                  <c:v>37626918.969783098</c:v>
                </c:pt>
                <c:pt idx="8">
                  <c:v>25070690.48179378</c:v>
                </c:pt>
                <c:pt idx="9">
                  <c:v>27592803.137474932</c:v>
                </c:pt>
                <c:pt idx="10">
                  <c:v>40816278.937474929</c:v>
                </c:pt>
                <c:pt idx="11">
                  <c:v>49906100.481793776</c:v>
                </c:pt>
                <c:pt idx="12">
                  <c:v>40229553.137474932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05440"/>
        <c:axId val="225170496"/>
      </c:barChart>
      <c:catAx>
        <c:axId val="23500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170496"/>
        <c:crosses val="autoZero"/>
        <c:auto val="1"/>
        <c:lblAlgn val="ctr"/>
        <c:lblOffset val="100"/>
        <c:noMultiLvlLbl val="0"/>
      </c:catAx>
      <c:valAx>
        <c:axId val="225170496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05440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14500</c:v>
                </c:pt>
                <c:pt idx="1">
                  <c:v>18100</c:v>
                </c:pt>
                <c:pt idx="2">
                  <c:v>28200</c:v>
                </c:pt>
                <c:pt idx="3">
                  <c:v>28200</c:v>
                </c:pt>
                <c:pt idx="4">
                  <c:v>240200</c:v>
                </c:pt>
                <c:pt idx="5">
                  <c:v>28900</c:v>
                </c:pt>
                <c:pt idx="6">
                  <c:v>36100</c:v>
                </c:pt>
                <c:pt idx="7">
                  <c:v>48400</c:v>
                </c:pt>
                <c:pt idx="8">
                  <c:v>14600</c:v>
                </c:pt>
                <c:pt idx="9">
                  <c:v>36000</c:v>
                </c:pt>
                <c:pt idx="10">
                  <c:v>72000</c:v>
                </c:pt>
                <c:pt idx="11">
                  <c:v>57800</c:v>
                </c:pt>
                <c:pt idx="12">
                  <c:v>72000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276148.8</c:v>
                </c:pt>
                <c:pt idx="1">
                  <c:v>1658.4</c:v>
                </c:pt>
                <c:pt idx="2">
                  <c:v>160</c:v>
                </c:pt>
                <c:pt idx="3">
                  <c:v>160</c:v>
                </c:pt>
                <c:pt idx="4">
                  <c:v>51456</c:v>
                </c:pt>
                <c:pt idx="5">
                  <c:v>731624.5</c:v>
                </c:pt>
                <c:pt idx="6">
                  <c:v>3316.8</c:v>
                </c:pt>
                <c:pt idx="7">
                  <c:v>320</c:v>
                </c:pt>
                <c:pt idx="8">
                  <c:v>185293.4</c:v>
                </c:pt>
                <c:pt idx="9">
                  <c:v>734.99999999999989</c:v>
                </c:pt>
                <c:pt idx="10">
                  <c:v>1469.9999999999998</c:v>
                </c:pt>
                <c:pt idx="11">
                  <c:v>638801.6</c:v>
                </c:pt>
                <c:pt idx="12">
                  <c:v>1469.9999999999998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204800</c:v>
                </c:pt>
                <c:pt idx="2">
                  <c:v>213600</c:v>
                </c:pt>
                <c:pt idx="3">
                  <c:v>316800</c:v>
                </c:pt>
                <c:pt idx="4">
                  <c:v>316800</c:v>
                </c:pt>
                <c:pt idx="5">
                  <c:v>0</c:v>
                </c:pt>
                <c:pt idx="6">
                  <c:v>409600</c:v>
                </c:pt>
                <c:pt idx="7">
                  <c:v>427200</c:v>
                </c:pt>
                <c:pt idx="8">
                  <c:v>0</c:v>
                </c:pt>
                <c:pt idx="9">
                  <c:v>216000</c:v>
                </c:pt>
                <c:pt idx="10">
                  <c:v>320000</c:v>
                </c:pt>
                <c:pt idx="11">
                  <c:v>0</c:v>
                </c:pt>
                <c:pt idx="12">
                  <c:v>432000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006464"/>
        <c:axId val="225172800"/>
        <c:axId val="0"/>
      </c:bar3DChart>
      <c:catAx>
        <c:axId val="23500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172800"/>
        <c:crosses val="autoZero"/>
        <c:auto val="1"/>
        <c:lblAlgn val="ctr"/>
        <c:lblOffset val="100"/>
        <c:noMultiLvlLbl val="0"/>
      </c:catAx>
      <c:valAx>
        <c:axId val="2251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0646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748.00675618746834</c:v>
                </c:pt>
                <c:pt idx="1">
                  <c:v>478.27126305644521</c:v>
                </c:pt>
                <c:pt idx="2">
                  <c:v>428.68641279221663</c:v>
                </c:pt>
                <c:pt idx="3">
                  <c:v>1043.8186662267051</c:v>
                </c:pt>
                <c:pt idx="4">
                  <c:v>993.16429839237571</c:v>
                </c:pt>
                <c:pt idx="5">
                  <c:v>1335.7331590307463</c:v>
                </c:pt>
                <c:pt idx="6">
                  <c:v>704.18883533448502</c:v>
                </c:pt>
                <c:pt idx="7">
                  <c:v>666.74259487136374</c:v>
                </c:pt>
                <c:pt idx="8">
                  <c:v>784.16925763052905</c:v>
                </c:pt>
                <c:pt idx="9">
                  <c:v>483.87498370844349</c:v>
                </c:pt>
                <c:pt idx="10">
                  <c:v>1094.0588399041924</c:v>
                </c:pt>
                <c:pt idx="11">
                  <c:v>1327.9936358853283</c:v>
                </c:pt>
                <c:pt idx="12">
                  <c:v>738.64909347537673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230.99163804620161</c:v>
                </c:pt>
                <c:pt idx="1">
                  <c:v>219.93741948311671</c:v>
                </c:pt>
                <c:pt idx="2">
                  <c:v>181.41875089541395</c:v>
                </c:pt>
                <c:pt idx="3">
                  <c:v>374.06124614557223</c:v>
                </c:pt>
                <c:pt idx="4">
                  <c:v>416.37598819749292</c:v>
                </c:pt>
                <c:pt idx="5">
                  <c:v>255.48062545032519</c:v>
                </c:pt>
                <c:pt idx="6">
                  <c:v>299.74869244068481</c:v>
                </c:pt>
                <c:pt idx="7">
                  <c:v>268.25377306134175</c:v>
                </c:pt>
                <c:pt idx="8">
                  <c:v>183.66495984211215</c:v>
                </c:pt>
                <c:pt idx="9">
                  <c:v>208.69120540279789</c:v>
                </c:pt>
                <c:pt idx="10">
                  <c:v>314.7661314697246</c:v>
                </c:pt>
                <c:pt idx="11">
                  <c:v>351.20945002577275</c:v>
                </c:pt>
                <c:pt idx="12">
                  <c:v>315.94943846169593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1182.3558542623587</c:v>
                </c:pt>
                <c:pt idx="1">
                  <c:v>970.48246200195672</c:v>
                </c:pt>
                <c:pt idx="2">
                  <c:v>886.09524194460721</c:v>
                </c:pt>
                <c:pt idx="3">
                  <c:v>1062.4331545958271</c:v>
                </c:pt>
                <c:pt idx="4">
                  <c:v>1626.4485613799895</c:v>
                </c:pt>
                <c:pt idx="5">
                  <c:v>1985.2327936376576</c:v>
                </c:pt>
                <c:pt idx="6">
                  <c:v>1354.0146880972336</c:v>
                </c:pt>
                <c:pt idx="7">
                  <c:v>1285.8628586488653</c:v>
                </c:pt>
                <c:pt idx="8">
                  <c:v>856.76612951246602</c:v>
                </c:pt>
                <c:pt idx="9">
                  <c:v>942.95684291828763</c:v>
                </c:pt>
                <c:pt idx="10">
                  <c:v>1394.8560910899778</c:v>
                </c:pt>
                <c:pt idx="11">
                  <c:v>1705.491780527434</c:v>
                </c:pt>
                <c:pt idx="12">
                  <c:v>1374.8053153398582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33598976"/>
        <c:axId val="233408192"/>
      </c:lineChart>
      <c:catAx>
        <c:axId val="23359897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33408192"/>
        <c:crosses val="autoZero"/>
        <c:auto val="1"/>
        <c:lblAlgn val="ctr"/>
        <c:lblOffset val="100"/>
        <c:noMultiLvlLbl val="0"/>
      </c:catAx>
      <c:valAx>
        <c:axId val="233408192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598976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14589431.858998094</c:v>
                </c:pt>
                <c:pt idx="1">
                  <c:v>13891247.414553652</c:v>
                </c:pt>
                <c:pt idx="2">
                  <c:v>11458408.306554345</c:v>
                </c:pt>
                <c:pt idx="3">
                  <c:v>23625708.306554344</c:v>
                </c:pt>
                <c:pt idx="4">
                  <c:v>26298307.414553653</c:v>
                </c:pt>
                <c:pt idx="5">
                  <c:v>16136156.30344254</c:v>
                </c:pt>
                <c:pt idx="6">
                  <c:v>18932127.414553653</c:v>
                </c:pt>
                <c:pt idx="7">
                  <c:v>16942908.306554344</c:v>
                </c:pt>
                <c:pt idx="8">
                  <c:v>11600278.863627804</c:v>
                </c:pt>
                <c:pt idx="9">
                  <c:v>13180936.533240715</c:v>
                </c:pt>
                <c:pt idx="10">
                  <c:v>19880628.863627806</c:v>
                </c:pt>
                <c:pt idx="11">
                  <c:v>22182388.863627806</c:v>
                </c:pt>
                <c:pt idx="12">
                  <c:v>19955366.533240717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15252337.618583923</c:v>
                </c:pt>
                <c:pt idx="1">
                  <c:v>10529953.044047277</c:v>
                </c:pt>
                <c:pt idx="2">
                  <c:v>9039373.149994798</c:v>
                </c:pt>
                <c:pt idx="3">
                  <c:v>25447373.149994794</c:v>
                </c:pt>
                <c:pt idx="4">
                  <c:v>27474553.044047277</c:v>
                </c:pt>
                <c:pt idx="5">
                  <c:v>9580837.6185839232</c:v>
                </c:pt>
                <c:pt idx="6">
                  <c:v>16942953.044047277</c:v>
                </c:pt>
                <c:pt idx="7">
                  <c:v>16879373.149994794</c:v>
                </c:pt>
                <c:pt idx="8">
                  <c:v>10278741.677680973</c:v>
                </c:pt>
                <c:pt idx="9">
                  <c:v>11390696.385353692</c:v>
                </c:pt>
                <c:pt idx="10">
                  <c:v>27373830.385353688</c:v>
                </c:pt>
                <c:pt idx="11">
                  <c:v>27231241.677680973</c:v>
                </c:pt>
                <c:pt idx="12">
                  <c:v>16780696.385353692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34598097.007425137</c:v>
                </c:pt>
                <c:pt idx="1">
                  <c:v>28398257.803101256</c:v>
                </c:pt>
                <c:pt idx="2">
                  <c:v>25928918.969783098</c:v>
                </c:pt>
                <c:pt idx="3">
                  <c:v>31088918.969783094</c:v>
                </c:pt>
                <c:pt idx="4">
                  <c:v>47593137.803101256</c:v>
                </c:pt>
                <c:pt idx="5">
                  <c:v>58091882.007425137</c:v>
                </c:pt>
                <c:pt idx="6">
                  <c:v>39621177.803101249</c:v>
                </c:pt>
                <c:pt idx="7">
                  <c:v>37626918.969783098</c:v>
                </c:pt>
                <c:pt idx="8">
                  <c:v>25070690.48179378</c:v>
                </c:pt>
                <c:pt idx="9">
                  <c:v>27592803.137474932</c:v>
                </c:pt>
                <c:pt idx="10">
                  <c:v>40816278.937474929</c:v>
                </c:pt>
                <c:pt idx="11">
                  <c:v>49906100.481793776</c:v>
                </c:pt>
                <c:pt idx="12">
                  <c:v>40229553.137474932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21888173.699557699</c:v>
                </c:pt>
                <c:pt idx="1">
                  <c:v>13995173.699557699</c:v>
                </c:pt>
                <c:pt idx="2">
                  <c:v>12544221.811125843</c:v>
                </c:pt>
                <c:pt idx="3">
                  <c:v>30544221.811125845</c:v>
                </c:pt>
                <c:pt idx="4">
                  <c:v>29061973.699557699</c:v>
                </c:pt>
                <c:pt idx="5">
                  <c:v>39086223.699557699</c:v>
                </c:pt>
                <c:pt idx="6">
                  <c:v>20605973.699557699</c:v>
                </c:pt>
                <c:pt idx="7">
                  <c:v>19510221.811125845</c:v>
                </c:pt>
                <c:pt idx="8">
                  <c:v>22946360.816784542</c:v>
                </c:pt>
                <c:pt idx="9">
                  <c:v>14159149.773276474</c:v>
                </c:pt>
                <c:pt idx="10">
                  <c:v>32014349.773276474</c:v>
                </c:pt>
                <c:pt idx="11">
                  <c:v>38859749.773276478</c:v>
                </c:pt>
                <c:pt idx="12">
                  <c:v>21614349.773276474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601536"/>
        <c:axId val="233409920"/>
      </c:barChart>
      <c:catAx>
        <c:axId val="2336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409920"/>
        <c:crosses val="autoZero"/>
        <c:auto val="1"/>
        <c:lblAlgn val="ctr"/>
        <c:lblOffset val="100"/>
        <c:noMultiLvlLbl val="0"/>
      </c:catAx>
      <c:valAx>
        <c:axId val="233409920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601536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2500</c:v>
                </c:pt>
                <c:pt idx="1">
                  <c:v>3300</c:v>
                </c:pt>
                <c:pt idx="2">
                  <c:v>4800</c:v>
                </c:pt>
                <c:pt idx="3">
                  <c:v>4800</c:v>
                </c:pt>
                <c:pt idx="4">
                  <c:v>13200</c:v>
                </c:pt>
                <c:pt idx="5">
                  <c:v>5000</c:v>
                </c:pt>
                <c:pt idx="6">
                  <c:v>6600</c:v>
                </c:pt>
                <c:pt idx="7">
                  <c:v>38400</c:v>
                </c:pt>
                <c:pt idx="8">
                  <c:v>2500</c:v>
                </c:pt>
                <c:pt idx="9">
                  <c:v>6600</c:v>
                </c:pt>
                <c:pt idx="10">
                  <c:v>13200</c:v>
                </c:pt>
                <c:pt idx="11">
                  <c:v>10000</c:v>
                </c:pt>
                <c:pt idx="12">
                  <c:v>13200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213440</c:v>
                </c:pt>
                <c:pt idx="1">
                  <c:v>0</c:v>
                </c:pt>
                <c:pt idx="2">
                  <c:v>0</c:v>
                </c:pt>
                <c:pt idx="3">
                  <c:v>160</c:v>
                </c:pt>
                <c:pt idx="4">
                  <c:v>992</c:v>
                </c:pt>
                <c:pt idx="5">
                  <c:v>97510</c:v>
                </c:pt>
                <c:pt idx="6">
                  <c:v>4960</c:v>
                </c:pt>
                <c:pt idx="7">
                  <c:v>3200</c:v>
                </c:pt>
                <c:pt idx="8">
                  <c:v>130910</c:v>
                </c:pt>
                <c:pt idx="9">
                  <c:v>108680</c:v>
                </c:pt>
                <c:pt idx="10">
                  <c:v>9880</c:v>
                </c:pt>
                <c:pt idx="11">
                  <c:v>462460</c:v>
                </c:pt>
                <c:pt idx="12">
                  <c:v>9880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120000</c:v>
                </c:pt>
                <c:pt idx="2">
                  <c:v>120000</c:v>
                </c:pt>
                <c:pt idx="3">
                  <c:v>448000</c:v>
                </c:pt>
                <c:pt idx="4">
                  <c:v>448000</c:v>
                </c:pt>
                <c:pt idx="5">
                  <c:v>0</c:v>
                </c:pt>
                <c:pt idx="6">
                  <c:v>240000</c:v>
                </c:pt>
                <c:pt idx="7">
                  <c:v>240000</c:v>
                </c:pt>
                <c:pt idx="8">
                  <c:v>0</c:v>
                </c:pt>
                <c:pt idx="9">
                  <c:v>40000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213312"/>
        <c:axId val="233412224"/>
      </c:barChart>
      <c:catAx>
        <c:axId val="22721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412224"/>
        <c:crosses val="autoZero"/>
        <c:auto val="1"/>
        <c:lblAlgn val="ctr"/>
        <c:lblOffset val="100"/>
        <c:noMultiLvlLbl val="0"/>
      </c:catAx>
      <c:valAx>
        <c:axId val="23341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21331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748.00675618746834</c:v>
                </c:pt>
                <c:pt idx="1">
                  <c:v>478.27126305644521</c:v>
                </c:pt>
                <c:pt idx="2">
                  <c:v>428.68641279221663</c:v>
                </c:pt>
                <c:pt idx="3">
                  <c:v>1043.8186662267051</c:v>
                </c:pt>
                <c:pt idx="4">
                  <c:v>993.16429839237571</c:v>
                </c:pt>
                <c:pt idx="5">
                  <c:v>1335.7331590307463</c:v>
                </c:pt>
                <c:pt idx="6">
                  <c:v>704.18883533448502</c:v>
                </c:pt>
                <c:pt idx="7">
                  <c:v>666.74259487136374</c:v>
                </c:pt>
                <c:pt idx="8">
                  <c:v>784.16925763052905</c:v>
                </c:pt>
                <c:pt idx="9">
                  <c:v>483.87498370844349</c:v>
                </c:pt>
                <c:pt idx="10">
                  <c:v>1094.0588399041924</c:v>
                </c:pt>
                <c:pt idx="11">
                  <c:v>1327.9936358853283</c:v>
                </c:pt>
                <c:pt idx="12">
                  <c:v>738.64909347537673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230.99163804620161</c:v>
                </c:pt>
                <c:pt idx="1">
                  <c:v>219.93741948311671</c:v>
                </c:pt>
                <c:pt idx="2">
                  <c:v>181.41875089541395</c:v>
                </c:pt>
                <c:pt idx="3">
                  <c:v>374.06124614557223</c:v>
                </c:pt>
                <c:pt idx="4">
                  <c:v>416.37598819749292</c:v>
                </c:pt>
                <c:pt idx="5">
                  <c:v>255.48062545032519</c:v>
                </c:pt>
                <c:pt idx="6">
                  <c:v>299.74869244068481</c:v>
                </c:pt>
                <c:pt idx="7">
                  <c:v>268.25377306134175</c:v>
                </c:pt>
                <c:pt idx="8">
                  <c:v>183.66495984211215</c:v>
                </c:pt>
                <c:pt idx="9">
                  <c:v>208.69120540279789</c:v>
                </c:pt>
                <c:pt idx="10">
                  <c:v>314.7661314697246</c:v>
                </c:pt>
                <c:pt idx="11">
                  <c:v>351.20945002577275</c:v>
                </c:pt>
                <c:pt idx="12">
                  <c:v>315.94943846169593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1182.3558542623587</c:v>
                </c:pt>
                <c:pt idx="1">
                  <c:v>970.48246200195672</c:v>
                </c:pt>
                <c:pt idx="2">
                  <c:v>886.09524194460721</c:v>
                </c:pt>
                <c:pt idx="3">
                  <c:v>1062.4331545958271</c:v>
                </c:pt>
                <c:pt idx="4">
                  <c:v>1626.4485613799895</c:v>
                </c:pt>
                <c:pt idx="5">
                  <c:v>1985.2327936376576</c:v>
                </c:pt>
                <c:pt idx="6">
                  <c:v>1354.0146880972336</c:v>
                </c:pt>
                <c:pt idx="7">
                  <c:v>1285.8628586488653</c:v>
                </c:pt>
                <c:pt idx="8">
                  <c:v>856.76612951246602</c:v>
                </c:pt>
                <c:pt idx="9">
                  <c:v>942.95684291828763</c:v>
                </c:pt>
                <c:pt idx="10">
                  <c:v>1394.8560910899778</c:v>
                </c:pt>
                <c:pt idx="11">
                  <c:v>1705.491780527434</c:v>
                </c:pt>
                <c:pt idx="12">
                  <c:v>1374.8053153398582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521.23360052573037</c:v>
                </c:pt>
                <c:pt idx="1">
                  <c:v>359.85076358578624</c:v>
                </c:pt>
                <c:pt idx="2">
                  <c:v>308.91166529952835</c:v>
                </c:pt>
                <c:pt idx="3">
                  <c:v>869.63888831914414</c:v>
                </c:pt>
                <c:pt idx="4">
                  <c:v>938.91576256056578</c:v>
                </c:pt>
                <c:pt idx="5">
                  <c:v>327.41567967274699</c:v>
                </c:pt>
                <c:pt idx="6">
                  <c:v>579.00871587886263</c:v>
                </c:pt>
                <c:pt idx="7">
                  <c:v>576.83593568432764</c:v>
                </c:pt>
                <c:pt idx="8">
                  <c:v>351.26586281460504</c:v>
                </c:pt>
                <c:pt idx="9">
                  <c:v>389.26581865059433</c:v>
                </c:pt>
                <c:pt idx="10">
                  <c:v>935.47366500422697</c:v>
                </c:pt>
                <c:pt idx="11">
                  <c:v>930.60083650061426</c:v>
                </c:pt>
                <c:pt idx="12">
                  <c:v>573.4637545401439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70-40DC-A7E6-49F3B48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27214848"/>
        <c:axId val="236184128"/>
      </c:lineChart>
      <c:catAx>
        <c:axId val="22721484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36184128"/>
        <c:crosses val="autoZero"/>
        <c:auto val="1"/>
        <c:lblAlgn val="ctr"/>
        <c:lblOffset val="100"/>
        <c:noMultiLvlLbl val="0"/>
      </c:catAx>
      <c:valAx>
        <c:axId val="236184128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214848"/>
        <c:crosses val="autoZero"/>
        <c:crossBetween val="between"/>
        <c:dispUnits>
          <c:builtInUnit val="hundre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2500</c:v>
                </c:pt>
                <c:pt idx="1">
                  <c:v>3300</c:v>
                </c:pt>
                <c:pt idx="2">
                  <c:v>4800</c:v>
                </c:pt>
                <c:pt idx="3">
                  <c:v>4800</c:v>
                </c:pt>
                <c:pt idx="4">
                  <c:v>13200</c:v>
                </c:pt>
                <c:pt idx="5">
                  <c:v>5000</c:v>
                </c:pt>
                <c:pt idx="6">
                  <c:v>6600</c:v>
                </c:pt>
                <c:pt idx="7">
                  <c:v>38400</c:v>
                </c:pt>
                <c:pt idx="8">
                  <c:v>2500</c:v>
                </c:pt>
                <c:pt idx="9">
                  <c:v>6600</c:v>
                </c:pt>
                <c:pt idx="10">
                  <c:v>13200</c:v>
                </c:pt>
                <c:pt idx="11">
                  <c:v>10000</c:v>
                </c:pt>
                <c:pt idx="12">
                  <c:v>13200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213440</c:v>
                </c:pt>
                <c:pt idx="1">
                  <c:v>0</c:v>
                </c:pt>
                <c:pt idx="2">
                  <c:v>0</c:v>
                </c:pt>
                <c:pt idx="3">
                  <c:v>160</c:v>
                </c:pt>
                <c:pt idx="4">
                  <c:v>992</c:v>
                </c:pt>
                <c:pt idx="5">
                  <c:v>97510</c:v>
                </c:pt>
                <c:pt idx="6">
                  <c:v>4960</c:v>
                </c:pt>
                <c:pt idx="7">
                  <c:v>3200</c:v>
                </c:pt>
                <c:pt idx="8">
                  <c:v>130910</c:v>
                </c:pt>
                <c:pt idx="9">
                  <c:v>108680</c:v>
                </c:pt>
                <c:pt idx="10">
                  <c:v>9880</c:v>
                </c:pt>
                <c:pt idx="11">
                  <c:v>462460</c:v>
                </c:pt>
                <c:pt idx="12">
                  <c:v>9880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120000</c:v>
                </c:pt>
                <c:pt idx="2">
                  <c:v>120000</c:v>
                </c:pt>
                <c:pt idx="3">
                  <c:v>448000</c:v>
                </c:pt>
                <c:pt idx="4">
                  <c:v>448000</c:v>
                </c:pt>
                <c:pt idx="5">
                  <c:v>0</c:v>
                </c:pt>
                <c:pt idx="6">
                  <c:v>240000</c:v>
                </c:pt>
                <c:pt idx="7">
                  <c:v>240000</c:v>
                </c:pt>
                <c:pt idx="8">
                  <c:v>0</c:v>
                </c:pt>
                <c:pt idx="9">
                  <c:v>40000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9392"/>
        <c:axId val="210848576"/>
      </c:barChart>
      <c:catAx>
        <c:axId val="21221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848576"/>
        <c:crosses val="autoZero"/>
        <c:auto val="1"/>
        <c:lblAlgn val="ctr"/>
        <c:lblOffset val="100"/>
        <c:noMultiLvlLbl val="0"/>
      </c:catAx>
      <c:valAx>
        <c:axId val="21084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1939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748.00675618746834</c:v>
                </c:pt>
                <c:pt idx="1">
                  <c:v>478.27126305644521</c:v>
                </c:pt>
                <c:pt idx="2">
                  <c:v>428.68641279221663</c:v>
                </c:pt>
                <c:pt idx="3">
                  <c:v>1043.8186662267051</c:v>
                </c:pt>
                <c:pt idx="4">
                  <c:v>993.16429839237571</c:v>
                </c:pt>
                <c:pt idx="5">
                  <c:v>1335.7331590307463</c:v>
                </c:pt>
                <c:pt idx="6">
                  <c:v>704.18883533448502</c:v>
                </c:pt>
                <c:pt idx="7">
                  <c:v>666.74259487136374</c:v>
                </c:pt>
                <c:pt idx="8">
                  <c:v>784.16925763052905</c:v>
                </c:pt>
                <c:pt idx="9">
                  <c:v>483.87498370844349</c:v>
                </c:pt>
                <c:pt idx="10">
                  <c:v>1094.0588399041924</c:v>
                </c:pt>
                <c:pt idx="11">
                  <c:v>1327.9936358853283</c:v>
                </c:pt>
                <c:pt idx="12">
                  <c:v>738.64909347537673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230.99163804620161</c:v>
                </c:pt>
                <c:pt idx="1">
                  <c:v>219.93741948311671</c:v>
                </c:pt>
                <c:pt idx="2">
                  <c:v>181.41875089541395</c:v>
                </c:pt>
                <c:pt idx="3">
                  <c:v>374.06124614557223</c:v>
                </c:pt>
                <c:pt idx="4">
                  <c:v>416.37598819749292</c:v>
                </c:pt>
                <c:pt idx="5">
                  <c:v>255.48062545032519</c:v>
                </c:pt>
                <c:pt idx="6">
                  <c:v>299.74869244068481</c:v>
                </c:pt>
                <c:pt idx="7">
                  <c:v>268.25377306134175</c:v>
                </c:pt>
                <c:pt idx="8">
                  <c:v>183.66495984211215</c:v>
                </c:pt>
                <c:pt idx="9">
                  <c:v>208.69120540279789</c:v>
                </c:pt>
                <c:pt idx="10">
                  <c:v>314.7661314697246</c:v>
                </c:pt>
                <c:pt idx="11">
                  <c:v>351.20945002577275</c:v>
                </c:pt>
                <c:pt idx="12">
                  <c:v>315.94943846169593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1182.3558542623587</c:v>
                </c:pt>
                <c:pt idx="1">
                  <c:v>970.48246200195672</c:v>
                </c:pt>
                <c:pt idx="2">
                  <c:v>886.09524194460721</c:v>
                </c:pt>
                <c:pt idx="3">
                  <c:v>1062.4331545958271</c:v>
                </c:pt>
                <c:pt idx="4">
                  <c:v>1626.4485613799895</c:v>
                </c:pt>
                <c:pt idx="5">
                  <c:v>1985.2327936376576</c:v>
                </c:pt>
                <c:pt idx="6">
                  <c:v>1354.0146880972336</c:v>
                </c:pt>
                <c:pt idx="7">
                  <c:v>1285.8628586488653</c:v>
                </c:pt>
                <c:pt idx="8">
                  <c:v>856.76612951246602</c:v>
                </c:pt>
                <c:pt idx="9">
                  <c:v>942.95684291828763</c:v>
                </c:pt>
                <c:pt idx="10">
                  <c:v>1394.8560910899778</c:v>
                </c:pt>
                <c:pt idx="11">
                  <c:v>1705.491780527434</c:v>
                </c:pt>
                <c:pt idx="12">
                  <c:v>1374.8053153398582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521.23360052573037</c:v>
                </c:pt>
                <c:pt idx="1">
                  <c:v>359.85076358578624</c:v>
                </c:pt>
                <c:pt idx="2">
                  <c:v>308.91166529952835</c:v>
                </c:pt>
                <c:pt idx="3">
                  <c:v>869.63888831914414</c:v>
                </c:pt>
                <c:pt idx="4">
                  <c:v>938.91576256056578</c:v>
                </c:pt>
                <c:pt idx="5">
                  <c:v>327.41567967274699</c:v>
                </c:pt>
                <c:pt idx="6">
                  <c:v>579.00871587886263</c:v>
                </c:pt>
                <c:pt idx="7">
                  <c:v>576.83593568432764</c:v>
                </c:pt>
                <c:pt idx="8">
                  <c:v>351.26586281460504</c:v>
                </c:pt>
                <c:pt idx="9">
                  <c:v>389.26581865059433</c:v>
                </c:pt>
                <c:pt idx="10">
                  <c:v>935.47366500422697</c:v>
                </c:pt>
                <c:pt idx="11">
                  <c:v>930.60083650061426</c:v>
                </c:pt>
                <c:pt idx="12">
                  <c:v>573.4637545401439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9D-43BE-841C-7F46FEAD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2221440"/>
        <c:axId val="210851456"/>
      </c:lineChart>
      <c:catAx>
        <c:axId val="21222144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0851456"/>
        <c:crosses val="autoZero"/>
        <c:auto val="1"/>
        <c:lblAlgn val="ctr"/>
        <c:lblOffset val="100"/>
        <c:noMultiLvlLbl val="0"/>
      </c:catAx>
      <c:valAx>
        <c:axId val="210851456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148601.5257512136</c:v>
                </c:pt>
                <c:pt idx="9">
                  <c:v>162896.27914347179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162896.27914347179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3198.8888888888887</c:v>
                </c:pt>
                <c:pt idx="1">
                  <c:v>7420</c:v>
                </c:pt>
                <c:pt idx="2">
                  <c:v>6458</c:v>
                </c:pt>
                <c:pt idx="3">
                  <c:v>7404</c:v>
                </c:pt>
                <c:pt idx="4">
                  <c:v>29050</c:v>
                </c:pt>
                <c:pt idx="5">
                  <c:v>14165.777777777777</c:v>
                </c:pt>
                <c:pt idx="6">
                  <c:v>14840</c:v>
                </c:pt>
                <c:pt idx="7">
                  <c:v>14228</c:v>
                </c:pt>
                <c:pt idx="8">
                  <c:v>4920</c:v>
                </c:pt>
                <c:pt idx="9">
                  <c:v>10700</c:v>
                </c:pt>
                <c:pt idx="10">
                  <c:v>21000</c:v>
                </c:pt>
                <c:pt idx="11">
                  <c:v>34480</c:v>
                </c:pt>
                <c:pt idx="12">
                  <c:v>21000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118366.39999999999</c:v>
                </c:pt>
                <c:pt idx="1">
                  <c:v>3381.6000000000004</c:v>
                </c:pt>
                <c:pt idx="2">
                  <c:v>1920</c:v>
                </c:pt>
                <c:pt idx="3">
                  <c:v>1920</c:v>
                </c:pt>
                <c:pt idx="4">
                  <c:v>5092.8</c:v>
                </c:pt>
                <c:pt idx="5">
                  <c:v>138334</c:v>
                </c:pt>
                <c:pt idx="6">
                  <c:v>4779.2000000000007</c:v>
                </c:pt>
                <c:pt idx="7">
                  <c:v>3840</c:v>
                </c:pt>
                <c:pt idx="8">
                  <c:v>78450.2</c:v>
                </c:pt>
                <c:pt idx="9">
                  <c:v>1188.5999999999999</c:v>
                </c:pt>
                <c:pt idx="10">
                  <c:v>2377.1999999999998</c:v>
                </c:pt>
                <c:pt idx="11">
                  <c:v>260532.4</c:v>
                </c:pt>
                <c:pt idx="12">
                  <c:v>2377.1999999999998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96800</c:v>
                </c:pt>
                <c:pt idx="2">
                  <c:v>96800</c:v>
                </c:pt>
                <c:pt idx="3">
                  <c:v>339200</c:v>
                </c:pt>
                <c:pt idx="4">
                  <c:v>321600</c:v>
                </c:pt>
                <c:pt idx="5">
                  <c:v>0</c:v>
                </c:pt>
                <c:pt idx="6">
                  <c:v>188800</c:v>
                </c:pt>
                <c:pt idx="7">
                  <c:v>196800</c:v>
                </c:pt>
                <c:pt idx="8">
                  <c:v>0</c:v>
                </c:pt>
                <c:pt idx="9">
                  <c:v>88800</c:v>
                </c:pt>
                <c:pt idx="10">
                  <c:v>225600</c:v>
                </c:pt>
                <c:pt idx="11">
                  <c:v>0</c:v>
                </c:pt>
                <c:pt idx="12">
                  <c:v>212800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44160"/>
        <c:axId val="210853184"/>
      </c:barChart>
      <c:catAx>
        <c:axId val="21244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853184"/>
        <c:crosses val="autoZero"/>
        <c:auto val="1"/>
        <c:lblAlgn val="ctr"/>
        <c:lblOffset val="100"/>
        <c:noMultiLvlLbl val="0"/>
      </c:catAx>
      <c:valAx>
        <c:axId val="2108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416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134032.15311618152</c:v>
                </c:pt>
                <c:pt idx="1">
                  <c:v>134032.15311618152</c:v>
                </c:pt>
                <c:pt idx="2">
                  <c:v>104446.15236112358</c:v>
                </c:pt>
                <c:pt idx="3">
                  <c:v>104446.15236112358</c:v>
                </c:pt>
                <c:pt idx="4">
                  <c:v>134032.15311618152</c:v>
                </c:pt>
                <c:pt idx="5">
                  <c:v>134032.15311618152</c:v>
                </c:pt>
                <c:pt idx="6">
                  <c:v>134032.15311618152</c:v>
                </c:pt>
                <c:pt idx="7">
                  <c:v>104446.15236112358</c:v>
                </c:pt>
                <c:pt idx="8">
                  <c:v>129857.75993294036</c:v>
                </c:pt>
                <c:pt idx="9">
                  <c:v>120923.53906277897</c:v>
                </c:pt>
                <c:pt idx="10">
                  <c:v>120923.53906277897</c:v>
                </c:pt>
                <c:pt idx="11">
                  <c:v>120923.53906277897</c:v>
                </c:pt>
                <c:pt idx="12">
                  <c:v>120923.53906277897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10655.320874972513</c:v>
                </c:pt>
                <c:pt idx="1">
                  <c:v>10655.320874972513</c:v>
                </c:pt>
                <c:pt idx="2">
                  <c:v>7118.2838613933172</c:v>
                </c:pt>
                <c:pt idx="3">
                  <c:v>7118.2838613933172</c:v>
                </c:pt>
                <c:pt idx="4">
                  <c:v>10655.320874972513</c:v>
                </c:pt>
                <c:pt idx="5">
                  <c:v>10655.320874972513</c:v>
                </c:pt>
                <c:pt idx="6">
                  <c:v>10655.320874972513</c:v>
                </c:pt>
                <c:pt idx="7">
                  <c:v>7118.2838613933172</c:v>
                </c:pt>
                <c:pt idx="8">
                  <c:v>10155.456402750504</c:v>
                </c:pt>
                <c:pt idx="9">
                  <c:v>10155.456402750504</c:v>
                </c:pt>
                <c:pt idx="10">
                  <c:v>10155.456402750504</c:v>
                </c:pt>
                <c:pt idx="11">
                  <c:v>10155.456402750504</c:v>
                </c:pt>
                <c:pt idx="12">
                  <c:v>10155.456402750504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7492</c:v>
                </c:pt>
                <c:pt idx="1">
                  <c:v>12200</c:v>
                </c:pt>
                <c:pt idx="2">
                  <c:v>19000</c:v>
                </c:pt>
                <c:pt idx="3">
                  <c:v>19000</c:v>
                </c:pt>
                <c:pt idx="4">
                  <c:v>39800</c:v>
                </c:pt>
                <c:pt idx="5">
                  <c:v>11984</c:v>
                </c:pt>
                <c:pt idx="6">
                  <c:v>21400</c:v>
                </c:pt>
                <c:pt idx="7">
                  <c:v>38000</c:v>
                </c:pt>
                <c:pt idx="8">
                  <c:v>10040</c:v>
                </c:pt>
                <c:pt idx="9">
                  <c:v>27040</c:v>
                </c:pt>
                <c:pt idx="10">
                  <c:v>51080</c:v>
                </c:pt>
                <c:pt idx="11">
                  <c:v>31160</c:v>
                </c:pt>
                <c:pt idx="12">
                  <c:v>51080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285584</c:v>
                </c:pt>
                <c:pt idx="1">
                  <c:v>11016</c:v>
                </c:pt>
                <c:pt idx="2">
                  <c:v>320</c:v>
                </c:pt>
                <c:pt idx="3">
                  <c:v>320</c:v>
                </c:pt>
                <c:pt idx="4">
                  <c:v>12752</c:v>
                </c:pt>
                <c:pt idx="5">
                  <c:v>625053</c:v>
                </c:pt>
                <c:pt idx="6">
                  <c:v>22032</c:v>
                </c:pt>
                <c:pt idx="7">
                  <c:v>640</c:v>
                </c:pt>
                <c:pt idx="8">
                  <c:v>308874</c:v>
                </c:pt>
                <c:pt idx="9">
                  <c:v>5064</c:v>
                </c:pt>
                <c:pt idx="10">
                  <c:v>10128</c:v>
                </c:pt>
                <c:pt idx="11">
                  <c:v>614956</c:v>
                </c:pt>
                <c:pt idx="12">
                  <c:v>10128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112000</c:v>
                </c:pt>
                <c:pt idx="2">
                  <c:v>120000</c:v>
                </c:pt>
                <c:pt idx="3">
                  <c:v>480000</c:v>
                </c:pt>
                <c:pt idx="4">
                  <c:v>384000</c:v>
                </c:pt>
                <c:pt idx="5">
                  <c:v>0</c:v>
                </c:pt>
                <c:pt idx="6">
                  <c:v>224000</c:v>
                </c:pt>
                <c:pt idx="7">
                  <c:v>240000</c:v>
                </c:pt>
                <c:pt idx="8">
                  <c:v>0</c:v>
                </c:pt>
                <c:pt idx="9">
                  <c:v>120000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45184"/>
        <c:axId val="225248960"/>
      </c:barChart>
      <c:catAx>
        <c:axId val="21244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248960"/>
        <c:crosses val="autoZero"/>
        <c:auto val="1"/>
        <c:lblAlgn val="ctr"/>
        <c:lblOffset val="100"/>
        <c:noMultiLvlLbl val="0"/>
      </c:catAx>
      <c:valAx>
        <c:axId val="2252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518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14500</c:v>
                </c:pt>
                <c:pt idx="1">
                  <c:v>18100</c:v>
                </c:pt>
                <c:pt idx="2">
                  <c:v>28200</c:v>
                </c:pt>
                <c:pt idx="3">
                  <c:v>28200</c:v>
                </c:pt>
                <c:pt idx="4">
                  <c:v>240200</c:v>
                </c:pt>
                <c:pt idx="5">
                  <c:v>28900</c:v>
                </c:pt>
                <c:pt idx="6">
                  <c:v>36100</c:v>
                </c:pt>
                <c:pt idx="7">
                  <c:v>48400</c:v>
                </c:pt>
                <c:pt idx="8">
                  <c:v>14600</c:v>
                </c:pt>
                <c:pt idx="9">
                  <c:v>36000</c:v>
                </c:pt>
                <c:pt idx="10">
                  <c:v>72000</c:v>
                </c:pt>
                <c:pt idx="11">
                  <c:v>57800</c:v>
                </c:pt>
                <c:pt idx="12">
                  <c:v>72000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276148.8</c:v>
                </c:pt>
                <c:pt idx="1">
                  <c:v>1658.4</c:v>
                </c:pt>
                <c:pt idx="2">
                  <c:v>160</c:v>
                </c:pt>
                <c:pt idx="3">
                  <c:v>160</c:v>
                </c:pt>
                <c:pt idx="4">
                  <c:v>51456</c:v>
                </c:pt>
                <c:pt idx="5">
                  <c:v>731624.5</c:v>
                </c:pt>
                <c:pt idx="6">
                  <c:v>3316.8</c:v>
                </c:pt>
                <c:pt idx="7">
                  <c:v>320</c:v>
                </c:pt>
                <c:pt idx="8">
                  <c:v>185293.4</c:v>
                </c:pt>
                <c:pt idx="9">
                  <c:v>734.99999999999989</c:v>
                </c:pt>
                <c:pt idx="10">
                  <c:v>1469.9999999999998</c:v>
                </c:pt>
                <c:pt idx="11">
                  <c:v>638801.6</c:v>
                </c:pt>
                <c:pt idx="12">
                  <c:v>1469.9999999999998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204800</c:v>
                </c:pt>
                <c:pt idx="2">
                  <c:v>213600</c:v>
                </c:pt>
                <c:pt idx="3">
                  <c:v>316800</c:v>
                </c:pt>
                <c:pt idx="4">
                  <c:v>316800</c:v>
                </c:pt>
                <c:pt idx="5">
                  <c:v>0</c:v>
                </c:pt>
                <c:pt idx="6">
                  <c:v>409600</c:v>
                </c:pt>
                <c:pt idx="7">
                  <c:v>427200</c:v>
                </c:pt>
                <c:pt idx="8">
                  <c:v>0</c:v>
                </c:pt>
                <c:pt idx="9">
                  <c:v>216000</c:v>
                </c:pt>
                <c:pt idx="10">
                  <c:v>320000</c:v>
                </c:pt>
                <c:pt idx="11">
                  <c:v>0</c:v>
                </c:pt>
                <c:pt idx="12">
                  <c:v>432000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46720"/>
        <c:axId val="225251264"/>
      </c:barChart>
      <c:catAx>
        <c:axId val="21244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251264"/>
        <c:crosses val="autoZero"/>
        <c:auto val="1"/>
        <c:lblAlgn val="ctr"/>
        <c:lblOffset val="100"/>
        <c:noMultiLvlLbl val="0"/>
      </c:catAx>
      <c:valAx>
        <c:axId val="2252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672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359360"/>
        <c:axId val="225253568"/>
      </c:barChart>
      <c:catAx>
        <c:axId val="22535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253568"/>
        <c:crosses val="autoZero"/>
        <c:auto val="1"/>
        <c:lblAlgn val="ctr"/>
        <c:lblOffset val="100"/>
        <c:noMultiLvlLbl val="0"/>
      </c:catAx>
      <c:valAx>
        <c:axId val="2252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3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[1]OPEX!$E$28:$Q$28</c:f>
              <c:numCache>
                <c:formatCode>General</c:formatCode>
                <c:ptCount val="13"/>
                <c:pt idx="0">
                  <c:v>0.30500991046408316</c:v>
                </c:pt>
                <c:pt idx="1">
                  <c:v>0.12200396418563325</c:v>
                </c:pt>
                <c:pt idx="2">
                  <c:v>0.13939170254938146</c:v>
                </c:pt>
                <c:pt idx="3">
                  <c:v>0.27878340509876293</c:v>
                </c:pt>
                <c:pt idx="4">
                  <c:v>0.28095687239423145</c:v>
                </c:pt>
                <c:pt idx="5">
                  <c:v>0.28887157405508856</c:v>
                </c:pt>
                <c:pt idx="6">
                  <c:v>0.24755792495386508</c:v>
                </c:pt>
                <c:pt idx="7">
                  <c:v>0.37485065955847169</c:v>
                </c:pt>
                <c:pt idx="8">
                  <c:v>0.47351513908823728</c:v>
                </c:pt>
                <c:pt idx="9">
                  <c:v>0.15913403048322056</c:v>
                </c:pt>
                <c:pt idx="10">
                  <c:v>0.32141958854487046</c:v>
                </c:pt>
                <c:pt idx="11">
                  <c:v>0.65775408379468259</c:v>
                </c:pt>
                <c:pt idx="12">
                  <c:v>0.32141958854487046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[1]OPEX!$D$29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[1]OPEX!$E$29:$Q$29</c:f>
              <c:numCache>
                <c:formatCode>General</c:formatCode>
                <c:ptCount val="13"/>
                <c:pt idx="0">
                  <c:v>6.5597437769120359E-2</c:v>
                </c:pt>
                <c:pt idx="1">
                  <c:v>0.26098944433053106</c:v>
                </c:pt>
                <c:pt idx="2">
                  <c:v>0.27317297518966577</c:v>
                </c:pt>
                <c:pt idx="3">
                  <c:v>5.5152974369489439E-2</c:v>
                </c:pt>
                <c:pt idx="4">
                  <c:v>4.1872692228829202E-2</c:v>
                </c:pt>
                <c:pt idx="5">
                  <c:v>0.18693906458888662</c:v>
                </c:pt>
                <c:pt idx="6">
                  <c:v>0.26819394709862621</c:v>
                </c:pt>
                <c:pt idx="7">
                  <c:v>0.25180734057822435</c:v>
                </c:pt>
                <c:pt idx="8">
                  <c:v>0.12022323149477136</c:v>
                </c:pt>
                <c:pt idx="9">
                  <c:v>0.25263358622103754</c:v>
                </c:pt>
                <c:pt idx="10">
                  <c:v>2.8738978880459301E-2</c:v>
                </c:pt>
                <c:pt idx="11">
                  <c:v>0.15386130818125898</c:v>
                </c:pt>
                <c:pt idx="12">
                  <c:v>0.25604633996309206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[1]OPEX!$D$30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[1]OPEX!$E$30:$Q$30</c:f>
              <c:numCache>
                <c:formatCode>General</c:formatCode>
                <c:ptCount val="13"/>
                <c:pt idx="0">
                  <c:v>6.8894089635283484E-2</c:v>
                </c:pt>
                <c:pt idx="1">
                  <c:v>0.13388728775245062</c:v>
                </c:pt>
                <c:pt idx="2">
                  <c:v>0.1072132633996309</c:v>
                </c:pt>
                <c:pt idx="3">
                  <c:v>7.8644922206274337E-2</c:v>
                </c:pt>
                <c:pt idx="4">
                  <c:v>7.9152560344474057E-2</c:v>
                </c:pt>
                <c:pt idx="5">
                  <c:v>0.12679911041534522</c:v>
                </c:pt>
                <c:pt idx="6">
                  <c:v>0.1051911978265327</c:v>
                </c:pt>
                <c:pt idx="7">
                  <c:v>0.10493392409267993</c:v>
                </c:pt>
                <c:pt idx="8">
                  <c:v>0.14860351798236623</c:v>
                </c:pt>
                <c:pt idx="9">
                  <c:v>0.14057891552183716</c:v>
                </c:pt>
                <c:pt idx="10">
                  <c:v>0.28578615378306338</c:v>
                </c:pt>
                <c:pt idx="11">
                  <c:v>6.2678575353701055E-2</c:v>
                </c:pt>
                <c:pt idx="12">
                  <c:v>0.10627966270248103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[1]OPEX!$D$31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[1]OPEX!$E$31:$Q$31</c:f>
              <c:numCache>
                <c:formatCode>General</c:formatCode>
                <c:ptCount val="13"/>
                <c:pt idx="0">
                  <c:v>2.1975071893424351E-2</c:v>
                </c:pt>
                <c:pt idx="1">
                  <c:v>2.5844034813430752E-2</c:v>
                </c:pt>
                <c:pt idx="2">
                  <c:v>2.5988897056933909E-2</c:v>
                </c:pt>
                <c:pt idx="3">
                  <c:v>2.0629065083726337E-2</c:v>
                </c:pt>
                <c:pt idx="4">
                  <c:v>2.0099106248376734E-2</c:v>
                </c:pt>
                <c:pt idx="5">
                  <c:v>3.013048745296602E-2</c:v>
                </c:pt>
                <c:pt idx="6">
                  <c:v>3.1047153493951204E-2</c:v>
                </c:pt>
                <c:pt idx="7">
                  <c:v>3.6579596211468807E-2</c:v>
                </c:pt>
                <c:pt idx="8">
                  <c:v>3.7117094428268743E-2</c:v>
                </c:pt>
                <c:pt idx="9">
                  <c:v>2.7617326611304761E-2</c:v>
                </c:pt>
                <c:pt idx="10">
                  <c:v>3.1797236060419662E-2</c:v>
                </c:pt>
                <c:pt idx="11">
                  <c:v>4.3714698366482133E-2</c:v>
                </c:pt>
                <c:pt idx="12">
                  <c:v>3.4187279560522171E-2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[1]OPEX!$D$32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[1]OPEX!$E$32:$Q$32</c:f>
              <c:numCache>
                <c:formatCode>General</c:formatCode>
                <c:ptCount val="13"/>
                <c:pt idx="0">
                  <c:v>3.0765100650794092E-2</c:v>
                </c:pt>
                <c:pt idx="1">
                  <c:v>3.618164873880305E-2</c:v>
                </c:pt>
                <c:pt idx="2">
                  <c:v>3.638445587970747E-2</c:v>
                </c:pt>
                <c:pt idx="3">
                  <c:v>2.8880691117216868E-2</c:v>
                </c:pt>
                <c:pt idx="4">
                  <c:v>2.813874874772743E-2</c:v>
                </c:pt>
                <c:pt idx="5">
                  <c:v>4.2182682434152435E-2</c:v>
                </c:pt>
                <c:pt idx="6">
                  <c:v>4.3466014891531686E-2</c:v>
                </c:pt>
                <c:pt idx="7">
                  <c:v>5.1211434696056331E-2</c:v>
                </c:pt>
                <c:pt idx="8">
                  <c:v>5.1963932199576256E-2</c:v>
                </c:pt>
                <c:pt idx="9">
                  <c:v>3.8664257255826666E-2</c:v>
                </c:pt>
                <c:pt idx="10">
                  <c:v>4.4516130484587524E-2</c:v>
                </c:pt>
                <c:pt idx="11">
                  <c:v>6.1200577713074987E-2</c:v>
                </c:pt>
                <c:pt idx="12">
                  <c:v>4.7862191384731051E-2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25360384"/>
        <c:axId val="225476608"/>
      </c:barChart>
      <c:catAx>
        <c:axId val="2253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476608"/>
        <c:crosses val="autoZero"/>
        <c:auto val="1"/>
        <c:lblAlgn val="ctr"/>
        <c:lblOffset val="100"/>
        <c:noMultiLvlLbl val="0"/>
      </c:catAx>
      <c:valAx>
        <c:axId val="2254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3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230.99163804620161</c:v>
                </c:pt>
                <c:pt idx="1">
                  <c:v>219.93741948311671</c:v>
                </c:pt>
                <c:pt idx="2">
                  <c:v>181.41875089541395</c:v>
                </c:pt>
                <c:pt idx="3">
                  <c:v>374.06124614557223</c:v>
                </c:pt>
                <c:pt idx="4">
                  <c:v>416.37598819749292</c:v>
                </c:pt>
                <c:pt idx="5">
                  <c:v>255.48062545032519</c:v>
                </c:pt>
                <c:pt idx="6">
                  <c:v>299.74869244068481</c:v>
                </c:pt>
                <c:pt idx="7">
                  <c:v>268.25377306134175</c:v>
                </c:pt>
                <c:pt idx="8">
                  <c:v>183.66495984211215</c:v>
                </c:pt>
                <c:pt idx="9">
                  <c:v>208.69120540279789</c:v>
                </c:pt>
                <c:pt idx="10">
                  <c:v>314.7661314697246</c:v>
                </c:pt>
                <c:pt idx="11">
                  <c:v>351.20945002577275</c:v>
                </c:pt>
                <c:pt idx="12">
                  <c:v>315.94943846169593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28960"/>
        <c:axId val="225129536"/>
      </c:scatterChart>
      <c:valAx>
        <c:axId val="225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129536"/>
        <c:crosses val="autoZero"/>
        <c:crossBetween val="midCat"/>
      </c:valAx>
      <c:valAx>
        <c:axId val="2251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99060</xdr:rowOff>
    </xdr:from>
    <xdr:to>
      <xdr:col>20</xdr:col>
      <xdr:colOff>161924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17</xdr:col>
      <xdr:colOff>313781</xdr:colOff>
      <xdr:row>240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F2AF6944-48DA-45D6-93A4-52064D7B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1047750</xdr:colOff>
      <xdr:row>37</xdr:row>
      <xdr:rowOff>119063</xdr:rowOff>
    </xdr:from>
    <xdr:to>
      <xdr:col>9</xdr:col>
      <xdr:colOff>773906</xdr:colOff>
      <xdr:row>115</xdr:row>
      <xdr:rowOff>83345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TC_GPON_25_PIVOT"/>
      <sheetName val="FTTC_GPON_25"/>
      <sheetName val="FTTB_XGPON_50"/>
      <sheetName val="FTTB_DWDM_50"/>
      <sheetName val="FTTH_DWDM_100"/>
      <sheetName val="FTTH_XGPON_100"/>
      <sheetName val="FTTC_GPON_100"/>
      <sheetName val="FTTB_XGPON_100"/>
      <sheetName val="FTTB_DWDM_100"/>
      <sheetName val="FTTC_Hybridpon_25"/>
      <sheetName val="FTTB_Hybridpon_50"/>
      <sheetName val="FTTH_Hybridpon_100"/>
      <sheetName val="FTTC_Hybridpon_100"/>
      <sheetName val="FTTB_Hybridpon_100"/>
      <sheetName val="OP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7">
          <cell r="E27" t="str">
            <v>FTTC_GPON_25</v>
          </cell>
          <cell r="F27" t="str">
            <v>FTTB_XGPON_50</v>
          </cell>
          <cell r="G27" t="str">
            <v>FTTB_DWDM_50</v>
          </cell>
          <cell r="H27" t="str">
            <v>FTTH_DWDM_100</v>
          </cell>
          <cell r="I27" t="str">
            <v>FTTH_XGPON_100</v>
          </cell>
          <cell r="J27" t="str">
            <v>FTTC_GPON_100</v>
          </cell>
          <cell r="K27" t="str">
            <v>FTTB_XGPON_100</v>
          </cell>
          <cell r="L27" t="str">
            <v>FTTB_DWDM_100</v>
          </cell>
          <cell r="M27" t="str">
            <v>FTTC_Hybridpon_25</v>
          </cell>
          <cell r="N27" t="str">
            <v>FTTB_Hybridpon_50</v>
          </cell>
          <cell r="O27" t="str">
            <v>FTTH_Hybridpon_100</v>
          </cell>
          <cell r="P27" t="str">
            <v>FTTC_Hybridpon_100</v>
          </cell>
          <cell r="Q27" t="str">
            <v>FTTB_Hybridpon_100</v>
          </cell>
        </row>
        <row r="28">
          <cell r="D28" t="str">
            <v>Rent</v>
          </cell>
          <cell r="E28">
            <v>0.30500991046408316</v>
          </cell>
          <cell r="F28">
            <v>0.12200396418563325</v>
          </cell>
          <cell r="G28">
            <v>0.13939170254938146</v>
          </cell>
          <cell r="H28">
            <v>0.27878340509876293</v>
          </cell>
          <cell r="I28">
            <v>0.28095687239423145</v>
          </cell>
          <cell r="J28">
            <v>0.28887157405508856</v>
          </cell>
          <cell r="K28">
            <v>0.24755792495386508</v>
          </cell>
          <cell r="L28">
            <v>0.37485065955847169</v>
          </cell>
          <cell r="M28">
            <v>0.47351513908823728</v>
          </cell>
          <cell r="N28">
            <v>0.15913403048322056</v>
          </cell>
          <cell r="O28">
            <v>0.32141958854487046</v>
          </cell>
          <cell r="P28">
            <v>0.65775408379468259</v>
          </cell>
          <cell r="Q28">
            <v>0.32141958854487046</v>
          </cell>
        </row>
        <row r="29">
          <cell r="D29" t="str">
            <v>Energy</v>
          </cell>
          <cell r="E29">
            <v>6.5597437769120359E-2</v>
          </cell>
          <cell r="F29">
            <v>0.26098944433053106</v>
          </cell>
          <cell r="G29">
            <v>0.27317297518966577</v>
          </cell>
          <cell r="H29">
            <v>5.5152974369489439E-2</v>
          </cell>
          <cell r="I29">
            <v>4.1872692228829202E-2</v>
          </cell>
          <cell r="J29">
            <v>0.18693906458888662</v>
          </cell>
          <cell r="K29">
            <v>0.26819394709862621</v>
          </cell>
          <cell r="L29">
            <v>0.25180734057822435</v>
          </cell>
          <cell r="M29">
            <v>0.12022323149477136</v>
          </cell>
          <cell r="N29">
            <v>0.25263358622103754</v>
          </cell>
          <cell r="O29">
            <v>2.8738978880459301E-2</v>
          </cell>
          <cell r="P29">
            <v>0.15386130818125898</v>
          </cell>
          <cell r="Q29">
            <v>0.25604633996309206</v>
          </cell>
        </row>
        <row r="30">
          <cell r="D30" t="str">
            <v>Fault Maintenance</v>
          </cell>
          <cell r="E30">
            <v>6.8894089635283484E-2</v>
          </cell>
          <cell r="F30">
            <v>0.13388728775245062</v>
          </cell>
          <cell r="G30">
            <v>0.1072132633996309</v>
          </cell>
          <cell r="H30">
            <v>7.8644922206274337E-2</v>
          </cell>
          <cell r="I30">
            <v>7.9152560344474057E-2</v>
          </cell>
          <cell r="J30">
            <v>0.12679911041534522</v>
          </cell>
          <cell r="K30">
            <v>0.1051911978265327</v>
          </cell>
          <cell r="L30">
            <v>0.10493392409267993</v>
          </cell>
          <cell r="M30">
            <v>0.14860351798236623</v>
          </cell>
          <cell r="N30">
            <v>0.14057891552183716</v>
          </cell>
          <cell r="O30">
            <v>0.28578615378306338</v>
          </cell>
          <cell r="P30">
            <v>6.2678575353701055E-2</v>
          </cell>
          <cell r="Q30">
            <v>0.10627966270248103</v>
          </cell>
        </row>
        <row r="31">
          <cell r="D31" t="str">
            <v>Marketing</v>
          </cell>
          <cell r="E31">
            <v>2.1975071893424351E-2</v>
          </cell>
          <cell r="F31">
            <v>2.5844034813430752E-2</v>
          </cell>
          <cell r="G31">
            <v>2.5988897056933909E-2</v>
          </cell>
          <cell r="H31">
            <v>2.0629065083726337E-2</v>
          </cell>
          <cell r="I31">
            <v>2.0099106248376734E-2</v>
          </cell>
          <cell r="J31">
            <v>3.013048745296602E-2</v>
          </cell>
          <cell r="K31">
            <v>3.1047153493951204E-2</v>
          </cell>
          <cell r="L31">
            <v>3.6579596211468807E-2</v>
          </cell>
          <cell r="M31">
            <v>3.7117094428268743E-2</v>
          </cell>
          <cell r="N31">
            <v>2.7617326611304761E-2</v>
          </cell>
          <cell r="O31">
            <v>3.1797236060419662E-2</v>
          </cell>
          <cell r="P31">
            <v>4.3714698366482133E-2</v>
          </cell>
          <cell r="Q31">
            <v>3.4187279560522171E-2</v>
          </cell>
        </row>
        <row r="32">
          <cell r="D32" t="str">
            <v>Operations</v>
          </cell>
          <cell r="E32">
            <v>3.0765100650794092E-2</v>
          </cell>
          <cell r="F32">
            <v>3.618164873880305E-2</v>
          </cell>
          <cell r="G32">
            <v>3.638445587970747E-2</v>
          </cell>
          <cell r="H32">
            <v>2.8880691117216868E-2</v>
          </cell>
          <cell r="I32">
            <v>2.813874874772743E-2</v>
          </cell>
          <cell r="J32">
            <v>4.2182682434152435E-2</v>
          </cell>
          <cell r="K32">
            <v>4.3466014891531686E-2</v>
          </cell>
          <cell r="L32">
            <v>5.1211434696056331E-2</v>
          </cell>
          <cell r="M32">
            <v>5.1963932199576256E-2</v>
          </cell>
          <cell r="N32">
            <v>3.8664257255826666E-2</v>
          </cell>
          <cell r="O32">
            <v>4.4516130484587524E-2</v>
          </cell>
          <cell r="P32">
            <v>6.1200577713074987E-2</v>
          </cell>
          <cell r="Q32">
            <v>4.7862191384731051E-2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 dataCellStyle="Calculation"/>
    <tableColumn id="3" name="Fiber Cost" dataCellStyle="Calculation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>
      <calculatedColumnFormula>29262*1.4</calculatedColumnFormula>
    </tableColumn>
    <tableColumn id="10" name="Cost per Home passed(OASE)">
      <calculatedColumnFormula>H3/I3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35*Table717[[#This Row],[Duct Length]]/50</calculatedColumnFormula>
    </tableColumn>
    <tableColumn id="3" name="Fiber Cost">
      <calculatedColumnFormula>Table717[[#This Row],[Fiber Length]]*0.3/50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xpl/mostRecentIssue.jsp?punumber=734719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B20" sqref="B20"/>
    </sheetView>
  </sheetViews>
  <sheetFormatPr defaultRowHeight="15" x14ac:dyDescent="0.25"/>
  <cols>
    <col min="1" max="1" width="35.7109375" customWidth="1"/>
    <col min="2" max="2" width="79" customWidth="1"/>
    <col min="3" max="3" width="36.85546875" customWidth="1"/>
    <col min="4" max="4" width="36.140625" customWidth="1"/>
    <col min="5" max="5" width="40.85546875" customWidth="1"/>
    <col min="6" max="6" width="18" customWidth="1"/>
    <col min="7" max="7" width="19" customWidth="1"/>
    <col min="8" max="8" width="25.42578125" customWidth="1"/>
  </cols>
  <sheetData>
    <row r="1" spans="1:8" ht="14.45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ht="14.45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ht="14.45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9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ht="14.45" x14ac:dyDescent="0.3">
      <c r="A8" t="s">
        <v>94</v>
      </c>
    </row>
    <row r="10" spans="1:8" ht="14.45" x14ac:dyDescent="0.3">
      <c r="A10" t="s">
        <v>95</v>
      </c>
      <c r="B10" t="s">
        <v>98</v>
      </c>
      <c r="C10" t="s">
        <v>97</v>
      </c>
      <c r="D10" t="s">
        <v>96</v>
      </c>
      <c r="E10" t="s">
        <v>102</v>
      </c>
    </row>
    <row r="11" spans="1:8" ht="195.75" x14ac:dyDescent="0.25">
      <c r="A11" s="25" t="s">
        <v>100</v>
      </c>
      <c r="B11" t="s">
        <v>99</v>
      </c>
      <c r="C11" t="s">
        <v>103</v>
      </c>
      <c r="D11" s="32">
        <v>42348</v>
      </c>
      <c r="E11" s="26" t="s">
        <v>101</v>
      </c>
    </row>
    <row r="12" spans="1:8" ht="88.9" x14ac:dyDescent="0.3">
      <c r="A12" s="25" t="s">
        <v>104</v>
      </c>
      <c r="B12" t="s">
        <v>105</v>
      </c>
      <c r="C12" t="s">
        <v>106</v>
      </c>
      <c r="D12" s="27">
        <v>41161</v>
      </c>
      <c r="E12" t="s">
        <v>107</v>
      </c>
    </row>
    <row r="13" spans="1:8" ht="130.5" x14ac:dyDescent="0.25">
      <c r="A13" s="25" t="s">
        <v>117</v>
      </c>
      <c r="B13" t="s">
        <v>120</v>
      </c>
      <c r="C13" t="s">
        <v>119</v>
      </c>
      <c r="D13" s="27">
        <v>41589</v>
      </c>
      <c r="E13" t="s">
        <v>118</v>
      </c>
    </row>
  </sheetData>
  <hyperlinks>
    <hyperlink ref="E11" r:id="rId1" display="https://ieeexplore.ieee.org/xpl/mostRecentIssue.jsp?punumber=7347193"/>
  </hyperlinks>
  <pageMargins left="0.7" right="0.7" top="0.75" bottom="0.75" header="0.3" footer="0.3"/>
  <pageSetup paperSize="9" orientation="portrait" verticalDpi="0" r:id="rId2"/>
  <headerFooter>
    <oddFooter>&amp;LUnrestricted</oddFooter>
  </headerFooter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11" sqref="G11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23.85546875" style="24" customWidth="1"/>
    <col min="7" max="7" width="16.5703125" style="13" customWidth="1"/>
    <col min="8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10</v>
      </c>
      <c r="H2" s="4">
        <f>Table24511[[#This Row],[Cost per Unit (OASE)]]*Table24511[[#This Row],[Quantity]]</f>
        <v>160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x14ac:dyDescent="0.25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240</v>
      </c>
      <c r="G3" s="4">
        <v>160</v>
      </c>
      <c r="H3" s="4">
        <f>Table24511[[#This Row],[Cost per Unit (OASE)]]*Table24511[[#This Row],[Quantity]]</f>
        <v>2720</v>
      </c>
      <c r="I3" s="12">
        <f>Table24511[[#This Row],[Cost per Unit(Rokkas)]]*Table24511[[#This Row],[Quantity]]</f>
        <v>32000</v>
      </c>
      <c r="J3" s="12">
        <f>Table24511[[#This Row],[Cost per Unit(BSG)]]*Table24511[[#This Row],[Quantity]]</f>
        <v>48000</v>
      </c>
      <c r="K3" s="35">
        <f>Table24511[[#This Row],[Cost per Unit(Phillipson)]]*Table24511[[#This Row],[Quantity]]</f>
        <v>38400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160</v>
      </c>
      <c r="H4" s="4">
        <f>Table24511[[#This Row],[Cost per Unit (OASE)]]*Table24511[[#This Row],[Quantity]]</f>
        <v>10080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160</v>
      </c>
      <c r="H5" s="4">
        <f>Table24511[[#This Row],[Cost per Unit (OASE)]]*Table24511[[#This Row],[Quantity]]</f>
        <v>368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4500</v>
      </c>
      <c r="H6" s="4">
        <f>Table24511[[#This Row],[Cost per Unit (OASE)]]*Table24511[[#This Row],[Quantity]]</f>
        <v>100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x14ac:dyDescent="0.2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2</v>
      </c>
      <c r="H7" s="4">
        <f>Table24511[[#This Row],[Cost per Unit (OASE)]]*Table24511[[#This Row],[Quantity]]</f>
        <v>800</v>
      </c>
      <c r="I7" s="12">
        <f>Table24511[[#This Row],[Cost per Unit(Rokkas)]]*Table24511[[#This Row],[Quantity]]</f>
        <v>6000</v>
      </c>
      <c r="J7" s="12">
        <f>Table24511[[#This Row],[Cost per Unit(BSG)]]*Table24511[[#This Row],[Quantity]]</f>
        <v>400</v>
      </c>
      <c r="K7" s="35">
        <f>Table24511[[#This Row],[Cost per Unit(Phillipson)]]*Table24511[[#This Row],[Quantity]]</f>
        <v>0</v>
      </c>
    </row>
    <row r="8" spans="1:11" x14ac:dyDescent="0.2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160</v>
      </c>
      <c r="H8" s="4">
        <f>Table24511[[#This Row],[Cost per Unit (OASE)]]*Table24511[[#This Row],[Quantity]]</f>
        <v>3840</v>
      </c>
      <c r="I8" s="12">
        <f>Table24511[[#This Row],[Cost per Unit(Rokkas)]]*Table24511[[#This Row],[Quantity]]</f>
        <v>640</v>
      </c>
      <c r="J8" s="12">
        <f>Table24511[[#This Row],[Cost per Unit(BSG)]]*Table24511[[#This Row],[Quantity]]</f>
        <v>320</v>
      </c>
      <c r="K8" s="35">
        <f>Table24511[[#This Row],[Cost per Unit(Phillipson)]]*Table24511[[#This Row],[Quantity]]</f>
        <v>3200</v>
      </c>
    </row>
    <row r="9" spans="1:11" x14ac:dyDescent="0.25">
      <c r="A9" s="6" t="s">
        <v>32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16000</v>
      </c>
      <c r="H9" s="4">
        <f>Table24511[[#This Row],[Cost per Unit (OASE)]]*Table24511[[#This Row],[Quantity]]</f>
        <v>160000</v>
      </c>
      <c r="I9" s="12">
        <f>Table24511[[#This Row],[Cost per Unit(Rokkas)]]*Table24511[[#This Row],[Quantity]]</f>
        <v>160000</v>
      </c>
      <c r="J9" s="12">
        <f>Table24511[[#This Row],[Cost per Unit(BSG)]]*Table24511[[#This Row],[Quantity]]</f>
        <v>384000</v>
      </c>
      <c r="K9" s="35">
        <f>Table24511[[#This Row],[Cost per Unit(Phillipson)]]*Table24511[[#This Row],[Quantity]]</f>
        <v>160000</v>
      </c>
    </row>
    <row r="10" spans="1:11" x14ac:dyDescent="0.25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16000</v>
      </c>
      <c r="H10" s="4">
        <f>Table24511[[#This Row],[Cost per Unit (OASE)]]*Table24511[[#This Row],[Quantity]]</f>
        <v>36800</v>
      </c>
      <c r="I10" s="12">
        <f>Table24511[[#This Row],[Cost per Unit(Rokkas)]]*Table24511[[#This Row],[Quantity]]</f>
        <v>80000</v>
      </c>
      <c r="J10" s="12">
        <f>Table24511[[#This Row],[Cost per Unit(BSG)]]*Table24511[[#This Row],[Quantity]]</f>
        <v>43200</v>
      </c>
      <c r="K10" s="35">
        <f>Table24511[[#This Row],[Cost per Unit(Phillipson)]]*Table24511[[#This Row],[Quantity]]</f>
        <v>80000</v>
      </c>
    </row>
    <row r="13" spans="1:11" ht="14.45" x14ac:dyDescent="0.3">
      <c r="A13" s="13" t="s">
        <v>84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thickBot="1" x14ac:dyDescent="0.35">
      <c r="A14" s="13" t="s">
        <v>85</v>
      </c>
      <c r="B14" s="14">
        <f>SUM(H2:H7)</f>
        <v>14228</v>
      </c>
      <c r="C14" s="14">
        <f>SUM(H8:H8)</f>
        <v>3840</v>
      </c>
      <c r="D14" s="10">
        <f>SUM(H9:H10)</f>
        <v>196800</v>
      </c>
      <c r="E14" s="5">
        <f>SUM(B14:D14)</f>
        <v>214868</v>
      </c>
      <c r="F14" s="5"/>
    </row>
    <row r="15" spans="1:11" ht="15.6" thickTop="1" thickBot="1" x14ac:dyDescent="0.35">
      <c r="A15" s="13" t="s">
        <v>86</v>
      </c>
      <c r="B15" s="13">
        <f>SUM(I2:I7)</f>
        <v>38000</v>
      </c>
      <c r="C15" s="13">
        <f>SUM(I8)</f>
        <v>640</v>
      </c>
      <c r="D15" s="13">
        <f>SUM(I9:I10)</f>
        <v>240000</v>
      </c>
      <c r="E15" s="5">
        <f>SUM(B15:D15)</f>
        <v>278640</v>
      </c>
      <c r="F15" s="5"/>
    </row>
    <row r="16" spans="1:11" ht="15.6" thickTop="1" thickBot="1" x14ac:dyDescent="0.35">
      <c r="A16" s="13" t="s">
        <v>110</v>
      </c>
      <c r="B16" s="13">
        <f>SUM(J2:J7)</f>
        <v>48400</v>
      </c>
      <c r="C16" s="13">
        <f>SUM(J8)</f>
        <v>320</v>
      </c>
      <c r="D16" s="13">
        <f>SUM(J9:J10)</f>
        <v>427200</v>
      </c>
      <c r="E16" s="5">
        <f>SUM(B16:D16)</f>
        <v>475920</v>
      </c>
      <c r="F16" s="5"/>
    </row>
    <row r="17" spans="1:5" ht="15.6" thickTop="1" thickBot="1" x14ac:dyDescent="0.35">
      <c r="A17" s="13" t="s">
        <v>6</v>
      </c>
      <c r="B17" s="24">
        <f>SUM(K2:K7)</f>
        <v>38400</v>
      </c>
      <c r="C17" s="24">
        <f>SUM(K8)</f>
        <v>3200</v>
      </c>
      <c r="D17" s="24">
        <f>SUM(K9:K10)</f>
        <v>240000</v>
      </c>
      <c r="E17" s="5">
        <f>SUM(B17:D17)</f>
        <v>281600</v>
      </c>
    </row>
    <row r="18" spans="1: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50</v>
      </c>
      <c r="H2" s="4">
        <f>Table212[[#This Row],[Cost per Unit (OASE)]]*Table212[[#This Row],[Quantity]]</f>
        <v>4000</v>
      </c>
      <c r="I2" s="12">
        <f>Table212[[#This Row],[Cost per Unit (Rokkas)]]*Table212[[#This Row],[Quantity]]</f>
        <v>7000</v>
      </c>
      <c r="J2" s="12">
        <f>Table212[[#This Row],[Cost per Unit (BSG)]]*Table212[[#This Row],[Quantity]]</f>
        <v>14400</v>
      </c>
      <c r="K2" s="35">
        <f>Table212[[#This Row],[Cost per Unit(Phillipson)]]*Table212[[#This Row],[Quantity]]</f>
        <v>2500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10</v>
      </c>
      <c r="H3" s="4">
        <f>Table212[[#This Row],[Cost per Unit (OASE)]]*Table212[[#This Row],[Quantity]]</f>
        <v>400</v>
      </c>
      <c r="I3" s="12">
        <f>Table212[[#This Row],[Cost per Unit (Rokkas)]]*Table212[[#This Row],[Quantity]]</f>
        <v>40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1200</v>
      </c>
      <c r="H4" s="4">
        <f>Table212[[#This Row],[Cost per Unit (OASE)]]*Table212[[#This Row],[Quantity]]</f>
        <v>120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31</v>
      </c>
      <c r="H6" s="4">
        <f>Table212[[#This Row],[Cost per Unit (OASE)]]*Table212[[#This Row],[Quantity]]</f>
        <v>744</v>
      </c>
      <c r="I6" s="12">
        <f>Table212[[#This Row],[Cost per Unit (Rokkas)]]*Table212[[#This Row],[Quantity]]</f>
        <v>124</v>
      </c>
      <c r="J6" s="12">
        <f>Table212[[#This Row],[Cost per Unit (BSG)]]*Table212[[#This Row],[Quantity]]</f>
        <v>43.4</v>
      </c>
      <c r="K6" s="35">
        <f>Table212[[#This Row],[Cost per Unit(Phillipson)]]*Table212[[#This Row],[Quantity]]</f>
        <v>0</v>
      </c>
    </row>
    <row r="7" spans="1:11" x14ac:dyDescent="0.25">
      <c r="A7" s="6" t="s">
        <v>30</v>
      </c>
      <c r="B7" s="6" t="s">
        <v>115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494</v>
      </c>
      <c r="H7" s="4">
        <f>Table212[[#This Row],[Cost per Unit (OASE)]]*Table212[[#This Row],[Quantity]]</f>
        <v>55328</v>
      </c>
      <c r="I7" s="12">
        <f>Table212[[#This Row],[Cost per Unit (Rokkas)]]*Table212[[#This Row],[Quantity]]</f>
        <v>153140</v>
      </c>
      <c r="J7" s="12">
        <f>Table212[[#This Row],[Cost per Unit (BSG)]]*Table212[[#This Row],[Quantity]]</f>
        <v>145236</v>
      </c>
      <c r="K7" s="35">
        <f>Table212[[#This Row],[Cost per Unit(Phillipson)]]*Table212[[#This Row],[Quantity]]</f>
        <v>108680</v>
      </c>
    </row>
    <row r="8" spans="1:11" x14ac:dyDescent="0.25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494*3</f>
        <v>1482</v>
      </c>
      <c r="H8" s="4">
        <f>Table212[[#This Row],[Cost per Unit (OASE)]]*Table212[[#This Row],[Quantity]]</f>
        <v>4594.2</v>
      </c>
      <c r="I8" s="12">
        <f>Table212[[#This Row],[Cost per Unit (Rokkas)]]*Table212[[#This Row],[Quantity]]</f>
        <v>7410</v>
      </c>
      <c r="J8" s="12">
        <f>Table212[[#This Row],[Cost per Unit (BSG)]]*Table212[[#This Row],[Quantity]]</f>
        <v>4446</v>
      </c>
      <c r="K8" s="35">
        <f>Table212[[#This Row],[Cost per Unit(Phillipson)]]*Table212[[#This Row],[Quantity]]</f>
        <v>7410</v>
      </c>
    </row>
    <row r="9" spans="1:11" x14ac:dyDescent="0.25">
      <c r="A9" s="6" t="s">
        <v>30</v>
      </c>
      <c r="B9" s="6" t="s">
        <v>76</v>
      </c>
      <c r="C9" s="4">
        <v>12</v>
      </c>
      <c r="D9" s="4">
        <v>100</v>
      </c>
      <c r="E9" s="4">
        <v>24</v>
      </c>
      <c r="F9" s="4">
        <v>10</v>
      </c>
      <c r="G9" s="4">
        <f>494*3</f>
        <v>1482</v>
      </c>
      <c r="H9" s="4">
        <f>Table212[[#This Row],[Cost per Unit (OASE)]]*Table212[[#This Row],[Quantity]]</f>
        <v>17784</v>
      </c>
      <c r="I9" s="12">
        <f>Table212[[#This Row],[Cost per Unit (Rokkas)]]*Table212[[#This Row],[Quantity]]</f>
        <v>148200</v>
      </c>
      <c r="J9" s="12">
        <f>Table212[[#This Row],[Cost per Unit (BSG)]]*Table212[[#This Row],[Quantity]]</f>
        <v>35568</v>
      </c>
      <c r="K9" s="35">
        <f>Table212[[#This Row],[Cost per Unit(Phillipson)]]*Table212[[#This Row],[Quantity]]</f>
        <v>14820</v>
      </c>
    </row>
    <row r="10" spans="1:11" x14ac:dyDescent="0.25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ht="14.45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thickBot="1" x14ac:dyDescent="0.35">
      <c r="A16" s="19" t="s">
        <v>85</v>
      </c>
      <c r="B16" s="20">
        <f>SUM(H2:H5)</f>
        <v>4920</v>
      </c>
      <c r="C16" s="20">
        <f>SUM(H6:H9)</f>
        <v>78450.2</v>
      </c>
      <c r="D16" s="10">
        <f>SUM(H10)</f>
        <v>0</v>
      </c>
      <c r="E16" s="5">
        <f>SUM(B16:D16)</f>
        <v>83370.2</v>
      </c>
      <c r="F16" s="5"/>
      <c r="G16" s="10"/>
    </row>
    <row r="17" spans="1:6" ht="15.6" thickTop="1" thickBot="1" x14ac:dyDescent="0.35">
      <c r="A17" s="19" t="s">
        <v>86</v>
      </c>
      <c r="B17" s="19">
        <f>SUM(I2:I5)</f>
        <v>10040</v>
      </c>
      <c r="C17" s="19">
        <f>SUM(I6:I9)</f>
        <v>308874</v>
      </c>
      <c r="D17" s="21">
        <v>0</v>
      </c>
      <c r="E17" s="5">
        <f>SUM(B17:D17)</f>
        <v>318914</v>
      </c>
      <c r="F17" s="5"/>
    </row>
    <row r="18" spans="1:6" ht="15.6" thickTop="1" thickBot="1" x14ac:dyDescent="0.35">
      <c r="A18" s="19" t="s">
        <v>110</v>
      </c>
      <c r="B18" s="19">
        <f>SUM(J2:J5)</f>
        <v>14600</v>
      </c>
      <c r="C18" s="19">
        <f>SUM(J6:J9)</f>
        <v>185293.4</v>
      </c>
      <c r="D18" s="21">
        <v>0</v>
      </c>
      <c r="E18" s="5">
        <f>SUM(B18:D18)</f>
        <v>199893.4</v>
      </c>
      <c r="F18" s="5"/>
    </row>
    <row r="19" spans="1:6" ht="15.6" thickTop="1" thickBot="1" x14ac:dyDescent="0.35">
      <c r="A19" s="19" t="s">
        <v>6</v>
      </c>
      <c r="B19" s="24">
        <f>SUM(K2:K5)</f>
        <v>2500</v>
      </c>
      <c r="C19" s="24">
        <f>SUM(K6:K9)</f>
        <v>130910</v>
      </c>
      <c r="D19" s="24">
        <v>0</v>
      </c>
      <c r="E19" s="5">
        <f>SUM(B19:D19)</f>
        <v>133410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46" sqref="G46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125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120</v>
      </c>
      <c r="H2" s="4">
        <f>Table21213[[#This Row],[Cost per Unit (OASE)]]*Table21213[[#This Row],[Quantity]]</f>
        <v>9600</v>
      </c>
      <c r="I2" s="12">
        <f>Table21213[[#This Row],[Cost per Unit (Rokkas)]]*Table21213[[#This Row],[Quantity]]</f>
        <v>24000</v>
      </c>
      <c r="J2" s="12">
        <f>Table21213[[#This Row],[Cost per Unit(BSG)]]*Table21213[[#This Row],[Quantity]]</f>
        <v>36000</v>
      </c>
      <c r="K2" s="35">
        <f>Table21213[[#This Row],[Cost per uNit(Phillipson)]]*Table21213[[#This Row],[Quantity]]</f>
        <v>6600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10</v>
      </c>
      <c r="H3" s="4">
        <f>Table21213[[#This Row],[Cost per Unit (OASE)]]*Table21213[[#This Row],[Quantity]]</f>
        <v>400</v>
      </c>
      <c r="I3" s="12">
        <f>Table21213[[#This Row],[Cost per Unit (Rokkas)]]*Table21213[[#This Row],[Quantity]]</f>
        <v>40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3000</v>
      </c>
      <c r="H4" s="4">
        <f>Table21213[[#This Row],[Cost per Unit (OASE)]]*Table21213[[#This Row],[Quantity]]</f>
        <v>300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31</v>
      </c>
      <c r="H6" s="4">
        <f>Table21213[[#This Row],[Cost per Unit (OASE)]]*Table21213[[#This Row],[Quantity]]</f>
        <v>744</v>
      </c>
      <c r="I6" s="12">
        <f>Table21213[[#This Row],[Cost per Unit (Rokkas)]]*Table21213[[#This Row],[Quantity]]</f>
        <v>124</v>
      </c>
      <c r="J6" s="12">
        <f>Table21213[[#This Row],[Cost per Unit(BSG)]]*Table21213[[#This Row],[Quantity]]</f>
        <v>43.4</v>
      </c>
      <c r="K6" s="35">
        <f>Table21213[[#This Row],[Cost per uNit(Phillipson)]]*Table21213[[#This Row],[Quantity]]</f>
        <v>0</v>
      </c>
    </row>
    <row r="7" spans="1:11" x14ac:dyDescent="0.25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220</v>
      </c>
      <c r="G7" s="4">
        <v>494</v>
      </c>
      <c r="H7" s="4">
        <f>Table21213[[#This Row],[Cost per Unit (OASE)]]*Table21213[[#This Row],[Quantity]]</f>
        <v>444.6</v>
      </c>
      <c r="I7" s="12">
        <f>Table21213[[#This Row],[Cost per Unit (Rokkas)]]*Table21213[[#This Row],[Quantity]]</f>
        <v>4940</v>
      </c>
      <c r="J7" s="12">
        <f>Table21213[[#This Row],[Cost per Unit(BSG)]]*Table21213[[#This Row],[Quantity]]</f>
        <v>691.59999999999991</v>
      </c>
      <c r="K7" s="35">
        <f>Table21213[[#This Row],[Cost per uNit(Phillipson)]]*Table21213[[#This Row],[Quantity]]</f>
        <v>108680</v>
      </c>
    </row>
    <row r="8" spans="1:11" x14ac:dyDescent="0.25">
      <c r="A8" s="6" t="s">
        <v>77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8000</v>
      </c>
      <c r="H8" s="4">
        <f>Table21213[[#This Row],[Cost per Unit (OASE)]]*Table21213[[#This Row],[Quantity]]</f>
        <v>24800</v>
      </c>
      <c r="I8" s="12">
        <f>Table21213[[#This Row],[Cost per Unit (Rokkas)]]*Table21213[[#This Row],[Quantity]]</f>
        <v>40000</v>
      </c>
      <c r="J8" s="12">
        <f>Table21213[[#This Row],[Cost per Unit(BSG)]]*Table21213[[#This Row],[Quantity]]</f>
        <v>24000</v>
      </c>
      <c r="K8" s="35">
        <f>Table21213[[#This Row],[Cost per uNit(Phillipson)]]*Table21213[[#This Row],[Quantity]]</f>
        <v>40000</v>
      </c>
    </row>
    <row r="9" spans="1:11" x14ac:dyDescent="0.25">
      <c r="A9" s="6" t="s">
        <v>77</v>
      </c>
      <c r="B9" s="6" t="s">
        <v>65</v>
      </c>
      <c r="C9" s="4">
        <v>8</v>
      </c>
      <c r="D9" s="4">
        <v>10</v>
      </c>
      <c r="E9" s="4">
        <v>24</v>
      </c>
      <c r="F9" s="4">
        <v>0</v>
      </c>
      <c r="G9" s="4">
        <v>8000</v>
      </c>
      <c r="H9" s="4">
        <f>Table21213[[#This Row],[Cost per Unit (OASE)]]*Table21213[[#This Row],[Quantity]]</f>
        <v>64000</v>
      </c>
      <c r="I9" s="12">
        <f>Table21213[[#This Row],[Cost per Unit (Rokkas)]]*Table21213[[#This Row],[Quantity]]</f>
        <v>80000</v>
      </c>
      <c r="J9" s="12">
        <f>Table21213[[#This Row],[Cost per Unit(BSG)]]*Table21213[[#This Row],[Quantity]]</f>
        <v>192000</v>
      </c>
      <c r="K9" s="35">
        <f>Table21213[[#This Row],[Cost per uNit(Phillipson)]]*Table21213[[#This Row],[Quantity]]</f>
        <v>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85</v>
      </c>
      <c r="B15" s="20">
        <f>SUM(H2:H5)</f>
        <v>10700</v>
      </c>
      <c r="C15" s="20">
        <f>SUM(H6:H7)</f>
        <v>1188.5999999999999</v>
      </c>
      <c r="D15" s="10">
        <f>SUM(H8:H9)</f>
        <v>88800</v>
      </c>
      <c r="E15" s="5">
        <f>SUM(B15:D15)</f>
        <v>100688.6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27040</v>
      </c>
      <c r="C16" s="19">
        <f>SUM(I6:I7)</f>
        <v>5064</v>
      </c>
      <c r="D16" s="21">
        <f>SUM(I8:I9)</f>
        <v>120000</v>
      </c>
      <c r="E16" s="5">
        <f t="shared" ref="E16:E18" si="0">SUM(B16:D16)</f>
        <v>152104</v>
      </c>
      <c r="F16" s="5"/>
    </row>
    <row r="17" spans="1:6" ht="15.6" thickTop="1" thickBot="1" x14ac:dyDescent="0.35">
      <c r="A17" s="19" t="s">
        <v>110</v>
      </c>
      <c r="B17" s="19">
        <f>SUM(J2:J5)</f>
        <v>36000</v>
      </c>
      <c r="C17" s="19">
        <f>SUM(J6:J7)</f>
        <v>734.99999999999989</v>
      </c>
      <c r="D17" s="21">
        <f>SUM(J8:J9)</f>
        <v>216000</v>
      </c>
      <c r="E17" s="5">
        <f t="shared" si="0"/>
        <v>252735</v>
      </c>
      <c r="F17" s="5"/>
    </row>
    <row r="18" spans="1:6" ht="15.6" thickTop="1" thickBot="1" x14ac:dyDescent="0.35">
      <c r="A18" s="19" t="s">
        <v>6</v>
      </c>
      <c r="B18" s="24">
        <f>SUM(K2:K5)</f>
        <v>6600</v>
      </c>
      <c r="C18" s="24">
        <f>SUM(K6:K7)</f>
        <v>108680</v>
      </c>
      <c r="D18" s="24">
        <f>SUM(K8:K9)</f>
        <v>40000</v>
      </c>
      <c r="E18" s="5">
        <f t="shared" si="0"/>
        <v>155280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9" sqref="C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240</v>
      </c>
      <c r="H2" s="4">
        <f>Table2121314[[#This Row],[Cost per Unit (OASE)]]*Table2121314[[#This Row],[Quantity]]</f>
        <v>19200</v>
      </c>
      <c r="I2" s="12">
        <f>Table2121314[[#This Row],[Cost per Unit (Rokkas)]]*Table2121314[[#This Row],[Quantity]]</f>
        <v>48000</v>
      </c>
      <c r="J2" s="12">
        <f>Table2121314[[#This Row],[Cost per Unit(BSG)]]*Table2121314[[#This Row],[Quantity]]</f>
        <v>72000</v>
      </c>
      <c r="K2" s="35">
        <f>Table2121314[[#This Row],[Cost per Unit(Phillipson)]]*Table2121314[[#This Row],[Quantity]]</f>
        <v>13200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20</v>
      </c>
      <c r="H3" s="4">
        <f>Table2121314[[#This Row],[Cost per Unit (OASE)]]*Table2121314[[#This Row],[Quantity]]</f>
        <v>800</v>
      </c>
      <c r="I3" s="12">
        <f>Table2121314[[#This Row],[Cost per Unit (Rokkas)]]*Table2121314[[#This Row],[Quantity]]</f>
        <v>80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6000</v>
      </c>
      <c r="H4" s="4">
        <f>Table2121314[[#This Row],[Cost per Unit (OASE)]]*Table2121314[[#This Row],[Quantity]]</f>
        <v>600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62</v>
      </c>
      <c r="H6" s="4">
        <f>Table2121314[[#This Row],[Cost per Unit (OASE)]]*Table2121314[[#This Row],[Quantity]]</f>
        <v>1488</v>
      </c>
      <c r="I6" s="12">
        <f>Table2121314[[#This Row],[Cost per Unit (Rokkas)]]*Table2121314[[#This Row],[Quantity]]</f>
        <v>248</v>
      </c>
      <c r="J6" s="12">
        <f>Table2121314[[#This Row],[Cost per Unit(BSG)]]*Table2121314[[#This Row],[Quantity]]</f>
        <v>86.8</v>
      </c>
      <c r="K6" s="35">
        <f>Table2121314[[#This Row],[Cost per Unit(Phillipson)]]*Table2121314[[#This Row],[Quantity]]</f>
        <v>0</v>
      </c>
    </row>
    <row r="7" spans="1:11" x14ac:dyDescent="0.25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988</v>
      </c>
      <c r="H7" s="4">
        <f>Table2121314[[#This Row],[Cost per Unit (OASE)]]*Table2121314[[#This Row],[Quantity]]</f>
        <v>889.2</v>
      </c>
      <c r="I7" s="12">
        <f>Table2121314[[#This Row],[Cost per Unit (Rokkas)]]*Table2121314[[#This Row],[Quantity]]</f>
        <v>9880</v>
      </c>
      <c r="J7" s="12">
        <f>Table2121314[[#This Row],[Cost per Unit(BSG)]]*Table2121314[[#This Row],[Quantity]]</f>
        <v>1383.1999999999998</v>
      </c>
      <c r="K7" s="35">
        <f>Table2121314[[#This Row],[Cost per Unit(Phillipson)]]*Table2121314[[#This Row],[Quantity]]</f>
        <v>9880</v>
      </c>
    </row>
    <row r="8" spans="1:11" x14ac:dyDescent="0.25">
      <c r="A8" s="6" t="s">
        <v>77</v>
      </c>
      <c r="B8" s="6" t="s">
        <v>75</v>
      </c>
      <c r="C8" s="4">
        <v>3.3</v>
      </c>
      <c r="D8" s="4">
        <f>5+2</f>
        <v>7</v>
      </c>
      <c r="E8" s="4">
        <f>3+2</f>
        <v>5</v>
      </c>
      <c r="F8" s="4">
        <f>5+2</f>
        <v>7</v>
      </c>
      <c r="G8" s="4">
        <v>64000</v>
      </c>
      <c r="H8" s="4">
        <f>Table2121314[[#This Row],[Cost per Unit (OASE)]]*Table2121314[[#This Row],[Quantity]]</f>
        <v>211200</v>
      </c>
      <c r="I8" s="12">
        <f>Table2121314[[#This Row],[Cost per Unit (Rokkas)]]*Table2121314[[#This Row],[Quantity]]</f>
        <v>448000</v>
      </c>
      <c r="J8" s="12">
        <f>Table2121314[[#This Row],[Cost per Unit(BSG)]]*Table2121314[[#This Row],[Quantity]]</f>
        <v>320000</v>
      </c>
      <c r="K8" s="35">
        <f>Table2121314[[#This Row],[Cost per Unit(Phillipson)]]*Table2121314[[#This Row],[Quantity]]</f>
        <v>448000</v>
      </c>
    </row>
    <row r="9" spans="1:11" x14ac:dyDescent="0.25">
      <c r="A9" s="6" t="s">
        <v>77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8000</v>
      </c>
      <c r="H9" s="4">
        <f>Table2121314[[#This Row],[Cost per Unit (OASE)]]*Table2121314[[#This Row],[Quantity]]</f>
        <v>14400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85</v>
      </c>
      <c r="B15" s="20">
        <f>SUM(H2:H5)</f>
        <v>21000</v>
      </c>
      <c r="C15" s="20">
        <f>SUM(H6:H7)</f>
        <v>2377.1999999999998</v>
      </c>
      <c r="D15" s="10">
        <f>SUM(H8:H9)</f>
        <v>225600</v>
      </c>
      <c r="E15" s="5">
        <f>SUM(B15:D15)</f>
        <v>248977.2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51080</v>
      </c>
      <c r="C16" s="19">
        <f>SUM(I6:I7)</f>
        <v>10128</v>
      </c>
      <c r="D16" s="21">
        <f>SUM(I8:I9)</f>
        <v>448000</v>
      </c>
      <c r="E16" s="5">
        <f>SUM(B16:D16)</f>
        <v>509208</v>
      </c>
      <c r="F16" s="5"/>
    </row>
    <row r="17" spans="1:6" ht="15.6" thickTop="1" thickBot="1" x14ac:dyDescent="0.35">
      <c r="A17" s="19" t="s">
        <v>110</v>
      </c>
      <c r="B17" s="19">
        <f>SUM(J2:J5)</f>
        <v>72000</v>
      </c>
      <c r="C17" s="19">
        <f>SUM(J6:J7)</f>
        <v>1469.9999999999998</v>
      </c>
      <c r="D17" s="21">
        <f>SUM(J8:J9)</f>
        <v>320000</v>
      </c>
      <c r="E17" s="5">
        <f>SUM(B17:D17)</f>
        <v>393470</v>
      </c>
      <c r="F17" s="5"/>
    </row>
    <row r="18" spans="1:6" ht="15.6" thickTop="1" thickBot="1" x14ac:dyDescent="0.35">
      <c r="A18" s="19" t="s">
        <v>6</v>
      </c>
      <c r="B18" s="24">
        <f>SUM(K2:K5)</f>
        <v>13200</v>
      </c>
      <c r="C18" s="24">
        <f>SUM(K6:K7)</f>
        <v>9880</v>
      </c>
      <c r="D18" s="24">
        <f>SUM(K8:K9)</f>
        <v>448000</v>
      </c>
      <c r="E18" s="5">
        <f>SUM(B18:D18)</f>
        <v>471080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9" sqref="C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9" width="9.140625" style="19"/>
    <col min="10" max="10" width="22.2851562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200</v>
      </c>
      <c r="H2" s="4">
        <f>Table21215[[#This Row],[Cost per Unit (OASE)]]*Table21215[[#This Row],[Quantity]]</f>
        <v>32000</v>
      </c>
      <c r="I2" s="12">
        <f>Table21215[[#This Row],[Cost per Unit (Rokkas)]]*Table21215[[#This Row],[Quantity]]</f>
        <v>28000</v>
      </c>
      <c r="J2" s="12">
        <f>Table21215[[#This Row],[Cost per Unit (BSG)]]*Table21215[[#This Row],[Quantity]]</f>
        <v>57600</v>
      </c>
      <c r="K2" s="35">
        <f>Table21215[[#This Row],[Cost per Unit(Phillipson)]]*Table21215[[#This Row],[Quantity]]</f>
        <v>10000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40</v>
      </c>
      <c r="H3" s="4">
        <f>Table21215[[#This Row],[Cost per Unit (OASE)]]*Table21215[[#This Row],[Quantity]]</f>
        <v>1600</v>
      </c>
      <c r="I3" s="12">
        <f>Table21215[[#This Row],[Cost per Unit (Rokkas)]]*Table21215[[#This Row],[Quantity]]</f>
        <v>160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4800</v>
      </c>
      <c r="H4" s="4">
        <f>Table21215[[#This Row],[Cost per Unit (OASE)]]*Table21215[[#This Row],[Quantity]]</f>
        <v>480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124</v>
      </c>
      <c r="H6" s="4">
        <f>Table21215[[#This Row],[Cost per Unit (OASE)]]*Table21215[[#This Row],[Quantity]]</f>
        <v>2976</v>
      </c>
      <c r="I6" s="12">
        <f>Table21215[[#This Row],[Cost per Unit (Rokkas)]]*Table21215[[#This Row],[Quantity]]</f>
        <v>496</v>
      </c>
      <c r="J6" s="12">
        <f>Table21215[[#This Row],[Cost per Unit (BSG)]]*Table21215[[#This Row],[Quantity]]</f>
        <v>173.6</v>
      </c>
      <c r="K6" s="35">
        <f>Table21215[[#This Row],[Cost per Unit(Phillipson)]]*Table21215[[#This Row],[Quantity]]</f>
        <v>0</v>
      </c>
    </row>
    <row r="7" spans="1:11" x14ac:dyDescent="0.25">
      <c r="A7" s="6" t="s">
        <v>30</v>
      </c>
      <c r="B7" s="6" t="s">
        <v>115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v>1900</v>
      </c>
      <c r="H7" s="4">
        <f>Table21215[[#This Row],[Cost per Unit (OASE)]]*Table21215[[#This Row],[Quantity]]</f>
        <v>212800</v>
      </c>
      <c r="I7" s="12">
        <f>Table21215[[#This Row],[Cost per Unit (Rokkas)]]*Table21215[[#This Row],[Quantity]]</f>
        <v>570000</v>
      </c>
      <c r="J7" s="12">
        <f>Table21215[[#This Row],[Cost per Unit (BSG)]]*Table21215[[#This Row],[Quantity]]</f>
        <v>558600</v>
      </c>
      <c r="K7" s="35">
        <f>Table21215[[#This Row],[Cost per Unit(Phillipson)]]*Table21215[[#This Row],[Quantity]]</f>
        <v>418000</v>
      </c>
    </row>
    <row r="8" spans="1:11" x14ac:dyDescent="0.25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494*3*2</f>
        <v>2964</v>
      </c>
      <c r="H8" s="4">
        <f>Table21215[[#This Row],[Cost per Unit (OASE)]]*Table21215[[#This Row],[Quantity]]</f>
        <v>9188.4</v>
      </c>
      <c r="I8" s="12">
        <f>Table21215[[#This Row],[Cost per Unit (Rokkas)]]*Table21215[[#This Row],[Quantity]]</f>
        <v>14820</v>
      </c>
      <c r="J8" s="12">
        <f>Table21215[[#This Row],[Cost per Unit (BSG)]]*Table21215[[#This Row],[Quantity]]</f>
        <v>8892</v>
      </c>
      <c r="K8" s="35">
        <f>Table21215[[#This Row],[Cost per Unit(Phillipson)]]*Table21215[[#This Row],[Quantity]]</f>
        <v>14820</v>
      </c>
    </row>
    <row r="9" spans="1:11" x14ac:dyDescent="0.25">
      <c r="A9" s="6" t="s">
        <v>30</v>
      </c>
      <c r="B9" s="6" t="s">
        <v>76</v>
      </c>
      <c r="C9" s="4">
        <v>12</v>
      </c>
      <c r="D9" s="4">
        <v>10</v>
      </c>
      <c r="E9" s="4">
        <v>24</v>
      </c>
      <c r="F9" s="4">
        <v>10</v>
      </c>
      <c r="G9" s="4">
        <f>494*2*3</f>
        <v>2964</v>
      </c>
      <c r="H9" s="4">
        <f>Table21215[[#This Row],[Cost per Unit (OASE)]]*Table21215[[#This Row],[Quantity]]</f>
        <v>35568</v>
      </c>
      <c r="I9" s="12">
        <f>Table21215[[#This Row],[Cost per Unit (Rokkas)]]*Table21215[[#This Row],[Quantity]]</f>
        <v>29640</v>
      </c>
      <c r="J9" s="12">
        <f>Table21215[[#This Row],[Cost per Unit (BSG)]]*Table21215[[#This Row],[Quantity]]</f>
        <v>71136</v>
      </c>
      <c r="K9" s="35">
        <f>Table21215[[#This Row],[Cost per Unit(Phillipson)]]*Table21215[[#This Row],[Quantity]]</f>
        <v>29640</v>
      </c>
    </row>
    <row r="10" spans="1:11" x14ac:dyDescent="0.25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ht="14.45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s="19" t="s">
        <v>85</v>
      </c>
      <c r="B16" s="20">
        <f>SUM(H2:H5)</f>
        <v>34480</v>
      </c>
      <c r="C16" s="20">
        <f>SUM(H6:H9)</f>
        <v>260532.4</v>
      </c>
      <c r="D16" s="10">
        <f>SUM(H10)</f>
        <v>0</v>
      </c>
      <c r="E16" s="5">
        <f>SUM(B16:D16)</f>
        <v>295012.40000000002</v>
      </c>
      <c r="F16" s="5"/>
    </row>
    <row r="17" spans="1:6" ht="15.6" thickTop="1" thickBot="1" x14ac:dyDescent="0.35">
      <c r="A17" s="19" t="s">
        <v>86</v>
      </c>
      <c r="B17" s="19">
        <f>SUM(I2:I5)</f>
        <v>31160</v>
      </c>
      <c r="C17" s="19">
        <f>SUM(I6:I9)</f>
        <v>614956</v>
      </c>
      <c r="D17" s="19">
        <v>0</v>
      </c>
      <c r="E17" s="5">
        <f>SUM(B17:D17)</f>
        <v>646116</v>
      </c>
      <c r="F17" s="5"/>
    </row>
    <row r="18" spans="1:6" ht="15.6" thickTop="1" thickBot="1" x14ac:dyDescent="0.35">
      <c r="A18" s="19" t="s">
        <v>110</v>
      </c>
      <c r="B18" s="19">
        <f>SUM(J2:J5)</f>
        <v>57800</v>
      </c>
      <c r="C18" s="19">
        <f>SUM(J6:J9)</f>
        <v>638801.6</v>
      </c>
      <c r="D18" s="19">
        <v>0</v>
      </c>
      <c r="E18" s="5">
        <f>SUM(B18:D18)</f>
        <v>696601.59999999998</v>
      </c>
      <c r="F18" s="5"/>
    </row>
    <row r="19" spans="1:6" ht="15.6" thickTop="1" thickBot="1" x14ac:dyDescent="0.35">
      <c r="A19" s="19" t="s">
        <v>6</v>
      </c>
      <c r="B19" s="24">
        <f>SUM(K2:K5)</f>
        <v>10000</v>
      </c>
      <c r="C19" s="24">
        <f>SUM(K6:K9)</f>
        <v>462460</v>
      </c>
      <c r="D19" s="24">
        <v>0</v>
      </c>
      <c r="E19" s="5">
        <f>SUM(B19:D19)</f>
        <v>472460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" sqref="G2:G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8" width="9.140625" style="19"/>
    <col min="9" max="9" width="20.140625" style="19" customWidth="1"/>
    <col min="10" max="10" width="29.710937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240</v>
      </c>
      <c r="H2" s="4">
        <f>Table2121316[[#This Row],[Cost per Unit (OASE)]]*Table2121316[[#This Row],[Quantity]]</f>
        <v>19200</v>
      </c>
      <c r="I2" s="12">
        <f t="shared" ref="I2:I9" si="0">D2*G2</f>
        <v>48000</v>
      </c>
      <c r="J2" s="12">
        <f>Table2121316[[#This Row],[Cost per Unit(BSG)]]*Table2121316[[#This Row],[Quantity]]</f>
        <v>72000</v>
      </c>
      <c r="K2" s="35">
        <f>Table2121316[[#This Row],[Cost per Unit(Phillipson)]]*Table2121316[[#This Row],[Quantity]]</f>
        <v>13200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20</v>
      </c>
      <c r="H3" s="4">
        <f>Table2121316[[#This Row],[Cost per Unit (OASE)]]*Table2121316[[#This Row],[Quantity]]</f>
        <v>800</v>
      </c>
      <c r="I3" s="12">
        <f t="shared" si="0"/>
        <v>80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6000</v>
      </c>
      <c r="H4" s="4">
        <f>Table2121316[[#This Row],[Cost per Unit (OASE)]]*Table2121316[[#This Row],[Quantity]]</f>
        <v>600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62</v>
      </c>
      <c r="H6" s="4">
        <f>Table2121316[[#This Row],[Cost per Unit (OASE)]]*Table2121316[[#This Row],[Quantity]]</f>
        <v>1488</v>
      </c>
      <c r="I6" s="12">
        <f t="shared" si="0"/>
        <v>248</v>
      </c>
      <c r="J6" s="12">
        <f>Table2121316[[#This Row],[Cost per Unit(BSG)]]*Table2121316[[#This Row],[Quantity]]</f>
        <v>86.8</v>
      </c>
      <c r="K6" s="35">
        <f>Table2121316[[#This Row],[Cost per Unit(Phillipson)]]*Table2121316[[#This Row],[Quantity]]</f>
        <v>0</v>
      </c>
    </row>
    <row r="7" spans="1:11" x14ac:dyDescent="0.25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988</v>
      </c>
      <c r="H7" s="4">
        <f>Table2121316[[#This Row],[Cost per Unit (OASE)]]*Table2121316[[#This Row],[Quantity]]</f>
        <v>889.2</v>
      </c>
      <c r="I7" s="12">
        <f t="shared" si="0"/>
        <v>9880</v>
      </c>
      <c r="J7" s="12">
        <f>Table2121316[[#This Row],[Cost per Unit(BSG)]]*Table2121316[[#This Row],[Quantity]]</f>
        <v>1383.1999999999998</v>
      </c>
      <c r="K7" s="35">
        <f>Table2121316[[#This Row],[Cost per Unit(Phillipson)]]*Table2121316[[#This Row],[Quantity]]</f>
        <v>9880</v>
      </c>
    </row>
    <row r="8" spans="1:11" x14ac:dyDescent="0.25">
      <c r="A8" s="6" t="s">
        <v>77</v>
      </c>
      <c r="B8" s="6" t="s">
        <v>75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16000</v>
      </c>
      <c r="H8" s="4">
        <f>Table2121316[[#This Row],[Cost per Unit (OASE)]]*Table2121316[[#This Row],[Quantity]]</f>
        <v>52800</v>
      </c>
      <c r="I8" s="12">
        <f t="shared" si="0"/>
        <v>80000</v>
      </c>
      <c r="J8" s="12">
        <f>Table2121316[[#This Row],[Cost per Unit(BSG)]]*Table2121316[[#This Row],[Quantity]]</f>
        <v>48000</v>
      </c>
      <c r="K8" s="35">
        <f>Table2121316[[#This Row],[Cost per Unit(Phillipson)]]*Table2121316[[#This Row],[Quantity]]</f>
        <v>80000</v>
      </c>
    </row>
    <row r="9" spans="1:11" x14ac:dyDescent="0.25">
      <c r="A9" s="6" t="s">
        <v>77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16000</v>
      </c>
      <c r="H9" s="4">
        <f>Table2121316[[#This Row],[Cost per Unit (OASE)]]*Table2121316[[#This Row],[Quantity]]</f>
        <v>160000</v>
      </c>
      <c r="I9" s="12">
        <f t="shared" si="0"/>
        <v>160000</v>
      </c>
      <c r="J9" s="12">
        <f>Table2121316[[#This Row],[Cost per Unit(BSG)]]*Table2121316[[#This Row],[Quantity]]</f>
        <v>384000</v>
      </c>
      <c r="K9" s="35">
        <f>Table2121316[[#This Row],[Cost per Unit(Phillipson)]]*Table2121316[[#This Row],[Quantity]]</f>
        <v>160000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thickBot="1" x14ac:dyDescent="0.35">
      <c r="A15" s="19" t="s">
        <v>85</v>
      </c>
      <c r="B15" s="20">
        <f>SUM(H2:H5)</f>
        <v>21000</v>
      </c>
      <c r="C15" s="20">
        <f>SUM(H6:H7)</f>
        <v>2377.1999999999998</v>
      </c>
      <c r="D15" s="10">
        <f>SUM(H8:H9)</f>
        <v>212800</v>
      </c>
      <c r="E15" s="5">
        <f>SUM(B15:D15)</f>
        <v>236177.2</v>
      </c>
      <c r="F15" s="5"/>
    </row>
    <row r="16" spans="1:11" ht="15.6" thickTop="1" thickBot="1" x14ac:dyDescent="0.35">
      <c r="A16" s="19" t="s">
        <v>86</v>
      </c>
      <c r="B16" s="19">
        <f>SUM(I2:I5)</f>
        <v>51080</v>
      </c>
      <c r="C16" s="19">
        <f>SUM(I6:I7)</f>
        <v>10128</v>
      </c>
      <c r="D16" s="19">
        <f>SUM(I8:I9)</f>
        <v>240000</v>
      </c>
      <c r="E16" s="5">
        <f>SUM(B16:D16)</f>
        <v>301208</v>
      </c>
      <c r="F16" s="5"/>
    </row>
    <row r="17" spans="1:6" ht="15.6" thickTop="1" thickBot="1" x14ac:dyDescent="0.35">
      <c r="A17" s="19" t="s">
        <v>110</v>
      </c>
      <c r="B17" s="19">
        <f>SUM(J2:J5)</f>
        <v>72000</v>
      </c>
      <c r="C17" s="19">
        <f>SUM(J6:J7)</f>
        <v>1469.9999999999998</v>
      </c>
      <c r="D17" s="19">
        <f>SUM(J8:J9)</f>
        <v>432000</v>
      </c>
      <c r="E17" s="5">
        <f>SUM(B17:D17)</f>
        <v>505470</v>
      </c>
      <c r="F17" s="5"/>
    </row>
    <row r="18" spans="1:6" ht="15.6" thickTop="1" thickBot="1" x14ac:dyDescent="0.35">
      <c r="A18" s="19" t="s">
        <v>6</v>
      </c>
      <c r="B18" s="24">
        <f>SUM(K2:K5)</f>
        <v>13200</v>
      </c>
      <c r="C18" s="24">
        <f>SUM(K6:K7)</f>
        <v>9880</v>
      </c>
      <c r="D18" s="24">
        <f>SUM(K8:K9)</f>
        <v>240000</v>
      </c>
      <c r="E18" s="5">
        <f>SUM(B18:D18)</f>
        <v>263080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25" zoomScale="80" zoomScaleNormal="80" workbookViewId="0">
      <selection activeCell="E37" sqref="E37"/>
    </sheetView>
  </sheetViews>
  <sheetFormatPr defaultRowHeight="15" x14ac:dyDescent="0.25"/>
  <cols>
    <col min="1" max="4" width="36.28515625" customWidth="1"/>
    <col min="5" max="5" width="32.85546875" customWidth="1"/>
    <col min="6" max="6" width="36.7109375" customWidth="1"/>
    <col min="7" max="8" width="29.5703125" customWidth="1"/>
    <col min="9" max="9" width="32.7109375" customWidth="1"/>
    <col min="10" max="10" width="30.140625" customWidth="1"/>
    <col min="11" max="11" width="18.85546875" customWidth="1"/>
  </cols>
  <sheetData>
    <row r="1" spans="1:11" ht="14.45" x14ac:dyDescent="0.3">
      <c r="A1" t="s">
        <v>58</v>
      </c>
    </row>
    <row r="2" spans="1:11" ht="14.45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116</v>
      </c>
      <c r="K2" t="s">
        <v>59</v>
      </c>
    </row>
    <row r="3" spans="1:11" ht="14.45" x14ac:dyDescent="0.3">
      <c r="A3" t="s">
        <v>133</v>
      </c>
      <c r="B3" s="38">
        <v>170187.83055482313</v>
      </c>
      <c r="C3" s="38">
        <v>35.517736249908381</v>
      </c>
      <c r="D3">
        <f>'FTTCab GPON 26 Mbps'!B$18</f>
        <v>3198.8888888888887</v>
      </c>
      <c r="E3" s="24">
        <f>'FTTCab GPON 26 Mbps'!C$18</f>
        <v>118366.39999999999</v>
      </c>
      <c r="F3" s="24">
        <f>'FTTCab GPON 26 Mbps'!D$18</f>
        <v>0</v>
      </c>
      <c r="G3">
        <f>SUM(B3:F3)</f>
        <v>291788.63717996189</v>
      </c>
      <c r="H3">
        <f t="shared" ref="H3:H15" si="0">G3*50</f>
        <v>14589431.858998094</v>
      </c>
      <c r="I3">
        <v>63160</v>
      </c>
      <c r="J3">
        <f>H3/I3</f>
        <v>230.99163804620161</v>
      </c>
      <c r="K3">
        <v>25</v>
      </c>
    </row>
    <row r="4" spans="1:11" ht="14.45" x14ac:dyDescent="0.3">
      <c r="A4" t="s">
        <v>51</v>
      </c>
      <c r="B4" s="38">
        <v>170187.83055482313</v>
      </c>
      <c r="C4" s="38">
        <v>35.517736249908381</v>
      </c>
      <c r="D4">
        <f>'FTTB XGPON 50 Mbps'!B$17</f>
        <v>7420</v>
      </c>
      <c r="E4" s="24">
        <f>'FTTB XGPON 50 Mbps'!C$17</f>
        <v>3381.6000000000004</v>
      </c>
      <c r="F4" s="24">
        <f>'FTTB XGPON 50 Mbps'!D$17</f>
        <v>96800</v>
      </c>
      <c r="G4" s="13">
        <f>SUM(B4:F4)</f>
        <v>277824.94829107303</v>
      </c>
      <c r="H4" s="19">
        <f t="shared" si="0"/>
        <v>13891247.414553652</v>
      </c>
      <c r="I4" s="24">
        <v>63160</v>
      </c>
      <c r="J4" s="13">
        <f t="shared" ref="J4:J7" si="1">H4/I4</f>
        <v>219.93741948311671</v>
      </c>
      <c r="K4">
        <v>50</v>
      </c>
    </row>
    <row r="5" spans="1:11" ht="14.45" x14ac:dyDescent="0.3">
      <c r="A5" t="s">
        <v>131</v>
      </c>
      <c r="B5" s="38">
        <v>123966.4385182156</v>
      </c>
      <c r="C5" s="38">
        <v>23.727612871311063</v>
      </c>
      <c r="D5">
        <f>'FTTB WR-WDMPON 50 Mbps'!B15</f>
        <v>6458</v>
      </c>
      <c r="E5" s="24">
        <f>'FTTB WR-WDMPON 50 Mbps'!C15</f>
        <v>1920</v>
      </c>
      <c r="F5" s="24">
        <f>'FTTB WR-WDMPON 50 Mbps'!D15</f>
        <v>96800</v>
      </c>
      <c r="G5" s="13">
        <f t="shared" ref="G5:G6" si="2">SUM(B5:F5)</f>
        <v>229168.16613108691</v>
      </c>
      <c r="H5" s="19">
        <f t="shared" si="0"/>
        <v>11458408.306554345</v>
      </c>
      <c r="I5" s="24">
        <v>63160</v>
      </c>
      <c r="J5" s="13">
        <f t="shared" si="1"/>
        <v>181.41875089541395</v>
      </c>
      <c r="K5">
        <v>50</v>
      </c>
    </row>
    <row r="6" spans="1:11" ht="14.45" x14ac:dyDescent="0.3">
      <c r="A6" t="s">
        <v>132</v>
      </c>
      <c r="B6" s="38">
        <v>123966.4385182156</v>
      </c>
      <c r="C6" s="38">
        <v>23.727612871311063</v>
      </c>
      <c r="D6">
        <f>'FTTH WR-WDMPON 100 Mbps'!B15</f>
        <v>7404</v>
      </c>
      <c r="E6" s="24">
        <f>'FTTH WR-WDMPON 100 Mbps'!C15</f>
        <v>1920</v>
      </c>
      <c r="F6" s="24">
        <f>'FTTH WR-WDMPON 100 Mbps'!D15</f>
        <v>339200</v>
      </c>
      <c r="G6" s="13">
        <f t="shared" si="2"/>
        <v>472514.16613108688</v>
      </c>
      <c r="H6" s="19">
        <f t="shared" si="0"/>
        <v>23625708.306554344</v>
      </c>
      <c r="I6" s="24">
        <v>63160</v>
      </c>
      <c r="J6" s="13">
        <f t="shared" si="1"/>
        <v>374.06124614557223</v>
      </c>
      <c r="K6">
        <v>100</v>
      </c>
    </row>
    <row r="7" spans="1:11" ht="14.45" x14ac:dyDescent="0.3">
      <c r="A7" t="s">
        <v>54</v>
      </c>
      <c r="B7" s="38">
        <v>170187.83055482313</v>
      </c>
      <c r="C7" s="38">
        <v>35.517736249908381</v>
      </c>
      <c r="D7">
        <f>'FTTH XGPON 100 Mbps'!B17</f>
        <v>29050</v>
      </c>
      <c r="E7" s="24">
        <f>'FTTH XGPON 100 Mbps'!C17</f>
        <v>5092.8</v>
      </c>
      <c r="F7" s="24">
        <f>'FTTH XGPON 100 Mbps'!D17</f>
        <v>321600</v>
      </c>
      <c r="G7" s="13">
        <f>SUM(B7:F7)</f>
        <v>525966.14829107304</v>
      </c>
      <c r="H7" s="19">
        <f t="shared" si="0"/>
        <v>26298307.414553653</v>
      </c>
      <c r="I7" s="24">
        <v>63160</v>
      </c>
      <c r="J7" s="13">
        <f t="shared" si="1"/>
        <v>416.37598819749292</v>
      </c>
      <c r="K7">
        <v>100</v>
      </c>
    </row>
    <row r="8" spans="1:11" ht="14.45" x14ac:dyDescent="0.3">
      <c r="A8" t="s">
        <v>134</v>
      </c>
      <c r="B8" s="38">
        <v>170187.83055482313</v>
      </c>
      <c r="C8" s="38">
        <v>35.517736249908381</v>
      </c>
      <c r="D8" s="13">
        <f>FTTCab_GPON_100!B16</f>
        <v>14165.777777777777</v>
      </c>
      <c r="E8" s="24">
        <f>FTTCab_GPON_100!C16</f>
        <v>138334</v>
      </c>
      <c r="F8" s="24">
        <f>FTTCab_GPON_100!D16</f>
        <v>0</v>
      </c>
      <c r="G8">
        <f>SUM(B8:F8)</f>
        <v>322723.1260688508</v>
      </c>
      <c r="H8" s="19">
        <f t="shared" si="0"/>
        <v>16136156.30344254</v>
      </c>
      <c r="I8" s="24">
        <v>63160</v>
      </c>
      <c r="J8">
        <f>H8/I8</f>
        <v>255.48062545032519</v>
      </c>
      <c r="K8" s="13">
        <v>100</v>
      </c>
    </row>
    <row r="9" spans="1:11" ht="14.45" x14ac:dyDescent="0.3">
      <c r="A9" t="s">
        <v>68</v>
      </c>
      <c r="B9" s="38">
        <v>170187.83055482313</v>
      </c>
      <c r="C9" s="38">
        <v>35.517736249908381</v>
      </c>
      <c r="D9">
        <f>FTTB_XGPON_100!B16</f>
        <v>14840</v>
      </c>
      <c r="E9">
        <f>FTTB_XGPON_100!C16</f>
        <v>4779.2000000000007</v>
      </c>
      <c r="F9">
        <f>FTTB_XGPON_100!D16</f>
        <v>188800</v>
      </c>
      <c r="G9">
        <f>SUM(B9:F9)</f>
        <v>378642.54829107306</v>
      </c>
      <c r="H9" s="19">
        <f t="shared" si="0"/>
        <v>18932127.414553653</v>
      </c>
      <c r="I9" s="24">
        <v>63160</v>
      </c>
      <c r="J9">
        <f>H9/I9</f>
        <v>299.74869244068481</v>
      </c>
      <c r="K9" s="13">
        <v>100</v>
      </c>
    </row>
    <row r="10" spans="1:11" ht="14.45" x14ac:dyDescent="0.3">
      <c r="A10" s="13" t="s">
        <v>135</v>
      </c>
      <c r="B10" s="38">
        <v>123966.4385182156</v>
      </c>
      <c r="C10" s="38">
        <v>23.727612871311063</v>
      </c>
      <c r="D10">
        <f>FTTB_WRWDM_100!B14</f>
        <v>14228</v>
      </c>
      <c r="E10" s="24">
        <f>FTTB_WRWDM_100!C14</f>
        <v>3840</v>
      </c>
      <c r="F10" s="24">
        <f>FTTB_WRWDM_100!D14</f>
        <v>196800</v>
      </c>
      <c r="G10">
        <f>SUM(B10:F10)</f>
        <v>338858.16613108688</v>
      </c>
      <c r="H10" s="19">
        <f t="shared" si="0"/>
        <v>16942908.306554344</v>
      </c>
      <c r="I10" s="24">
        <v>63160</v>
      </c>
      <c r="J10">
        <f>H10/I10</f>
        <v>268.25377306134175</v>
      </c>
      <c r="K10" s="13">
        <v>100</v>
      </c>
    </row>
    <row r="11" spans="1:11" ht="14.45" x14ac:dyDescent="0.3">
      <c r="A11" s="18" t="s">
        <v>70</v>
      </c>
      <c r="B11" s="38">
        <v>148601.5257512136</v>
      </c>
      <c r="C11" s="38">
        <v>33.851521342501684</v>
      </c>
      <c r="D11">
        <f>FTTCab_Hybridpon_25!B16</f>
        <v>4920</v>
      </c>
      <c r="E11" s="24">
        <f>FTTCab_Hybridpon_25!C16</f>
        <v>78450.2</v>
      </c>
      <c r="F11" s="24">
        <f>FTTCab_Hybridpon_25!D16</f>
        <v>0</v>
      </c>
      <c r="G11">
        <f t="shared" ref="G11:G15" si="3">SUM(B11:F11)</f>
        <v>232005.57727255608</v>
      </c>
      <c r="H11" s="19">
        <f t="shared" si="0"/>
        <v>11600278.863627804</v>
      </c>
      <c r="I11" s="24">
        <v>63160</v>
      </c>
      <c r="J11">
        <f t="shared" ref="J11:J15" si="4">H11/I11</f>
        <v>183.66495984211215</v>
      </c>
      <c r="K11">
        <v>25</v>
      </c>
    </row>
    <row r="12" spans="1:11" ht="14.45" x14ac:dyDescent="0.3">
      <c r="A12" s="18" t="s">
        <v>71</v>
      </c>
      <c r="B12" s="38">
        <v>162896.27914347179</v>
      </c>
      <c r="C12" s="38">
        <v>33.851521342501684</v>
      </c>
      <c r="D12">
        <f>FTTB_Hybridpon_50!B15</f>
        <v>10700</v>
      </c>
      <c r="E12" s="24">
        <f>FTTB_Hybridpon_50!C15</f>
        <v>1188.5999999999999</v>
      </c>
      <c r="F12" s="24">
        <f>FTTB_Hybridpon_50!D15</f>
        <v>88800</v>
      </c>
      <c r="G12">
        <f t="shared" si="3"/>
        <v>263618.7306648143</v>
      </c>
      <c r="H12" s="19">
        <f t="shared" si="0"/>
        <v>13180936.533240715</v>
      </c>
      <c r="I12" s="24">
        <v>63160</v>
      </c>
      <c r="J12">
        <f t="shared" si="4"/>
        <v>208.69120540279789</v>
      </c>
      <c r="K12">
        <v>50</v>
      </c>
    </row>
    <row r="13" spans="1:11" ht="14.45" x14ac:dyDescent="0.3">
      <c r="A13" s="18" t="s">
        <v>72</v>
      </c>
      <c r="B13" s="38">
        <v>148601.5257512136</v>
      </c>
      <c r="C13" s="38">
        <v>33.851521342501684</v>
      </c>
      <c r="D13">
        <f>FTTH_Hybridpon_100!B15</f>
        <v>21000</v>
      </c>
      <c r="E13" s="24">
        <f>FTTH_Hybridpon_100!C15</f>
        <v>2377.1999999999998</v>
      </c>
      <c r="F13" s="24">
        <f>FTTH_Hybridpon_100!D15</f>
        <v>225600</v>
      </c>
      <c r="G13">
        <f t="shared" si="3"/>
        <v>397612.57727255614</v>
      </c>
      <c r="H13" s="19">
        <f t="shared" si="0"/>
        <v>19880628.863627806</v>
      </c>
      <c r="I13" s="24">
        <v>63160</v>
      </c>
      <c r="J13">
        <f t="shared" si="4"/>
        <v>314.7661314697246</v>
      </c>
      <c r="K13">
        <v>100</v>
      </c>
    </row>
    <row r="14" spans="1:11" ht="14.45" x14ac:dyDescent="0.3">
      <c r="A14" s="18" t="s">
        <v>73</v>
      </c>
      <c r="B14" s="38">
        <v>148601.5257512136</v>
      </c>
      <c r="C14" s="38">
        <v>33.851521342501684</v>
      </c>
      <c r="D14">
        <f>FTTC_Hybridpon_100!B16</f>
        <v>34480</v>
      </c>
      <c r="E14" s="24">
        <f>FTTC_Hybridpon_100!C16</f>
        <v>260532.4</v>
      </c>
      <c r="F14" s="24">
        <f>FTTC_Hybridpon_100!D16</f>
        <v>0</v>
      </c>
      <c r="G14">
        <f t="shared" si="3"/>
        <v>443647.77727255609</v>
      </c>
      <c r="H14" s="19">
        <f t="shared" si="0"/>
        <v>22182388.863627806</v>
      </c>
      <c r="I14" s="24">
        <v>63160</v>
      </c>
      <c r="J14">
        <f t="shared" si="4"/>
        <v>351.20945002577275</v>
      </c>
      <c r="K14">
        <v>100</v>
      </c>
    </row>
    <row r="15" spans="1:11" ht="14.45" x14ac:dyDescent="0.3">
      <c r="A15" s="15" t="s">
        <v>74</v>
      </c>
      <c r="B15" s="38">
        <v>162896.27914347179</v>
      </c>
      <c r="C15" s="38">
        <v>33.851521342501684</v>
      </c>
      <c r="D15" s="17">
        <f>FTTB_Hybridpon_100!B15</f>
        <v>21000</v>
      </c>
      <c r="E15" s="17">
        <f>FTTB_Hybridpon_100!C15</f>
        <v>2377.1999999999998</v>
      </c>
      <c r="F15" s="17">
        <f>FTTB_Hybridpon_100!D15</f>
        <v>212800</v>
      </c>
      <c r="G15" s="17">
        <f t="shared" si="3"/>
        <v>399107.33066481433</v>
      </c>
      <c r="H15" s="19">
        <f t="shared" si="0"/>
        <v>19955366.533240717</v>
      </c>
      <c r="I15" s="24">
        <v>63160</v>
      </c>
      <c r="J15" s="17">
        <f t="shared" si="4"/>
        <v>315.94943846169593</v>
      </c>
      <c r="K15" s="17">
        <v>100</v>
      </c>
    </row>
    <row r="20" spans="1:7" x14ac:dyDescent="0.25">
      <c r="A20" s="44" t="s">
        <v>49</v>
      </c>
      <c r="B20" s="45" t="s">
        <v>1</v>
      </c>
      <c r="C20" s="45" t="s">
        <v>2</v>
      </c>
      <c r="D20" s="45" t="s">
        <v>62</v>
      </c>
      <c r="E20" s="45" t="s">
        <v>60</v>
      </c>
      <c r="F20" s="45" t="s">
        <v>61</v>
      </c>
      <c r="G20" s="45" t="s">
        <v>55</v>
      </c>
    </row>
    <row r="21" spans="1:7" x14ac:dyDescent="0.25">
      <c r="A21" s="42" t="s">
        <v>133</v>
      </c>
      <c r="B21">
        <f>B3/63160</f>
        <v>2.6945508320902967</v>
      </c>
      <c r="C21" s="24">
        <f t="shared" ref="C21:G21" si="5">C3/63160</f>
        <v>5.6234541244313456E-4</v>
      </c>
      <c r="D21" s="24">
        <f t="shared" si="5"/>
        <v>5.0647385827879809E-2</v>
      </c>
      <c r="E21" s="24">
        <f t="shared" si="5"/>
        <v>1.8740721975934134</v>
      </c>
      <c r="F21" s="24">
        <f t="shared" si="5"/>
        <v>0</v>
      </c>
      <c r="G21" s="24">
        <f t="shared" si="5"/>
        <v>4.6198327609240328</v>
      </c>
    </row>
    <row r="22" spans="1:7" x14ac:dyDescent="0.25">
      <c r="A22" s="43" t="s">
        <v>51</v>
      </c>
      <c r="B22" s="24">
        <f t="shared" ref="B22:G33" si="6">B4/63160</f>
        <v>2.6945508320902967</v>
      </c>
      <c r="C22" s="24">
        <f t="shared" si="6"/>
        <v>5.6234541244313456E-4</v>
      </c>
      <c r="D22" s="24">
        <f t="shared" si="6"/>
        <v>0.11747941735275491</v>
      </c>
      <c r="E22" s="24">
        <f t="shared" si="6"/>
        <v>5.3540215326155799E-2</v>
      </c>
      <c r="F22" s="24">
        <f t="shared" si="6"/>
        <v>1.5326155794806839</v>
      </c>
      <c r="G22" s="24">
        <f t="shared" si="6"/>
        <v>4.3987483896623338</v>
      </c>
    </row>
    <row r="23" spans="1:7" x14ac:dyDescent="0.25">
      <c r="A23" s="42" t="s">
        <v>131</v>
      </c>
      <c r="B23" s="24">
        <f t="shared" si="6"/>
        <v>1.9627365186544585</v>
      </c>
      <c r="C23" s="24">
        <f t="shared" si="6"/>
        <v>3.7567468130638164E-4</v>
      </c>
      <c r="D23" s="24">
        <f t="shared" si="6"/>
        <v>0.10224825839138696</v>
      </c>
      <c r="E23" s="24">
        <f t="shared" si="6"/>
        <v>3.0398986700443317E-2</v>
      </c>
      <c r="F23" s="24">
        <f t="shared" si="6"/>
        <v>1.5326155794806839</v>
      </c>
      <c r="G23" s="24">
        <f t="shared" si="6"/>
        <v>3.628375017908279</v>
      </c>
    </row>
    <row r="24" spans="1:7" x14ac:dyDescent="0.25">
      <c r="A24" s="43" t="s">
        <v>132</v>
      </c>
      <c r="B24" s="24">
        <f t="shared" si="6"/>
        <v>1.9627365186544585</v>
      </c>
      <c r="C24" s="24">
        <f t="shared" si="6"/>
        <v>3.7567468130638164E-4</v>
      </c>
      <c r="D24" s="24">
        <f t="shared" si="6"/>
        <v>0.11722609246358455</v>
      </c>
      <c r="E24" s="24">
        <f t="shared" si="6"/>
        <v>3.0398986700443317E-2</v>
      </c>
      <c r="F24" s="24">
        <f t="shared" si="6"/>
        <v>5.3704876504116532</v>
      </c>
      <c r="G24" s="24">
        <f t="shared" si="6"/>
        <v>7.4812249229114451</v>
      </c>
    </row>
    <row r="25" spans="1:7" x14ac:dyDescent="0.25">
      <c r="A25" s="42" t="s">
        <v>54</v>
      </c>
      <c r="B25" s="24">
        <f t="shared" si="6"/>
        <v>2.6945508320902967</v>
      </c>
      <c r="C25" s="24">
        <f t="shared" si="6"/>
        <v>5.6234541244313456E-4</v>
      </c>
      <c r="D25" s="24">
        <f t="shared" si="6"/>
        <v>0.45994300189993664</v>
      </c>
      <c r="E25" s="24">
        <f t="shared" si="6"/>
        <v>8.0633312222925899E-2</v>
      </c>
      <c r="F25" s="24">
        <f t="shared" si="6"/>
        <v>5.0918302723242554</v>
      </c>
      <c r="G25" s="24">
        <f t="shared" si="6"/>
        <v>8.3275197639498586</v>
      </c>
    </row>
    <row r="26" spans="1:7" x14ac:dyDescent="0.25">
      <c r="A26" s="43" t="s">
        <v>134</v>
      </c>
      <c r="B26" s="24">
        <f t="shared" si="6"/>
        <v>2.6945508320902967</v>
      </c>
      <c r="C26" s="24">
        <f t="shared" si="6"/>
        <v>5.6234541244313456E-4</v>
      </c>
      <c r="D26" s="24">
        <f t="shared" si="6"/>
        <v>0.22428400534796988</v>
      </c>
      <c r="E26" s="24">
        <f t="shared" si="6"/>
        <v>2.1902153261557946</v>
      </c>
      <c r="F26" s="24">
        <f t="shared" si="6"/>
        <v>0</v>
      </c>
      <c r="G26" s="24">
        <f t="shared" si="6"/>
        <v>5.1096125090065039</v>
      </c>
    </row>
    <row r="27" spans="1:7" x14ac:dyDescent="0.25">
      <c r="A27" s="42" t="s">
        <v>68</v>
      </c>
      <c r="B27" s="24">
        <f t="shared" si="6"/>
        <v>2.6945508320902967</v>
      </c>
      <c r="C27" s="24">
        <f t="shared" si="6"/>
        <v>5.6234541244313456E-4</v>
      </c>
      <c r="D27" s="24">
        <f t="shared" si="6"/>
        <v>0.23495883470550982</v>
      </c>
      <c r="E27" s="24">
        <f t="shared" si="6"/>
        <v>7.5668144395186834E-2</v>
      </c>
      <c r="F27" s="24">
        <f t="shared" si="6"/>
        <v>2.9892336922102598</v>
      </c>
      <c r="G27" s="24">
        <f t="shared" si="6"/>
        <v>5.9949738488136965</v>
      </c>
    </row>
    <row r="28" spans="1:7" x14ac:dyDescent="0.25">
      <c r="A28" s="43" t="s">
        <v>135</v>
      </c>
      <c r="B28" s="24">
        <f t="shared" si="6"/>
        <v>1.9627365186544585</v>
      </c>
      <c r="C28" s="24">
        <f t="shared" si="6"/>
        <v>3.7567468130638164E-4</v>
      </c>
      <c r="D28" s="24">
        <f t="shared" si="6"/>
        <v>0.22526915769474351</v>
      </c>
      <c r="E28" s="24">
        <f t="shared" si="6"/>
        <v>6.0797973400886635E-2</v>
      </c>
      <c r="F28" s="24">
        <f t="shared" si="6"/>
        <v>3.1158961367954401</v>
      </c>
      <c r="G28" s="24">
        <f t="shared" si="6"/>
        <v>5.3650754612268345</v>
      </c>
    </row>
    <row r="29" spans="1:7" x14ac:dyDescent="0.25">
      <c r="A29" s="41" t="s">
        <v>70</v>
      </c>
      <c r="B29" s="24">
        <f t="shared" si="6"/>
        <v>2.3527790650920455</v>
      </c>
      <c r="C29" s="24">
        <f t="shared" si="6"/>
        <v>5.3596455577108431E-4</v>
      </c>
      <c r="D29" s="24">
        <f t="shared" si="6"/>
        <v>7.7897403419886005E-2</v>
      </c>
      <c r="E29" s="24">
        <f t="shared" si="6"/>
        <v>1.2420867637745407</v>
      </c>
      <c r="F29" s="24">
        <f t="shared" si="6"/>
        <v>0</v>
      </c>
      <c r="G29" s="24">
        <f t="shared" si="6"/>
        <v>3.673299196842243</v>
      </c>
    </row>
    <row r="30" spans="1:7" x14ac:dyDescent="0.25">
      <c r="A30" s="40" t="s">
        <v>71</v>
      </c>
      <c r="B30" s="24">
        <f t="shared" si="6"/>
        <v>2.579105116267761</v>
      </c>
      <c r="C30" s="24">
        <f t="shared" si="6"/>
        <v>5.3596455577108431E-4</v>
      </c>
      <c r="D30" s="24">
        <f t="shared" si="6"/>
        <v>0.16941101963267891</v>
      </c>
      <c r="E30" s="24">
        <f t="shared" si="6"/>
        <v>1.8818872704243192E-2</v>
      </c>
      <c r="F30" s="24">
        <f t="shared" si="6"/>
        <v>1.4059531348955034</v>
      </c>
      <c r="G30" s="24">
        <f t="shared" si="6"/>
        <v>4.1738241080559577</v>
      </c>
    </row>
    <row r="31" spans="1:7" x14ac:dyDescent="0.25">
      <c r="A31" s="41" t="s">
        <v>72</v>
      </c>
      <c r="B31" s="24">
        <f t="shared" si="6"/>
        <v>2.3527790650920455</v>
      </c>
      <c r="C31" s="24">
        <f t="shared" si="6"/>
        <v>5.3596455577108431E-4</v>
      </c>
      <c r="D31" s="24">
        <f t="shared" si="6"/>
        <v>0.33248891703609879</v>
      </c>
      <c r="E31" s="24">
        <f t="shared" si="6"/>
        <v>3.7637745408486384E-2</v>
      </c>
      <c r="F31" s="24">
        <f t="shared" si="6"/>
        <v>3.5718809373020899</v>
      </c>
      <c r="G31" s="24">
        <f t="shared" si="6"/>
        <v>6.2953226293944926</v>
      </c>
    </row>
    <row r="32" spans="1:7" x14ac:dyDescent="0.25">
      <c r="A32" s="40" t="s">
        <v>73</v>
      </c>
      <c r="B32" s="24">
        <f t="shared" si="6"/>
        <v>2.3527790650920455</v>
      </c>
      <c r="C32" s="24">
        <f t="shared" si="6"/>
        <v>5.3596455577108431E-4</v>
      </c>
      <c r="D32" s="24">
        <f t="shared" si="6"/>
        <v>0.54591513616212795</v>
      </c>
      <c r="E32" s="24">
        <f t="shared" si="6"/>
        <v>4.1249588347055095</v>
      </c>
      <c r="F32" s="24">
        <f t="shared" si="6"/>
        <v>0</v>
      </c>
      <c r="G32" s="24">
        <f t="shared" si="6"/>
        <v>7.0241890005154541</v>
      </c>
    </row>
    <row r="33" spans="1:7" x14ac:dyDescent="0.25">
      <c r="A33" s="39" t="s">
        <v>74</v>
      </c>
      <c r="B33" s="24">
        <f t="shared" si="6"/>
        <v>2.579105116267761</v>
      </c>
      <c r="C33" s="24">
        <f t="shared" si="6"/>
        <v>5.3596455577108431E-4</v>
      </c>
      <c r="D33" s="24">
        <f t="shared" si="6"/>
        <v>0.33248891703609879</v>
      </c>
      <c r="E33" s="24">
        <f t="shared" si="6"/>
        <v>3.7637745408486384E-2</v>
      </c>
      <c r="F33" s="24">
        <f t="shared" si="6"/>
        <v>3.3692210259658011</v>
      </c>
      <c r="G33" s="24">
        <f t="shared" si="6"/>
        <v>6.3189887692339193</v>
      </c>
    </row>
    <row r="56" spans="3:6" x14ac:dyDescent="0.25">
      <c r="C56" s="22" t="s">
        <v>1</v>
      </c>
      <c r="D56" s="22" t="s">
        <v>2</v>
      </c>
      <c r="E56" s="22" t="s">
        <v>80</v>
      </c>
      <c r="F56" s="22" t="s">
        <v>3</v>
      </c>
    </row>
    <row r="57" spans="3:6" x14ac:dyDescent="0.25">
      <c r="C57">
        <f>B3</f>
        <v>170187.83055482313</v>
      </c>
      <c r="D57" s="24">
        <f t="shared" ref="D57:E57" si="7">C3</f>
        <v>35.517736249908381</v>
      </c>
      <c r="E57" s="24">
        <f t="shared" si="7"/>
        <v>3198.8888888888887</v>
      </c>
      <c r="F57">
        <f>E3+F3</f>
        <v>118366.39999999999</v>
      </c>
    </row>
    <row r="58" spans="3:6" x14ac:dyDescent="0.25">
      <c r="C58" s="24">
        <f t="shared" ref="C58:E58" si="8">B4</f>
        <v>170187.83055482313</v>
      </c>
      <c r="D58" s="24">
        <f t="shared" si="8"/>
        <v>35.517736249908381</v>
      </c>
      <c r="E58" s="24">
        <f t="shared" si="8"/>
        <v>7420</v>
      </c>
      <c r="F58" s="21">
        <f t="shared" ref="F58:F69" si="9">E4+F4</f>
        <v>100181.6</v>
      </c>
    </row>
    <row r="59" spans="3:6" x14ac:dyDescent="0.25">
      <c r="C59" s="24">
        <f t="shared" ref="C59:E59" si="10">B5</f>
        <v>123966.4385182156</v>
      </c>
      <c r="D59" s="24">
        <f t="shared" si="10"/>
        <v>23.727612871311063</v>
      </c>
      <c r="E59" s="24">
        <f t="shared" si="10"/>
        <v>6458</v>
      </c>
      <c r="F59" s="21">
        <f t="shared" si="9"/>
        <v>98720</v>
      </c>
    </row>
    <row r="60" spans="3:6" x14ac:dyDescent="0.25">
      <c r="C60" s="24">
        <f t="shared" ref="C60:E60" si="11">B6</f>
        <v>123966.4385182156</v>
      </c>
      <c r="D60" s="24">
        <f t="shared" si="11"/>
        <v>23.727612871311063</v>
      </c>
      <c r="E60" s="24">
        <f t="shared" si="11"/>
        <v>7404</v>
      </c>
      <c r="F60" s="21">
        <f t="shared" si="9"/>
        <v>341120</v>
      </c>
    </row>
    <row r="61" spans="3:6" x14ac:dyDescent="0.25">
      <c r="C61" s="24">
        <f t="shared" ref="C61:E61" si="12">B7</f>
        <v>170187.83055482313</v>
      </c>
      <c r="D61" s="24">
        <f t="shared" si="12"/>
        <v>35.517736249908381</v>
      </c>
      <c r="E61" s="24">
        <f t="shared" si="12"/>
        <v>29050</v>
      </c>
      <c r="F61" s="21">
        <f t="shared" si="9"/>
        <v>326692.8</v>
      </c>
    </row>
    <row r="62" spans="3:6" x14ac:dyDescent="0.25">
      <c r="C62" s="24">
        <f t="shared" ref="C62:E62" si="13">B8</f>
        <v>170187.83055482313</v>
      </c>
      <c r="D62" s="24">
        <f t="shared" si="13"/>
        <v>35.517736249908381</v>
      </c>
      <c r="E62" s="24">
        <f t="shared" si="13"/>
        <v>14165.777777777777</v>
      </c>
      <c r="F62" s="21">
        <f t="shared" si="9"/>
        <v>138334</v>
      </c>
    </row>
    <row r="63" spans="3:6" x14ac:dyDescent="0.25">
      <c r="C63" s="24">
        <f t="shared" ref="C63:E63" si="14">B9</f>
        <v>170187.83055482313</v>
      </c>
      <c r="D63" s="24">
        <f t="shared" si="14"/>
        <v>35.517736249908381</v>
      </c>
      <c r="E63" s="24">
        <f t="shared" si="14"/>
        <v>14840</v>
      </c>
      <c r="F63" s="21">
        <f t="shared" si="9"/>
        <v>193579.2</v>
      </c>
    </row>
    <row r="64" spans="3:6" x14ac:dyDescent="0.25">
      <c r="C64" s="24">
        <f t="shared" ref="C64:E64" si="15">B10</f>
        <v>123966.4385182156</v>
      </c>
      <c r="D64" s="24">
        <f t="shared" si="15"/>
        <v>23.727612871311063</v>
      </c>
      <c r="E64" s="24">
        <f t="shared" si="15"/>
        <v>14228</v>
      </c>
      <c r="F64" s="21">
        <f t="shared" si="9"/>
        <v>200640</v>
      </c>
    </row>
    <row r="65" spans="3:6" x14ac:dyDescent="0.25">
      <c r="C65" s="24">
        <f t="shared" ref="C65:E65" si="16">B11</f>
        <v>148601.5257512136</v>
      </c>
      <c r="D65" s="24">
        <f t="shared" si="16"/>
        <v>33.851521342501684</v>
      </c>
      <c r="E65" s="24">
        <f t="shared" si="16"/>
        <v>4920</v>
      </c>
      <c r="F65" s="21">
        <f t="shared" si="9"/>
        <v>78450.2</v>
      </c>
    </row>
    <row r="66" spans="3:6" x14ac:dyDescent="0.25">
      <c r="C66" s="24">
        <f t="shared" ref="C66:E66" si="17">B12</f>
        <v>162896.27914347179</v>
      </c>
      <c r="D66" s="24">
        <f t="shared" si="17"/>
        <v>33.851521342501684</v>
      </c>
      <c r="E66" s="24">
        <f t="shared" si="17"/>
        <v>10700</v>
      </c>
      <c r="F66" s="21">
        <f t="shared" si="9"/>
        <v>89988.6</v>
      </c>
    </row>
    <row r="67" spans="3:6" x14ac:dyDescent="0.25">
      <c r="C67" s="24">
        <f t="shared" ref="C67:E67" si="18">B13</f>
        <v>148601.5257512136</v>
      </c>
      <c r="D67" s="24">
        <f t="shared" si="18"/>
        <v>33.851521342501684</v>
      </c>
      <c r="E67" s="24">
        <f t="shared" si="18"/>
        <v>21000</v>
      </c>
      <c r="F67" s="21">
        <f t="shared" si="9"/>
        <v>227977.2</v>
      </c>
    </row>
    <row r="68" spans="3:6" x14ac:dyDescent="0.25">
      <c r="C68" s="24">
        <f t="shared" ref="C68:E68" si="19">B14</f>
        <v>148601.5257512136</v>
      </c>
      <c r="D68" s="24">
        <f t="shared" si="19"/>
        <v>33.851521342501684</v>
      </c>
      <c r="E68" s="24">
        <f t="shared" si="19"/>
        <v>34480</v>
      </c>
      <c r="F68" s="21">
        <f t="shared" si="9"/>
        <v>260532.4</v>
      </c>
    </row>
    <row r="69" spans="3:6" x14ac:dyDescent="0.25">
      <c r="C69" s="24">
        <f t="shared" ref="C69:E69" si="20">B15</f>
        <v>162896.27914347179</v>
      </c>
      <c r="D69" s="24">
        <f t="shared" si="20"/>
        <v>33.851521342501684</v>
      </c>
      <c r="E69" s="24">
        <f t="shared" si="20"/>
        <v>21000</v>
      </c>
      <c r="F69" s="21">
        <f t="shared" si="9"/>
        <v>215177.2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A7" zoomScaleNormal="100" workbookViewId="0">
      <selection activeCell="F56" sqref="F56"/>
    </sheetView>
  </sheetViews>
  <sheetFormatPr defaultRowHeight="15" x14ac:dyDescent="0.25"/>
  <cols>
    <col min="1" max="1" width="45" customWidth="1"/>
    <col min="2" max="3" width="45" style="21" customWidth="1"/>
    <col min="4" max="4" width="47.85546875" customWidth="1"/>
    <col min="5" max="5" width="22.85546875" customWidth="1"/>
    <col min="6" max="6" width="26.28515625" customWidth="1"/>
    <col min="7" max="7" width="25.42578125" customWidth="1"/>
    <col min="8" max="8" width="26.28515625" customWidth="1"/>
    <col min="9" max="9" width="27.42578125" customWidth="1"/>
    <col min="10" max="10" width="33.7109375" customWidth="1"/>
    <col min="11" max="11" width="22.42578125" customWidth="1"/>
    <col min="12" max="12" width="18.42578125" customWidth="1"/>
    <col min="13" max="13" width="17" customWidth="1"/>
  </cols>
  <sheetData>
    <row r="1" spans="1:13" ht="14.45" x14ac:dyDescent="0.3">
      <c r="A1" s="21" t="s">
        <v>49</v>
      </c>
      <c r="B1" s="21" t="s">
        <v>90</v>
      </c>
      <c r="C1" s="21" t="s">
        <v>91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93</v>
      </c>
      <c r="K1" s="21" t="s">
        <v>57</v>
      </c>
      <c r="L1" s="21" t="s">
        <v>92</v>
      </c>
      <c r="M1" s="21" t="s">
        <v>59</v>
      </c>
    </row>
    <row r="2" spans="1:13" ht="14.45" x14ac:dyDescent="0.3">
      <c r="A2" s="21" t="s">
        <v>50</v>
      </c>
      <c r="B2" s="21">
        <v>191474.50445168791</v>
      </c>
      <c r="C2" s="21">
        <v>1775886.8124954188</v>
      </c>
      <c r="D2" s="21">
        <f>35*Table717[[#This Row],[Duct Length]]/50</f>
        <v>134032.15311618152</v>
      </c>
      <c r="E2" s="21">
        <f>Table717[[#This Row],[Fiber Length]]*0.3/50</f>
        <v>10655.320874972513</v>
      </c>
      <c r="F2" s="24">
        <f>'FTTCab GPON 26 Mbps'!$B$19</f>
        <v>7492</v>
      </c>
      <c r="G2" s="24">
        <f>'FTTCab GPON 26 Mbps'!C$19</f>
        <v>285584</v>
      </c>
      <c r="H2" s="24">
        <f>'FTTCab GPON 26 Mbps'!D$19</f>
        <v>0</v>
      </c>
      <c r="I2" s="21">
        <f>SUM(Table717[[#This Row],[Duct Cost]:[Building E&amp;I Costs]])</f>
        <v>437763.47399115399</v>
      </c>
      <c r="J2" s="21">
        <f t="shared" ref="J2:J14" si="0">I2*50</f>
        <v>21888173.699557699</v>
      </c>
      <c r="K2" s="21">
        <v>29262</v>
      </c>
      <c r="L2" s="21">
        <f>J2/K2</f>
        <v>748.00675618746834</v>
      </c>
      <c r="M2" s="21">
        <v>25</v>
      </c>
    </row>
    <row r="3" spans="1:13" ht="14.45" x14ac:dyDescent="0.3">
      <c r="A3" s="21" t="s">
        <v>51</v>
      </c>
      <c r="B3" s="21">
        <v>191474.50445168791</v>
      </c>
      <c r="C3" s="21">
        <v>1775886.8124954188</v>
      </c>
      <c r="D3" s="24">
        <f>35*Table717[[#This Row],[Duct Length]]/50</f>
        <v>134032.15311618152</v>
      </c>
      <c r="E3" s="24">
        <f>Table717[[#This Row],[Fiber Length]]*0.3/50</f>
        <v>10655.320874972513</v>
      </c>
      <c r="F3" s="24">
        <f>'FTTB XGPON 50 Mbps'!$B$18</f>
        <v>12200</v>
      </c>
      <c r="G3" s="24">
        <f>'FTTB XGPON 50 Mbps'!C$18</f>
        <v>11016</v>
      </c>
      <c r="H3" s="24">
        <f>'FTTB XGPON 50 Mbps'!D$18</f>
        <v>112000</v>
      </c>
      <c r="I3" s="24">
        <f>SUM(Table717[[#This Row],[Duct Cost]:[Building E&amp;I Costs]])</f>
        <v>279903.47399115399</v>
      </c>
      <c r="J3" s="21">
        <f t="shared" si="0"/>
        <v>13995173.699557699</v>
      </c>
      <c r="K3" s="21">
        <v>29262</v>
      </c>
      <c r="L3" s="21">
        <f t="shared" ref="L3:L6" si="1">J3/K3</f>
        <v>478.27126305644521</v>
      </c>
      <c r="M3" s="21">
        <v>50</v>
      </c>
    </row>
    <row r="4" spans="1:13" ht="14.45" x14ac:dyDescent="0.3">
      <c r="A4" s="21" t="s">
        <v>52</v>
      </c>
      <c r="B4" s="21">
        <v>149208.7890873194</v>
      </c>
      <c r="C4" s="21">
        <v>1186380.643565553</v>
      </c>
      <c r="D4" s="24">
        <f>35*Table717[[#This Row],[Duct Length]]/50</f>
        <v>104446.15236112358</v>
      </c>
      <c r="E4" s="24">
        <f>Table717[[#This Row],[Fiber Length]]*0.3/50</f>
        <v>7118.2838613933172</v>
      </c>
      <c r="F4" s="24">
        <f>'FTTB WR-WDMPON 50 Mbps'!$B$16</f>
        <v>19000</v>
      </c>
      <c r="G4" s="24">
        <f>'FTTB WR-WDMPON 50 Mbps'!C16</f>
        <v>320</v>
      </c>
      <c r="H4" s="24">
        <f>'FTTB WR-WDMPON 50 Mbps'!D16</f>
        <v>120000</v>
      </c>
      <c r="I4" s="24">
        <f>SUM(Table717[[#This Row],[Duct Cost]:[Building E&amp;I Costs]])</f>
        <v>250884.43622251687</v>
      </c>
      <c r="J4" s="21">
        <f t="shared" si="0"/>
        <v>12544221.811125843</v>
      </c>
      <c r="K4" s="21">
        <v>29262</v>
      </c>
      <c r="L4" s="21">
        <f t="shared" si="1"/>
        <v>428.68641279221663</v>
      </c>
      <c r="M4" s="21">
        <v>50</v>
      </c>
    </row>
    <row r="5" spans="1:13" ht="14.45" x14ac:dyDescent="0.3">
      <c r="A5" s="21" t="s">
        <v>53</v>
      </c>
      <c r="B5" s="21">
        <v>149208.7890873194</v>
      </c>
      <c r="C5" s="21">
        <v>1186380.643565553</v>
      </c>
      <c r="D5" s="24">
        <f>35*Table717[[#This Row],[Duct Length]]/50</f>
        <v>104446.15236112358</v>
      </c>
      <c r="E5" s="24">
        <f>Table717[[#This Row],[Fiber Length]]*0.3/50</f>
        <v>7118.2838613933172</v>
      </c>
      <c r="F5" s="24">
        <f>'FTTH WR-WDMPON 100 Mbps'!$B$16</f>
        <v>19000</v>
      </c>
      <c r="G5" s="24">
        <f>'FTTH WR-WDMPON 100 Mbps'!C16</f>
        <v>320</v>
      </c>
      <c r="H5" s="24">
        <f>'FTTH WR-WDMPON 100 Mbps'!D16</f>
        <v>480000</v>
      </c>
      <c r="I5" s="24">
        <f>SUM(Table717[[#This Row],[Duct Cost]:[Building E&amp;I Costs]])</f>
        <v>610884.43622251693</v>
      </c>
      <c r="J5" s="21">
        <f t="shared" si="0"/>
        <v>30544221.811125845</v>
      </c>
      <c r="K5" s="21">
        <v>29262</v>
      </c>
      <c r="L5" s="21">
        <f t="shared" si="1"/>
        <v>1043.8186662267051</v>
      </c>
      <c r="M5" s="21">
        <v>100</v>
      </c>
    </row>
    <row r="6" spans="1:13" ht="14.45" x14ac:dyDescent="0.3">
      <c r="A6" s="21" t="s">
        <v>54</v>
      </c>
      <c r="B6" s="21">
        <v>191474.50445168791</v>
      </c>
      <c r="C6" s="21">
        <v>1775886.8124954188</v>
      </c>
      <c r="D6" s="24">
        <f>35*Table717[[#This Row],[Duct Length]]/50</f>
        <v>134032.15311618152</v>
      </c>
      <c r="E6" s="24">
        <f>Table717[[#This Row],[Fiber Length]]*0.3/50</f>
        <v>10655.320874972513</v>
      </c>
      <c r="F6" s="24">
        <f>'FTTH XGPON 100 Mbps'!$B$18</f>
        <v>39800</v>
      </c>
      <c r="G6" s="24">
        <f>'FTTH XGPON 100 Mbps'!C18</f>
        <v>12752</v>
      </c>
      <c r="H6" s="24">
        <f>'FTTH XGPON 100 Mbps'!D18</f>
        <v>384000</v>
      </c>
      <c r="I6" s="24">
        <f>SUM(Table717[[#This Row],[Duct Cost]:[Building E&amp;I Costs]])</f>
        <v>581239.47399115399</v>
      </c>
      <c r="J6" s="21">
        <f t="shared" si="0"/>
        <v>29061973.699557699</v>
      </c>
      <c r="K6" s="21">
        <v>29262</v>
      </c>
      <c r="L6" s="21">
        <f t="shared" si="1"/>
        <v>993.16429839237571</v>
      </c>
      <c r="M6" s="21">
        <v>100</v>
      </c>
    </row>
    <row r="7" spans="1:13" ht="14.45" x14ac:dyDescent="0.3">
      <c r="A7" s="21" t="s">
        <v>67</v>
      </c>
      <c r="B7" s="21">
        <v>191474.50445168791</v>
      </c>
      <c r="C7" s="21">
        <v>1775886.8124954188</v>
      </c>
      <c r="D7" s="24">
        <f>35*Table717[[#This Row],[Duct Length]]/50</f>
        <v>134032.15311618152</v>
      </c>
      <c r="E7" s="24">
        <f>Table717[[#This Row],[Fiber Length]]*0.3/50</f>
        <v>10655.320874972513</v>
      </c>
      <c r="F7" s="24">
        <f>FTTCab_GPON_100!$B$17</f>
        <v>11984</v>
      </c>
      <c r="G7" s="24">
        <f>FTTCab_GPON_100!C17</f>
        <v>625053</v>
      </c>
      <c r="H7" s="24">
        <f>FTTCab_GPON_100!D17</f>
        <v>0</v>
      </c>
      <c r="I7" s="24">
        <f>SUM(Table717[[#This Row],[Duct Cost]:[Building E&amp;I Costs]])</f>
        <v>781724.47399115399</v>
      </c>
      <c r="J7" s="21">
        <f t="shared" si="0"/>
        <v>39086223.699557699</v>
      </c>
      <c r="K7" s="21">
        <v>29262</v>
      </c>
      <c r="L7" s="21">
        <f>J7/K7</f>
        <v>1335.7331590307463</v>
      </c>
      <c r="M7" s="21">
        <v>100</v>
      </c>
    </row>
    <row r="8" spans="1:13" ht="14.45" x14ac:dyDescent="0.3">
      <c r="A8" s="21" t="s">
        <v>68</v>
      </c>
      <c r="B8" s="21">
        <v>191474.50445168791</v>
      </c>
      <c r="C8" s="21">
        <v>1775886.8124954188</v>
      </c>
      <c r="D8" s="24">
        <f>35*Table717[[#This Row],[Duct Length]]/50</f>
        <v>134032.15311618152</v>
      </c>
      <c r="E8" s="24">
        <f>Table717[[#This Row],[Fiber Length]]*0.3/50</f>
        <v>10655.320874972513</v>
      </c>
      <c r="F8" s="24">
        <f>FTTB_XGPON_100!$B$17</f>
        <v>21400</v>
      </c>
      <c r="G8" s="24">
        <f>FTTB_XGPON_100!C17</f>
        <v>22032</v>
      </c>
      <c r="H8" s="24">
        <f>FTTB_XGPON_100!D17</f>
        <v>224000</v>
      </c>
      <c r="I8" s="24">
        <f>SUM(Table717[[#This Row],[Duct Cost]:[Building E&amp;I Costs]])</f>
        <v>412119.47399115399</v>
      </c>
      <c r="J8" s="21">
        <f t="shared" si="0"/>
        <v>20605973.699557699</v>
      </c>
      <c r="K8" s="21">
        <v>29262</v>
      </c>
      <c r="L8" s="21">
        <f>J8/K8</f>
        <v>704.18883533448502</v>
      </c>
      <c r="M8" s="21">
        <v>100</v>
      </c>
    </row>
    <row r="9" spans="1:13" ht="14.45" x14ac:dyDescent="0.3">
      <c r="A9" s="21" t="s">
        <v>69</v>
      </c>
      <c r="B9" s="21">
        <v>149208.7890873194</v>
      </c>
      <c r="C9" s="21">
        <v>1186380.643565553</v>
      </c>
      <c r="D9" s="24">
        <f>35*Table717[[#This Row],[Duct Length]]/50</f>
        <v>104446.15236112358</v>
      </c>
      <c r="E9" s="24">
        <f>Table717[[#This Row],[Fiber Length]]*0.3/50</f>
        <v>7118.2838613933172</v>
      </c>
      <c r="F9" s="24">
        <f>FTTB_WRWDM_100!$B$15</f>
        <v>38000</v>
      </c>
      <c r="G9" s="24">
        <f>FTTB_WRWDM_100!C15</f>
        <v>640</v>
      </c>
      <c r="H9" s="24">
        <f>FTTB_WRWDM_100!D15</f>
        <v>240000</v>
      </c>
      <c r="I9" s="24">
        <f>SUM(Table717[[#This Row],[Duct Cost]:[Building E&amp;I Costs]])</f>
        <v>390204.43622251687</v>
      </c>
      <c r="J9" s="21">
        <f t="shared" si="0"/>
        <v>19510221.811125845</v>
      </c>
      <c r="K9" s="21">
        <v>29262</v>
      </c>
      <c r="L9" s="21">
        <f>J9/K9</f>
        <v>666.74259487136374</v>
      </c>
      <c r="M9" s="21">
        <v>100</v>
      </c>
    </row>
    <row r="10" spans="1:13" ht="14.45" x14ac:dyDescent="0.3">
      <c r="A10" s="22" t="s">
        <v>70</v>
      </c>
      <c r="B10" s="16">
        <v>185511.08561848622</v>
      </c>
      <c r="C10" s="16">
        <v>1692576.0671250841</v>
      </c>
      <c r="D10" s="24">
        <f>35*Table717[[#This Row],[Duct Length]]/50</f>
        <v>129857.75993294036</v>
      </c>
      <c r="E10" s="24">
        <f>Table717[[#This Row],[Fiber Length]]*0.3/50</f>
        <v>10155.456402750504</v>
      </c>
      <c r="F10" s="24">
        <f>FTTCab_Hybridpon_25!$B$17</f>
        <v>10040</v>
      </c>
      <c r="G10" s="24">
        <f>FTTCab_Hybridpon_25!C17</f>
        <v>308874</v>
      </c>
      <c r="H10" s="24">
        <f>FTTCab_Hybridpon_25!D17</f>
        <v>0</v>
      </c>
      <c r="I10" s="24">
        <f>SUM(Table717[[#This Row],[Duct Cost]:[Building E&amp;I Costs]])</f>
        <v>458927.21633569087</v>
      </c>
      <c r="J10" s="21">
        <f t="shared" si="0"/>
        <v>22946360.816784542</v>
      </c>
      <c r="K10" s="21">
        <v>29262</v>
      </c>
      <c r="L10" s="21">
        <f t="shared" ref="L10:L14" si="2">J10/K10</f>
        <v>784.16925763052905</v>
      </c>
      <c r="M10" s="21">
        <v>25</v>
      </c>
    </row>
    <row r="11" spans="1:13" ht="14.45" x14ac:dyDescent="0.3">
      <c r="A11" s="22" t="s">
        <v>71</v>
      </c>
      <c r="B11" s="16">
        <v>172747.9129468271</v>
      </c>
      <c r="C11" s="16">
        <v>1692576.0671250841</v>
      </c>
      <c r="D11" s="24">
        <f>35*Table717[[#This Row],[Duct Length]]/50</f>
        <v>120923.53906277897</v>
      </c>
      <c r="E11" s="24">
        <f>Table717[[#This Row],[Fiber Length]]*0.3/50</f>
        <v>10155.456402750504</v>
      </c>
      <c r="F11" s="24">
        <f>FTTB_Hybridpon_50!$B$16</f>
        <v>27040</v>
      </c>
      <c r="G11" s="24">
        <f>FTTB_Hybridpon_50!C16</f>
        <v>5064</v>
      </c>
      <c r="H11" s="24">
        <f>FTTB_Hybridpon_50!D16</f>
        <v>120000</v>
      </c>
      <c r="I11" s="24">
        <f>SUM(Table717[[#This Row],[Duct Cost]:[Building E&amp;I Costs]])</f>
        <v>283182.9954655295</v>
      </c>
      <c r="J11" s="21">
        <f t="shared" si="0"/>
        <v>14159149.773276474</v>
      </c>
      <c r="K11" s="21">
        <v>29262</v>
      </c>
      <c r="L11" s="21">
        <f t="shared" si="2"/>
        <v>483.87498370844349</v>
      </c>
      <c r="M11" s="21">
        <v>50</v>
      </c>
    </row>
    <row r="12" spans="1:13" ht="14.45" x14ac:dyDescent="0.3">
      <c r="A12" s="22" t="s">
        <v>72</v>
      </c>
      <c r="B12" s="16">
        <v>172747.9129468271</v>
      </c>
      <c r="C12" s="16">
        <v>1692576.0671250841</v>
      </c>
      <c r="D12" s="24">
        <f>35*Table717[[#This Row],[Duct Length]]/50</f>
        <v>120923.53906277897</v>
      </c>
      <c r="E12" s="24">
        <f>Table717[[#This Row],[Fiber Length]]*0.3/50</f>
        <v>10155.456402750504</v>
      </c>
      <c r="F12" s="24">
        <f>FTTH_Hybridpon_100!$B$16</f>
        <v>51080</v>
      </c>
      <c r="G12" s="24">
        <f>FTTH_Hybridpon_100!C16</f>
        <v>10128</v>
      </c>
      <c r="H12" s="24">
        <f>FTTH_Hybridpon_100!D16</f>
        <v>448000</v>
      </c>
      <c r="I12" s="24">
        <f>SUM(Table717[[#This Row],[Duct Cost]:[Building E&amp;I Costs]])</f>
        <v>640286.9954655295</v>
      </c>
      <c r="J12" s="21">
        <f t="shared" si="0"/>
        <v>32014349.773276474</v>
      </c>
      <c r="K12" s="21">
        <v>29262</v>
      </c>
      <c r="L12" s="21">
        <f t="shared" si="2"/>
        <v>1094.0588399041924</v>
      </c>
      <c r="M12" s="21">
        <v>100</v>
      </c>
    </row>
    <row r="13" spans="1:13" ht="14.45" x14ac:dyDescent="0.3">
      <c r="A13" s="22" t="s">
        <v>73</v>
      </c>
      <c r="B13" s="16">
        <v>172747.9129468271</v>
      </c>
      <c r="C13" s="16">
        <v>1692576.0671250841</v>
      </c>
      <c r="D13" s="24">
        <f>35*Table717[[#This Row],[Duct Length]]/50</f>
        <v>120923.53906277897</v>
      </c>
      <c r="E13" s="24">
        <f>Table717[[#This Row],[Fiber Length]]*0.3/50</f>
        <v>10155.456402750504</v>
      </c>
      <c r="F13" s="24">
        <f>FTTC_Hybridpon_100!$B$17</f>
        <v>31160</v>
      </c>
      <c r="G13" s="24">
        <f>FTTC_Hybridpon_100!C17</f>
        <v>614956</v>
      </c>
      <c r="H13" s="24">
        <f>FTTC_Hybridpon_100!D17</f>
        <v>0</v>
      </c>
      <c r="I13" s="24">
        <f>SUM(Table717[[#This Row],[Duct Cost]:[Building E&amp;I Costs]])</f>
        <v>777194.9954655295</v>
      </c>
      <c r="J13" s="21">
        <f t="shared" si="0"/>
        <v>38859749.773276478</v>
      </c>
      <c r="K13" s="21">
        <v>29262</v>
      </c>
      <c r="L13" s="21">
        <f t="shared" si="2"/>
        <v>1327.9936358853283</v>
      </c>
      <c r="M13" s="21">
        <v>100</v>
      </c>
    </row>
    <row r="14" spans="1:13" ht="14.45" x14ac:dyDescent="0.3">
      <c r="A14" s="15" t="s">
        <v>74</v>
      </c>
      <c r="B14" s="16">
        <v>172747.9129468271</v>
      </c>
      <c r="C14" s="16">
        <v>1692576.0671250841</v>
      </c>
      <c r="D14" s="24">
        <f>35*Table717[[#This Row],[Duct Length]]/50</f>
        <v>120923.53906277897</v>
      </c>
      <c r="E14" s="24">
        <f>Table717[[#This Row],[Fiber Length]]*0.3/50</f>
        <v>10155.456402750504</v>
      </c>
      <c r="F14" s="17">
        <f>FTTB_Hybridpon_100!$B$16</f>
        <v>51080</v>
      </c>
      <c r="G14" s="17">
        <f>FTTB_Hybridpon_100!C16</f>
        <v>10128</v>
      </c>
      <c r="H14" s="17">
        <f>FTTB_Hybridpon_100!D16</f>
        <v>240000</v>
      </c>
      <c r="I14" s="24">
        <f>SUM(Table717[[#This Row],[Duct Cost]:[Building E&amp;I Costs]])</f>
        <v>432286.9954655295</v>
      </c>
      <c r="J14" s="21">
        <f t="shared" si="0"/>
        <v>21614349.773276474</v>
      </c>
      <c r="K14" s="21">
        <v>29262</v>
      </c>
      <c r="L14" s="17">
        <f t="shared" si="2"/>
        <v>738.64909347537673</v>
      </c>
      <c r="M14" s="17">
        <v>100</v>
      </c>
    </row>
    <row r="28" spans="2:5" ht="14.45" x14ac:dyDescent="0.3">
      <c r="B28" s="24"/>
      <c r="C28" s="24"/>
      <c r="D28" s="24"/>
    </row>
    <row r="29" spans="2:5" ht="14.45" x14ac:dyDescent="0.3">
      <c r="B29" s="24"/>
      <c r="C29" s="24"/>
      <c r="D29" s="24"/>
      <c r="E29" s="23"/>
    </row>
    <row r="30" spans="2:5" ht="14.45" x14ac:dyDescent="0.3">
      <c r="B30" s="24"/>
      <c r="C30" s="24"/>
      <c r="D30" s="24"/>
      <c r="E30" s="23"/>
    </row>
    <row r="31" spans="2:5" x14ac:dyDescent="0.25">
      <c r="B31" s="24"/>
      <c r="C31" s="24"/>
      <c r="D31" s="24"/>
      <c r="E31" s="23"/>
    </row>
    <row r="32" spans="2:5" x14ac:dyDescent="0.25">
      <c r="B32" s="24"/>
      <c r="C32" s="24"/>
      <c r="D32" s="24"/>
      <c r="E32" s="23"/>
    </row>
    <row r="33" spans="2:5" x14ac:dyDescent="0.25">
      <c r="B33" s="24"/>
      <c r="C33" s="24"/>
      <c r="D33" s="24"/>
      <c r="E33" s="23"/>
    </row>
    <row r="34" spans="2:5" x14ac:dyDescent="0.25">
      <c r="B34" s="24"/>
      <c r="C34" s="24"/>
      <c r="D34" s="24"/>
      <c r="E34" s="23"/>
    </row>
    <row r="35" spans="2:5" x14ac:dyDescent="0.25">
      <c r="B35" s="24"/>
      <c r="C35" s="24"/>
      <c r="D35" s="24"/>
      <c r="E35" s="23"/>
    </row>
    <row r="36" spans="2:5" x14ac:dyDescent="0.25">
      <c r="B36" s="24"/>
      <c r="C36" s="24"/>
      <c r="D36" s="24"/>
      <c r="E36" s="23"/>
    </row>
    <row r="37" spans="2:5" x14ac:dyDescent="0.25">
      <c r="B37" s="24"/>
      <c r="C37" s="24"/>
      <c r="D37" s="24"/>
      <c r="E37" s="23"/>
    </row>
    <row r="38" spans="2:5" x14ac:dyDescent="0.25">
      <c r="B38" s="24"/>
      <c r="C38" s="24"/>
      <c r="D38" s="24"/>
      <c r="E38" s="23"/>
    </row>
    <row r="39" spans="2:5" x14ac:dyDescent="0.25">
      <c r="B39" s="24"/>
      <c r="C39" s="24"/>
      <c r="D39" s="24"/>
      <c r="E39" s="23"/>
    </row>
    <row r="40" spans="2:5" x14ac:dyDescent="0.25">
      <c r="B40" s="24"/>
      <c r="C40" s="24"/>
      <c r="D40" s="24"/>
      <c r="E40" s="23"/>
    </row>
    <row r="55" spans="6:9" x14ac:dyDescent="0.25">
      <c r="F55" t="s">
        <v>1</v>
      </c>
      <c r="G55" t="s">
        <v>2</v>
      </c>
      <c r="H55" t="s">
        <v>130</v>
      </c>
      <c r="I55" t="s">
        <v>3</v>
      </c>
    </row>
    <row r="56" spans="6:9" x14ac:dyDescent="0.25">
      <c r="F56">
        <f>D2</f>
        <v>134032.15311618152</v>
      </c>
      <c r="G56" s="24">
        <f t="shared" ref="G56:H68" si="3">E2</f>
        <v>10655.320874972513</v>
      </c>
      <c r="H56" s="24">
        <f t="shared" si="3"/>
        <v>7492</v>
      </c>
      <c r="I56">
        <f>G2+H2</f>
        <v>285584</v>
      </c>
    </row>
    <row r="57" spans="6:9" x14ac:dyDescent="0.25">
      <c r="F57" s="24">
        <f t="shared" ref="F57:F120" si="4">D3</f>
        <v>134032.15311618152</v>
      </c>
      <c r="G57" s="24">
        <f t="shared" si="3"/>
        <v>10655.320874972513</v>
      </c>
      <c r="H57" s="24">
        <f t="shared" si="3"/>
        <v>12200</v>
      </c>
      <c r="I57" s="24">
        <f t="shared" ref="I57:I68" si="5">G3+H3</f>
        <v>123016</v>
      </c>
    </row>
    <row r="58" spans="6:9" x14ac:dyDescent="0.25">
      <c r="F58" s="24">
        <f t="shared" si="4"/>
        <v>104446.15236112358</v>
      </c>
      <c r="G58" s="24">
        <f t="shared" si="3"/>
        <v>7118.2838613933172</v>
      </c>
      <c r="H58" s="24">
        <f t="shared" si="3"/>
        <v>19000</v>
      </c>
      <c r="I58" s="24">
        <f t="shared" si="5"/>
        <v>120320</v>
      </c>
    </row>
    <row r="59" spans="6:9" x14ac:dyDescent="0.25">
      <c r="F59" s="24">
        <f t="shared" si="4"/>
        <v>104446.15236112358</v>
      </c>
      <c r="G59" s="24">
        <f t="shared" si="3"/>
        <v>7118.2838613933172</v>
      </c>
      <c r="H59" s="24">
        <f t="shared" si="3"/>
        <v>19000</v>
      </c>
      <c r="I59" s="24">
        <f t="shared" si="5"/>
        <v>480320</v>
      </c>
    </row>
    <row r="60" spans="6:9" x14ac:dyDescent="0.25">
      <c r="F60" s="24">
        <f t="shared" si="4"/>
        <v>134032.15311618152</v>
      </c>
      <c r="G60" s="24">
        <f t="shared" si="3"/>
        <v>10655.320874972513</v>
      </c>
      <c r="H60" s="24">
        <f t="shared" si="3"/>
        <v>39800</v>
      </c>
      <c r="I60" s="24">
        <f t="shared" si="5"/>
        <v>396752</v>
      </c>
    </row>
    <row r="61" spans="6:9" x14ac:dyDescent="0.25">
      <c r="F61" s="24">
        <f t="shared" si="4"/>
        <v>134032.15311618152</v>
      </c>
      <c r="G61" s="24">
        <f t="shared" si="3"/>
        <v>10655.320874972513</v>
      </c>
      <c r="H61" s="24">
        <f t="shared" si="3"/>
        <v>11984</v>
      </c>
      <c r="I61" s="24">
        <f t="shared" si="5"/>
        <v>625053</v>
      </c>
    </row>
    <row r="62" spans="6:9" x14ac:dyDescent="0.25">
      <c r="F62" s="24">
        <f t="shared" si="4"/>
        <v>134032.15311618152</v>
      </c>
      <c r="G62" s="24">
        <f t="shared" si="3"/>
        <v>10655.320874972513</v>
      </c>
      <c r="H62" s="24">
        <f t="shared" si="3"/>
        <v>21400</v>
      </c>
      <c r="I62" s="24">
        <f t="shared" si="5"/>
        <v>246032</v>
      </c>
    </row>
    <row r="63" spans="6:9" x14ac:dyDescent="0.25">
      <c r="F63" s="24">
        <f t="shared" si="4"/>
        <v>104446.15236112358</v>
      </c>
      <c r="G63" s="24">
        <f t="shared" si="3"/>
        <v>7118.2838613933172</v>
      </c>
      <c r="H63" s="24">
        <f t="shared" si="3"/>
        <v>38000</v>
      </c>
      <c r="I63" s="24">
        <f t="shared" si="5"/>
        <v>240640</v>
      </c>
    </row>
    <row r="64" spans="6:9" x14ac:dyDescent="0.25">
      <c r="F64" s="24">
        <f t="shared" si="4"/>
        <v>129857.75993294036</v>
      </c>
      <c r="G64" s="24">
        <f t="shared" si="3"/>
        <v>10155.456402750504</v>
      </c>
      <c r="H64" s="24">
        <f t="shared" si="3"/>
        <v>10040</v>
      </c>
      <c r="I64" s="24">
        <f t="shared" si="5"/>
        <v>308874</v>
      </c>
    </row>
    <row r="65" spans="6:9" x14ac:dyDescent="0.25">
      <c r="F65" s="24">
        <f t="shared" si="4"/>
        <v>120923.53906277897</v>
      </c>
      <c r="G65" s="24">
        <f t="shared" si="3"/>
        <v>10155.456402750504</v>
      </c>
      <c r="H65" s="24">
        <f t="shared" si="3"/>
        <v>27040</v>
      </c>
      <c r="I65" s="24">
        <f t="shared" si="5"/>
        <v>125064</v>
      </c>
    </row>
    <row r="66" spans="6:9" x14ac:dyDescent="0.25">
      <c r="F66" s="24">
        <f t="shared" si="4"/>
        <v>120923.53906277897</v>
      </c>
      <c r="G66" s="24">
        <f t="shared" si="3"/>
        <v>10155.456402750504</v>
      </c>
      <c r="H66" s="24">
        <f t="shared" si="3"/>
        <v>51080</v>
      </c>
      <c r="I66" s="24">
        <f t="shared" si="5"/>
        <v>458128</v>
      </c>
    </row>
    <row r="67" spans="6:9" x14ac:dyDescent="0.25">
      <c r="F67" s="24">
        <f t="shared" si="4"/>
        <v>120923.53906277897</v>
      </c>
      <c r="G67" s="24">
        <f t="shared" si="3"/>
        <v>10155.456402750504</v>
      </c>
      <c r="H67" s="24">
        <f t="shared" si="3"/>
        <v>31160</v>
      </c>
      <c r="I67" s="24">
        <f t="shared" si="5"/>
        <v>614956</v>
      </c>
    </row>
    <row r="68" spans="6:9" x14ac:dyDescent="0.25">
      <c r="F68" s="24">
        <f t="shared" si="4"/>
        <v>120923.53906277897</v>
      </c>
      <c r="G68" s="24">
        <f t="shared" si="3"/>
        <v>10155.456402750504</v>
      </c>
      <c r="H68" s="24">
        <f t="shared" si="3"/>
        <v>51080</v>
      </c>
      <c r="I68" s="24">
        <f t="shared" si="5"/>
        <v>250128</v>
      </c>
    </row>
    <row r="69" spans="6:9" x14ac:dyDescent="0.25">
      <c r="F69" s="24">
        <f t="shared" si="4"/>
        <v>0</v>
      </c>
    </row>
    <row r="70" spans="6:9" x14ac:dyDescent="0.25">
      <c r="F70" s="24">
        <f t="shared" si="4"/>
        <v>0</v>
      </c>
    </row>
    <row r="71" spans="6:9" x14ac:dyDescent="0.25">
      <c r="F71" s="24">
        <f t="shared" si="4"/>
        <v>0</v>
      </c>
    </row>
    <row r="72" spans="6:9" x14ac:dyDescent="0.25">
      <c r="F72" s="24">
        <f t="shared" si="4"/>
        <v>0</v>
      </c>
    </row>
    <row r="73" spans="6:9" x14ac:dyDescent="0.25">
      <c r="F73" s="24">
        <f t="shared" si="4"/>
        <v>0</v>
      </c>
    </row>
    <row r="74" spans="6:9" x14ac:dyDescent="0.25">
      <c r="F74" s="24">
        <f t="shared" si="4"/>
        <v>0</v>
      </c>
    </row>
    <row r="75" spans="6:9" x14ac:dyDescent="0.25">
      <c r="F75" s="24">
        <f t="shared" si="4"/>
        <v>0</v>
      </c>
    </row>
    <row r="76" spans="6:9" x14ac:dyDescent="0.25">
      <c r="F76" s="24">
        <f t="shared" si="4"/>
        <v>0</v>
      </c>
    </row>
    <row r="77" spans="6:9" x14ac:dyDescent="0.25">
      <c r="F77" s="24">
        <f t="shared" si="4"/>
        <v>0</v>
      </c>
    </row>
    <row r="78" spans="6:9" x14ac:dyDescent="0.25">
      <c r="F78" s="24">
        <f t="shared" si="4"/>
        <v>0</v>
      </c>
    </row>
    <row r="79" spans="6:9" x14ac:dyDescent="0.25">
      <c r="F79" s="24">
        <f t="shared" si="4"/>
        <v>0</v>
      </c>
    </row>
    <row r="80" spans="6:9" x14ac:dyDescent="0.25">
      <c r="F80" s="24">
        <f t="shared" si="4"/>
        <v>0</v>
      </c>
    </row>
    <row r="81" spans="1:8" x14ac:dyDescent="0.25">
      <c r="F81" s="24">
        <f t="shared" si="4"/>
        <v>0</v>
      </c>
    </row>
    <row r="82" spans="1:8" x14ac:dyDescent="0.25">
      <c r="F82" s="24">
        <f t="shared" si="4"/>
        <v>0</v>
      </c>
    </row>
    <row r="83" spans="1:8" x14ac:dyDescent="0.25">
      <c r="F83" s="24">
        <f t="shared" si="4"/>
        <v>0</v>
      </c>
    </row>
    <row r="84" spans="1:8" x14ac:dyDescent="0.25">
      <c r="A84" s="37">
        <v>43163.914328471001</v>
      </c>
      <c r="B84" s="37">
        <v>34814.142864069901</v>
      </c>
      <c r="C84" s="37">
        <v>113496.447259147</v>
      </c>
      <c r="D84" s="37">
        <v>187697.32807546799</v>
      </c>
      <c r="E84" s="37">
        <v>78478.516816500996</v>
      </c>
      <c r="F84" s="37">
        <v>1509710.9676034499</v>
      </c>
      <c r="G84">
        <f>SUM(A84:C84)</f>
        <v>191474.50445168791</v>
      </c>
      <c r="H84">
        <f>SUM(D84:F84)</f>
        <v>1775886.8124954188</v>
      </c>
    </row>
    <row r="85" spans="1:8" x14ac:dyDescent="0.25">
      <c r="A85" s="37">
        <v>43163.914328471001</v>
      </c>
      <c r="B85" s="37">
        <v>34814.142864069901</v>
      </c>
      <c r="C85" s="37">
        <v>113496.447259147</v>
      </c>
      <c r="D85" s="37">
        <v>187697.32807546799</v>
      </c>
      <c r="E85" s="37">
        <v>78478.516816500996</v>
      </c>
      <c r="F85" s="37">
        <v>1509710.9676034499</v>
      </c>
      <c r="G85" s="24">
        <f t="shared" ref="G85:G96" si="6">SUM(A85:C85)</f>
        <v>191474.50445168791</v>
      </c>
      <c r="H85" s="24">
        <f t="shared" ref="H85:H96" si="7">SUM(D85:F85)</f>
        <v>1775886.8124954188</v>
      </c>
    </row>
    <row r="86" spans="1:8" x14ac:dyDescent="0.25">
      <c r="A86" s="37">
        <v>38574.416626852399</v>
      </c>
      <c r="B86" s="37">
        <v>0</v>
      </c>
      <c r="C86" s="37">
        <v>110634.372460467</v>
      </c>
      <c r="D86" s="37">
        <v>144928.38419398299</v>
      </c>
      <c r="E86" s="37">
        <v>0</v>
      </c>
      <c r="F86" s="37">
        <v>1041452.25937157</v>
      </c>
      <c r="G86" s="24">
        <f t="shared" si="6"/>
        <v>149208.7890873194</v>
      </c>
      <c r="H86" s="24">
        <f t="shared" si="7"/>
        <v>1186380.643565553</v>
      </c>
    </row>
    <row r="87" spans="1:8" x14ac:dyDescent="0.25">
      <c r="A87" s="37">
        <v>38574.416626852399</v>
      </c>
      <c r="B87" s="37">
        <v>0</v>
      </c>
      <c r="C87" s="37">
        <v>110634.372460467</v>
      </c>
      <c r="D87" s="37">
        <v>144928.38419398299</v>
      </c>
      <c r="E87" s="37">
        <v>0</v>
      </c>
      <c r="F87" s="37">
        <v>1041452.25937157</v>
      </c>
      <c r="G87" s="24">
        <f t="shared" si="6"/>
        <v>149208.7890873194</v>
      </c>
      <c r="H87" s="24">
        <f t="shared" si="7"/>
        <v>1186380.643565553</v>
      </c>
    </row>
    <row r="88" spans="1:8" x14ac:dyDescent="0.25">
      <c r="A88" s="37">
        <v>43163.914328471001</v>
      </c>
      <c r="B88" s="37">
        <v>34814.142864069901</v>
      </c>
      <c r="C88" s="37">
        <v>113496.447259147</v>
      </c>
      <c r="D88" s="37">
        <v>187697.32807546799</v>
      </c>
      <c r="E88" s="37">
        <v>78478.516816500996</v>
      </c>
      <c r="F88" s="37">
        <v>1509710.9676034499</v>
      </c>
      <c r="G88" s="24">
        <f t="shared" si="6"/>
        <v>191474.50445168791</v>
      </c>
      <c r="H88" s="24">
        <f t="shared" si="7"/>
        <v>1775886.8124954188</v>
      </c>
    </row>
    <row r="89" spans="1:8" x14ac:dyDescent="0.25">
      <c r="A89" s="37">
        <v>43163.914328471001</v>
      </c>
      <c r="B89" s="37">
        <v>34814.142864069901</v>
      </c>
      <c r="C89" s="37">
        <v>113496.447259147</v>
      </c>
      <c r="D89" s="37">
        <v>187697.32807546799</v>
      </c>
      <c r="E89" s="37">
        <v>78478.516816500996</v>
      </c>
      <c r="F89" s="37">
        <v>1509710.9676034499</v>
      </c>
      <c r="G89" s="24">
        <f t="shared" si="6"/>
        <v>191474.50445168791</v>
      </c>
      <c r="H89" s="24">
        <f t="shared" si="7"/>
        <v>1775886.8124954188</v>
      </c>
    </row>
    <row r="90" spans="1:8" x14ac:dyDescent="0.25">
      <c r="A90" s="37">
        <v>43163.914328471001</v>
      </c>
      <c r="B90" s="37">
        <v>34814.142864069901</v>
      </c>
      <c r="C90" s="37">
        <v>113496.447259147</v>
      </c>
      <c r="D90" s="37">
        <v>187697.32807546799</v>
      </c>
      <c r="E90" s="37">
        <v>78478.516816500996</v>
      </c>
      <c r="F90" s="37">
        <v>1509710.9676034499</v>
      </c>
      <c r="G90" s="24">
        <f t="shared" si="6"/>
        <v>191474.50445168791</v>
      </c>
      <c r="H90" s="24">
        <f t="shared" si="7"/>
        <v>1775886.8124954188</v>
      </c>
    </row>
    <row r="91" spans="1:8" x14ac:dyDescent="0.25">
      <c r="A91" s="37">
        <v>38574.416626852399</v>
      </c>
      <c r="B91" s="37">
        <v>0</v>
      </c>
      <c r="C91" s="37">
        <v>110634.372460467</v>
      </c>
      <c r="D91" s="37">
        <v>144928.38419398299</v>
      </c>
      <c r="E91" s="37">
        <v>0</v>
      </c>
      <c r="F91" s="37">
        <v>1041452.25937157</v>
      </c>
      <c r="G91" s="24">
        <f t="shared" si="6"/>
        <v>149208.7890873194</v>
      </c>
      <c r="H91" s="24">
        <f t="shared" si="7"/>
        <v>1186380.643565553</v>
      </c>
    </row>
    <row r="92" spans="1:8" x14ac:dyDescent="0.25">
      <c r="A92" s="37">
        <v>19802.896521245599</v>
      </c>
      <c r="B92" s="37">
        <v>50641.171791515597</v>
      </c>
      <c r="C92" s="37">
        <v>115067.01730572501</v>
      </c>
      <c r="D92" s="37">
        <v>46262.984465988302</v>
      </c>
      <c r="E92" s="37">
        <v>102172.280668636</v>
      </c>
      <c r="F92" s="37">
        <v>1544140.8019904599</v>
      </c>
      <c r="G92" s="24">
        <f t="shared" si="6"/>
        <v>185511.08561848622</v>
      </c>
      <c r="H92" s="24">
        <f t="shared" si="7"/>
        <v>1692576.0671250841</v>
      </c>
    </row>
    <row r="93" spans="1:8" x14ac:dyDescent="0.25">
      <c r="A93" s="37">
        <v>7039.7238495865004</v>
      </c>
      <c r="B93" s="37">
        <v>50641.171791515597</v>
      </c>
      <c r="C93" s="37">
        <v>115067.01730572501</v>
      </c>
      <c r="D93" s="37">
        <v>46262.984465988302</v>
      </c>
      <c r="E93" s="37">
        <v>102172.280668636</v>
      </c>
      <c r="F93" s="37">
        <v>1544140.8019904599</v>
      </c>
      <c r="G93" s="24">
        <f t="shared" si="6"/>
        <v>172747.9129468271</v>
      </c>
      <c r="H93" s="24">
        <f t="shared" si="7"/>
        <v>1692576.0671250841</v>
      </c>
    </row>
    <row r="94" spans="1:8" x14ac:dyDescent="0.25">
      <c r="A94" s="37">
        <v>7039.7238495865004</v>
      </c>
      <c r="B94" s="37">
        <v>50641.171791515597</v>
      </c>
      <c r="C94" s="37">
        <v>115067.01730572501</v>
      </c>
      <c r="D94" s="37">
        <v>46262.984465988302</v>
      </c>
      <c r="E94" s="37">
        <v>102172.280668636</v>
      </c>
      <c r="F94" s="37">
        <v>1544140.8019904599</v>
      </c>
      <c r="G94" s="24">
        <f t="shared" si="6"/>
        <v>172747.9129468271</v>
      </c>
      <c r="H94" s="24">
        <f t="shared" si="7"/>
        <v>1692576.0671250841</v>
      </c>
    </row>
    <row r="95" spans="1:8" x14ac:dyDescent="0.25">
      <c r="A95" s="37">
        <v>7039.7238495865004</v>
      </c>
      <c r="B95" s="37">
        <v>50641.171791515597</v>
      </c>
      <c r="C95" s="37">
        <v>115067.01730572501</v>
      </c>
      <c r="D95" s="37">
        <v>46262.984465988302</v>
      </c>
      <c r="E95" s="37">
        <v>102172.280668636</v>
      </c>
      <c r="F95" s="37">
        <v>1544140.8019904599</v>
      </c>
      <c r="G95" s="24">
        <f t="shared" si="6"/>
        <v>172747.9129468271</v>
      </c>
      <c r="H95" s="24">
        <f t="shared" si="7"/>
        <v>1692576.0671250841</v>
      </c>
    </row>
    <row r="96" spans="1:8" x14ac:dyDescent="0.25">
      <c r="A96" s="37">
        <v>7039.7238495865004</v>
      </c>
      <c r="B96" s="37">
        <v>50641.171791515597</v>
      </c>
      <c r="C96" s="37">
        <v>115067.01730572501</v>
      </c>
      <c r="D96" s="37">
        <v>46262.984465988302</v>
      </c>
      <c r="E96" s="37">
        <v>102172.280668636</v>
      </c>
      <c r="F96" s="37">
        <v>1544140.8019904599</v>
      </c>
      <c r="G96" s="24">
        <f t="shared" si="6"/>
        <v>172747.9129468271</v>
      </c>
      <c r="H96" s="24">
        <f t="shared" si="7"/>
        <v>1692576.0671250841</v>
      </c>
    </row>
    <row r="97" spans="6:6" x14ac:dyDescent="0.25">
      <c r="F97" s="24">
        <f t="shared" si="4"/>
        <v>0</v>
      </c>
    </row>
    <row r="98" spans="6:6" x14ac:dyDescent="0.25">
      <c r="F98" s="24">
        <f t="shared" si="4"/>
        <v>0</v>
      </c>
    </row>
    <row r="99" spans="6:6" x14ac:dyDescent="0.25">
      <c r="F99" s="24">
        <f t="shared" si="4"/>
        <v>0</v>
      </c>
    </row>
    <row r="100" spans="6:6" x14ac:dyDescent="0.25">
      <c r="F100" s="24">
        <f t="shared" si="4"/>
        <v>0</v>
      </c>
    </row>
    <row r="101" spans="6:6" x14ac:dyDescent="0.25">
      <c r="F101" s="24">
        <f t="shared" si="4"/>
        <v>0</v>
      </c>
    </row>
    <row r="102" spans="6:6" x14ac:dyDescent="0.25">
      <c r="F102" s="24">
        <f t="shared" si="4"/>
        <v>0</v>
      </c>
    </row>
    <row r="103" spans="6:6" x14ac:dyDescent="0.25">
      <c r="F103" s="24">
        <f t="shared" si="4"/>
        <v>0</v>
      </c>
    </row>
    <row r="104" spans="6:6" x14ac:dyDescent="0.25">
      <c r="F104" s="24">
        <f t="shared" si="4"/>
        <v>0</v>
      </c>
    </row>
    <row r="105" spans="6:6" x14ac:dyDescent="0.25">
      <c r="F105" s="24">
        <f t="shared" si="4"/>
        <v>0</v>
      </c>
    </row>
    <row r="106" spans="6:6" x14ac:dyDescent="0.25">
      <c r="F106" s="24">
        <f t="shared" si="4"/>
        <v>0</v>
      </c>
    </row>
    <row r="107" spans="6:6" x14ac:dyDescent="0.25">
      <c r="F107" s="24">
        <f t="shared" si="4"/>
        <v>0</v>
      </c>
    </row>
    <row r="108" spans="6:6" x14ac:dyDescent="0.25">
      <c r="F108" s="24">
        <f t="shared" si="4"/>
        <v>0</v>
      </c>
    </row>
    <row r="109" spans="6:6" x14ac:dyDescent="0.25">
      <c r="F109" s="24">
        <f t="shared" si="4"/>
        <v>0</v>
      </c>
    </row>
    <row r="110" spans="6:6" x14ac:dyDescent="0.25">
      <c r="F110" s="24">
        <f t="shared" si="4"/>
        <v>0</v>
      </c>
    </row>
    <row r="111" spans="6:6" x14ac:dyDescent="0.25">
      <c r="F111" s="24">
        <f t="shared" si="4"/>
        <v>0</v>
      </c>
    </row>
    <row r="112" spans="6:6" x14ac:dyDescent="0.25">
      <c r="F112" s="24">
        <f t="shared" si="4"/>
        <v>0</v>
      </c>
    </row>
    <row r="113" spans="6:6" x14ac:dyDescent="0.25">
      <c r="F113" s="24">
        <f t="shared" si="4"/>
        <v>0</v>
      </c>
    </row>
    <row r="114" spans="6:6" x14ac:dyDescent="0.25">
      <c r="F114" s="24">
        <f t="shared" si="4"/>
        <v>0</v>
      </c>
    </row>
    <row r="115" spans="6:6" x14ac:dyDescent="0.25">
      <c r="F115" s="24">
        <f t="shared" si="4"/>
        <v>0</v>
      </c>
    </row>
    <row r="116" spans="6:6" x14ac:dyDescent="0.25">
      <c r="F116" s="24">
        <f t="shared" si="4"/>
        <v>0</v>
      </c>
    </row>
    <row r="117" spans="6:6" x14ac:dyDescent="0.25">
      <c r="F117" s="24">
        <f t="shared" si="4"/>
        <v>0</v>
      </c>
    </row>
    <row r="118" spans="6:6" x14ac:dyDescent="0.25">
      <c r="F118" s="24">
        <f t="shared" si="4"/>
        <v>0</v>
      </c>
    </row>
    <row r="119" spans="6:6" x14ac:dyDescent="0.25">
      <c r="F119" s="24">
        <f t="shared" si="4"/>
        <v>0</v>
      </c>
    </row>
    <row r="120" spans="6:6" x14ac:dyDescent="0.25">
      <c r="F120" s="24">
        <f t="shared" si="4"/>
        <v>0</v>
      </c>
    </row>
    <row r="121" spans="6:6" x14ac:dyDescent="0.25">
      <c r="F121" s="24">
        <f t="shared" ref="F121:F184" si="8">D67</f>
        <v>0</v>
      </c>
    </row>
    <row r="122" spans="6:6" x14ac:dyDescent="0.25">
      <c r="F122" s="24">
        <f t="shared" si="8"/>
        <v>0</v>
      </c>
    </row>
    <row r="123" spans="6:6" x14ac:dyDescent="0.25">
      <c r="F123" s="24">
        <f t="shared" si="8"/>
        <v>0</v>
      </c>
    </row>
    <row r="124" spans="6:6" x14ac:dyDescent="0.25">
      <c r="F124" s="24">
        <f t="shared" si="8"/>
        <v>0</v>
      </c>
    </row>
    <row r="125" spans="6:6" x14ac:dyDescent="0.25">
      <c r="F125" s="24">
        <f t="shared" si="8"/>
        <v>0</v>
      </c>
    </row>
    <row r="126" spans="6:6" x14ac:dyDescent="0.25">
      <c r="F126" s="24">
        <f t="shared" si="8"/>
        <v>0</v>
      </c>
    </row>
    <row r="127" spans="6:6" x14ac:dyDescent="0.25">
      <c r="F127" s="24">
        <f t="shared" si="8"/>
        <v>0</v>
      </c>
    </row>
    <row r="128" spans="6:6" x14ac:dyDescent="0.25">
      <c r="F128" s="24">
        <f t="shared" si="8"/>
        <v>0</v>
      </c>
    </row>
    <row r="129" spans="6:6" x14ac:dyDescent="0.25">
      <c r="F129" s="24">
        <f t="shared" si="8"/>
        <v>0</v>
      </c>
    </row>
    <row r="130" spans="6:6" x14ac:dyDescent="0.25">
      <c r="F130" s="24">
        <f t="shared" si="8"/>
        <v>0</v>
      </c>
    </row>
    <row r="131" spans="6:6" x14ac:dyDescent="0.25">
      <c r="F131" s="24">
        <f t="shared" si="8"/>
        <v>0</v>
      </c>
    </row>
    <row r="132" spans="6:6" x14ac:dyDescent="0.25">
      <c r="F132" s="24">
        <f t="shared" si="8"/>
        <v>0</v>
      </c>
    </row>
    <row r="133" spans="6:6" x14ac:dyDescent="0.25">
      <c r="F133" s="24">
        <f t="shared" si="8"/>
        <v>0</v>
      </c>
    </row>
    <row r="134" spans="6:6" x14ac:dyDescent="0.25">
      <c r="F134" s="24">
        <f t="shared" si="8"/>
        <v>0</v>
      </c>
    </row>
    <row r="135" spans="6:6" x14ac:dyDescent="0.25">
      <c r="F135" s="24">
        <f t="shared" si="8"/>
        <v>0</v>
      </c>
    </row>
    <row r="136" spans="6:6" x14ac:dyDescent="0.25">
      <c r="F136" s="24">
        <f t="shared" si="8"/>
        <v>0</v>
      </c>
    </row>
    <row r="137" spans="6:6" x14ac:dyDescent="0.25">
      <c r="F137" s="24">
        <f t="shared" si="8"/>
        <v>0</v>
      </c>
    </row>
    <row r="138" spans="6:6" x14ac:dyDescent="0.25">
      <c r="F138" s="24">
        <f t="shared" si="8"/>
        <v>187697.32807546799</v>
      </c>
    </row>
    <row r="139" spans="6:6" x14ac:dyDescent="0.25">
      <c r="F139" s="24">
        <f t="shared" si="8"/>
        <v>187697.32807546799</v>
      </c>
    </row>
    <row r="140" spans="6:6" x14ac:dyDescent="0.25">
      <c r="F140" s="24">
        <f t="shared" si="8"/>
        <v>144928.38419398299</v>
      </c>
    </row>
    <row r="141" spans="6:6" x14ac:dyDescent="0.25">
      <c r="F141" s="24">
        <f t="shared" si="8"/>
        <v>144928.38419398299</v>
      </c>
    </row>
    <row r="142" spans="6:6" x14ac:dyDescent="0.25">
      <c r="F142" s="24">
        <f t="shared" si="8"/>
        <v>187697.32807546799</v>
      </c>
    </row>
    <row r="143" spans="6:6" x14ac:dyDescent="0.25">
      <c r="F143" s="24">
        <f t="shared" si="8"/>
        <v>187697.32807546799</v>
      </c>
    </row>
    <row r="144" spans="6:6" x14ac:dyDescent="0.25">
      <c r="F144" s="24">
        <f t="shared" si="8"/>
        <v>187697.32807546799</v>
      </c>
    </row>
    <row r="145" spans="6:6" x14ac:dyDescent="0.25">
      <c r="F145" s="24">
        <f t="shared" si="8"/>
        <v>144928.38419398299</v>
      </c>
    </row>
    <row r="146" spans="6:6" x14ac:dyDescent="0.25">
      <c r="F146" s="24">
        <f t="shared" si="8"/>
        <v>46262.984465988302</v>
      </c>
    </row>
    <row r="147" spans="6:6" x14ac:dyDescent="0.25">
      <c r="F147" s="24">
        <f t="shared" si="8"/>
        <v>46262.984465988302</v>
      </c>
    </row>
    <row r="148" spans="6:6" x14ac:dyDescent="0.25">
      <c r="F148" s="24">
        <f t="shared" si="8"/>
        <v>46262.984465988302</v>
      </c>
    </row>
    <row r="149" spans="6:6" x14ac:dyDescent="0.25">
      <c r="F149" s="24">
        <f t="shared" si="8"/>
        <v>46262.984465988302</v>
      </c>
    </row>
    <row r="150" spans="6:6" x14ac:dyDescent="0.25">
      <c r="F150" s="24">
        <f t="shared" si="8"/>
        <v>46262.984465988302</v>
      </c>
    </row>
    <row r="151" spans="6:6" x14ac:dyDescent="0.25">
      <c r="F151" s="24">
        <f t="shared" si="8"/>
        <v>0</v>
      </c>
    </row>
    <row r="152" spans="6:6" x14ac:dyDescent="0.25">
      <c r="F152" s="24">
        <f t="shared" si="8"/>
        <v>0</v>
      </c>
    </row>
    <row r="153" spans="6:6" x14ac:dyDescent="0.25">
      <c r="F153" s="24">
        <f t="shared" si="8"/>
        <v>0</v>
      </c>
    </row>
    <row r="154" spans="6:6" x14ac:dyDescent="0.25">
      <c r="F154" s="24">
        <f t="shared" si="8"/>
        <v>0</v>
      </c>
    </row>
    <row r="155" spans="6:6" x14ac:dyDescent="0.25">
      <c r="F155" s="24">
        <f t="shared" si="8"/>
        <v>0</v>
      </c>
    </row>
    <row r="156" spans="6:6" x14ac:dyDescent="0.25">
      <c r="F156" s="24">
        <f t="shared" si="8"/>
        <v>0</v>
      </c>
    </row>
    <row r="157" spans="6:6" x14ac:dyDescent="0.25">
      <c r="F157" s="24">
        <f t="shared" si="8"/>
        <v>0</v>
      </c>
    </row>
    <row r="158" spans="6:6" x14ac:dyDescent="0.25">
      <c r="F158" s="24">
        <f t="shared" si="8"/>
        <v>0</v>
      </c>
    </row>
    <row r="159" spans="6:6" x14ac:dyDescent="0.25">
      <c r="F159" s="24">
        <f t="shared" si="8"/>
        <v>0</v>
      </c>
    </row>
    <row r="160" spans="6:6" x14ac:dyDescent="0.25">
      <c r="F160" s="24">
        <f t="shared" si="8"/>
        <v>0</v>
      </c>
    </row>
    <row r="161" spans="6:6" x14ac:dyDescent="0.25">
      <c r="F161" s="24">
        <f t="shared" si="8"/>
        <v>0</v>
      </c>
    </row>
    <row r="162" spans="6:6" x14ac:dyDescent="0.25">
      <c r="F162" s="24">
        <f t="shared" si="8"/>
        <v>0</v>
      </c>
    </row>
    <row r="163" spans="6:6" x14ac:dyDescent="0.25">
      <c r="F163" s="24">
        <f t="shared" si="8"/>
        <v>0</v>
      </c>
    </row>
    <row r="164" spans="6:6" x14ac:dyDescent="0.25">
      <c r="F164" s="24">
        <f t="shared" si="8"/>
        <v>0</v>
      </c>
    </row>
    <row r="165" spans="6:6" x14ac:dyDescent="0.25">
      <c r="F165" s="24">
        <f t="shared" si="8"/>
        <v>0</v>
      </c>
    </row>
    <row r="166" spans="6:6" x14ac:dyDescent="0.25">
      <c r="F166" s="24">
        <f t="shared" si="8"/>
        <v>0</v>
      </c>
    </row>
    <row r="167" spans="6:6" x14ac:dyDescent="0.25">
      <c r="F167" s="24">
        <f t="shared" si="8"/>
        <v>0</v>
      </c>
    </row>
    <row r="168" spans="6:6" x14ac:dyDescent="0.25">
      <c r="F168" s="24">
        <f t="shared" si="8"/>
        <v>0</v>
      </c>
    </row>
    <row r="169" spans="6:6" x14ac:dyDescent="0.25">
      <c r="F169" s="24">
        <f t="shared" si="8"/>
        <v>0</v>
      </c>
    </row>
    <row r="170" spans="6:6" x14ac:dyDescent="0.25">
      <c r="F170" s="24">
        <f t="shared" si="8"/>
        <v>0</v>
      </c>
    </row>
    <row r="171" spans="6:6" x14ac:dyDescent="0.25">
      <c r="F171" s="24">
        <f t="shared" si="8"/>
        <v>0</v>
      </c>
    </row>
    <row r="172" spans="6:6" x14ac:dyDescent="0.25">
      <c r="F172" s="24">
        <f t="shared" si="8"/>
        <v>0</v>
      </c>
    </row>
    <row r="173" spans="6:6" x14ac:dyDescent="0.25">
      <c r="F173" s="24">
        <f t="shared" si="8"/>
        <v>0</v>
      </c>
    </row>
    <row r="174" spans="6:6" x14ac:dyDescent="0.25">
      <c r="F174" s="24">
        <f t="shared" si="8"/>
        <v>0</v>
      </c>
    </row>
    <row r="175" spans="6:6" x14ac:dyDescent="0.25">
      <c r="F175" s="24">
        <f t="shared" si="8"/>
        <v>0</v>
      </c>
    </row>
    <row r="176" spans="6:6" x14ac:dyDescent="0.25">
      <c r="F176" s="24">
        <f t="shared" si="8"/>
        <v>0</v>
      </c>
    </row>
    <row r="177" spans="6:6" x14ac:dyDescent="0.25">
      <c r="F177" s="24">
        <f t="shared" si="8"/>
        <v>0</v>
      </c>
    </row>
    <row r="178" spans="6:6" x14ac:dyDescent="0.25">
      <c r="F178" s="24">
        <f t="shared" si="8"/>
        <v>0</v>
      </c>
    </row>
    <row r="179" spans="6:6" x14ac:dyDescent="0.25">
      <c r="F179" s="24">
        <f t="shared" si="8"/>
        <v>0</v>
      </c>
    </row>
    <row r="180" spans="6:6" x14ac:dyDescent="0.25">
      <c r="F180" s="24">
        <f t="shared" si="8"/>
        <v>0</v>
      </c>
    </row>
    <row r="181" spans="6:6" x14ac:dyDescent="0.25">
      <c r="F181" s="24">
        <f t="shared" si="8"/>
        <v>0</v>
      </c>
    </row>
    <row r="182" spans="6:6" x14ac:dyDescent="0.25">
      <c r="F182" s="24">
        <f t="shared" si="8"/>
        <v>0</v>
      </c>
    </row>
    <row r="183" spans="6:6" x14ac:dyDescent="0.25">
      <c r="F183" s="24">
        <f t="shared" si="8"/>
        <v>0</v>
      </c>
    </row>
    <row r="184" spans="6:6" x14ac:dyDescent="0.25">
      <c r="F184" s="24">
        <f t="shared" si="8"/>
        <v>0</v>
      </c>
    </row>
    <row r="185" spans="6:6" x14ac:dyDescent="0.25">
      <c r="F185" s="24">
        <f t="shared" ref="F185:F239" si="9">D131</f>
        <v>0</v>
      </c>
    </row>
    <row r="186" spans="6:6" x14ac:dyDescent="0.25">
      <c r="F186" s="24">
        <f t="shared" si="9"/>
        <v>0</v>
      </c>
    </row>
    <row r="187" spans="6:6" x14ac:dyDescent="0.25">
      <c r="F187" s="24">
        <f t="shared" si="9"/>
        <v>0</v>
      </c>
    </row>
    <row r="188" spans="6:6" x14ac:dyDescent="0.25">
      <c r="F188" s="24">
        <f t="shared" si="9"/>
        <v>0</v>
      </c>
    </row>
    <row r="189" spans="6:6" x14ac:dyDescent="0.25">
      <c r="F189" s="24">
        <f t="shared" si="9"/>
        <v>0</v>
      </c>
    </row>
    <row r="190" spans="6:6" x14ac:dyDescent="0.25">
      <c r="F190" s="24">
        <f t="shared" si="9"/>
        <v>0</v>
      </c>
    </row>
    <row r="191" spans="6:6" x14ac:dyDescent="0.25">
      <c r="F191" s="24">
        <f t="shared" si="9"/>
        <v>0</v>
      </c>
    </row>
    <row r="192" spans="6:6" x14ac:dyDescent="0.25">
      <c r="F192" s="24">
        <f t="shared" si="9"/>
        <v>0</v>
      </c>
    </row>
    <row r="193" spans="6:6" x14ac:dyDescent="0.25">
      <c r="F193" s="24">
        <f t="shared" si="9"/>
        <v>0</v>
      </c>
    </row>
    <row r="194" spans="6:6" x14ac:dyDescent="0.25">
      <c r="F194" s="24">
        <f t="shared" si="9"/>
        <v>0</v>
      </c>
    </row>
    <row r="195" spans="6:6" x14ac:dyDescent="0.25">
      <c r="F195" s="24">
        <f t="shared" si="9"/>
        <v>0</v>
      </c>
    </row>
    <row r="196" spans="6:6" x14ac:dyDescent="0.25">
      <c r="F196" s="24">
        <f t="shared" si="9"/>
        <v>0</v>
      </c>
    </row>
    <row r="197" spans="6:6" x14ac:dyDescent="0.25">
      <c r="F197" s="24">
        <f t="shared" si="9"/>
        <v>0</v>
      </c>
    </row>
    <row r="198" spans="6:6" x14ac:dyDescent="0.25">
      <c r="F198" s="24">
        <f t="shared" si="9"/>
        <v>0</v>
      </c>
    </row>
    <row r="199" spans="6:6" x14ac:dyDescent="0.25">
      <c r="F199" s="24">
        <f t="shared" si="9"/>
        <v>0</v>
      </c>
    </row>
    <row r="200" spans="6:6" x14ac:dyDescent="0.25">
      <c r="F200" s="24">
        <f t="shared" si="9"/>
        <v>0</v>
      </c>
    </row>
    <row r="201" spans="6:6" x14ac:dyDescent="0.25">
      <c r="F201" s="24">
        <f t="shared" si="9"/>
        <v>0</v>
      </c>
    </row>
    <row r="202" spans="6:6" x14ac:dyDescent="0.25">
      <c r="F202" s="24">
        <f t="shared" si="9"/>
        <v>0</v>
      </c>
    </row>
    <row r="203" spans="6:6" x14ac:dyDescent="0.25">
      <c r="F203" s="24">
        <f t="shared" si="9"/>
        <v>0</v>
      </c>
    </row>
    <row r="204" spans="6:6" x14ac:dyDescent="0.25">
      <c r="F204" s="24">
        <f t="shared" si="9"/>
        <v>0</v>
      </c>
    </row>
    <row r="205" spans="6:6" x14ac:dyDescent="0.25">
      <c r="F205" s="24">
        <f t="shared" si="9"/>
        <v>0</v>
      </c>
    </row>
    <row r="206" spans="6:6" x14ac:dyDescent="0.25">
      <c r="F206" s="24">
        <f t="shared" si="9"/>
        <v>0</v>
      </c>
    </row>
    <row r="207" spans="6:6" x14ac:dyDescent="0.25">
      <c r="F207" s="24">
        <f t="shared" si="9"/>
        <v>0</v>
      </c>
    </row>
    <row r="208" spans="6:6" x14ac:dyDescent="0.25">
      <c r="F208" s="24">
        <f t="shared" si="9"/>
        <v>0</v>
      </c>
    </row>
    <row r="209" spans="6:6" x14ac:dyDescent="0.25">
      <c r="F209" s="24">
        <f t="shared" si="9"/>
        <v>0</v>
      </c>
    </row>
    <row r="210" spans="6:6" x14ac:dyDescent="0.25">
      <c r="F210" s="24">
        <f t="shared" si="9"/>
        <v>0</v>
      </c>
    </row>
    <row r="211" spans="6:6" x14ac:dyDescent="0.25">
      <c r="F211" s="24">
        <f t="shared" si="9"/>
        <v>0</v>
      </c>
    </row>
    <row r="212" spans="6:6" x14ac:dyDescent="0.25">
      <c r="F212" s="24">
        <f t="shared" si="9"/>
        <v>0</v>
      </c>
    </row>
    <row r="213" spans="6:6" x14ac:dyDescent="0.25">
      <c r="F213" s="24">
        <f t="shared" si="9"/>
        <v>0</v>
      </c>
    </row>
    <row r="214" spans="6:6" x14ac:dyDescent="0.25">
      <c r="F214" s="24">
        <f t="shared" si="9"/>
        <v>0</v>
      </c>
    </row>
    <row r="215" spans="6:6" x14ac:dyDescent="0.25">
      <c r="F215" s="24">
        <f t="shared" si="9"/>
        <v>0</v>
      </c>
    </row>
    <row r="216" spans="6:6" x14ac:dyDescent="0.25">
      <c r="F216" s="24">
        <f t="shared" si="9"/>
        <v>0</v>
      </c>
    </row>
    <row r="217" spans="6:6" x14ac:dyDescent="0.25">
      <c r="F217" s="24">
        <f t="shared" si="9"/>
        <v>0</v>
      </c>
    </row>
    <row r="218" spans="6:6" x14ac:dyDescent="0.25">
      <c r="F218" s="24">
        <f t="shared" si="9"/>
        <v>0</v>
      </c>
    </row>
    <row r="219" spans="6:6" x14ac:dyDescent="0.25">
      <c r="F219" s="24">
        <f t="shared" si="9"/>
        <v>0</v>
      </c>
    </row>
    <row r="220" spans="6:6" x14ac:dyDescent="0.25">
      <c r="F220" s="24">
        <f t="shared" si="9"/>
        <v>0</v>
      </c>
    </row>
    <row r="221" spans="6:6" x14ac:dyDescent="0.25">
      <c r="F221" s="24">
        <f t="shared" si="9"/>
        <v>0</v>
      </c>
    </row>
    <row r="222" spans="6:6" x14ac:dyDescent="0.25">
      <c r="F222" s="24">
        <f t="shared" si="9"/>
        <v>0</v>
      </c>
    </row>
    <row r="223" spans="6:6" x14ac:dyDescent="0.25">
      <c r="F223" s="24">
        <f t="shared" si="9"/>
        <v>0</v>
      </c>
    </row>
    <row r="224" spans="6:6" x14ac:dyDescent="0.25">
      <c r="F224" s="24">
        <f t="shared" si="9"/>
        <v>0</v>
      </c>
    </row>
    <row r="225" spans="6:6" x14ac:dyDescent="0.25">
      <c r="F225" s="24">
        <f t="shared" si="9"/>
        <v>0</v>
      </c>
    </row>
    <row r="226" spans="6:6" x14ac:dyDescent="0.25">
      <c r="F226" s="24">
        <f t="shared" si="9"/>
        <v>0</v>
      </c>
    </row>
    <row r="227" spans="6:6" x14ac:dyDescent="0.25">
      <c r="F227" s="24">
        <f t="shared" si="9"/>
        <v>0</v>
      </c>
    </row>
    <row r="228" spans="6:6" x14ac:dyDescent="0.25">
      <c r="F228" s="24">
        <f t="shared" si="9"/>
        <v>0</v>
      </c>
    </row>
    <row r="229" spans="6:6" x14ac:dyDescent="0.25">
      <c r="F229" s="24">
        <f t="shared" si="9"/>
        <v>0</v>
      </c>
    </row>
    <row r="230" spans="6:6" x14ac:dyDescent="0.25">
      <c r="F230" s="24">
        <f t="shared" si="9"/>
        <v>0</v>
      </c>
    </row>
    <row r="231" spans="6:6" x14ac:dyDescent="0.25">
      <c r="F231" s="24">
        <f t="shared" si="9"/>
        <v>0</v>
      </c>
    </row>
    <row r="232" spans="6:6" x14ac:dyDescent="0.25">
      <c r="F232" s="24">
        <f t="shared" si="9"/>
        <v>0</v>
      </c>
    </row>
    <row r="233" spans="6:6" x14ac:dyDescent="0.25">
      <c r="F233" s="24">
        <f t="shared" si="9"/>
        <v>0</v>
      </c>
    </row>
    <row r="234" spans="6:6" x14ac:dyDescent="0.25">
      <c r="F234" s="24">
        <f t="shared" si="9"/>
        <v>0</v>
      </c>
    </row>
    <row r="235" spans="6:6" x14ac:dyDescent="0.25">
      <c r="F235" s="24">
        <f t="shared" si="9"/>
        <v>0</v>
      </c>
    </row>
    <row r="236" spans="6:6" x14ac:dyDescent="0.25">
      <c r="F236" s="24">
        <f t="shared" si="9"/>
        <v>0</v>
      </c>
    </row>
    <row r="237" spans="6:6" x14ac:dyDescent="0.25">
      <c r="F237" s="24">
        <f t="shared" si="9"/>
        <v>0</v>
      </c>
    </row>
    <row r="238" spans="6:6" x14ac:dyDescent="0.25">
      <c r="F238" s="24">
        <f t="shared" si="9"/>
        <v>0</v>
      </c>
    </row>
    <row r="239" spans="6:6" x14ac:dyDescent="0.25">
      <c r="F239" s="24">
        <f t="shared" si="9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B1" zoomScale="90" zoomScaleNormal="90" workbookViewId="0">
      <selection activeCell="D46" sqref="D46"/>
    </sheetView>
  </sheetViews>
  <sheetFormatPr defaultRowHeight="15" x14ac:dyDescent="0.25"/>
  <cols>
    <col min="1" max="1" width="34.7109375" customWidth="1"/>
    <col min="2" max="2" width="29.7109375" customWidth="1"/>
    <col min="3" max="3" width="24.28515625" customWidth="1"/>
    <col min="4" max="4" width="21.85546875" customWidth="1"/>
    <col min="5" max="5" width="21.7109375" customWidth="1"/>
    <col min="6" max="6" width="35.42578125" customWidth="1"/>
    <col min="7" max="7" width="32.140625" customWidth="1"/>
    <col min="8" max="8" width="30.28515625" customWidth="1"/>
    <col min="9" max="9" width="31.28515625" customWidth="1"/>
    <col min="10" max="10" width="15.2851562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112</v>
      </c>
      <c r="K1" s="24" t="s">
        <v>57</v>
      </c>
      <c r="L1" s="24" t="s">
        <v>113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71.26*Table7172[[#This Row],[Duct Length]]/50</f>
        <v>220258.5472510673</v>
      </c>
      <c r="E2" s="24">
        <f>9.61*Table7172[[#This Row],[Fiber Length]]/50</f>
        <v>181054.59289743542</v>
      </c>
      <c r="F2" s="24">
        <f>'FTTCab GPON 26 Mbps'!B$20</f>
        <v>14500</v>
      </c>
      <c r="G2" s="24">
        <f>'FTTCab GPON 26 Mbps'!C$20</f>
        <v>276148.8</v>
      </c>
      <c r="H2" s="24">
        <f>'FTTCab GPON 26 Mbps'!D$20</f>
        <v>0</v>
      </c>
      <c r="I2" s="24">
        <f>SUM(Table7172[[#This Row],[Duct Cost]:[Building E&amp;I Costs]])</f>
        <v>691961.9401485027</v>
      </c>
      <c r="J2" s="24">
        <f t="shared" ref="J2:J14" si="0">I2*50</f>
        <v>34598097.007425137</v>
      </c>
      <c r="K2" s="24">
        <v>29262</v>
      </c>
      <c r="L2" s="24">
        <f>J2/K2</f>
        <v>1182.3558542623587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18100</v>
      </c>
      <c r="G3" s="24">
        <f>'FTTB XGPON 50 Mbps'!C$19</f>
        <v>1658.4</v>
      </c>
      <c r="H3" s="24">
        <f>'FTTB XGPON 50 Mbps'!D$19</f>
        <v>204800</v>
      </c>
      <c r="I3" s="24">
        <f>SUM(Table7172[[#This Row],[Duct Cost]:[Building E&amp;I Costs]])</f>
        <v>567965.15606202511</v>
      </c>
      <c r="J3" s="24">
        <f t="shared" si="0"/>
        <v>28398257.803101256</v>
      </c>
      <c r="K3" s="24">
        <v>29262</v>
      </c>
      <c r="L3" s="24">
        <f t="shared" ref="L3:L6" si="1">J3/K3</f>
        <v>970.48246200195672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28200</v>
      </c>
      <c r="G4" s="24">
        <f>'FTTB WR-WDMPON 50 Mbps'!C$17</f>
        <v>160</v>
      </c>
      <c r="H4" s="24">
        <f>'FTTB WR-WDMPON 50 Mbps'!D$17</f>
        <v>213600</v>
      </c>
      <c r="I4" s="24">
        <f>SUM(Table7172[[#This Row],[Duct Cost]:[Building E&amp;I Costs]])</f>
        <v>518578.37939566193</v>
      </c>
      <c r="J4" s="24">
        <f t="shared" si="0"/>
        <v>25928918.969783098</v>
      </c>
      <c r="K4" s="24">
        <v>29262</v>
      </c>
      <c r="L4" s="24">
        <f t="shared" si="1"/>
        <v>886.09524194460721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28200</v>
      </c>
      <c r="G5" s="24">
        <f>'FTTH WR-WDMPON 100 Mbps'!C$17</f>
        <v>160</v>
      </c>
      <c r="H5" s="24">
        <f>'FTTH WR-WDMPON 100 Mbps'!D$17</f>
        <v>316800</v>
      </c>
      <c r="I5" s="24">
        <f>SUM(Table7172[[#This Row],[Duct Cost]:[Building E&amp;I Costs]])</f>
        <v>621778.37939566188</v>
      </c>
      <c r="J5" s="24">
        <f t="shared" si="0"/>
        <v>31088918.969783094</v>
      </c>
      <c r="K5" s="24">
        <v>29262</v>
      </c>
      <c r="L5" s="24">
        <f t="shared" si="1"/>
        <v>1062.4331545958271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240200</v>
      </c>
      <c r="G6" s="24">
        <f>'FTTH XGPON 100 Mbps'!C$19</f>
        <v>51456</v>
      </c>
      <c r="H6" s="24">
        <f>'FTTH XGPON 100 Mbps'!D$19</f>
        <v>316800</v>
      </c>
      <c r="I6" s="24">
        <f>SUM(Table7172[[#This Row],[Duct Cost]:[Building E&amp;I Costs]])</f>
        <v>951862.75606202509</v>
      </c>
      <c r="J6" s="24">
        <f t="shared" si="0"/>
        <v>47593137.803101256</v>
      </c>
      <c r="K6" s="24">
        <v>29262</v>
      </c>
      <c r="L6" s="24">
        <f t="shared" si="1"/>
        <v>1626.4485613799895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71.26*Table7172[[#This Row],[Duct Length]]/50</f>
        <v>220258.5472510673</v>
      </c>
      <c r="E7" s="24">
        <f>9.61*Table7172[[#This Row],[Fiber Length]]/50</f>
        <v>181054.59289743542</v>
      </c>
      <c r="F7" s="24">
        <f>FTTCab_GPON_100!B$18</f>
        <v>28900</v>
      </c>
      <c r="G7" s="24">
        <f>FTTCab_GPON_100!C$18</f>
        <v>731624.5</v>
      </c>
      <c r="H7" s="24">
        <f>FTTCab_GPON_100!D$18</f>
        <v>0</v>
      </c>
      <c r="I7" s="24">
        <f>SUM(Table7172[[#This Row],[Duct Cost]:[Building E&amp;I Costs]])</f>
        <v>1161837.6401485028</v>
      </c>
      <c r="J7" s="24">
        <f t="shared" si="0"/>
        <v>58091882.007425137</v>
      </c>
      <c r="K7" s="24">
        <v>29262</v>
      </c>
      <c r="L7" s="24">
        <f>J7/K7</f>
        <v>1985.2327936376576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36100</v>
      </c>
      <c r="G8" s="24">
        <f>FTTB_XGPON_100!C$18</f>
        <v>3316.8</v>
      </c>
      <c r="H8" s="24">
        <f>FTTB_XGPON_100!D$18</f>
        <v>409600</v>
      </c>
      <c r="I8" s="24">
        <f>SUM(Table7172[[#This Row],[Duct Cost]:[Building E&amp;I Costs]])</f>
        <v>792423.55606202502</v>
      </c>
      <c r="J8" s="24">
        <f t="shared" si="0"/>
        <v>39621177.803101249</v>
      </c>
      <c r="K8" s="24">
        <v>29262</v>
      </c>
      <c r="L8" s="24">
        <f>J8/K8</f>
        <v>1354.0146880972336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48400</v>
      </c>
      <c r="G9" s="24">
        <f>FTTB_WRWDM_100!C$16</f>
        <v>320</v>
      </c>
      <c r="H9" s="24">
        <f>FTTB_WRWDM_100!D$16</f>
        <v>427200</v>
      </c>
      <c r="I9" s="24">
        <f>SUM(Table7172[[#This Row],[Duct Cost]:[Building E&amp;I Costs]])</f>
        <v>752538.37939566188</v>
      </c>
      <c r="J9" s="24">
        <f t="shared" si="0"/>
        <v>37626918.969783098</v>
      </c>
      <c r="K9" s="24">
        <v>29262</v>
      </c>
      <c r="L9" s="24">
        <f>J9/K9</f>
        <v>1285.8628586488653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71.26*Table7172[[#This Row],[Duct Length]]/50</f>
        <v>180489.8749974439</v>
      </c>
      <c r="E10" s="24">
        <f>9.61*Table7172[[#This Row],[Fiber Length]]/50</f>
        <v>121030.53463843174</v>
      </c>
      <c r="F10" s="24">
        <f>FTTCab_Hybridpon_25!B$18</f>
        <v>14600</v>
      </c>
      <c r="G10" s="24">
        <f>FTTCab_Hybridpon_25!C$18</f>
        <v>185293.4</v>
      </c>
      <c r="H10" s="24">
        <f>FTTCab_Hybridpon_25!D$18</f>
        <v>0</v>
      </c>
      <c r="I10" s="24">
        <f>SUM(Table7172[[#This Row],[Duct Cost]:[Building E&amp;I Costs]])</f>
        <v>501413.80963587563</v>
      </c>
      <c r="J10" s="24">
        <f t="shared" si="0"/>
        <v>25070690.48179378</v>
      </c>
      <c r="K10" s="24">
        <v>29262</v>
      </c>
      <c r="L10" s="24">
        <f t="shared" ref="L10:L14" si="2">J10/K10</f>
        <v>856.76612951246602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36000</v>
      </c>
      <c r="G11" s="24">
        <f>FTTB_Hybridpon_50!C$17</f>
        <v>734.99999999999989</v>
      </c>
      <c r="H11" s="24">
        <f>FTTB_Hybridpon_50!D$17</f>
        <v>216000</v>
      </c>
      <c r="I11" s="24">
        <f>SUM(Table7172[[#This Row],[Duct Cost]:[Building E&amp;I Costs]])</f>
        <v>551856.06274949864</v>
      </c>
      <c r="J11" s="24">
        <f t="shared" si="0"/>
        <v>27592803.137474932</v>
      </c>
      <c r="K11" s="24">
        <v>29262</v>
      </c>
      <c r="L11" s="24">
        <f t="shared" si="2"/>
        <v>942.95684291828763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71.26*Table7172[[#This Row],[Duct Length]]/50</f>
        <v>181766.91113571086</v>
      </c>
      <c r="E12" s="24">
        <f>9.61*Table7172[[#This Row],[Fiber Length]]/50</f>
        <v>241088.66761378772</v>
      </c>
      <c r="F12" s="24">
        <f>FTTH_Hybridpon_100!B$17</f>
        <v>72000</v>
      </c>
      <c r="G12" s="24">
        <f>FTTH_Hybridpon_100!C$17</f>
        <v>1469.9999999999998</v>
      </c>
      <c r="H12" s="24">
        <f>FTTH_Hybridpon_100!D$17</f>
        <v>320000</v>
      </c>
      <c r="I12" s="24">
        <f>SUM(Table7172[[#This Row],[Duct Cost]:[Building E&amp;I Costs]])</f>
        <v>816325.57874949859</v>
      </c>
      <c r="J12" s="24">
        <f t="shared" si="0"/>
        <v>40816278.937474929</v>
      </c>
      <c r="K12" s="24">
        <v>29262</v>
      </c>
      <c r="L12" s="24">
        <f t="shared" si="2"/>
        <v>1394.8560910899778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57800</v>
      </c>
      <c r="G13" s="24">
        <f>FTTC_Hybridpon_100!C$18</f>
        <v>638801.6</v>
      </c>
      <c r="H13" s="24">
        <f>FTTC_Hybridpon_100!D$18</f>
        <v>0</v>
      </c>
      <c r="I13" s="24">
        <f>SUM(Table7172[[#This Row],[Duct Cost]:[Building E&amp;I Costs]])</f>
        <v>998122.00963587558</v>
      </c>
      <c r="J13" s="24">
        <f t="shared" si="0"/>
        <v>49906100.481793776</v>
      </c>
      <c r="K13" s="24">
        <v>29262</v>
      </c>
      <c r="L13" s="24">
        <f t="shared" si="2"/>
        <v>1705.491780527434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71.26*Table7172[[#This Row],[Duct Length]]/50</f>
        <v>181766.91113571086</v>
      </c>
      <c r="E14" s="24">
        <f>9.61*Table7172[[#This Row],[Fiber Length]]/50</f>
        <v>117354.15161378775</v>
      </c>
      <c r="F14" s="17">
        <f>FTTB_Hybridpon_100!B$17</f>
        <v>72000</v>
      </c>
      <c r="G14" s="17">
        <f>FTTB_Hybridpon_100!C$17</f>
        <v>1469.9999999999998</v>
      </c>
      <c r="H14" s="17">
        <f>FTTB_Hybridpon_100!D$17</f>
        <v>432000</v>
      </c>
      <c r="I14" s="24">
        <f>SUM(Table7172[[#This Row],[Duct Cost]:[Building E&amp;I Costs]])</f>
        <v>804591.06274949864</v>
      </c>
      <c r="J14" s="24">
        <f t="shared" si="0"/>
        <v>40229553.137474932</v>
      </c>
      <c r="K14" s="24">
        <v>29262</v>
      </c>
      <c r="L14" s="17">
        <f t="shared" si="2"/>
        <v>1374.8053153398582</v>
      </c>
      <c r="M14" s="17">
        <v>100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D4" workbookViewId="0">
      <selection activeCell="T4" sqref="T4"/>
    </sheetView>
  </sheetViews>
  <sheetFormatPr defaultRowHeight="15" x14ac:dyDescent="0.25"/>
  <cols>
    <col min="1" max="1" width="53.85546875" customWidth="1"/>
    <col min="2" max="2" width="23" customWidth="1"/>
    <col min="3" max="3" width="17.28515625" customWidth="1"/>
    <col min="4" max="4" width="19.28515625" customWidth="1"/>
    <col min="5" max="5" width="17" customWidth="1"/>
    <col min="6" max="6" width="18.42578125" customWidth="1"/>
    <col min="7" max="7" width="15.7109375" customWidth="1"/>
    <col min="8" max="8" width="17.140625" customWidth="1"/>
    <col min="9" max="9" width="18.710937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126</v>
      </c>
      <c r="K1" s="24" t="s">
        <v>57</v>
      </c>
      <c r="L1" s="24" t="s">
        <v>129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27*Table717218[[#This Row],[Duct Length]]/50</f>
        <v>83454.683914942696</v>
      </c>
      <c r="E2" s="24">
        <f>0.3*Table717218[[#This Row],[Fiber Length]]/50</f>
        <v>5652.0684567357575</v>
      </c>
      <c r="F2" s="24">
        <f>'FTTCab GPON 26 Mbps'!B$21</f>
        <v>2500</v>
      </c>
      <c r="G2" s="24">
        <f>'FTTCab GPON 26 Mbps'!C$21</f>
        <v>213440</v>
      </c>
      <c r="H2" s="24">
        <f>'FTTCab GPON 26 Mbps'!D$21</f>
        <v>0</v>
      </c>
      <c r="I2" s="24">
        <f>SUM(Table717218[[#This Row],[Duct Cost]:[Building E&amp;I Costs]])</f>
        <v>305046.75237167848</v>
      </c>
      <c r="J2" s="24">
        <f t="shared" ref="J2:J14" si="0">I2*50</f>
        <v>15252337.618583923</v>
      </c>
      <c r="K2" s="24">
        <v>29262</v>
      </c>
      <c r="L2" s="24">
        <f>J2/K2</f>
        <v>521.23360052573037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3300</v>
      </c>
      <c r="G3" s="24">
        <f>'FTTB XGPON 50 Mbps'!C$20</f>
        <v>0</v>
      </c>
      <c r="H3" s="24">
        <f>'FTTB XGPON 50 Mbps'!D$20</f>
        <v>120000</v>
      </c>
      <c r="I3" s="24">
        <f>SUM(Table717218[[#This Row],[Duct Cost]:[Building E&amp;I Costs]])</f>
        <v>210599.06088094553</v>
      </c>
      <c r="J3" s="24">
        <f t="shared" si="0"/>
        <v>10529953.044047277</v>
      </c>
      <c r="K3" s="24">
        <v>29262</v>
      </c>
      <c r="L3" s="24">
        <f t="shared" ref="L3:L6" si="1">J3/K3</f>
        <v>359.85076358578624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4800</v>
      </c>
      <c r="G4" s="24">
        <f>'FTTB WR-WDMPON 50 Mbps'!C$18</f>
        <v>0</v>
      </c>
      <c r="H4" s="24">
        <f>'FTTB WR-WDMPON 50 Mbps'!D$18</f>
        <v>120000</v>
      </c>
      <c r="I4" s="24">
        <f>SUM(Table717218[[#This Row],[Duct Cost]:[Building E&amp;I Costs]])</f>
        <v>180787.46299989594</v>
      </c>
      <c r="J4" s="24">
        <f t="shared" si="0"/>
        <v>9039373.149994798</v>
      </c>
      <c r="K4" s="24">
        <v>29262</v>
      </c>
      <c r="L4" s="24">
        <f t="shared" si="1"/>
        <v>308.91166529952835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4800</v>
      </c>
      <c r="G5" s="24">
        <f>'FTTH WR-WDMPON 100 Mbps'!C$18</f>
        <v>160</v>
      </c>
      <c r="H5" s="24">
        <f>'FTTH WR-WDMPON 100 Mbps'!D$18</f>
        <v>448000</v>
      </c>
      <c r="I5" s="24">
        <f>SUM(Table717218[[#This Row],[Duct Cost]:[Building E&amp;I Costs]])</f>
        <v>508947.46299989591</v>
      </c>
      <c r="J5" s="24">
        <f t="shared" si="0"/>
        <v>25447373.149994794</v>
      </c>
      <c r="K5" s="24">
        <v>29262</v>
      </c>
      <c r="L5" s="24">
        <f t="shared" si="1"/>
        <v>869.63888831914414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13200</v>
      </c>
      <c r="G6" s="24">
        <f>'FTTH XGPON 100 Mbps'!C$20</f>
        <v>992</v>
      </c>
      <c r="H6" s="24">
        <f>'FTTH XGPON 100 Mbps'!D$20</f>
        <v>448000</v>
      </c>
      <c r="I6" s="24">
        <f>SUM(Table717218[[#This Row],[Duct Cost]:[Building E&amp;I Costs]])</f>
        <v>549491.06088094553</v>
      </c>
      <c r="J6" s="24">
        <f t="shared" si="0"/>
        <v>27474553.044047277</v>
      </c>
      <c r="K6" s="24">
        <v>29262</v>
      </c>
      <c r="L6" s="24">
        <f t="shared" si="1"/>
        <v>938.91576256056578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27*Table717218[[#This Row],[Duct Length]]/50</f>
        <v>83454.683914942696</v>
      </c>
      <c r="E7" s="24">
        <f>0.3*Table717218[[#This Row],[Fiber Length]]/50</f>
        <v>5652.0684567357575</v>
      </c>
      <c r="F7" s="24">
        <f>FTTCab_GPON_100!B$19</f>
        <v>5000</v>
      </c>
      <c r="G7" s="24">
        <f>FTTCab_GPON_100!C$19</f>
        <v>97510</v>
      </c>
      <c r="H7" s="24">
        <f>FTTCab_GPON_100!D$19</f>
        <v>0</v>
      </c>
      <c r="I7" s="24">
        <f>SUM(Table717218[[#This Row],[Duct Cost]:[Building E&amp;I Costs]])</f>
        <v>191616.75237167845</v>
      </c>
      <c r="J7" s="24">
        <f t="shared" si="0"/>
        <v>9580837.6185839232</v>
      </c>
      <c r="K7" s="24">
        <v>29262</v>
      </c>
      <c r="L7" s="24">
        <f>J7/K7</f>
        <v>327.41567967274699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6600</v>
      </c>
      <c r="G8" s="24">
        <f>FTTB_XGPON_100!C$19</f>
        <v>4960</v>
      </c>
      <c r="H8" s="24">
        <f>FTTB_XGPON_100!D$19</f>
        <v>240000</v>
      </c>
      <c r="I8" s="24">
        <f>SUM(Table717218[[#This Row],[Duct Cost]:[Building E&amp;I Costs]])</f>
        <v>338859.06088094553</v>
      </c>
      <c r="J8" s="24">
        <f t="shared" si="0"/>
        <v>16942953.044047277</v>
      </c>
      <c r="K8" s="24">
        <v>29262</v>
      </c>
      <c r="L8" s="24">
        <f>J8/K8</f>
        <v>579.00871587886263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38400</v>
      </c>
      <c r="G9" s="24">
        <f>FTTB_WRWDM_100!C$17</f>
        <v>3200</v>
      </c>
      <c r="H9" s="24">
        <f>FTTB_WRWDM_100!D$17</f>
        <v>240000</v>
      </c>
      <c r="I9" s="24">
        <f>SUM(Table717218[[#This Row],[Duct Cost]:[Building E&amp;I Costs]])</f>
        <v>337587.46299989591</v>
      </c>
      <c r="J9" s="24">
        <f t="shared" si="0"/>
        <v>16879373.149994794</v>
      </c>
      <c r="K9" s="24">
        <v>29262</v>
      </c>
      <c r="L9" s="24">
        <f>J9/K9</f>
        <v>576.83593568432764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2500</v>
      </c>
      <c r="G10" s="24">
        <f>FTTCab_Hybridpon_25!C$19</f>
        <v>130910</v>
      </c>
      <c r="H10" s="24">
        <f>FTTCab_Hybridpon_25!D$19</f>
        <v>0</v>
      </c>
      <c r="I10" s="24">
        <f>SUM(Table717218[[#This Row],[Duct Cost]:[Building E&amp;I Costs]])</f>
        <v>205574.83355361945</v>
      </c>
      <c r="J10" s="24">
        <f t="shared" si="0"/>
        <v>10278741.677680973</v>
      </c>
      <c r="K10" s="24">
        <v>29262</v>
      </c>
      <c r="L10" s="24">
        <f t="shared" ref="L10:L14" si="2">J10/K10</f>
        <v>351.26586281460504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6600</v>
      </c>
      <c r="G11" s="24">
        <f>FTTB_Hybridpon_50!C$18</f>
        <v>108680</v>
      </c>
      <c r="H11" s="24">
        <f>FTTB_Hybridpon_50!D$18</f>
        <v>40000</v>
      </c>
      <c r="I11" s="24">
        <f>SUM(Table717218[[#This Row],[Duct Cost]:[Building E&amp;I Costs]])</f>
        <v>227813.92770707383</v>
      </c>
      <c r="J11" s="24">
        <f t="shared" si="0"/>
        <v>11390696.385353692</v>
      </c>
      <c r="K11" s="24">
        <v>29262</v>
      </c>
      <c r="L11" s="24">
        <f t="shared" si="2"/>
        <v>389.26581865059433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27*Table717218[[#This Row],[Duct Length]]/50</f>
        <v>68870.426616112716</v>
      </c>
      <c r="E12" s="24">
        <f>0.3*Table717218[[#This Row],[Fiber Length]]/50</f>
        <v>7526.1810909611158</v>
      </c>
      <c r="F12" s="24">
        <f>FTTH_Hybridpon_100!B$18</f>
        <v>13200</v>
      </c>
      <c r="G12" s="24">
        <f>FTTH_Hybridpon_100!C$18</f>
        <v>9880</v>
      </c>
      <c r="H12" s="24">
        <f>FTTH_Hybridpon_100!D$18</f>
        <v>448000</v>
      </c>
      <c r="I12" s="24">
        <f>SUM(Table717218[[#This Row],[Duct Cost]:[Building E&amp;I Costs]])</f>
        <v>547476.6077070738</v>
      </c>
      <c r="J12" s="24">
        <f t="shared" si="0"/>
        <v>27373830.385353688</v>
      </c>
      <c r="K12" s="24">
        <v>29262</v>
      </c>
      <c r="L12" s="24">
        <f t="shared" si="2"/>
        <v>935.47366500422697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10000</v>
      </c>
      <c r="G13" s="24">
        <f>FTTC_Hybridpon_100!C$19</f>
        <v>462460</v>
      </c>
      <c r="H13" s="24">
        <f>FTTC_Hybridpon_100!D$19</f>
        <v>0</v>
      </c>
      <c r="I13" s="24">
        <f>SUM(Table717218[[#This Row],[Duct Cost]:[Building E&amp;I Costs]])</f>
        <v>544624.83355361945</v>
      </c>
      <c r="J13" s="24">
        <f t="shared" si="0"/>
        <v>27231241.677680973</v>
      </c>
      <c r="K13" s="24">
        <v>29262</v>
      </c>
      <c r="L13" s="24">
        <f t="shared" si="2"/>
        <v>930.60083650061426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27*Table717218[[#This Row],[Duct Length]]/50</f>
        <v>68870.426616112716</v>
      </c>
      <c r="E14" s="24">
        <f>0.3*Table717218[[#This Row],[Fiber Length]]/50</f>
        <v>3663.5010909611156</v>
      </c>
      <c r="F14" s="17">
        <f>FTTB_Hybridpon_100!B$18</f>
        <v>13200</v>
      </c>
      <c r="G14" s="17">
        <f>FTTB_Hybridpon_100!C$18</f>
        <v>9880</v>
      </c>
      <c r="H14" s="17">
        <f>FTTB_Hybridpon_100!D$18</f>
        <v>240000</v>
      </c>
      <c r="I14" s="24">
        <f>SUM(Table717218[[#This Row],[Duct Cost]:[Building E&amp;I Costs]])</f>
        <v>335613.92770707386</v>
      </c>
      <c r="J14" s="24">
        <f t="shared" si="0"/>
        <v>16780696.385353692</v>
      </c>
      <c r="K14" s="24">
        <v>29262</v>
      </c>
      <c r="L14" s="17">
        <f t="shared" si="2"/>
        <v>573.4637545401439</v>
      </c>
      <c r="M14" s="17">
        <v>100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70" zoomScaleNormal="70" workbookViewId="0">
      <selection activeCell="A219" sqref="A219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G8" sqref="G8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22.5703125" customWidth="1"/>
    <col min="8" max="8" width="30.140625" customWidth="1"/>
    <col min="9" max="9" width="23.5703125" customWidth="1"/>
    <col min="10" max="10" width="20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121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50</v>
      </c>
      <c r="H2" s="4">
        <f>Table2[[#This Row],[Cost per Unit (OASE)]]*Table2[[#This Row],[Quantity]]</f>
        <v>2000</v>
      </c>
      <c r="I2" s="4">
        <f>Table2[[#This Row],[Cost per Unit (Rokkas)]]*Table2[[#This Row],[Quantity]]</f>
        <v>3500</v>
      </c>
      <c r="J2" s="30">
        <f>Table2[[#This Row],[Cost per Unit (BSG)]]*Table2[[#This Row],[Quantity]]</f>
        <v>14400</v>
      </c>
      <c r="K2" s="33">
        <f>Table2[[#This Row],[Cost per Unit(Philipson)]]*Table2[[#This Row],[Quantity]]</f>
        <v>2500</v>
      </c>
    </row>
    <row r="3" spans="1:11" x14ac:dyDescent="0.25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124*2</f>
        <v>248</v>
      </c>
      <c r="H3" s="4">
        <f>Table2[[#This Row],[Cost per Unit (OASE)]]*Table2[[#This Row],[Quantity]]</f>
        <v>992</v>
      </c>
      <c r="I3" s="4">
        <f>Table2[[#This Row],[Cost per Unit (Rokkas)]]*Table2[[#This Row],[Quantity]]</f>
        <v>992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620</v>
      </c>
      <c r="H4" s="4">
        <f>Table2[[#This Row],[Cost per Unit (OASE)]]*Table2[[#This Row],[Quantity]]</f>
        <v>6.8888888888888893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124*2</f>
        <v>248</v>
      </c>
      <c r="H6" s="4">
        <f>Table2[[#This Row],[Cost per Unit (OASE)]]*Table2[[#This Row],[Quantity]]</f>
        <v>446.40000000000003</v>
      </c>
      <c r="I6" s="4">
        <f>Table2[[#This Row],[Cost per Unit (Rokkas)]]*Table2[[#This Row],[Quantity]]</f>
        <v>2480</v>
      </c>
      <c r="J6" s="30">
        <f>Table2[[#This Row],[Cost per Unit (BSG)]]*Table2[[#This Row],[Quantity]]</f>
        <v>347.2</v>
      </c>
      <c r="K6" s="33">
        <f>Table2[[#This Row],[Cost per Unit(Philipson)]]*Table2[[#This Row],[Quantity]]</f>
        <v>0</v>
      </c>
    </row>
    <row r="7" spans="1:11" x14ac:dyDescent="0.25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124*2</f>
        <v>248</v>
      </c>
      <c r="H7" s="4">
        <f>Table2[[#This Row],[Cost per Unit (OASE)]]*Table2[[#This Row],[Quantity]]</f>
        <v>992</v>
      </c>
      <c r="I7" s="4">
        <f>Table2[[#This Row],[Cost per Unit (Rokkas)]]*Table2[[#This Row],[Quantity]]</f>
        <v>992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x14ac:dyDescent="0.2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928*2</f>
        <v>1856</v>
      </c>
      <c r="H8" s="4">
        <f>Table2[[#This Row],[Cost per Unit (OASE)]]*Table2[[#This Row],[Quantity]]</f>
        <v>1856</v>
      </c>
      <c r="I8" s="4">
        <f>Table2[[#This Row],[Cost per Unit (Rokkas)]]*Table2[[#This Row],[Quantity]]</f>
        <v>3712</v>
      </c>
      <c r="J8" s="30">
        <f>Table2[[#This Row],[Cost per Unit (BSG)]]*Table2[[#This Row],[Quantity]]</f>
        <v>2969.6000000000004</v>
      </c>
      <c r="K8" s="33">
        <f>Table2[[#This Row],[Cost per Unit(Philipson)]]*Table2[[#This Row],[Quantity]]</f>
        <v>9280</v>
      </c>
    </row>
    <row r="9" spans="1:11" x14ac:dyDescent="0.25">
      <c r="A9" s="6" t="s">
        <v>30</v>
      </c>
      <c r="B9" s="6" t="s">
        <v>127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928</v>
      </c>
      <c r="H9" s="4">
        <f>Table2[[#This Row],[Cost per Unit (OASE)]]*Table2[[#This Row],[Quantity]]</f>
        <v>115072</v>
      </c>
      <c r="I9" s="4">
        <f>Table2[[#This Row],[Cost per Unit (Rokkas)]]*Table2[[#This Row],[Quantity]]</f>
        <v>278400</v>
      </c>
      <c r="J9" s="30">
        <f>Table2[[#This Row],[Cost per Unit (BSG)]]*Table2[[#This Row],[Quantity]]</f>
        <v>272832</v>
      </c>
      <c r="K9" s="33">
        <f>Table2[[#This Row],[Cost per Unit(Philipson)]]*Table2[[#This Row],[Quantity]]</f>
        <v>204160</v>
      </c>
    </row>
    <row r="10" spans="1:11" x14ac:dyDescent="0.25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7895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11"/>
    </row>
    <row r="17" spans="1:10" ht="14.45" x14ac:dyDescent="0.3">
      <c r="A17" t="s">
        <v>84</v>
      </c>
      <c r="B17" t="s">
        <v>35</v>
      </c>
      <c r="C17" t="s">
        <v>36</v>
      </c>
      <c r="D17" t="s">
        <v>37</v>
      </c>
      <c r="E17" t="s">
        <v>34</v>
      </c>
    </row>
    <row r="18" spans="1:10" thickBot="1" x14ac:dyDescent="0.35">
      <c r="A18" t="s">
        <v>85</v>
      </c>
      <c r="B18" s="9">
        <f>SUM(H2:H5)</f>
        <v>3198.8888888888887</v>
      </c>
      <c r="C18" s="9">
        <f>SUM(H6:H9)</f>
        <v>118366.39999999999</v>
      </c>
      <c r="D18" s="10">
        <f>SUM(H10:H11)</f>
        <v>0</v>
      </c>
      <c r="E18" s="5">
        <f>SUM(B18:D18)</f>
        <v>121565.28888888888</v>
      </c>
      <c r="F18" s="10"/>
    </row>
    <row r="19" spans="1:10" ht="15.6" thickTop="1" thickBot="1" x14ac:dyDescent="0.35">
      <c r="A19" t="s">
        <v>86</v>
      </c>
      <c r="B19">
        <f>SUM(I2:I5)</f>
        <v>7492</v>
      </c>
      <c r="C19">
        <f>SUM(I6:I9)</f>
        <v>285584</v>
      </c>
      <c r="D19" s="21">
        <f>SUM(I10)</f>
        <v>0</v>
      </c>
      <c r="E19" s="5">
        <f>SUM(B19:D19)</f>
        <v>293076</v>
      </c>
    </row>
    <row r="20" spans="1:10" ht="15.6" thickTop="1" thickBot="1" x14ac:dyDescent="0.35">
      <c r="A20" t="s">
        <v>110</v>
      </c>
      <c r="B20">
        <f>SUM(J$2:J$5)</f>
        <v>14500</v>
      </c>
      <c r="C20">
        <f>SUM(J6:J9)</f>
        <v>276148.8</v>
      </c>
      <c r="D20" s="21">
        <f>SUM(J10)</f>
        <v>0</v>
      </c>
      <c r="E20" s="5">
        <f>SUM(B20:D20)</f>
        <v>290648.8</v>
      </c>
    </row>
    <row r="21" spans="1:10" ht="15.6" thickTop="1" thickBot="1" x14ac:dyDescent="0.35">
      <c r="A21" t="s">
        <v>6</v>
      </c>
      <c r="B21">
        <f>SUM(K2:K5)</f>
        <v>2500</v>
      </c>
      <c r="C21">
        <f>SUM(K6:K9)</f>
        <v>213440</v>
      </c>
      <c r="D21" s="21">
        <f>SUM(K10)</f>
        <v>0</v>
      </c>
      <c r="E21" s="5">
        <f>SUM(B21:D21)</f>
        <v>215940</v>
      </c>
    </row>
    <row r="22" spans="1:10" thickTop="1" x14ac:dyDescent="0.3"/>
    <row r="32" spans="1:10" ht="14.45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2" sqref="G2:G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  <col min="9" max="9" width="15.140625" customWidth="1"/>
    <col min="10" max="10" width="15.71093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60</v>
      </c>
      <c r="H2" s="4">
        <f>Table24[[#This Row],[Cost per Unit (OASE)]]*Table24[[#This Row],[Quantity]]</f>
        <v>4800</v>
      </c>
      <c r="I2" s="12">
        <f>Table24[[#This Row],[Cost per Unit (Rokkas)]]*Table24[[#This Row],[Quantity]]</f>
        <v>8400</v>
      </c>
      <c r="J2" s="12">
        <f>Table24[[#This Row],[Cost per Unit(BSG)]]*Table24[[#This Row],[Quantity]]</f>
        <v>18000</v>
      </c>
      <c r="K2" s="35">
        <f>Table24[[#This Row],[Cost per Unit(Phillipson)]]*Table24[[#This Row],[Quantity]]</f>
        <v>3300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v>200</v>
      </c>
      <c r="H3" s="4">
        <f>Table24[[#This Row],[Cost per Unit (OASE)]]*Table24[[#This Row],[Quantity]]</f>
        <v>2400</v>
      </c>
      <c r="I3" s="12">
        <f>Table24[[#This Row],[Cost per Unit (Rokkas)]]*Table24[[#This Row],[Quantity]]</f>
        <v>800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1800</v>
      </c>
      <c r="H4" s="4">
        <f>Table24[[#This Row],[Cost per Unit (OASE)]]*Table24[[#This Row],[Quantity]]</f>
        <v>20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v>124</v>
      </c>
      <c r="H6" s="4">
        <f>Table24[[#This Row],[Cost per Unit (OASE)]]*Table24[[#This Row],[Quantity]]</f>
        <v>223.20000000000002</v>
      </c>
      <c r="I6" s="12">
        <f>Table24[[#This Row],[Cost per Unit (Rokkas)]]*Table24[[#This Row],[Quantity]]</f>
        <v>1240</v>
      </c>
      <c r="J6" s="12">
        <f>Table24[[#This Row],[Cost per Unit(BSG)]]*Table24[[#This Row],[Quantity]]</f>
        <v>173.6</v>
      </c>
      <c r="K6" s="35">
        <f>Table24[[#This Row],[Cost per Unit(Phillipson)]]*Table24[[#This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124</v>
      </c>
      <c r="H7" s="4">
        <f>Table24[[#This Row],[Cost per Unit (OASE)]]*Table24[[#This Row],[Quantity]]</f>
        <v>1488</v>
      </c>
      <c r="I7" s="12">
        <f>Table24[[#This Row],[Cost per Unit (Rokkas)]]*Table24[[#This Row],[Quantity]]</f>
        <v>496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x14ac:dyDescent="0.25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928</v>
      </c>
      <c r="H8" s="4">
        <f>Table24[[#This Row],[Cost per Unit (OASE)]]*Table24[[#This Row],[Quantity]]</f>
        <v>1670.4</v>
      </c>
      <c r="I8" s="12">
        <f>Table24[[#This Row],[Cost per Unit (Rokkas)]]*Table24[[#This Row],[Quantity]]</f>
        <v>9280</v>
      </c>
      <c r="J8" s="12">
        <f>Table24[[#This Row],[Cost per Unit(BSG)]]*Table24[[#This Row],[Quantity]]</f>
        <v>1484.8000000000002</v>
      </c>
      <c r="K8" s="35">
        <f>Table24[[#This Row],[Cost per Unit(Phillipson)]]*Table24[[#This Row],[Quantity]]</f>
        <v>0</v>
      </c>
    </row>
    <row r="9" spans="1:11" x14ac:dyDescent="0.25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8000</v>
      </c>
      <c r="H9" s="4">
        <f>Table24[[#This Row],[Cost per Unit (OASE)]]*Table24[[#This Row],[Quantity]]</f>
        <v>80000</v>
      </c>
      <c r="I9" s="12">
        <f>Table24[[#This Row],[Cost per Unit (Rokkas)]]*Table24[[#This Row],[Quantity]]</f>
        <v>80000</v>
      </c>
      <c r="J9" s="12">
        <f>Table24[[#This Row],[Cost per Unit(BSG)]]*Table24[[#This Row],[Quantity]]</f>
        <v>192000</v>
      </c>
      <c r="K9" s="35">
        <f>Table24[[#This Row],[Cost per Unit(Phillipson)]]*Table24[[#This Row],[Quantity]]</f>
        <v>80000</v>
      </c>
    </row>
    <row r="10" spans="1:11" x14ac:dyDescent="0.25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8000</v>
      </c>
      <c r="H10" s="11">
        <f>Table24[[#This Row],[Cost per Unit (OASE)]]*Table24[[#This Row],[Quantity]]</f>
        <v>16800</v>
      </c>
      <c r="I10" s="12">
        <f>Table24[[#This Row],[Cost per Unit (Rokkas)]]*Table24[[#This Row],[Quantity]]</f>
        <v>32000</v>
      </c>
      <c r="J10" s="12">
        <f>Table24[[#This Row],[Cost per Unit(BSG)]]*Table24[[#This Row],[Quantity]]</f>
        <v>12800</v>
      </c>
      <c r="K10" s="35">
        <f>Table24[[#This Row],[Cost per Unit(Phillipson)]]*Table24[[#This Row],[Quantity]]</f>
        <v>40000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ht="14.45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thickBot="1" x14ac:dyDescent="0.35">
      <c r="A17" t="s">
        <v>85</v>
      </c>
      <c r="B17" s="9">
        <f>SUM(H2:H5)</f>
        <v>7420</v>
      </c>
      <c r="C17" s="9">
        <f>SUM(H6:H8)</f>
        <v>3381.6000000000004</v>
      </c>
      <c r="D17" s="10">
        <f>SUM(H9:H11)</f>
        <v>96800</v>
      </c>
      <c r="E17" s="5">
        <f>SUM(B17:D17)</f>
        <v>107601.60000000001</v>
      </c>
      <c r="F17" s="5"/>
      <c r="G17" s="10"/>
    </row>
    <row r="18" spans="1:7" ht="15.6" thickTop="1" thickBot="1" x14ac:dyDescent="0.35">
      <c r="A18" t="s">
        <v>86</v>
      </c>
      <c r="B18">
        <f>SUM(I2:I5)</f>
        <v>12200</v>
      </c>
      <c r="C18">
        <f>SUM(I6:I8)</f>
        <v>11016</v>
      </c>
      <c r="D18" s="21">
        <f>SUM(I9:I10)</f>
        <v>112000</v>
      </c>
      <c r="E18" s="5">
        <f>SUM(B18:D18)</f>
        <v>135216</v>
      </c>
      <c r="F18" s="5"/>
    </row>
    <row r="19" spans="1:7" ht="15.6" thickTop="1" thickBot="1" x14ac:dyDescent="0.35">
      <c r="A19" t="s">
        <v>110</v>
      </c>
      <c r="B19">
        <f>SUM(J$2:J$5)</f>
        <v>18100</v>
      </c>
      <c r="C19">
        <f>SUM(J6:J8)</f>
        <v>1658.4</v>
      </c>
      <c r="D19" s="21">
        <f>SUM(J9:J10)</f>
        <v>204800</v>
      </c>
      <c r="E19" s="5">
        <f>SUM(B19:D19)</f>
        <v>224558.4</v>
      </c>
      <c r="F19" s="5"/>
    </row>
    <row r="20" spans="1:7" ht="15.6" thickTop="1" thickBot="1" x14ac:dyDescent="0.35">
      <c r="A20" t="s">
        <v>6</v>
      </c>
      <c r="B20" s="24">
        <f>SUM(K$2:K$5)</f>
        <v>3300</v>
      </c>
      <c r="C20">
        <f>SUM(K6:K8)</f>
        <v>0</v>
      </c>
      <c r="D20" s="21">
        <f>SUM(K9:K10)</f>
        <v>120000</v>
      </c>
      <c r="E20" s="5">
        <f>SUM(B20:D20)</f>
        <v>123300</v>
      </c>
    </row>
    <row r="21" spans="1:7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G2" sqref="G2:G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5</v>
      </c>
      <c r="H2" s="4">
        <f>Table245[[#This Row],[Cost per Unit (OASE)]]*Table245[[#This Row],[Quantity]]</f>
        <v>80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x14ac:dyDescent="0.25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80</v>
      </c>
      <c r="H3" s="4">
        <f>Table245[[#This Row],[Cost per Unit (OASE)]]*Table245[[#This Row],[Quantity]]</f>
        <v>704</v>
      </c>
      <c r="I3" s="12">
        <f>Table245[[#This Row],[Cost per Unit(Rokkas)]]*Table245[[#This Row],[Quantity]]</f>
        <v>16000</v>
      </c>
      <c r="J3" s="12">
        <f>Table245[[#This Row],[Cost per Unit(BSG)]]*Table245[[#This Row],[Quantity]]</f>
        <v>28000</v>
      </c>
      <c r="K3" s="35">
        <f>Table245[[#This Row],[Cost per Unit(Phillipson)]]*Table245[[#This Row],[Quantity]]</f>
        <v>4800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80</v>
      </c>
      <c r="H4" s="4">
        <f>Table245[[#This Row],[Cost per Unit (OASE)]]*Table245[[#This Row],[Quantity]]</f>
        <v>5040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80</v>
      </c>
      <c r="H5" s="4">
        <f>Table245[[#This Row],[Cost per Unit (OASE)]]*Table245[[#This Row],[Quantity]]</f>
        <v>184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2250</v>
      </c>
      <c r="H6" s="4">
        <f>Table245[[#This Row],[Cost per Unit (OASE)]]*Table245[[#This Row],[Quantity]]</f>
        <v>50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x14ac:dyDescent="0.2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x14ac:dyDescent="0.2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0</v>
      </c>
      <c r="G8" s="4">
        <v>80</v>
      </c>
      <c r="H8" s="4">
        <f>Table245[[#This Row],[Cost per Unit (OASE)]]*Table245[[#This Row],[Quantity]]</f>
        <v>1920</v>
      </c>
      <c r="I8" s="12">
        <f>Table245[[#This Row],[Cost per Unit(Rokkas)]]*Table245[[#This Row],[Quantity]]</f>
        <v>320</v>
      </c>
      <c r="J8" s="12">
        <f>Table245[[#This Row],[Cost per Unit(BSG)]]*Table245[[#This Row],[Quantity]]</f>
        <v>160</v>
      </c>
      <c r="K8" s="35">
        <f>Table245[[#This Row],[Cost per Unit(Phillipson)]]*Table245[[#This Row],[Quantity]]</f>
        <v>0</v>
      </c>
    </row>
    <row r="9" spans="1:11" x14ac:dyDescent="0.25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8000</v>
      </c>
      <c r="H9" s="4">
        <f>Table245[[#This Row],[Cost per Unit (OASE)]]*Table245[[#This Row],[Quantity]]</f>
        <v>80000</v>
      </c>
      <c r="I9" s="12">
        <f>Table245[[#This Row],[Cost per Unit(Rokkas)]]*Table245[[#This Row],[Quantity]]</f>
        <v>80000</v>
      </c>
      <c r="J9" s="12">
        <f>Table245[[#This Row],[Cost per Unit(BSG)]]*Table245[[#This Row],[Quantity]]</f>
        <v>192000</v>
      </c>
      <c r="K9" s="35">
        <f>Table245[[#This Row],[Cost per Unit(Phillipson)]]*Table245[[#This Row],[Quantity]]</f>
        <v>80000</v>
      </c>
    </row>
    <row r="10" spans="1:11" x14ac:dyDescent="0.25">
      <c r="A10" s="6" t="s">
        <v>32</v>
      </c>
      <c r="B10" s="6" t="s">
        <v>88</v>
      </c>
      <c r="C10" s="4">
        <f>2.1</f>
        <v>2.1</v>
      </c>
      <c r="D10" s="4">
        <f>250/50</f>
        <v>5</v>
      </c>
      <c r="E10" s="4">
        <f>135/50</f>
        <v>2.7</v>
      </c>
      <c r="F10" s="4">
        <v>5</v>
      </c>
      <c r="G10" s="4">
        <v>8000</v>
      </c>
      <c r="H10" s="4">
        <f>Table245[[#This Row],[Cost per Unit (OASE)]]*Table245[[#This Row],[Quantity]]</f>
        <v>16800</v>
      </c>
      <c r="I10" s="12">
        <f>Table245[[#This Row],[Cost per Unit(Rokkas)]]*Table245[[#This Row],[Quantity]]</f>
        <v>40000</v>
      </c>
      <c r="J10" s="12">
        <f>Table245[[#This Row],[Cost per Unit(BSG)]]*Table245[[#This Row],[Quantity]]</f>
        <v>21600</v>
      </c>
      <c r="K10" s="35">
        <f>Table245[[#This Row],[Cost per Unit(Phillipson)]]*Table245[[#This Row],[Quantity]]</f>
        <v>40000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thickBot="1" x14ac:dyDescent="0.35">
      <c r="A15" t="s">
        <v>85</v>
      </c>
      <c r="B15" s="9">
        <f>SUM(H2:H7)</f>
        <v>6458</v>
      </c>
      <c r="C15" s="9">
        <f>SUM(H8:H8)</f>
        <v>1920</v>
      </c>
      <c r="D15" s="10">
        <f>SUM(H9:H11)</f>
        <v>96800</v>
      </c>
      <c r="E15" s="5">
        <f>SUM(B15:D15)</f>
        <v>105178</v>
      </c>
      <c r="F15" s="5"/>
      <c r="G15" s="10"/>
    </row>
    <row r="16" spans="1:11" ht="15.6" thickTop="1" thickBot="1" x14ac:dyDescent="0.35">
      <c r="A16" t="s">
        <v>86</v>
      </c>
      <c r="B16">
        <f>SUM(I2:I7)</f>
        <v>19000</v>
      </c>
      <c r="C16">
        <f>SUM(I8)</f>
        <v>320</v>
      </c>
      <c r="D16" s="21">
        <f>SUM(I9:I10)</f>
        <v>120000</v>
      </c>
      <c r="E16" s="5">
        <f t="shared" ref="E16:E18" si="0">SUM(B16:D16)</f>
        <v>139320</v>
      </c>
      <c r="F16" s="5"/>
    </row>
    <row r="17" spans="1:6" ht="15.6" thickTop="1" thickBot="1" x14ac:dyDescent="0.35">
      <c r="A17" t="s">
        <v>110</v>
      </c>
      <c r="B17">
        <f>SUM(J2:J7)</f>
        <v>28200</v>
      </c>
      <c r="C17">
        <f>J8</f>
        <v>160</v>
      </c>
      <c r="D17" s="21">
        <f>SUM(J9:J10)</f>
        <v>213600</v>
      </c>
      <c r="E17" s="5">
        <f t="shared" si="0"/>
        <v>241960</v>
      </c>
      <c r="F17" s="5"/>
    </row>
    <row r="18" spans="1:6" ht="15.6" thickTop="1" thickBot="1" x14ac:dyDescent="0.35">
      <c r="A18" t="s">
        <v>6</v>
      </c>
      <c r="B18">
        <f>SUM(K2:K7)</f>
        <v>4800</v>
      </c>
      <c r="C18">
        <f>K8</f>
        <v>0</v>
      </c>
      <c r="D18" s="21">
        <f>SUM(K9:K10)</f>
        <v>120000</v>
      </c>
      <c r="E18" s="5">
        <f t="shared" si="0"/>
        <v>124800</v>
      </c>
    </row>
    <row r="19" spans="1:6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5" sqref="D5"/>
    </sheetView>
  </sheetViews>
  <sheetFormatPr defaultRowHeight="15" x14ac:dyDescent="0.25"/>
  <cols>
    <col min="1" max="1" width="25.5703125" customWidth="1"/>
    <col min="2" max="2" width="27.7109375" customWidth="1"/>
    <col min="3" max="3" width="25" customWidth="1"/>
    <col min="4" max="4" width="28.28515625" customWidth="1"/>
    <col min="5" max="5" width="28" customWidth="1"/>
    <col min="6" max="6" width="28" style="24" customWidth="1"/>
    <col min="10" max="10" width="29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5</v>
      </c>
      <c r="H2" s="4">
        <f>Table2456[[#This Row],[Cost per Unit (OASE)]]*Table2456[[#This Row],[Quantity]]</f>
        <v>80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x14ac:dyDescent="0.25">
      <c r="A3" s="6" t="s">
        <v>27</v>
      </c>
      <c r="B3" s="6" t="s">
        <v>42</v>
      </c>
      <c r="C3" s="4">
        <v>20</v>
      </c>
      <c r="D3" s="4">
        <f>10000/50</f>
        <v>200</v>
      </c>
      <c r="E3" s="4">
        <v>350</v>
      </c>
      <c r="F3" s="4">
        <v>60</v>
      </c>
      <c r="G3" s="4">
        <v>80</v>
      </c>
      <c r="H3" s="4">
        <f>Table2456[[#This Row],[Cost per Unit (OASE)]]*Table2456[[#This Row],[Quantity]]</f>
        <v>1600</v>
      </c>
      <c r="I3" s="12">
        <f>Table2456[[#This Row],[Cost per Unit(Rokkas)]]*Table2456[[#This Row],[Quantity]]</f>
        <v>16000</v>
      </c>
      <c r="J3" s="12">
        <f>Table2456[[#This Row],[Cost per Unit (BSG)]]*Table2456[[#This Row],[Quantity]]</f>
        <v>28000</v>
      </c>
      <c r="K3" s="35">
        <f>Table2456[[#This Row],[Cost per Unit(Phillipson)]]*Table2456[[#This Row],[Quantity]]</f>
        <v>4800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80</v>
      </c>
      <c r="H4" s="4">
        <f>Table2456[[#This Row],[Cost per Unit (OASE)]]*Table2456[[#This Row],[Quantity]]</f>
        <v>5040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80</v>
      </c>
      <c r="H5" s="4">
        <f>Table2456[[#This Row],[Cost per Unit (OASE)]]*Table2456[[#This Row],[Quantity]]</f>
        <v>184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4500</v>
      </c>
      <c r="H6" s="4">
        <f>Table2456[[#This Row],[Cost per Unit (OASE)]]*Table2456[[#This Row],[Quantity]]</f>
        <v>100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x14ac:dyDescent="0.25">
      <c r="A7" s="6" t="s">
        <v>27</v>
      </c>
      <c r="B7" s="6" t="s">
        <v>46</v>
      </c>
      <c r="C7" s="4">
        <f>400</f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Table2456[[#This Row],[Cost per Unit (OASE)]]*Table2456[[#This Row],[Quantity]]</f>
        <v>400</v>
      </c>
      <c r="I7" s="12">
        <f>Table2456[[#This Row],[Cost per Unit(Rokkas)]]*Table2456[[#This Row],[Quantity]]</f>
        <v>3000</v>
      </c>
      <c r="J7" s="12">
        <f>Table2456[[#This Row],[Cost per Unit (BSG)]]*Table2456[[#This Row],[Quantity]]</f>
        <v>200</v>
      </c>
      <c r="K7" s="35">
        <f>Table2456[[#This Row],[Cost per Unit(Phillipson)]]*Table2456[[#This Row],[Quantity]]</f>
        <v>0</v>
      </c>
    </row>
    <row r="8" spans="1:11" x14ac:dyDescent="0.2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80</v>
      </c>
      <c r="H8" s="4">
        <f>Table2456[[#This Row],[Cost per Unit (OASE)]]*Table2456[[#This Row],[Quantity]]</f>
        <v>1920</v>
      </c>
      <c r="I8" s="12">
        <f>Table2456[[#This Row],[Cost per Unit(Rokkas)]]*Table2456[[#This Row],[Quantity]]</f>
        <v>320</v>
      </c>
      <c r="J8" s="12">
        <f>Table2456[[#This Row],[Cost per Unit (BSG)]]*Table2456[[#This Row],[Quantity]]</f>
        <v>160</v>
      </c>
      <c r="K8" s="35">
        <f>Table2456[[#This Row],[Cost per Unit(Phillipson)]]*Table2456[[#This Row],[Quantity]]</f>
        <v>160</v>
      </c>
    </row>
    <row r="9" spans="1:11" x14ac:dyDescent="0.25">
      <c r="A9" s="6" t="s">
        <v>32</v>
      </c>
      <c r="B9" s="6" t="s">
        <v>66</v>
      </c>
      <c r="C9" s="4">
        <v>0</v>
      </c>
      <c r="D9" s="4">
        <v>4</v>
      </c>
      <c r="E9" s="4">
        <v>2</v>
      </c>
      <c r="F9" s="4">
        <v>0</v>
      </c>
      <c r="G9" s="4">
        <v>8000</v>
      </c>
      <c r="H9" s="4">
        <f>Table2456[[#This Row],[Cost per Unit (OASE)]]*Table2456[[#This Row],[Quantity]]</f>
        <v>0</v>
      </c>
      <c r="I9" s="12">
        <f>Table2456[[#This Row],[Cost per Unit(Rokkas)]]*Table2456[[#This Row],[Quantity]]</f>
        <v>32000</v>
      </c>
      <c r="J9" s="12">
        <f>Table2456[[#This Row],[Cost per Unit (BSG)]]*Table2456[[#This Row],[Quantity]]</f>
        <v>16000</v>
      </c>
      <c r="K9" s="35">
        <f>Table2456[[#This Row],[Cost per Unit(Phillipson)]]*Table2456[[#This Row],[Quantity]]</f>
        <v>0</v>
      </c>
    </row>
    <row r="10" spans="1:11" x14ac:dyDescent="0.25">
      <c r="A10" s="6" t="s">
        <v>32</v>
      </c>
      <c r="B10" s="6" t="s">
        <v>128</v>
      </c>
      <c r="C10" s="4">
        <f>2.3+3</f>
        <v>5.3</v>
      </c>
      <c r="D10" s="4">
        <f>2+250/50</f>
        <v>7</v>
      </c>
      <c r="E10" s="4">
        <f>2.7+2</f>
        <v>4.7</v>
      </c>
      <c r="F10" s="4">
        <f>5+2</f>
        <v>7</v>
      </c>
      <c r="G10" s="4">
        <v>64000</v>
      </c>
      <c r="H10" s="4">
        <f>Table2456[[#This Row],[Cost per Unit (OASE)]]*Table2456[[#This Row],[Quantity]]</f>
        <v>339200</v>
      </c>
      <c r="I10" s="12">
        <f>Table2456[[#This Row],[Cost per Unit(Rokkas)]]*Table2456[[#This Row],[Quantity]]</f>
        <v>448000</v>
      </c>
      <c r="J10" s="12">
        <f>Table2456[[#This Row],[Cost per Unit (BSG)]]*Table2456[[#This Row],[Quantity]]</f>
        <v>300800</v>
      </c>
      <c r="K10" s="35">
        <f>Table2456[[#This Row],[Cost per Unit(Phillipson)]]*Table2456[[#This Row],[Quantity]]</f>
        <v>448000</v>
      </c>
    </row>
    <row r="11" spans="1:11" ht="14.45" x14ac:dyDescent="0.3">
      <c r="A11" s="6"/>
      <c r="B11" s="6"/>
      <c r="C11" s="4"/>
      <c r="D11" s="4"/>
      <c r="E11" s="8"/>
      <c r="F11" s="36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thickBot="1" x14ac:dyDescent="0.35">
      <c r="A15" t="s">
        <v>85</v>
      </c>
      <c r="B15" s="9">
        <f>SUM(H2:H7)</f>
        <v>7404</v>
      </c>
      <c r="C15" s="9">
        <f>SUM(H8:H8)</f>
        <v>1920</v>
      </c>
      <c r="D15" s="10">
        <f>SUM(H9:H10)</f>
        <v>339200</v>
      </c>
      <c r="E15" s="5">
        <f>SUM(B15:D15)</f>
        <v>348524</v>
      </c>
      <c r="F15" s="5"/>
      <c r="J15" s="28"/>
    </row>
    <row r="16" spans="1:11" ht="15.6" thickTop="1" thickBot="1" x14ac:dyDescent="0.35">
      <c r="A16" t="s">
        <v>89</v>
      </c>
      <c r="B16">
        <f>SUM(I2:I7)</f>
        <v>19000</v>
      </c>
      <c r="C16">
        <f>SUM(I8)</f>
        <v>320</v>
      </c>
      <c r="D16">
        <f>SUM(I9:I10)</f>
        <v>480000</v>
      </c>
      <c r="E16" s="5">
        <f>SUM(B16:D16)</f>
        <v>499320</v>
      </c>
      <c r="F16" s="5"/>
      <c r="J16" s="29"/>
    </row>
    <row r="17" spans="1:10" ht="15.6" thickTop="1" thickBot="1" x14ac:dyDescent="0.35">
      <c r="A17" t="s">
        <v>110</v>
      </c>
      <c r="B17">
        <f>SUM(J2:J7)</f>
        <v>28200</v>
      </c>
      <c r="C17">
        <f>SUM(J8)</f>
        <v>160</v>
      </c>
      <c r="D17">
        <f>SUM(J9:J10)</f>
        <v>316800</v>
      </c>
      <c r="E17" s="5">
        <f>SUM(B17:D17)</f>
        <v>345160</v>
      </c>
      <c r="F17" s="5"/>
      <c r="J17" s="28"/>
    </row>
    <row r="18" spans="1:10" ht="15.6" thickTop="1" thickBot="1" x14ac:dyDescent="0.35">
      <c r="A18" t="s">
        <v>6</v>
      </c>
      <c r="B18">
        <f>SUM(K2:K7)</f>
        <v>4800</v>
      </c>
      <c r="C18" s="24">
        <f>SUM(K8)</f>
        <v>160</v>
      </c>
      <c r="D18" s="24">
        <f>SUM(K10:K11)</f>
        <v>448000</v>
      </c>
      <c r="E18" s="5">
        <f>SUM(B18:D18)</f>
        <v>452960</v>
      </c>
      <c r="J18" s="29"/>
    </row>
    <row r="19" spans="1:10" thickTop="1" x14ac:dyDescent="0.3">
      <c r="J19" s="28"/>
    </row>
    <row r="20" spans="1:10" ht="14.45" x14ac:dyDescent="0.3">
      <c r="J20" s="29"/>
    </row>
    <row r="21" spans="1:10" ht="14.45" x14ac:dyDescent="0.3">
      <c r="J21" s="28"/>
    </row>
    <row r="22" spans="1:10" ht="14.45" x14ac:dyDescent="0.3">
      <c r="J22" s="29"/>
    </row>
    <row r="23" spans="1:10" ht="14.45" x14ac:dyDescent="0.3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20" sqref="E2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18" customWidth="1"/>
    <col min="5" max="5" width="17.85546875" customWidth="1"/>
    <col min="6" max="6" width="30.28515625" style="24" customWidth="1"/>
    <col min="8" max="8" width="18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v>240</v>
      </c>
      <c r="H2" s="4">
        <f>Table247[[#This Row],[Cost per Unit (OASE)]]*Table247[[#This Row],[Quantity]]</f>
        <v>19200</v>
      </c>
      <c r="I2" s="12">
        <f>Table247[[#This Row],[Cost per Unit (Rokkas)]]*Table247[[#This Row],[Quantity]]</f>
        <v>33600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13200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v>800</v>
      </c>
      <c r="H3" s="4">
        <f>Table247[[#This Row],[Cost per Unit (OASE)]]*Table247[[#This Row],[Quantity]]</f>
        <v>9600</v>
      </c>
      <c r="I3" s="12">
        <f>Table247[[#This Row],[Cost per Unit (Rokkas)]]*Table247[[#This Row],[Quantity]]</f>
        <v>3200</v>
      </c>
      <c r="J3" s="12">
        <f>Table247[[#This Row],[Cost per Unit (BSG)]]*Table247[[#This Row],[Quantity]]</f>
        <v>240000</v>
      </c>
      <c r="K3" s="35">
        <f>Table247[[#This Row],[Cost per Unit(Phillipson)]]*Table247[[#This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4500</v>
      </c>
      <c r="H4" s="4">
        <f>Table247[[#This Row],[Cost per Unit (OASE)]]*Table247[[#This Row],[Quantity]]</f>
        <v>50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v>248</v>
      </c>
      <c r="H6" s="4">
        <f>Table247[[#This Row],[Cost per Unit (OASE)]]*Table247[[#This Row],[Quantity]]</f>
        <v>446.40000000000003</v>
      </c>
      <c r="I6" s="12">
        <f>Table247[[#This Row],[Cost per Unit (Rokkas)]]*Table247[[#This Row],[Quantity]]</f>
        <v>2480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v>248</v>
      </c>
      <c r="H7" s="4">
        <f>Table247[[#This Row],[Cost per Unit (OASE)]]*Table247[[#This Row],[Quantity]]</f>
        <v>2976</v>
      </c>
      <c r="I7" s="12">
        <f>Table247[[#This Row],[Cost per Unit (Rokkas)]]*Table247[[#This Row],[Quantity]]</f>
        <v>992</v>
      </c>
      <c r="J7" s="12">
        <f>Table247[[#This Row],[Cost per Unit (BSG)]]*Table247[[#This Row],[Quantity]]</f>
        <v>49600</v>
      </c>
      <c r="K7" s="35">
        <f>Table247[[#This Row],[Cost per Unit(Phillipson)]]*Table247[[#This Row],[Quantity]]</f>
        <v>992</v>
      </c>
    </row>
    <row r="8" spans="1:11" x14ac:dyDescent="0.25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v>928</v>
      </c>
      <c r="H8" s="4">
        <f>Table247[[#This Row],[Cost per Unit (OASE)]]*Table247[[#This Row],[Quantity]]</f>
        <v>1670.4</v>
      </c>
      <c r="I8" s="12">
        <f>Table247[[#This Row],[Cost per Unit (Rokkas)]]*Table247[[#This Row],[Quantity]]</f>
        <v>9280</v>
      </c>
      <c r="J8" s="12">
        <f>Table247[[#This Row],[Cost per Unit (BSG)]]*Table247[[#This Row],[Quantity]]</f>
        <v>1856</v>
      </c>
      <c r="K8" s="35">
        <f>Table247[[#This Row],[Cost per Unit(Phillipson)]]*Table247[[#This Row],[Quantity]]</f>
        <v>0</v>
      </c>
    </row>
    <row r="9" spans="1:11" x14ac:dyDescent="0.25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8000</v>
      </c>
      <c r="H9" s="4">
        <f>Table247[[#This Row],[Cost per Unit (OASE)]]*Table247[[#This Row],[Quantity]]</f>
        <v>14400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16000</v>
      </c>
      <c r="K9" s="35">
        <f>Table247[[#This Row],[Cost per Unit(Phillipson)]]*Table247[[#This Row],[Quantity]]</f>
        <v>0</v>
      </c>
    </row>
    <row r="10" spans="1:11" x14ac:dyDescent="0.25">
      <c r="A10" s="6" t="s">
        <v>32</v>
      </c>
      <c r="B10" s="6" t="s">
        <v>40</v>
      </c>
      <c r="C10" s="4">
        <f>1.8+3</f>
        <v>4.8</v>
      </c>
      <c r="D10" s="4">
        <f>4+2</f>
        <v>6</v>
      </c>
      <c r="E10" s="4">
        <f>2.7+2</f>
        <v>4.7</v>
      </c>
      <c r="F10" s="4">
        <f>5+2</f>
        <v>7</v>
      </c>
      <c r="G10" s="4">
        <v>64000</v>
      </c>
      <c r="H10" s="4">
        <f>Table247[[#This Row],[Cost per Unit (OASE)]]*Table247[[#This Row],[Quantity]]</f>
        <v>307200</v>
      </c>
      <c r="I10" s="12">
        <f>Table247[[#This Row],[Cost per Unit (Rokkas)]]*Table247[[#This Row],[Quantity]]</f>
        <v>384000</v>
      </c>
      <c r="J10" s="12">
        <f>Table247[[#This Row],[Cost per Unit (BSG)]]*Table247[[#This Row],[Quantity]]</f>
        <v>300800</v>
      </c>
      <c r="K10" s="35">
        <f>Table247[[#This Row],[Cost per Unit(Phillipson)]]*Table247[[#This Row],[Quantity]]</f>
        <v>448000</v>
      </c>
    </row>
    <row r="11" spans="1:11" ht="14.45" x14ac:dyDescent="0.3">
      <c r="A11" s="6"/>
      <c r="B11" s="6"/>
      <c r="C11" s="4"/>
      <c r="D11" s="4"/>
      <c r="E11" s="8"/>
      <c r="F11" s="36"/>
    </row>
    <row r="16" spans="1:11" ht="14.45" x14ac:dyDescent="0.3">
      <c r="A16" t="s">
        <v>84</v>
      </c>
      <c r="B16" t="s">
        <v>35</v>
      </c>
      <c r="C16" t="s">
        <v>36</v>
      </c>
      <c r="D16" t="s">
        <v>37</v>
      </c>
      <c r="E16" t="s">
        <v>34</v>
      </c>
    </row>
    <row r="17" spans="1:6" thickBot="1" x14ac:dyDescent="0.35">
      <c r="A17" t="s">
        <v>85</v>
      </c>
      <c r="B17" s="9">
        <f>SUM(H2:H5)</f>
        <v>29050</v>
      </c>
      <c r="C17" s="9">
        <f>SUM(H6:H8)</f>
        <v>5092.8</v>
      </c>
      <c r="D17" s="10">
        <f>SUM(H9:H10)</f>
        <v>321600</v>
      </c>
      <c r="E17" s="5">
        <f>SUM(B17:D17)</f>
        <v>355742.8</v>
      </c>
      <c r="F17" s="5"/>
    </row>
    <row r="18" spans="1:6" ht="15.6" thickTop="1" thickBot="1" x14ac:dyDescent="0.35">
      <c r="A18" t="s">
        <v>86</v>
      </c>
      <c r="B18">
        <f>SUM(I2:I5)</f>
        <v>39800</v>
      </c>
      <c r="C18">
        <f>SUM(I6:I8)</f>
        <v>12752</v>
      </c>
      <c r="D18">
        <f>SUM(I9:I10)</f>
        <v>384000</v>
      </c>
      <c r="E18" s="5">
        <f>SUM(B18:D18)</f>
        <v>436552</v>
      </c>
      <c r="F18" s="5"/>
    </row>
    <row r="19" spans="1:6" ht="15.6" thickTop="1" thickBot="1" x14ac:dyDescent="0.35">
      <c r="A19" t="s">
        <v>110</v>
      </c>
      <c r="B19">
        <f>SUM(J2:J5)</f>
        <v>240200</v>
      </c>
      <c r="C19">
        <f>SUM(J6:J8)</f>
        <v>51456</v>
      </c>
      <c r="D19">
        <f>SUM(J9:J10)</f>
        <v>316800</v>
      </c>
      <c r="E19" s="5">
        <f>SUM(B19:D19)</f>
        <v>608456</v>
      </c>
      <c r="F19" s="5"/>
    </row>
    <row r="20" spans="1:6" ht="15.6" thickTop="1" thickBot="1" x14ac:dyDescent="0.35">
      <c r="A20" t="s">
        <v>6</v>
      </c>
      <c r="B20" s="24">
        <f>SUM(K2:K5)</f>
        <v>13200</v>
      </c>
      <c r="C20" s="24">
        <f>SUM(K6:K8)</f>
        <v>992</v>
      </c>
      <c r="D20" s="24">
        <f>SUM(K9:K10)</f>
        <v>448000</v>
      </c>
      <c r="E20" s="5">
        <f>SUM(B20:D20)</f>
        <v>462192</v>
      </c>
    </row>
    <row r="21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RowHeight="15" x14ac:dyDescent="0.25"/>
  <cols>
    <col min="1" max="1" width="38.5703125" customWidth="1"/>
    <col min="2" max="2" width="37.42578125" customWidth="1"/>
    <col min="3" max="3" width="28.85546875" customWidth="1"/>
    <col min="4" max="4" width="32.42578125" customWidth="1"/>
    <col min="5" max="5" width="34.28515625" customWidth="1"/>
    <col min="6" max="6" width="34.28515625" style="24" customWidth="1"/>
    <col min="7" max="7" width="16" customWidth="1"/>
    <col min="8" max="8" width="17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124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f>50*2</f>
        <v>100</v>
      </c>
      <c r="H2" s="4">
        <f>Table29[[#This Row],[Cost per Unit (OASE)]]*Table29[[#This Row],[Quantity]]</f>
        <v>8000</v>
      </c>
      <c r="I2" s="12">
        <f t="shared" ref="I2:I11" si="0">D2*G2</f>
        <v>7000</v>
      </c>
      <c r="J2" s="12">
        <f>Table29[[#This Row],[Cost per Unit(BSG)]]*Table29[[#This Row],[Quantity]]</f>
        <v>28800</v>
      </c>
      <c r="K2" s="35">
        <f>Table29[[#This Row],[Cost per Unit (Phillipson)]]*Table29[[#This Row],[Quantity]]</f>
        <v>5000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124*4</f>
        <v>496</v>
      </c>
      <c r="H3" s="4">
        <f>Table29[[#This Row],[Cost per Unit (OASE)]]*Table29[[#This Row],[Quantity]]</f>
        <v>5952</v>
      </c>
      <c r="I3" s="12">
        <f t="shared" si="0"/>
        <v>1984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f>2*620</f>
        <v>1240</v>
      </c>
      <c r="H4" s="4">
        <f>Table29[[#This Row],[Cost per Unit (OASE)]]*Table29[[#This Row],[Quantity]]</f>
        <v>13.777777777777779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124*4</f>
        <v>496</v>
      </c>
      <c r="H6" s="4">
        <f>Table29[[#This Row],[Cost per Unit (OASE)]]*Table29[[#This Row],[Quantity]]</f>
        <v>892.80000000000007</v>
      </c>
      <c r="I6" s="12">
        <f t="shared" si="0"/>
        <v>4960</v>
      </c>
      <c r="J6" s="12">
        <f>Table29[[#This Row],[Cost per Unit(BSG)]]*Table29[[#This Row],[Quantity]]</f>
        <v>694.4</v>
      </c>
      <c r="K6" s="35">
        <f>Table29[[#This Row],[Cost per Unit (Phillipson)]]*Table29[[#This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124*4</f>
        <v>496</v>
      </c>
      <c r="H7" s="4">
        <f>Table29[[#This Row],[Cost per Unit (OASE)]]*Table29[[#This Row],[Quantity]]</f>
        <v>5952</v>
      </c>
      <c r="I7" s="12">
        <f t="shared" si="0"/>
        <v>1984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x14ac:dyDescent="0.2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928*4</f>
        <v>3712</v>
      </c>
      <c r="H8" s="4">
        <f>Table29[[#This Row],[Cost per Unit (OASE)]]*Table29[[#This Row],[Quantity]]</f>
        <v>3712</v>
      </c>
      <c r="I8" s="12">
        <f t="shared" si="0"/>
        <v>7424</v>
      </c>
      <c r="J8" s="12">
        <f>Table29[[#This Row],[Cost per Unit(BSG)]]*Table29[[#This Row],[Quantity]]</f>
        <v>5939.2000000000007</v>
      </c>
      <c r="K8" s="35">
        <f>Table29[[#This Row],[Cost per Unit (Phillipson)]]*Table29[[#This Row],[Quantity]]</f>
        <v>18560</v>
      </c>
    </row>
    <row r="9" spans="1:11" x14ac:dyDescent="0.25">
      <c r="A9" s="6" t="s">
        <v>30</v>
      </c>
      <c r="B9" s="6" t="s">
        <v>64</v>
      </c>
      <c r="C9" s="4">
        <f>1.2+25</f>
        <v>26.2</v>
      </c>
      <c r="D9" s="4">
        <v>10</v>
      </c>
      <c r="E9" s="4">
        <v>1.4</v>
      </c>
      <c r="F9" s="4">
        <v>0</v>
      </c>
      <c r="G9" s="4">
        <f>2*928</f>
        <v>1856</v>
      </c>
      <c r="H9" s="4">
        <f>Table29[[#This Row],[Cost per Unit (OASE)]]*Table29[[#This Row],[Quantity]]</f>
        <v>48627.199999999997</v>
      </c>
      <c r="I9" s="12">
        <f t="shared" si="0"/>
        <v>18560</v>
      </c>
      <c r="J9" s="12">
        <f>Table29[[#This Row],[Cost per Unit(BSG)]]*Table29[[#This Row],[Quantity]]</f>
        <v>2598.3999999999996</v>
      </c>
      <c r="K9" s="35">
        <f>Table29[[#This Row],[Cost per Unit (Phillipson)]]*Table29[[#This Row],[Quantity]]</f>
        <v>0</v>
      </c>
    </row>
    <row r="10" spans="1:11" x14ac:dyDescent="0.25">
      <c r="A10" s="6" t="s">
        <v>30</v>
      </c>
      <c r="B10" s="6" t="s">
        <v>114</v>
      </c>
      <c r="C10" s="4">
        <f>10</f>
        <v>10</v>
      </c>
      <c r="D10" s="4">
        <f>(15000/4)/50</f>
        <v>75</v>
      </c>
      <c r="E10" s="4">
        <f>(1200+(13500/4))/50</f>
        <v>91.5</v>
      </c>
      <c r="F10" s="4">
        <v>10</v>
      </c>
      <c r="G10" s="4">
        <v>7895</v>
      </c>
      <c r="H10" s="4">
        <f>Table29[[#This Row],[Cost per Unit (OASE)]]*Table29[[#This Row],[Quantity]]</f>
        <v>78950</v>
      </c>
      <c r="I10" s="12">
        <f t="shared" si="0"/>
        <v>592125</v>
      </c>
      <c r="J10" s="12">
        <f>Table29[[#This Row],[Cost per Unit(BSG)]]*Table29[[#This Row],[Quantity]]</f>
        <v>722392.5</v>
      </c>
      <c r="K10" s="35">
        <f>Table29[[#This Row],[Cost per Unit (Phillipson)]]*Table29[[#This Row],[Quantity]]</f>
        <v>78950</v>
      </c>
    </row>
    <row r="11" spans="1:11" x14ac:dyDescent="0.25">
      <c r="A11" s="6" t="s">
        <v>32</v>
      </c>
      <c r="B11" s="6" t="s">
        <v>66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ht="14.45" x14ac:dyDescent="0.3">
      <c r="A12" s="6"/>
      <c r="B12" s="6"/>
      <c r="C12" s="4"/>
      <c r="D12" s="4"/>
      <c r="E12" s="4"/>
      <c r="F12" s="12"/>
    </row>
    <row r="13" spans="1:11" ht="14.45" x14ac:dyDescent="0.3">
      <c r="A13" s="6"/>
      <c r="B13" s="6"/>
      <c r="C13" s="4"/>
      <c r="D13" s="4"/>
      <c r="E13" s="4"/>
      <c r="F13" s="12"/>
    </row>
    <row r="15" spans="1:11" ht="14.45" x14ac:dyDescent="0.3">
      <c r="A15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t="s">
        <v>85</v>
      </c>
      <c r="B16" s="20">
        <f>SUM(H1:H5)</f>
        <v>14165.777777777777</v>
      </c>
      <c r="C16" s="20">
        <f>SUM(H5:H10)</f>
        <v>138334</v>
      </c>
      <c r="D16" s="10">
        <f>SUM(H11)</f>
        <v>0</v>
      </c>
      <c r="E16" s="5">
        <f>SUM(B16:D16)</f>
        <v>152499.77777777778</v>
      </c>
      <c r="F16" s="5"/>
    </row>
    <row r="17" spans="1:6" ht="15.6" thickTop="1" thickBot="1" x14ac:dyDescent="0.35">
      <c r="A17" t="s">
        <v>86</v>
      </c>
      <c r="B17">
        <f>SUM(I2:I5)</f>
        <v>11984</v>
      </c>
      <c r="C17">
        <f>SUM(I6:I10)</f>
        <v>625053</v>
      </c>
      <c r="D17">
        <v>0</v>
      </c>
      <c r="E17" s="5">
        <f>SUM(B17:D17)</f>
        <v>637037</v>
      </c>
      <c r="F17" s="5"/>
    </row>
    <row r="18" spans="1:6" ht="15.6" thickTop="1" thickBot="1" x14ac:dyDescent="0.35">
      <c r="A18" t="s">
        <v>110</v>
      </c>
      <c r="B18">
        <f>SUM(J2:J5)</f>
        <v>28900</v>
      </c>
      <c r="C18">
        <f>SUM(J6:J10)</f>
        <v>731624.5</v>
      </c>
      <c r="D18">
        <v>0</v>
      </c>
      <c r="E18" s="5">
        <f>SUM(B18:D18)</f>
        <v>760524.5</v>
      </c>
      <c r="F18" s="5"/>
    </row>
    <row r="19" spans="1:6" ht="15.6" thickTop="1" thickBot="1" x14ac:dyDescent="0.35">
      <c r="A19" t="s">
        <v>6</v>
      </c>
      <c r="B19" s="24">
        <f>SUM(K2:K5)</f>
        <v>5000</v>
      </c>
      <c r="C19" s="24">
        <f>SUM(K6:K10)</f>
        <v>97510</v>
      </c>
      <c r="D19" s="24">
        <v>0</v>
      </c>
      <c r="E19" s="5">
        <f>SUM(B19:D19)</f>
        <v>102510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4" sqref="H24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17.85546875" style="24" customWidth="1"/>
    <col min="7" max="7" width="24.42578125" style="13" customWidth="1"/>
    <col min="8" max="8" width="25.5703125" style="13" customWidth="1"/>
    <col min="9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120</v>
      </c>
      <c r="H2" s="4">
        <f>Table2410[[#This Row],[Cost per Unit (OASE)]]*Table2410[[#This Row],[Quantity]]</f>
        <v>9600</v>
      </c>
      <c r="I2" s="12">
        <f>Table2410[[#This Row],[Cost per Unit (Rokkas)]]*Table2410[[#This Row],[Quantity]]</f>
        <v>16800</v>
      </c>
      <c r="J2" s="12">
        <f>Table2410[[#This Row],[Cost per Unit(BSG)]]*Table2410[[#This Row],[Quantity]]</f>
        <v>36000</v>
      </c>
      <c r="K2" s="35">
        <f>Table2410[[#This Row],[Cost per Unit(Phillipson)]]*Table2410[[#This Row],[Quantity]]</f>
        <v>6600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v>400</v>
      </c>
      <c r="H3" s="4">
        <f>Table2410[[#This Row],[Cost per Unit (OASE)]]*Table2410[[#This Row],[Quantity]]</f>
        <v>4800</v>
      </c>
      <c r="I3" s="12">
        <f>Table2410[[#This Row],[Cost per Unit (Rokkas)]]*Table2410[[#This Row],[Quantity]]</f>
        <v>1600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3600</v>
      </c>
      <c r="H4" s="4">
        <f>Table2410[[#This Row],[Cost per Unit (OASE)]]*Table2410[[#This Row],[Quantity]]</f>
        <v>40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x14ac:dyDescent="0.25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v>248</v>
      </c>
      <c r="H6" s="4">
        <f>Table2410[[#This Row],[Cost per Unit (OASE)]]*Table2410[[#This Row],[Quantity]]</f>
        <v>446.40000000000003</v>
      </c>
      <c r="I6" s="12">
        <f>Table2410[[#This Row],[Cost per Unit (Rokkas)]]*Table2410[[#This Row],[Quantity]]</f>
        <v>2480</v>
      </c>
      <c r="J6" s="12">
        <f>Table2410[[#This Row],[Cost per Unit(BSG)]]*Table2410[[#This Row],[Quantity]]</f>
        <v>347.2</v>
      </c>
      <c r="K6" s="35">
        <f>Table2410[[#This Row],[Cost per Unit(Phillipson)]]*Table2410[[#This Row],[Quantity]]</f>
        <v>0</v>
      </c>
    </row>
    <row r="7" spans="1:11" x14ac:dyDescent="0.25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v>248</v>
      </c>
      <c r="H7" s="4">
        <f>Table2410[[#This Row],[Cost per Unit (OASE)]]*Table2410[[#This Row],[Quantity]]</f>
        <v>992</v>
      </c>
      <c r="I7" s="12">
        <f>Table2410[[#This Row],[Cost per Unit (Rokkas)]]*Table2410[[#This Row],[Quantity]]</f>
        <v>992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4960</v>
      </c>
    </row>
    <row r="8" spans="1:11" x14ac:dyDescent="0.25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1856</v>
      </c>
      <c r="H8" s="4">
        <f>Table2410[[#This Row],[Cost per Unit (OASE)]]*Table2410[[#This Row],[Quantity]]</f>
        <v>3340.8</v>
      </c>
      <c r="I8" s="12">
        <f>Table2410[[#This Row],[Cost per Unit (Rokkas)]]*Table2410[[#This Row],[Quantity]]</f>
        <v>18560</v>
      </c>
      <c r="J8" s="12">
        <f>Table2410[[#This Row],[Cost per Unit(BSG)]]*Table2410[[#This Row],[Quantity]]</f>
        <v>2969.6000000000004</v>
      </c>
      <c r="K8" s="35">
        <f>Table2410[[#This Row],[Cost per Unit(Phillipson)]]*Table2410[[#This Row],[Quantity]]</f>
        <v>0</v>
      </c>
    </row>
    <row r="9" spans="1:11" x14ac:dyDescent="0.25">
      <c r="A9" s="6" t="s">
        <v>32</v>
      </c>
      <c r="B9" s="6" t="s">
        <v>65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16000</v>
      </c>
      <c r="H9" s="4">
        <f>Table2410[[#This Row],[Cost per Unit (OASE)]]*Table2410[[#This Row],[Quantity]]</f>
        <v>160000</v>
      </c>
      <c r="I9" s="12">
        <f>Table2410[[#This Row],[Cost per Unit (Rokkas)]]*Table2410[[#This Row],[Quantity]]</f>
        <v>160000</v>
      </c>
      <c r="J9" s="12">
        <f>Table2410[[#This Row],[Cost per Unit(BSG)]]*Table2410[[#This Row],[Quantity]]</f>
        <v>384000</v>
      </c>
      <c r="K9" s="35">
        <f>Table2410[[#This Row],[Cost per Unit(Phillipson)]]*Table2410[[#This Row],[Quantity]]</f>
        <v>160000</v>
      </c>
    </row>
    <row r="10" spans="1:11" x14ac:dyDescent="0.25">
      <c r="A10" s="6" t="s">
        <v>32</v>
      </c>
      <c r="B10" s="6" t="s">
        <v>40</v>
      </c>
      <c r="C10" s="4">
        <v>1.8</v>
      </c>
      <c r="D10" s="4">
        <v>4</v>
      </c>
      <c r="E10" s="4">
        <f>80/50</f>
        <v>1.6</v>
      </c>
      <c r="F10" s="4">
        <v>5</v>
      </c>
      <c r="G10" s="4">
        <v>16000</v>
      </c>
      <c r="H10" s="11">
        <f>Table2410[[#This Row],[Cost per Unit (OASE)]]*Table2410[[#This Row],[Quantity]]</f>
        <v>28800</v>
      </c>
      <c r="I10" s="12">
        <f>Table2410[[#This Row],[Cost per Unit (Rokkas)]]*Table2410[[#This Row],[Quantity]]</f>
        <v>64000</v>
      </c>
      <c r="J10" s="12">
        <f>Table2410[[#This Row],[Cost per Unit(BSG)]]*Table2410[[#This Row],[Quantity]]</f>
        <v>25600</v>
      </c>
      <c r="K10" s="35">
        <f>Table2410[[#This Row],[Cost per Unit(Phillipson)]]*Table2410[[#This Row],[Quantity]]</f>
        <v>80000</v>
      </c>
    </row>
    <row r="15" spans="1:11" ht="14.45" x14ac:dyDescent="0.3">
      <c r="A15" s="13" t="s">
        <v>84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thickBot="1" x14ac:dyDescent="0.35">
      <c r="A16" s="13" t="s">
        <v>85</v>
      </c>
      <c r="B16" s="14">
        <f>SUM(H2:H5)</f>
        <v>14840</v>
      </c>
      <c r="C16" s="14">
        <f>SUM(H6:H8)</f>
        <v>4779.2000000000007</v>
      </c>
      <c r="D16" s="10">
        <f>SUM(H9:H10)</f>
        <v>188800</v>
      </c>
      <c r="E16" s="5">
        <f>SUM(B16:D16)</f>
        <v>208419.20000000001</v>
      </c>
      <c r="F16" s="5"/>
    </row>
    <row r="17" spans="1:6" ht="15.6" thickTop="1" thickBot="1" x14ac:dyDescent="0.35">
      <c r="A17" s="13" t="s">
        <v>86</v>
      </c>
      <c r="B17" s="13">
        <f>SUM(I2:I5)</f>
        <v>21400</v>
      </c>
      <c r="C17" s="13">
        <f>SUM(I6:I8)</f>
        <v>22032</v>
      </c>
      <c r="D17" s="13">
        <f>SUM(I9:I10)</f>
        <v>224000</v>
      </c>
      <c r="E17" s="5">
        <f>SUM(B17:D17)</f>
        <v>267432</v>
      </c>
      <c r="F17" s="5"/>
    </row>
    <row r="18" spans="1:6" ht="15.6" thickTop="1" thickBot="1" x14ac:dyDescent="0.35">
      <c r="A18" s="13" t="s">
        <v>110</v>
      </c>
      <c r="B18" s="13">
        <f>SUM(J2:J5)</f>
        <v>36100</v>
      </c>
      <c r="C18" s="13">
        <f>SUM(J6:J8)</f>
        <v>3316.8</v>
      </c>
      <c r="D18" s="13">
        <f>SUM(J9:J10)</f>
        <v>409600</v>
      </c>
      <c r="E18" s="5">
        <f>SUM(B18:D18)</f>
        <v>449016.8</v>
      </c>
      <c r="F18" s="5"/>
    </row>
    <row r="19" spans="1:6" ht="15.6" thickTop="1" thickBot="1" x14ac:dyDescent="0.35">
      <c r="A19" s="13" t="s">
        <v>6</v>
      </c>
      <c r="B19" s="24">
        <f>SUM(K2:K5)</f>
        <v>6600</v>
      </c>
      <c r="C19" s="24">
        <f>SUM(K6:K8)</f>
        <v>4960</v>
      </c>
      <c r="D19" s="24">
        <f>SUM(K9:K10)</f>
        <v>240000</v>
      </c>
      <c r="E19" s="5">
        <f>SUM(B19:D19)</f>
        <v>251560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2018-06-18T12:55:08Z</dcterms:created>
  <dcterms:modified xsi:type="dcterms:W3CDTF">2018-09-13T15:16:11Z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