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19365" windowHeight="9285" tabRatio="961" firstSheet="8" activeTab="15"/>
  </bookViews>
  <sheets>
    <sheet name="Papers and Reports" sheetId="1" r:id="rId1"/>
    <sheet name="Results_Visual" sheetId="20" r:id="rId2"/>
    <sheet name="FTTCab GPON 26 Mbps" sheetId="2" r:id="rId3"/>
    <sheet name="FTTB XGPON 50 Mbps" sheetId="3" r:id="rId4"/>
    <sheet name="FTTB WR-WDMPON 50 Mbps" sheetId="4" r:id="rId5"/>
    <sheet name="FTTH WR-WDMPON 100 Mbps" sheetId="5" r:id="rId6"/>
    <sheet name="FTTH XGPON 100 Mbps" sheetId="6" r:id="rId7"/>
    <sheet name="FTTCab_GPON_100" sheetId="8" r:id="rId8"/>
    <sheet name="FTTB_XGPON_100" sheetId="9" r:id="rId9"/>
    <sheet name="FTTB_WRWDM_100" sheetId="10" r:id="rId10"/>
    <sheet name="FTTCab_Hybridpon_25" sheetId="11" r:id="rId11"/>
    <sheet name="FTTB_Hybridpon_50" sheetId="12" r:id="rId12"/>
    <sheet name="FTTH_Hybridpon_100" sheetId="13" r:id="rId13"/>
    <sheet name="FTTC_Hybridpon_100" sheetId="14" r:id="rId14"/>
    <sheet name="FTTB_Hybridpon_100" sheetId="15" r:id="rId15"/>
    <sheet name="CAPEX_Euros_OASE" sheetId="7" r:id="rId16"/>
    <sheet name="CAPEX_Euros_Rokkas" sheetId="16" r:id="rId17"/>
    <sheet name="CAPEX_Euros_BSG" sheetId="17" r:id="rId18"/>
    <sheet name="CAPEX_Euros_Phillipson" sheetId="19" r:id="rId19"/>
  </sheets>
  <externalReferences>
    <externalReference r:id="rId20"/>
  </externalReferences>
  <calcPr calcId="145621"/>
</workbook>
</file>

<file path=xl/calcChain.xml><?xml version="1.0" encoding="utf-8"?>
<calcChain xmlns="http://schemas.openxmlformats.org/spreadsheetml/2006/main">
  <c r="G9" i="8" l="1"/>
  <c r="G8" i="8"/>
  <c r="G7" i="8"/>
  <c r="G6" i="8"/>
  <c r="G4" i="8"/>
  <c r="G3" i="8"/>
  <c r="G2" i="8"/>
  <c r="C9" i="2"/>
  <c r="F9" i="7" l="1"/>
  <c r="C6" i="15" l="1"/>
  <c r="C4" i="15"/>
  <c r="C6" i="14"/>
  <c r="C4" i="14"/>
  <c r="C6" i="13"/>
  <c r="C4" i="13"/>
  <c r="C6" i="12"/>
  <c r="C4" i="12"/>
  <c r="C6" i="11"/>
  <c r="C4" i="11"/>
  <c r="C8" i="10"/>
  <c r="C6" i="10"/>
  <c r="C9" i="9"/>
  <c r="C4" i="9"/>
  <c r="C10" i="8"/>
  <c r="C9" i="8"/>
  <c r="C4" i="8"/>
  <c r="C10" i="6"/>
  <c r="C4" i="6"/>
  <c r="C10" i="5"/>
  <c r="C8" i="5"/>
  <c r="C7" i="5"/>
  <c r="C6" i="5"/>
  <c r="C10" i="4"/>
  <c r="C8" i="4"/>
  <c r="C6" i="4"/>
  <c r="C4" i="3"/>
  <c r="C4" i="2"/>
  <c r="H85" i="16" l="1"/>
  <c r="H86" i="16"/>
  <c r="H87" i="16"/>
  <c r="H88" i="16"/>
  <c r="H89" i="16"/>
  <c r="H90" i="16"/>
  <c r="H91" i="16"/>
  <c r="H92" i="16"/>
  <c r="H93" i="16"/>
  <c r="H94" i="16"/>
  <c r="H95" i="16"/>
  <c r="H96" i="16"/>
  <c r="H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84" i="16"/>
  <c r="F69" i="16"/>
  <c r="F70" i="16"/>
  <c r="F71" i="16"/>
  <c r="F72" i="16"/>
  <c r="F73" i="16"/>
  <c r="F74" i="16"/>
  <c r="F75" i="16" l="1"/>
  <c r="F76" i="16"/>
  <c r="F77" i="16"/>
  <c r="F78" i="16"/>
  <c r="F79" i="16"/>
  <c r="F80" i="16"/>
  <c r="F81" i="16"/>
  <c r="F82" i="16"/>
  <c r="F83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E3" i="16"/>
  <c r="G57" i="16" s="1"/>
  <c r="E4" i="16"/>
  <c r="G58" i="16" s="1"/>
  <c r="E5" i="16"/>
  <c r="G59" i="16" s="1"/>
  <c r="E6" i="16"/>
  <c r="G60" i="16" s="1"/>
  <c r="E7" i="16"/>
  <c r="G61" i="16" s="1"/>
  <c r="E8" i="16"/>
  <c r="G62" i="16" s="1"/>
  <c r="E9" i="16"/>
  <c r="G63" i="16" s="1"/>
  <c r="E10" i="16"/>
  <c r="G64" i="16" s="1"/>
  <c r="E11" i="16"/>
  <c r="G65" i="16" s="1"/>
  <c r="E12" i="16"/>
  <c r="G66" i="16" s="1"/>
  <c r="E13" i="16"/>
  <c r="G67" i="16" s="1"/>
  <c r="E14" i="16"/>
  <c r="G68" i="16" s="1"/>
  <c r="E2" i="16"/>
  <c r="G56" i="16" s="1"/>
  <c r="C58" i="7" l="1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D57" i="7"/>
  <c r="C57" i="7"/>
  <c r="D3" i="10" l="1"/>
  <c r="D7" i="14"/>
  <c r="D7" i="11"/>
  <c r="D10" i="8"/>
  <c r="D9" i="2"/>
  <c r="E9" i="3"/>
  <c r="E9" i="2"/>
  <c r="F8" i="13"/>
  <c r="E8" i="13"/>
  <c r="D8" i="13"/>
  <c r="E9" i="9"/>
  <c r="F10" i="6"/>
  <c r="E10" i="6"/>
  <c r="D10" i="6"/>
  <c r="F10" i="5"/>
  <c r="E10" i="5"/>
  <c r="D10" i="5"/>
  <c r="H13" i="19" l="1"/>
  <c r="H10" i="19"/>
  <c r="H7" i="19"/>
  <c r="E3" i="19"/>
  <c r="E4" i="19"/>
  <c r="E5" i="19"/>
  <c r="E6" i="19"/>
  <c r="E7" i="19"/>
  <c r="E8" i="19"/>
  <c r="E9" i="19"/>
  <c r="E10" i="19"/>
  <c r="E11" i="19"/>
  <c r="E12" i="19"/>
  <c r="E13" i="19"/>
  <c r="E14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2" i="19"/>
  <c r="K3" i="15"/>
  <c r="K4" i="15"/>
  <c r="K5" i="15"/>
  <c r="K6" i="15"/>
  <c r="K7" i="15"/>
  <c r="K8" i="15"/>
  <c r="K9" i="15"/>
  <c r="K2" i="15"/>
  <c r="K3" i="14"/>
  <c r="K4" i="14"/>
  <c r="K5" i="14"/>
  <c r="K6" i="14"/>
  <c r="K7" i="14"/>
  <c r="K10" i="14"/>
  <c r="K2" i="14"/>
  <c r="K3" i="13"/>
  <c r="K4" i="13"/>
  <c r="K5" i="13"/>
  <c r="K6" i="13"/>
  <c r="K7" i="13"/>
  <c r="K8" i="13"/>
  <c r="K9" i="13"/>
  <c r="K2" i="13"/>
  <c r="K3" i="12"/>
  <c r="K4" i="12"/>
  <c r="K5" i="12"/>
  <c r="K6" i="12"/>
  <c r="K7" i="12"/>
  <c r="K8" i="12"/>
  <c r="K9" i="12"/>
  <c r="K2" i="12"/>
  <c r="K3" i="11"/>
  <c r="K4" i="11"/>
  <c r="K5" i="11"/>
  <c r="K6" i="11"/>
  <c r="K7" i="11"/>
  <c r="K10" i="11"/>
  <c r="K2" i="11"/>
  <c r="K4" i="10"/>
  <c r="K5" i="10"/>
  <c r="K6" i="10"/>
  <c r="K7" i="10"/>
  <c r="K8" i="10"/>
  <c r="C17" i="10" s="1"/>
  <c r="G9" i="19" s="1"/>
  <c r="K9" i="10"/>
  <c r="K10" i="10"/>
  <c r="K2" i="10"/>
  <c r="K4" i="9"/>
  <c r="K5" i="9"/>
  <c r="K8" i="9"/>
  <c r="K9" i="9"/>
  <c r="K10" i="9"/>
  <c r="K4" i="8"/>
  <c r="K5" i="8"/>
  <c r="K9" i="8"/>
  <c r="K11" i="8"/>
  <c r="K2" i="8"/>
  <c r="K4" i="6"/>
  <c r="K5" i="6"/>
  <c r="K9" i="6"/>
  <c r="K10" i="6"/>
  <c r="K3" i="5"/>
  <c r="K4" i="5"/>
  <c r="K5" i="5"/>
  <c r="K6" i="5"/>
  <c r="K7" i="5"/>
  <c r="K8" i="5"/>
  <c r="C18" i="5" s="1"/>
  <c r="G5" i="19" s="1"/>
  <c r="K9" i="5"/>
  <c r="K10" i="5"/>
  <c r="D18" i="5" s="1"/>
  <c r="H5" i="19" s="1"/>
  <c r="K2" i="5"/>
  <c r="K3" i="4"/>
  <c r="K4" i="4"/>
  <c r="K5" i="4"/>
  <c r="K6" i="4"/>
  <c r="K7" i="4"/>
  <c r="K8" i="4"/>
  <c r="C18" i="4" s="1"/>
  <c r="G4" i="19" s="1"/>
  <c r="K9" i="4"/>
  <c r="K10" i="4"/>
  <c r="K2" i="4"/>
  <c r="K4" i="3"/>
  <c r="K5" i="3"/>
  <c r="K7" i="3"/>
  <c r="K8" i="3"/>
  <c r="K9" i="3"/>
  <c r="K10" i="3"/>
  <c r="K2" i="3"/>
  <c r="K4" i="2"/>
  <c r="K5" i="2"/>
  <c r="K10" i="2"/>
  <c r="D21" i="2" s="1"/>
  <c r="H2" i="19" s="1"/>
  <c r="F9" i="2"/>
  <c r="K9" i="2" s="1"/>
  <c r="F8" i="2"/>
  <c r="F2" i="2"/>
  <c r="K2" i="2" s="1"/>
  <c r="E10" i="8"/>
  <c r="H13" i="17"/>
  <c r="H10" i="17"/>
  <c r="H7" i="17"/>
  <c r="H13" i="16"/>
  <c r="H10" i="16"/>
  <c r="H7" i="16"/>
  <c r="B19" i="11" l="1"/>
  <c r="D20" i="3"/>
  <c r="H3" i="19" s="1"/>
  <c r="D20" i="6"/>
  <c r="H6" i="19" s="1"/>
  <c r="B18" i="12"/>
  <c r="F11" i="19" s="1"/>
  <c r="I11" i="19" s="1"/>
  <c r="J11" i="19" s="1"/>
  <c r="L11" i="19" s="1"/>
  <c r="C18" i="12"/>
  <c r="G11" i="19" s="1"/>
  <c r="B18" i="13"/>
  <c r="C18" i="13"/>
  <c r="G12" i="19" s="1"/>
  <c r="B19" i="14"/>
  <c r="F13" i="19" s="1"/>
  <c r="D19" i="9"/>
  <c r="H8" i="19" s="1"/>
  <c r="B18" i="5"/>
  <c r="F5" i="19" s="1"/>
  <c r="I5" i="19" s="1"/>
  <c r="J5" i="19" s="1"/>
  <c r="L5" i="19" s="1"/>
  <c r="B18" i="15"/>
  <c r="F14" i="19" s="1"/>
  <c r="C18" i="15"/>
  <c r="G14" i="19" s="1"/>
  <c r="D18" i="15"/>
  <c r="H14" i="19" s="1"/>
  <c r="D18" i="13"/>
  <c r="H12" i="19" s="1"/>
  <c r="D18" i="12"/>
  <c r="H11" i="19" s="1"/>
  <c r="D17" i="10"/>
  <c r="H9" i="19" s="1"/>
  <c r="D18" i="4"/>
  <c r="H4" i="19" s="1"/>
  <c r="B18" i="4"/>
  <c r="F4" i="19" s="1"/>
  <c r="F10" i="19"/>
  <c r="D2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D3" i="17"/>
  <c r="D4" i="17"/>
  <c r="D5" i="17"/>
  <c r="D6" i="17"/>
  <c r="D7" i="17"/>
  <c r="D8" i="17"/>
  <c r="D9" i="17"/>
  <c r="D10" i="17"/>
  <c r="D11" i="17"/>
  <c r="D12" i="17"/>
  <c r="D13" i="17"/>
  <c r="D14" i="17"/>
  <c r="J3" i="14"/>
  <c r="J4" i="14"/>
  <c r="J5" i="14"/>
  <c r="J6" i="14"/>
  <c r="J7" i="14"/>
  <c r="J10" i="14"/>
  <c r="J2" i="14"/>
  <c r="J3" i="15"/>
  <c r="J4" i="15"/>
  <c r="J5" i="15"/>
  <c r="J6" i="15"/>
  <c r="J7" i="15"/>
  <c r="J9" i="15"/>
  <c r="J2" i="15"/>
  <c r="E8" i="15"/>
  <c r="J8" i="15" s="1"/>
  <c r="E8" i="14"/>
  <c r="J3" i="13"/>
  <c r="J4" i="13"/>
  <c r="J5" i="13"/>
  <c r="J6" i="13"/>
  <c r="J7" i="13"/>
  <c r="J8" i="13"/>
  <c r="J9" i="13"/>
  <c r="J2" i="13"/>
  <c r="J3" i="12"/>
  <c r="J4" i="12"/>
  <c r="J5" i="12"/>
  <c r="J6" i="12"/>
  <c r="J7" i="12"/>
  <c r="J9" i="12"/>
  <c r="J2" i="12"/>
  <c r="E8" i="12"/>
  <c r="J8" i="12" s="1"/>
  <c r="J3" i="11"/>
  <c r="J4" i="11"/>
  <c r="J5" i="11"/>
  <c r="J6" i="11"/>
  <c r="J7" i="11"/>
  <c r="J10" i="11"/>
  <c r="J2" i="11"/>
  <c r="E8" i="11"/>
  <c r="J4" i="10"/>
  <c r="J5" i="10"/>
  <c r="J6" i="10"/>
  <c r="J7" i="10"/>
  <c r="J8" i="10"/>
  <c r="C16" i="10" s="1"/>
  <c r="G9" i="17" s="1"/>
  <c r="J9" i="10"/>
  <c r="J2" i="10"/>
  <c r="E10" i="10"/>
  <c r="J10" i="10" s="1"/>
  <c r="J4" i="9"/>
  <c r="J5" i="9"/>
  <c r="J9" i="9"/>
  <c r="E10" i="9"/>
  <c r="J10" i="9" s="1"/>
  <c r="E8" i="9"/>
  <c r="J8" i="9" s="1"/>
  <c r="E6" i="9"/>
  <c r="E2" i="9"/>
  <c r="J4" i="8"/>
  <c r="J9" i="8"/>
  <c r="J11" i="8"/>
  <c r="E8" i="8"/>
  <c r="E6" i="8"/>
  <c r="E5" i="8"/>
  <c r="J5" i="8" s="1"/>
  <c r="E2" i="8"/>
  <c r="J2" i="8" s="1"/>
  <c r="J4" i="6"/>
  <c r="J5" i="6"/>
  <c r="J9" i="6"/>
  <c r="J10" i="6"/>
  <c r="J3" i="5"/>
  <c r="J4" i="5"/>
  <c r="J5" i="5"/>
  <c r="J6" i="5"/>
  <c r="J7" i="5"/>
  <c r="J8" i="5"/>
  <c r="C17" i="5" s="1"/>
  <c r="G5" i="17" s="1"/>
  <c r="J9" i="5"/>
  <c r="J10" i="5"/>
  <c r="J2" i="5"/>
  <c r="J3" i="4"/>
  <c r="J4" i="4"/>
  <c r="J5" i="4"/>
  <c r="J6" i="4"/>
  <c r="J7" i="4"/>
  <c r="J8" i="4"/>
  <c r="C17" i="4" s="1"/>
  <c r="G4" i="17" s="1"/>
  <c r="J9" i="4"/>
  <c r="J2" i="4"/>
  <c r="E10" i="4"/>
  <c r="J10" i="4" s="1"/>
  <c r="J4" i="3"/>
  <c r="J5" i="3"/>
  <c r="J7" i="3"/>
  <c r="J9" i="3"/>
  <c r="E10" i="3"/>
  <c r="J10" i="3" s="1"/>
  <c r="E8" i="3"/>
  <c r="J8" i="3" s="1"/>
  <c r="E6" i="3"/>
  <c r="E2" i="3"/>
  <c r="J2" i="3" s="1"/>
  <c r="J4" i="2"/>
  <c r="J9" i="2"/>
  <c r="J10" i="2"/>
  <c r="E5" i="2"/>
  <c r="J5" i="2" s="1"/>
  <c r="E8" i="2"/>
  <c r="E6" i="2"/>
  <c r="E2" i="2"/>
  <c r="J2" i="2" s="1"/>
  <c r="E18" i="13" l="1"/>
  <c r="F12" i="19"/>
  <c r="I12" i="19" s="1"/>
  <c r="J12" i="19" s="1"/>
  <c r="L12" i="19" s="1"/>
  <c r="E18" i="5"/>
  <c r="E18" i="4"/>
  <c r="I4" i="19"/>
  <c r="J4" i="19" s="1"/>
  <c r="L4" i="19" s="1"/>
  <c r="E18" i="15"/>
  <c r="I14" i="19"/>
  <c r="J14" i="19" s="1"/>
  <c r="L14" i="19" s="1"/>
  <c r="E18" i="12"/>
  <c r="D17" i="4"/>
  <c r="H4" i="17" s="1"/>
  <c r="C17" i="12"/>
  <c r="G11" i="17" s="1"/>
  <c r="D17" i="15"/>
  <c r="H14" i="17" s="1"/>
  <c r="D19" i="6"/>
  <c r="H6" i="17" s="1"/>
  <c r="D20" i="2"/>
  <c r="H2" i="17" s="1"/>
  <c r="D16" i="10"/>
  <c r="H9" i="17" s="1"/>
  <c r="B18" i="14"/>
  <c r="F13" i="17" s="1"/>
  <c r="B17" i="15"/>
  <c r="F14" i="17" s="1"/>
  <c r="C17" i="15"/>
  <c r="G14" i="17" s="1"/>
  <c r="B17" i="13"/>
  <c r="F12" i="17" s="1"/>
  <c r="D17" i="13"/>
  <c r="H12" i="17" s="1"/>
  <c r="C17" i="13"/>
  <c r="G12" i="17" s="1"/>
  <c r="B17" i="12"/>
  <c r="F11" i="17" s="1"/>
  <c r="D17" i="12"/>
  <c r="H11" i="17" s="1"/>
  <c r="B18" i="11"/>
  <c r="F10" i="17" s="1"/>
  <c r="D18" i="9"/>
  <c r="H8" i="17" s="1"/>
  <c r="D17" i="5"/>
  <c r="H5" i="17" s="1"/>
  <c r="B17" i="5"/>
  <c r="B17" i="4"/>
  <c r="F4" i="17" s="1"/>
  <c r="D19" i="3"/>
  <c r="H3" i="17" s="1"/>
  <c r="D3" i="16"/>
  <c r="F57" i="16" s="1"/>
  <c r="D4" i="16"/>
  <c r="F58" i="16" s="1"/>
  <c r="D5" i="16"/>
  <c r="F59" i="16" s="1"/>
  <c r="D6" i="16"/>
  <c r="F60" i="16" s="1"/>
  <c r="D7" i="16"/>
  <c r="F61" i="16" s="1"/>
  <c r="D8" i="16"/>
  <c r="F62" i="16" s="1"/>
  <c r="D9" i="16"/>
  <c r="F63" i="16" s="1"/>
  <c r="D10" i="16"/>
  <c r="F64" i="16" s="1"/>
  <c r="D11" i="16"/>
  <c r="F65" i="16" s="1"/>
  <c r="D12" i="16"/>
  <c r="F66" i="16" s="1"/>
  <c r="D13" i="16"/>
  <c r="F67" i="16" s="1"/>
  <c r="D14" i="16"/>
  <c r="F68" i="16" s="1"/>
  <c r="D2" i="16"/>
  <c r="F56" i="16" s="1"/>
  <c r="I3" i="15"/>
  <c r="I4" i="15"/>
  <c r="I5" i="15"/>
  <c r="I6" i="15"/>
  <c r="I7" i="15"/>
  <c r="I9" i="15"/>
  <c r="D8" i="15"/>
  <c r="I8" i="15" s="1"/>
  <c r="I2" i="15"/>
  <c r="I4" i="14"/>
  <c r="I5" i="14"/>
  <c r="I6" i="14"/>
  <c r="I7" i="14"/>
  <c r="I10" i="14"/>
  <c r="I2" i="14"/>
  <c r="D8" i="14"/>
  <c r="D3" i="14"/>
  <c r="I3" i="14" s="1"/>
  <c r="I3" i="13"/>
  <c r="I4" i="13"/>
  <c r="I5" i="13"/>
  <c r="I6" i="13"/>
  <c r="I7" i="13"/>
  <c r="I8" i="13"/>
  <c r="I9" i="13"/>
  <c r="I2" i="13"/>
  <c r="I3" i="12"/>
  <c r="I4" i="12"/>
  <c r="I5" i="12"/>
  <c r="I6" i="12"/>
  <c r="I7" i="12"/>
  <c r="I9" i="12"/>
  <c r="D8" i="12"/>
  <c r="I8" i="12" s="1"/>
  <c r="I2" i="12"/>
  <c r="I4" i="11"/>
  <c r="I5" i="11"/>
  <c r="I6" i="11"/>
  <c r="I7" i="11"/>
  <c r="I10" i="11"/>
  <c r="I2" i="11"/>
  <c r="D8" i="11"/>
  <c r="D3" i="11"/>
  <c r="I3" i="11" s="1"/>
  <c r="I9" i="10"/>
  <c r="I4" i="10"/>
  <c r="I5" i="10"/>
  <c r="I6" i="10"/>
  <c r="I7" i="10"/>
  <c r="I2" i="10"/>
  <c r="D10" i="10"/>
  <c r="I10" i="10" s="1"/>
  <c r="D8" i="10"/>
  <c r="I8" i="10" s="1"/>
  <c r="C15" i="10" s="1"/>
  <c r="G9" i="16" s="1"/>
  <c r="I4" i="9"/>
  <c r="I5" i="9"/>
  <c r="I8" i="9"/>
  <c r="I9" i="9"/>
  <c r="I10" i="9"/>
  <c r="D2" i="9"/>
  <c r="I4" i="8"/>
  <c r="I9" i="8"/>
  <c r="I11" i="8"/>
  <c r="D8" i="8"/>
  <c r="D7" i="8"/>
  <c r="D6" i="8"/>
  <c r="D5" i="8"/>
  <c r="I5" i="8" s="1"/>
  <c r="D3" i="8"/>
  <c r="D2" i="8"/>
  <c r="I2" i="8" s="1"/>
  <c r="I4" i="6"/>
  <c r="I5" i="6"/>
  <c r="I9" i="6"/>
  <c r="I10" i="6"/>
  <c r="D2" i="6"/>
  <c r="I4" i="5"/>
  <c r="I5" i="5"/>
  <c r="I6" i="5"/>
  <c r="I7" i="5"/>
  <c r="I2" i="5"/>
  <c r="I10" i="5"/>
  <c r="I9" i="5"/>
  <c r="D8" i="5"/>
  <c r="I8" i="5" s="1"/>
  <c r="C16" i="5" s="1"/>
  <c r="G5" i="16" s="1"/>
  <c r="D3" i="5"/>
  <c r="I3" i="5" s="1"/>
  <c r="D10" i="4"/>
  <c r="I10" i="4" s="1"/>
  <c r="D8" i="4"/>
  <c r="I8" i="4" s="1"/>
  <c r="C16" i="4" s="1"/>
  <c r="G4" i="16" s="1"/>
  <c r="I4" i="4"/>
  <c r="I5" i="4"/>
  <c r="I6" i="4"/>
  <c r="I7" i="4"/>
  <c r="I9" i="4"/>
  <c r="I2" i="4"/>
  <c r="D3" i="4"/>
  <c r="I3" i="4" s="1"/>
  <c r="D2" i="3"/>
  <c r="I2" i="3" s="1"/>
  <c r="D2" i="2"/>
  <c r="I2" i="2" s="1"/>
  <c r="I4" i="3"/>
  <c r="I5" i="3"/>
  <c r="I7" i="3"/>
  <c r="I8" i="3"/>
  <c r="I9" i="3"/>
  <c r="I10" i="3"/>
  <c r="I4" i="2"/>
  <c r="I10" i="2"/>
  <c r="D19" i="2" s="1"/>
  <c r="H2" i="16" s="1"/>
  <c r="I9" i="2"/>
  <c r="D8" i="2"/>
  <c r="D7" i="2"/>
  <c r="D6" i="2"/>
  <c r="D5" i="2"/>
  <c r="I5" i="2" s="1"/>
  <c r="D3" i="2"/>
  <c r="H9" i="15"/>
  <c r="H8" i="15"/>
  <c r="H7" i="15"/>
  <c r="H6" i="15"/>
  <c r="H5" i="15"/>
  <c r="H4" i="15"/>
  <c r="H3" i="15"/>
  <c r="H2" i="15"/>
  <c r="H3" i="14"/>
  <c r="H5" i="14"/>
  <c r="H7" i="14"/>
  <c r="H10" i="14"/>
  <c r="D16" i="14" s="1"/>
  <c r="F14" i="7" s="1"/>
  <c r="J8" i="14"/>
  <c r="H6" i="14"/>
  <c r="H4" i="14"/>
  <c r="H2" i="14"/>
  <c r="H9" i="13"/>
  <c r="H8" i="13"/>
  <c r="H7" i="13"/>
  <c r="H6" i="13"/>
  <c r="H5" i="13"/>
  <c r="H4" i="13"/>
  <c r="H3" i="13"/>
  <c r="H2" i="13"/>
  <c r="H9" i="12"/>
  <c r="H8" i="12"/>
  <c r="H7" i="12"/>
  <c r="H6" i="12"/>
  <c r="H5" i="12"/>
  <c r="H4" i="12"/>
  <c r="H3" i="12"/>
  <c r="H2" i="12"/>
  <c r="H5" i="6"/>
  <c r="H9" i="6"/>
  <c r="H10" i="6"/>
  <c r="H3" i="5"/>
  <c r="H4" i="5"/>
  <c r="H5" i="5"/>
  <c r="H7" i="5"/>
  <c r="H9" i="5"/>
  <c r="H10" i="5"/>
  <c r="H3" i="4"/>
  <c r="H4" i="4"/>
  <c r="H5" i="4"/>
  <c r="H7" i="4"/>
  <c r="H9" i="4"/>
  <c r="H10" i="4"/>
  <c r="H2" i="4"/>
  <c r="H5" i="2"/>
  <c r="H9" i="2"/>
  <c r="H10" i="2"/>
  <c r="D18" i="2" s="1"/>
  <c r="F3" i="7" s="1"/>
  <c r="H4" i="11"/>
  <c r="H3" i="11"/>
  <c r="H5" i="11"/>
  <c r="H7" i="11"/>
  <c r="H10" i="11"/>
  <c r="D16" i="11" s="1"/>
  <c r="F11" i="7" s="1"/>
  <c r="H2" i="11"/>
  <c r="H9" i="11"/>
  <c r="J8" i="11"/>
  <c r="H6" i="11"/>
  <c r="H2" i="10"/>
  <c r="H5" i="10"/>
  <c r="H10" i="10"/>
  <c r="H9" i="10"/>
  <c r="H8" i="10"/>
  <c r="C14" i="10" s="1"/>
  <c r="E10" i="7" s="1"/>
  <c r="H7" i="10"/>
  <c r="H6" i="10"/>
  <c r="H4" i="10"/>
  <c r="H3" i="10"/>
  <c r="J2" i="9"/>
  <c r="H10" i="9"/>
  <c r="H9" i="9"/>
  <c r="H8" i="9"/>
  <c r="H5" i="9"/>
  <c r="H4" i="9"/>
  <c r="H11" i="8"/>
  <c r="D16" i="8" s="1"/>
  <c r="F8" i="7" s="1"/>
  <c r="H5" i="8"/>
  <c r="H9" i="8"/>
  <c r="H2" i="8"/>
  <c r="H4" i="8"/>
  <c r="H4" i="6"/>
  <c r="H8" i="5"/>
  <c r="H6" i="5"/>
  <c r="H2" i="5"/>
  <c r="H8" i="4"/>
  <c r="H6" i="4"/>
  <c r="H10" i="3"/>
  <c r="I3" i="3"/>
  <c r="H9" i="3"/>
  <c r="H8" i="3"/>
  <c r="H7" i="3"/>
  <c r="H5" i="3"/>
  <c r="H4" i="3"/>
  <c r="H2" i="3"/>
  <c r="H2" i="2"/>
  <c r="J6" i="2"/>
  <c r="H4" i="2"/>
  <c r="H4" i="1"/>
  <c r="E4" i="1"/>
  <c r="I4" i="17" l="1"/>
  <c r="J4" i="17" s="1"/>
  <c r="L4" i="17" s="1"/>
  <c r="I3" i="2"/>
  <c r="B19" i="2" s="1"/>
  <c r="F2" i="16" s="1"/>
  <c r="H56" i="16" s="1"/>
  <c r="I8" i="2"/>
  <c r="C16" i="12"/>
  <c r="G11" i="16" s="1"/>
  <c r="I8" i="11"/>
  <c r="I2" i="9"/>
  <c r="D16" i="12"/>
  <c r="H11" i="16" s="1"/>
  <c r="D15" i="12"/>
  <c r="F12" i="7" s="1"/>
  <c r="I3" i="9"/>
  <c r="K3" i="9"/>
  <c r="J3" i="9"/>
  <c r="B18" i="9" s="1"/>
  <c r="F8" i="17" s="1"/>
  <c r="H6" i="6"/>
  <c r="K6" i="6"/>
  <c r="J6" i="6"/>
  <c r="H6" i="2"/>
  <c r="K6" i="2"/>
  <c r="H6" i="9"/>
  <c r="K6" i="9"/>
  <c r="C16" i="13"/>
  <c r="G12" i="16" s="1"/>
  <c r="I11" i="17"/>
  <c r="J11" i="17" s="1"/>
  <c r="L11" i="17" s="1"/>
  <c r="J6" i="9"/>
  <c r="H6" i="3"/>
  <c r="C17" i="3" s="1"/>
  <c r="E4" i="7" s="1"/>
  <c r="K6" i="3"/>
  <c r="C20" i="3" s="1"/>
  <c r="G3" i="19" s="1"/>
  <c r="H6" i="8"/>
  <c r="K6" i="8"/>
  <c r="H8" i="8"/>
  <c r="K8" i="8"/>
  <c r="J6" i="8"/>
  <c r="I3" i="6"/>
  <c r="K3" i="6"/>
  <c r="J3" i="6"/>
  <c r="I7" i="2"/>
  <c r="K7" i="2"/>
  <c r="J7" i="2"/>
  <c r="H3" i="8"/>
  <c r="B16" i="8" s="1"/>
  <c r="K3" i="8"/>
  <c r="B19" i="8" s="1"/>
  <c r="J3" i="8"/>
  <c r="B18" i="8" s="1"/>
  <c r="F7" i="17" s="1"/>
  <c r="H7" i="9"/>
  <c r="K7" i="9"/>
  <c r="J7" i="9"/>
  <c r="K3" i="10"/>
  <c r="B17" i="10" s="1"/>
  <c r="J3" i="10"/>
  <c r="B16" i="10" s="1"/>
  <c r="H8" i="11"/>
  <c r="C16" i="11" s="1"/>
  <c r="E11" i="7" s="1"/>
  <c r="F65" i="7" s="1"/>
  <c r="K8" i="11"/>
  <c r="H3" i="6"/>
  <c r="H8" i="14"/>
  <c r="K8" i="14"/>
  <c r="H8" i="6"/>
  <c r="K8" i="6"/>
  <c r="J8" i="6"/>
  <c r="H2" i="6"/>
  <c r="K2" i="6"/>
  <c r="J2" i="6"/>
  <c r="D16" i="15"/>
  <c r="H14" i="16" s="1"/>
  <c r="J8" i="8"/>
  <c r="H10" i="8"/>
  <c r="J10" i="8"/>
  <c r="K10" i="8"/>
  <c r="H7" i="8"/>
  <c r="K7" i="8"/>
  <c r="J7" i="8"/>
  <c r="H3" i="2"/>
  <c r="B18" i="2" s="1"/>
  <c r="D3" i="7" s="1"/>
  <c r="E57" i="7" s="1"/>
  <c r="K3" i="2"/>
  <c r="B21" i="2" s="1"/>
  <c r="J3" i="2"/>
  <c r="B20" i="2" s="1"/>
  <c r="H8" i="2"/>
  <c r="K8" i="2"/>
  <c r="H3" i="3"/>
  <c r="K3" i="3"/>
  <c r="B20" i="3" s="1"/>
  <c r="J3" i="3"/>
  <c r="B19" i="3" s="1"/>
  <c r="F3" i="17" s="1"/>
  <c r="H2" i="9"/>
  <c r="K2" i="9"/>
  <c r="I9" i="11"/>
  <c r="K9" i="11"/>
  <c r="J9" i="11"/>
  <c r="C18" i="11" s="1"/>
  <c r="I9" i="14"/>
  <c r="K9" i="14"/>
  <c r="J9" i="14"/>
  <c r="C18" i="14" s="1"/>
  <c r="I6" i="2"/>
  <c r="H7" i="6"/>
  <c r="K7" i="6"/>
  <c r="J7" i="6"/>
  <c r="I14" i="17"/>
  <c r="J14" i="17" s="1"/>
  <c r="L14" i="17" s="1"/>
  <c r="J8" i="2"/>
  <c r="J6" i="3"/>
  <c r="C19" i="3" s="1"/>
  <c r="G3" i="17" s="1"/>
  <c r="E17" i="15"/>
  <c r="E17" i="13"/>
  <c r="I12" i="17"/>
  <c r="J12" i="17" s="1"/>
  <c r="L12" i="17" s="1"/>
  <c r="E17" i="12"/>
  <c r="D17" i="9"/>
  <c r="H8" i="16" s="1"/>
  <c r="D16" i="9"/>
  <c r="F5" i="17"/>
  <c r="I5" i="17" s="1"/>
  <c r="J5" i="17" s="1"/>
  <c r="L5" i="17" s="1"/>
  <c r="E17" i="5"/>
  <c r="D15" i="5"/>
  <c r="F6" i="7" s="1"/>
  <c r="E17" i="4"/>
  <c r="D18" i="3"/>
  <c r="H3" i="16" s="1"/>
  <c r="C16" i="15"/>
  <c r="G14" i="16" s="1"/>
  <c r="I68" i="16" s="1"/>
  <c r="B16" i="15"/>
  <c r="F14" i="16" s="1"/>
  <c r="H68" i="16" s="1"/>
  <c r="B17" i="14"/>
  <c r="F13" i="16" s="1"/>
  <c r="H67" i="16" s="1"/>
  <c r="I8" i="14"/>
  <c r="H9" i="14"/>
  <c r="D16" i="13"/>
  <c r="H12" i="16" s="1"/>
  <c r="B16" i="12"/>
  <c r="D15" i="10"/>
  <c r="H9" i="16" s="1"/>
  <c r="I63" i="16" s="1"/>
  <c r="I3" i="10"/>
  <c r="B15" i="10" s="1"/>
  <c r="I7" i="8"/>
  <c r="I3" i="8"/>
  <c r="B17" i="8" s="1"/>
  <c r="F7" i="16" s="1"/>
  <c r="H61" i="16" s="1"/>
  <c r="I8" i="8"/>
  <c r="I6" i="8"/>
  <c r="I2" i="6"/>
  <c r="I7" i="6"/>
  <c r="D18" i="6"/>
  <c r="H6" i="16" s="1"/>
  <c r="B16" i="4"/>
  <c r="D16" i="4"/>
  <c r="H4" i="16" s="1"/>
  <c r="I58" i="16" s="1"/>
  <c r="D17" i="3"/>
  <c r="F4" i="7" s="1"/>
  <c r="B16" i="5"/>
  <c r="F5" i="16" s="1"/>
  <c r="H59" i="16" s="1"/>
  <c r="D16" i="5"/>
  <c r="H5" i="16" s="1"/>
  <c r="I59" i="16" s="1"/>
  <c r="B17" i="11"/>
  <c r="F10" i="16" s="1"/>
  <c r="H64" i="16" s="1"/>
  <c r="I6" i="3"/>
  <c r="C18" i="3" s="1"/>
  <c r="G3" i="16" s="1"/>
  <c r="I57" i="16" s="1"/>
  <c r="B18" i="3"/>
  <c r="F3" i="16" s="1"/>
  <c r="H57" i="16" s="1"/>
  <c r="I6" i="6"/>
  <c r="I10" i="8"/>
  <c r="I7" i="9"/>
  <c r="B16" i="13"/>
  <c r="H7" i="2"/>
  <c r="D17" i="6"/>
  <c r="F7" i="7" s="1"/>
  <c r="I6" i="9"/>
  <c r="B15" i="12"/>
  <c r="C15" i="12"/>
  <c r="E12" i="7" s="1"/>
  <c r="C15" i="13"/>
  <c r="E13" i="7" s="1"/>
  <c r="I8" i="6"/>
  <c r="C15" i="15"/>
  <c r="E15" i="7" s="1"/>
  <c r="D15" i="13"/>
  <c r="F13" i="7" s="1"/>
  <c r="H3" i="9"/>
  <c r="B15" i="5"/>
  <c r="D6" i="7" s="1"/>
  <c r="E60" i="7" s="1"/>
  <c r="D15" i="4"/>
  <c r="F5" i="7" s="1"/>
  <c r="D15" i="15"/>
  <c r="F15" i="7" s="1"/>
  <c r="B15" i="15"/>
  <c r="D15" i="7" s="1"/>
  <c r="E69" i="7" s="1"/>
  <c r="B16" i="14"/>
  <c r="D14" i="7" s="1"/>
  <c r="E68" i="7" s="1"/>
  <c r="B15" i="13"/>
  <c r="D13" i="7" s="1"/>
  <c r="E67" i="7" s="1"/>
  <c r="C15" i="5"/>
  <c r="E6" i="7" s="1"/>
  <c r="C15" i="4"/>
  <c r="E5" i="7" s="1"/>
  <c r="D14" i="10"/>
  <c r="F10" i="7" s="1"/>
  <c r="F64" i="7" s="1"/>
  <c r="B16" i="11"/>
  <c r="D11" i="7" s="1"/>
  <c r="E65" i="7" s="1"/>
  <c r="B14" i="10"/>
  <c r="D10" i="7" s="1"/>
  <c r="B15" i="4"/>
  <c r="D5" i="7" s="1"/>
  <c r="E59" i="7" s="1"/>
  <c r="B17" i="3"/>
  <c r="D4" i="7" s="1"/>
  <c r="C17" i="11" l="1"/>
  <c r="G10" i="16" s="1"/>
  <c r="I64" i="16" s="1"/>
  <c r="C19" i="2"/>
  <c r="G2" i="16" s="1"/>
  <c r="I56" i="16" s="1"/>
  <c r="C17" i="6"/>
  <c r="E7" i="7" s="1"/>
  <c r="F61" i="7" s="1"/>
  <c r="F66" i="7"/>
  <c r="B17" i="9"/>
  <c r="F8" i="16" s="1"/>
  <c r="H62" i="16" s="1"/>
  <c r="B19" i="6"/>
  <c r="F6" i="17" s="1"/>
  <c r="B17" i="6"/>
  <c r="D7" i="7" s="1"/>
  <c r="E61" i="7" s="1"/>
  <c r="C18" i="2"/>
  <c r="E3" i="7" s="1"/>
  <c r="F57" i="7" s="1"/>
  <c r="I66" i="16"/>
  <c r="I65" i="16"/>
  <c r="C16" i="8"/>
  <c r="E8" i="7" s="1"/>
  <c r="F62" i="7" s="1"/>
  <c r="C18" i="9"/>
  <c r="G8" i="17" s="1"/>
  <c r="I8" i="17" s="1"/>
  <c r="J8" i="17" s="1"/>
  <c r="L8" i="17" s="1"/>
  <c r="C16" i="9"/>
  <c r="E9" i="7" s="1"/>
  <c r="F63" i="7" s="1"/>
  <c r="G10" i="7"/>
  <c r="H10" i="7" s="1"/>
  <c r="J10" i="7" s="1"/>
  <c r="E64" i="7"/>
  <c r="C16" i="14"/>
  <c r="E14" i="7" s="1"/>
  <c r="F68" i="7" s="1"/>
  <c r="B20" i="6"/>
  <c r="F6" i="19" s="1"/>
  <c r="G4" i="7"/>
  <c r="H4" i="7" s="1"/>
  <c r="J4" i="7" s="1"/>
  <c r="E58" i="7"/>
  <c r="I2" i="16"/>
  <c r="J2" i="16" s="1"/>
  <c r="L2" i="16" s="1"/>
  <c r="B16" i="9"/>
  <c r="D9" i="7" s="1"/>
  <c r="C20" i="2"/>
  <c r="G2" i="17" s="1"/>
  <c r="B19" i="9"/>
  <c r="F8" i="19" s="1"/>
  <c r="C19" i="9"/>
  <c r="G8" i="19" s="1"/>
  <c r="I5" i="16"/>
  <c r="J5" i="16" s="1"/>
  <c r="L5" i="16" s="1"/>
  <c r="I14" i="16"/>
  <c r="J14" i="16" s="1"/>
  <c r="L14" i="16" s="1"/>
  <c r="C17" i="14"/>
  <c r="G13" i="16" s="1"/>
  <c r="I10" i="16"/>
  <c r="J10" i="16" s="1"/>
  <c r="L10" i="16" s="1"/>
  <c r="G10" i="17"/>
  <c r="I10" i="17" s="1"/>
  <c r="J10" i="17" s="1"/>
  <c r="L10" i="17" s="1"/>
  <c r="E18" i="11"/>
  <c r="E18" i="14"/>
  <c r="G13" i="17"/>
  <c r="I13" i="17" s="1"/>
  <c r="J13" i="17" s="1"/>
  <c r="L13" i="17" s="1"/>
  <c r="F2" i="17"/>
  <c r="C19" i="8"/>
  <c r="G7" i="19" s="1"/>
  <c r="G6" i="7"/>
  <c r="H6" i="7" s="1"/>
  <c r="J6" i="7" s="1"/>
  <c r="F2" i="19"/>
  <c r="C19" i="11"/>
  <c r="F7" i="19"/>
  <c r="C18" i="8"/>
  <c r="G7" i="17" s="1"/>
  <c r="I7" i="17" s="1"/>
  <c r="J7" i="17" s="1"/>
  <c r="L7" i="17" s="1"/>
  <c r="C21" i="2"/>
  <c r="G2" i="19" s="1"/>
  <c r="E17" i="10"/>
  <c r="F9" i="19"/>
  <c r="I9" i="19" s="1"/>
  <c r="J9" i="19" s="1"/>
  <c r="L9" i="19" s="1"/>
  <c r="C20" i="6"/>
  <c r="G6" i="19" s="1"/>
  <c r="E19" i="3"/>
  <c r="C19" i="14"/>
  <c r="F3" i="19"/>
  <c r="I3" i="19" s="1"/>
  <c r="J3" i="19" s="1"/>
  <c r="L3" i="19" s="1"/>
  <c r="E20" i="3"/>
  <c r="F60" i="7"/>
  <c r="B18" i="6"/>
  <c r="F6" i="16" s="1"/>
  <c r="H60" i="16" s="1"/>
  <c r="I3" i="17"/>
  <c r="J3" i="17" s="1"/>
  <c r="L3" i="17" s="1"/>
  <c r="E16" i="10"/>
  <c r="F9" i="17"/>
  <c r="I9" i="17" s="1"/>
  <c r="J9" i="17" s="1"/>
  <c r="L9" i="17" s="1"/>
  <c r="C19" i="6"/>
  <c r="E16" i="15"/>
  <c r="G15" i="7"/>
  <c r="H15" i="7" s="1"/>
  <c r="J15" i="7" s="1"/>
  <c r="F69" i="7"/>
  <c r="F67" i="7"/>
  <c r="G13" i="7"/>
  <c r="H13" i="7" s="1"/>
  <c r="J13" i="7" s="1"/>
  <c r="E16" i="13"/>
  <c r="F12" i="16"/>
  <c r="F11" i="16"/>
  <c r="E16" i="12"/>
  <c r="E15" i="12"/>
  <c r="D12" i="7"/>
  <c r="G11" i="7"/>
  <c r="H11" i="7" s="1"/>
  <c r="J11" i="7" s="1"/>
  <c r="E15" i="10"/>
  <c r="F9" i="16"/>
  <c r="D8" i="7"/>
  <c r="C18" i="6"/>
  <c r="G6" i="16" s="1"/>
  <c r="G5" i="7"/>
  <c r="H5" i="7" s="1"/>
  <c r="J5" i="7" s="1"/>
  <c r="F59" i="7"/>
  <c r="F4" i="16"/>
  <c r="E16" i="4"/>
  <c r="F58" i="7"/>
  <c r="I3" i="16"/>
  <c r="J3" i="16" s="1"/>
  <c r="L3" i="16" s="1"/>
  <c r="E17" i="11"/>
  <c r="E15" i="15"/>
  <c r="C17" i="9"/>
  <c r="G8" i="16" s="1"/>
  <c r="C17" i="8"/>
  <c r="E15" i="5"/>
  <c r="E18" i="3"/>
  <c r="E16" i="5"/>
  <c r="E15" i="13"/>
  <c r="E14" i="10"/>
  <c r="E16" i="11"/>
  <c r="E15" i="4"/>
  <c r="E17" i="3"/>
  <c r="E18" i="2"/>
  <c r="E16" i="14" l="1"/>
  <c r="E16" i="9"/>
  <c r="E19" i="2"/>
  <c r="G3" i="7"/>
  <c r="H3" i="7" s="1"/>
  <c r="J3" i="7" s="1"/>
  <c r="E20" i="2"/>
  <c r="E18" i="8"/>
  <c r="E17" i="6"/>
  <c r="G7" i="7"/>
  <c r="H7" i="7" s="1"/>
  <c r="J7" i="7" s="1"/>
  <c r="E17" i="14"/>
  <c r="G14" i="7"/>
  <c r="H14" i="7" s="1"/>
  <c r="J14" i="7" s="1"/>
  <c r="E18" i="9"/>
  <c r="I8" i="19"/>
  <c r="J8" i="19" s="1"/>
  <c r="L8" i="19" s="1"/>
  <c r="E17" i="9"/>
  <c r="E16" i="8"/>
  <c r="E18" i="6"/>
  <c r="I4" i="16"/>
  <c r="J4" i="16" s="1"/>
  <c r="L4" i="16" s="1"/>
  <c r="H58" i="16"/>
  <c r="I6" i="16"/>
  <c r="J6" i="16" s="1"/>
  <c r="L6" i="16" s="1"/>
  <c r="I60" i="16"/>
  <c r="I11" i="16"/>
  <c r="J11" i="16" s="1"/>
  <c r="L11" i="16" s="1"/>
  <c r="H65" i="16"/>
  <c r="I12" i="16"/>
  <c r="J12" i="16" s="1"/>
  <c r="L12" i="16" s="1"/>
  <c r="H66" i="16"/>
  <c r="I13" i="16"/>
  <c r="J13" i="16" s="1"/>
  <c r="L13" i="16" s="1"/>
  <c r="I67" i="16"/>
  <c r="I9" i="16"/>
  <c r="J9" i="16" s="1"/>
  <c r="L9" i="16" s="1"/>
  <c r="H63" i="16"/>
  <c r="E19" i="9"/>
  <c r="I8" i="16"/>
  <c r="J8" i="16" s="1"/>
  <c r="L8" i="16" s="1"/>
  <c r="I62" i="16"/>
  <c r="G9" i="7"/>
  <c r="H9" i="7" s="1"/>
  <c r="J9" i="7" s="1"/>
  <c r="E63" i="7"/>
  <c r="G12" i="7"/>
  <c r="H12" i="7" s="1"/>
  <c r="J12" i="7" s="1"/>
  <c r="E66" i="7"/>
  <c r="E21" i="2"/>
  <c r="I2" i="17"/>
  <c r="J2" i="17" s="1"/>
  <c r="L2" i="17" s="1"/>
  <c r="G8" i="7"/>
  <c r="H8" i="7" s="1"/>
  <c r="J8" i="7" s="1"/>
  <c r="E62" i="7"/>
  <c r="I6" i="19"/>
  <c r="J6" i="19" s="1"/>
  <c r="L6" i="19" s="1"/>
  <c r="E20" i="6"/>
  <c r="E19" i="8"/>
  <c r="I7" i="19"/>
  <c r="J7" i="19" s="1"/>
  <c r="L7" i="19" s="1"/>
  <c r="G6" i="17"/>
  <c r="I6" i="17" s="1"/>
  <c r="J6" i="17" s="1"/>
  <c r="L6" i="17" s="1"/>
  <c r="E19" i="6"/>
  <c r="G13" i="19"/>
  <c r="I13" i="19" s="1"/>
  <c r="J13" i="19" s="1"/>
  <c r="L13" i="19" s="1"/>
  <c r="E19" i="14"/>
  <c r="G10" i="19"/>
  <c r="I10" i="19" s="1"/>
  <c r="J10" i="19" s="1"/>
  <c r="L10" i="19" s="1"/>
  <c r="E19" i="11"/>
  <c r="I2" i="19"/>
  <c r="J2" i="19" s="1"/>
  <c r="L2" i="19" s="1"/>
  <c r="E17" i="8"/>
  <c r="G7" i="16"/>
  <c r="I7" i="16" l="1"/>
  <c r="J7" i="16" s="1"/>
  <c r="L7" i="16" s="1"/>
  <c r="I61" i="16"/>
</calcChain>
</file>

<file path=xl/comments1.xml><?xml version="1.0" encoding="utf-8"?>
<comments xmlns="http://schemas.openxmlformats.org/spreadsheetml/2006/main">
  <authors>
    <author>Patri, Sai Kireet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</commentList>
</comments>
</file>

<file path=xl/sharedStrings.xml><?xml version="1.0" encoding="utf-8"?>
<sst xmlns="http://schemas.openxmlformats.org/spreadsheetml/2006/main" count="637" uniqueCount="136">
  <si>
    <t>Paper</t>
  </si>
  <si>
    <t>Duct Cost</t>
  </si>
  <si>
    <t>Fiber Cost</t>
  </si>
  <si>
    <t>RN Cost</t>
  </si>
  <si>
    <t>Duct Cost /km</t>
  </si>
  <si>
    <t>Fiber Cost /km</t>
  </si>
  <si>
    <t>Phillipson 2013</t>
  </si>
  <si>
    <t>RN1 Cost/unit</t>
  </si>
  <si>
    <t>RN2 Cost/unit</t>
  </si>
  <si>
    <t>Technology deployed</t>
  </si>
  <si>
    <t>CO Cost /unit</t>
  </si>
  <si>
    <t>NA</t>
  </si>
  <si>
    <t>FTTCab</t>
  </si>
  <si>
    <t>G.fast</t>
  </si>
  <si>
    <t>ONT Cost/unit</t>
  </si>
  <si>
    <t>Phillipson 2014</t>
  </si>
  <si>
    <t>WDM</t>
  </si>
  <si>
    <t>Leiva 2012+ 
Huelsermann 2008</t>
  </si>
  <si>
    <t>Position of component</t>
  </si>
  <si>
    <t>Component Name</t>
  </si>
  <si>
    <t>Cost per Unit (OASE)</t>
  </si>
  <si>
    <t>Quantity</t>
  </si>
  <si>
    <t>Component Cost</t>
  </si>
  <si>
    <t>GPON OLT Card(8*2.5Gbps)</t>
  </si>
  <si>
    <t>Pluggable B+</t>
  </si>
  <si>
    <t>Switching Cost</t>
  </si>
  <si>
    <t>Additional</t>
  </si>
  <si>
    <t>Central Office</t>
  </si>
  <si>
    <t>RN1</t>
  </si>
  <si>
    <t>Power Splitter 1:8</t>
  </si>
  <si>
    <t>RN2</t>
  </si>
  <si>
    <t>GPON ONT</t>
  </si>
  <si>
    <t>Building</t>
  </si>
  <si>
    <t>1:8 Mini DSLAM</t>
  </si>
  <si>
    <t>Total Cost</t>
  </si>
  <si>
    <t>OLT Electronic Cost</t>
  </si>
  <si>
    <t>RN Electronics Cost</t>
  </si>
  <si>
    <t>Building Electronics Cost</t>
  </si>
  <si>
    <t>XGPON OLT Card(6*10Gbps)</t>
  </si>
  <si>
    <t>Pluggable Nom1</t>
  </si>
  <si>
    <t>XGPON ONT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</si>
  <si>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</si>
  <si>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</si>
  <si>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</si>
  <si>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</si>
  <si>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</si>
  <si>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</si>
  <si>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</si>
  <si>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1:8 Power Splitter</t>
  </si>
  <si>
    <t>Technology</t>
  </si>
  <si>
    <t>FTTCab_GPON_25</t>
  </si>
  <si>
    <t>FTTB_XGPON_50</t>
  </si>
  <si>
    <t>FTTB_WRWDM_50</t>
  </si>
  <si>
    <t>FTTH_WRWDM_100</t>
  </si>
  <si>
    <t>FTTH_XGPON_100</t>
  </si>
  <si>
    <t>Total Cost in Cost Units</t>
  </si>
  <si>
    <t>Total Cost in Euros</t>
  </si>
  <si>
    <t>No. Of HH</t>
  </si>
  <si>
    <t>Pure Residential Scenario</t>
  </si>
  <si>
    <t>Data rate</t>
  </si>
  <si>
    <t>Remote Node E&amp;I Costs</t>
  </si>
  <si>
    <t>Building E&amp;I Costs</t>
  </si>
  <si>
    <t>Central Office E&amp;I Costs</t>
  </si>
  <si>
    <t>GPON OLT Card(6*10Gbps)</t>
  </si>
  <si>
    <t>1:4 Power Splitter</t>
  </si>
  <si>
    <t>1:6 Mini DSLAM</t>
  </si>
  <si>
    <t>NIL</t>
  </si>
  <si>
    <t>FTTCab_GPON_100</t>
  </si>
  <si>
    <t>FTTB_XGPON_100</t>
  </si>
  <si>
    <t>FTTB_WRWDM_100</t>
  </si>
  <si>
    <t>FTTC_Hybridpon_25</t>
  </si>
  <si>
    <t>FTTB_Hybridpon_50</t>
  </si>
  <si>
    <t>FTTH_Hybridpon_100</t>
  </si>
  <si>
    <t>FTTC_Hybridpon_100</t>
  </si>
  <si>
    <t>FTTB_Hybridpon_100</t>
  </si>
  <si>
    <t>HybridPON ONT</t>
  </si>
  <si>
    <t>1:16 DSLAM</t>
  </si>
  <si>
    <t>Buildings</t>
  </si>
  <si>
    <t>EDFA</t>
  </si>
  <si>
    <t>1:16 Power Splitter</t>
  </si>
  <si>
    <t>CO cost</t>
  </si>
  <si>
    <t>Component Cost(OASE)</t>
  </si>
  <si>
    <t>Cost per Unit (Rokkas)</t>
  </si>
  <si>
    <t>Component Cost(Rokkas)</t>
  </si>
  <si>
    <t>Reference</t>
  </si>
  <si>
    <t>OASE</t>
  </si>
  <si>
    <t>Rokkas 2015</t>
  </si>
  <si>
    <t>Cost per Unit(Rokkas)</t>
  </si>
  <si>
    <t>WDMPON ONT</t>
  </si>
  <si>
    <t>Rokkas (2015)</t>
  </si>
  <si>
    <t>Duct Length</t>
  </si>
  <si>
    <t>Fiber Length</t>
  </si>
  <si>
    <t>Cost per Home passed(Rokkas)</t>
  </si>
  <si>
    <t>Total Cost in Euros(Rokkas)</t>
  </si>
  <si>
    <t>Papers added</t>
  </si>
  <si>
    <t>Title</t>
  </si>
  <si>
    <t>Date of Publishing</t>
  </si>
  <si>
    <t>Authors</t>
  </si>
  <si>
    <t>URL</t>
  </si>
  <si>
    <t>https://ieeexplore.ieee.org/document/7347221/</t>
  </si>
  <si>
    <t>Techno-economic analysis of PON architectures for FTTH deployments: Comparison between GPON,XGPON and NG-PON2 for a Greenfield operator</t>
  </si>
  <si>
    <t> 2015 Conference of Telecommunication, Media and Internet Techno-Economics (CTTE)</t>
  </si>
  <si>
    <t>Journal/Conference</t>
  </si>
  <si>
    <t>Theodoros Rokkas</t>
  </si>
  <si>
    <t>BSG- The costs of deploying next generation fiber broadband</t>
  </si>
  <si>
    <t>http://www.broadbanduk.org/wp-content/uploads/2012/08/http___www-broadbanduk6.pdf</t>
  </si>
  <si>
    <t>Analysys Mason</t>
  </si>
  <si>
    <t>Broadband Stakeholders Group</t>
  </si>
  <si>
    <t>Cost per Unit (BSG)</t>
  </si>
  <si>
    <t>Component Cost(BSG)</t>
  </si>
  <si>
    <t>BSG 2008</t>
  </si>
  <si>
    <t>Cost per Unit(BSG)</t>
  </si>
  <si>
    <t>Total Cost in Euros(BSG)</t>
  </si>
  <si>
    <t>Cost per Home passed(BSG)</t>
  </si>
  <si>
    <t>1:6 Mini DSLAM+Cabinet</t>
  </si>
  <si>
    <t>1:4 Mini DSLAM+Cabinet</t>
  </si>
  <si>
    <t>Cost per Home passed(OASE)</t>
  </si>
  <si>
    <t>Fourth Generation Broadband Delivered by Hybrid FttH Solution—A Techno-Economic Study</t>
  </si>
  <si>
    <t>J. OPT. COMMUN. NETW./VOL. 5, NO. 11/NOVEMBER 2013</t>
  </si>
  <si>
    <t>Frank Phillipson, Charlotte Smit-Rietveld, and Pieter Verhagen</t>
  </si>
  <si>
    <t>https://www.researchgate.net/publication/260357529</t>
  </si>
  <si>
    <t>Cost per Unit(Philipson)</t>
  </si>
  <si>
    <t>Component Cost(Phillipson)</t>
  </si>
  <si>
    <t>Cost per Unit(Phillipson)</t>
  </si>
  <si>
    <t>Cost per Unit (Phillipson)</t>
  </si>
  <si>
    <t>Cost per uNit(Phillipson)</t>
  </si>
  <si>
    <t>Total Cost in Euros(Phillipson)</t>
  </si>
  <si>
    <t>1:32 DSLAM+Cabinet</t>
  </si>
  <si>
    <t>WR-WDMPON ONT+Install Cost</t>
  </si>
  <si>
    <t>Cost per Home passed(Phillipson)</t>
  </si>
  <si>
    <t>CO Cost</t>
  </si>
  <si>
    <t>FTTB_UDWDM_50</t>
  </si>
  <si>
    <t>FTTH_UDWDM_100</t>
  </si>
  <si>
    <t>FTTB_UDWDM_100</t>
  </si>
  <si>
    <t>FTTC_GPON_25</t>
  </si>
  <si>
    <t>FTTC_GPON_100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</si>
</sst>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;[Red]\-[$€-2]\ #,##0"/>
    <numFmt numFmtId="165" formatCode="[$€-2]\ #,##0.00;[Red]\-[$€-2]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7.600000000000001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4" fillId="6" borderId="6" applyNumberFormat="0" applyAlignment="0" applyProtection="0"/>
    <xf numFmtId="0" fontId="15" fillId="7" borderId="6" applyNumberFormat="0" applyAlignment="0" applyProtection="0"/>
  </cellStyleXfs>
  <cellXfs count="3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Font="1" applyBorder="1"/>
    <xf numFmtId="0" fontId="5" fillId="0" borderId="1" xfId="4"/>
    <xf numFmtId="0" fontId="5" fillId="0" borderId="2" xfId="0" applyFont="1" applyBorder="1"/>
    <xf numFmtId="0" fontId="4" fillId="4" borderId="0" xfId="0" applyFont="1" applyFill="1" applyBorder="1"/>
    <xf numFmtId="0" fontId="0" fillId="0" borderId="2" xfId="0" applyNumberFormat="1" applyFont="1" applyBorder="1"/>
    <xf numFmtId="0" fontId="2" fillId="2" borderId="0" xfId="2"/>
    <xf numFmtId="0" fontId="3" fillId="3" borderId="0" xfId="3"/>
    <xf numFmtId="0" fontId="0" fillId="0" borderId="2" xfId="4" applyNumberFormat="1" applyFont="1" applyBorder="1"/>
    <xf numFmtId="0" fontId="0" fillId="0" borderId="0" xfId="0" applyFont="1" applyBorder="1"/>
    <xf numFmtId="0" fontId="0" fillId="0" borderId="0" xfId="0"/>
    <xf numFmtId="0" fontId="2" fillId="2" borderId="0" xfId="2"/>
    <xf numFmtId="0" fontId="1" fillId="0" borderId="4" xfId="1" applyBorder="1"/>
    <xf numFmtId="0" fontId="1" fillId="0" borderId="0" xfId="1" applyBorder="1"/>
    <xf numFmtId="0" fontId="0" fillId="0" borderId="0" xfId="0" applyBorder="1"/>
    <xf numFmtId="0" fontId="1" fillId="0" borderId="3" xfId="1" applyBorder="1"/>
    <xf numFmtId="0" fontId="0" fillId="0" borderId="0" xfId="0"/>
    <xf numFmtId="0" fontId="2" fillId="2" borderId="0" xfId="2"/>
    <xf numFmtId="0" fontId="0" fillId="0" borderId="0" xfId="0"/>
    <xf numFmtId="0" fontId="1" fillId="0" borderId="3" xfId="1" applyBorder="1"/>
    <xf numFmtId="0" fontId="0" fillId="0" borderId="0" xfId="0"/>
    <xf numFmtId="0" fontId="0" fillId="0" borderId="0" xfId="0"/>
    <xf numFmtId="0" fontId="9" fillId="0" borderId="0" xfId="0" applyFont="1" applyAlignment="1">
      <alignment vertical="center" wrapText="1"/>
    </xf>
    <xf numFmtId="0" fontId="11" fillId="0" borderId="0" xfId="6"/>
    <xf numFmtId="14" fontId="0" fillId="0" borderId="0" xfId="0" applyNumberFormat="1"/>
    <xf numFmtId="0" fontId="0" fillId="5" borderId="5" xfId="0" applyFont="1" applyFill="1" applyBorder="1"/>
    <xf numFmtId="0" fontId="0" fillId="0" borderId="5" xfId="0" applyFont="1" applyBorder="1"/>
    <xf numFmtId="0" fontId="0" fillId="0" borderId="0" xfId="0" applyFont="1"/>
    <xf numFmtId="0" fontId="4" fillId="4" borderId="5" xfId="0" applyFont="1" applyFill="1" applyBorder="1"/>
    <xf numFmtId="14" fontId="10" fillId="0" borderId="0" xfId="0" applyNumberFormat="1" applyFont="1"/>
    <xf numFmtId="0" fontId="12" fillId="0" borderId="0" xfId="0" applyFont="1"/>
    <xf numFmtId="0" fontId="13" fillId="4" borderId="0" xfId="0" applyFont="1" applyFill="1" applyBorder="1"/>
    <xf numFmtId="0" fontId="12" fillId="0" borderId="0" xfId="0" applyFont="1" applyBorder="1"/>
    <xf numFmtId="0" fontId="0" fillId="0" borderId="0" xfId="0" applyNumberFormat="1" applyFont="1" applyBorder="1"/>
    <xf numFmtId="0" fontId="14" fillId="6" borderId="6" xfId="7"/>
    <xf numFmtId="0" fontId="15" fillId="7" borderId="6" xfId="8"/>
  </cellXfs>
  <cellStyles count="9">
    <cellStyle name="Bad" xfId="3" builtinId="27"/>
    <cellStyle name="Calculation" xfId="8" builtinId="22"/>
    <cellStyle name="Good" xfId="2" builtinId="26"/>
    <cellStyle name="Heading 4" xfId="1" builtinId="19"/>
    <cellStyle name="Hyperlink" xfId="6" builtinId="8"/>
    <cellStyle name="Input" xfId="7" builtinId="20"/>
    <cellStyle name="Normal" xfId="0" builtinId="0"/>
    <cellStyle name="Standard 2" xfId="5"/>
    <cellStyle name="Total" xfId="4" builtinId="25"/>
  </cellStyles>
  <dxfs count="1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14633176.303442538</c:v>
                </c:pt>
                <c:pt idx="1">
                  <c:v>14719927.414553653</c:v>
                </c:pt>
                <c:pt idx="2">
                  <c:v>11509113.862109901</c:v>
                </c:pt>
                <c:pt idx="3">
                  <c:v>23681958.306554344</c:v>
                </c:pt>
                <c:pt idx="4">
                  <c:v>26406167.41455365</c:v>
                </c:pt>
                <c:pt idx="5">
                  <c:v>17811040.747886982</c:v>
                </c:pt>
                <c:pt idx="6">
                  <c:v>19144777.414553653</c:v>
                </c:pt>
                <c:pt idx="7">
                  <c:v>17052519.417665455</c:v>
                </c:pt>
                <c:pt idx="8">
                  <c:v>11669468.863627804</c:v>
                </c:pt>
                <c:pt idx="9">
                  <c:v>13265206.533240713</c:v>
                </c:pt>
                <c:pt idx="10">
                  <c:v>20060768.863627803</c:v>
                </c:pt>
                <c:pt idx="11">
                  <c:v>22945568.863627803</c:v>
                </c:pt>
                <c:pt idx="12">
                  <c:v>20143906.533240713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15321087.618583923</c:v>
                </c:pt>
                <c:pt idx="1">
                  <c:v>10546453.044047277</c:v>
                </c:pt>
                <c:pt idx="2">
                  <c:v>9069373.149994798</c:v>
                </c:pt>
                <c:pt idx="3">
                  <c:v>25478373.149994794</c:v>
                </c:pt>
                <c:pt idx="4">
                  <c:v>27512453.044047277</c:v>
                </c:pt>
                <c:pt idx="5">
                  <c:v>9990337.6185839232</c:v>
                </c:pt>
                <c:pt idx="6">
                  <c:v>17002953.044047277</c:v>
                </c:pt>
                <c:pt idx="7">
                  <c:v>17139373.149994794</c:v>
                </c:pt>
                <c:pt idx="8">
                  <c:v>10370741.677680973</c:v>
                </c:pt>
                <c:pt idx="9">
                  <c:v>11511696.385353692</c:v>
                </c:pt>
                <c:pt idx="10">
                  <c:v>27489830.385353688</c:v>
                </c:pt>
                <c:pt idx="11">
                  <c:v>28408241.677680973</c:v>
                </c:pt>
                <c:pt idx="12">
                  <c:v>16896696.385353692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49-4DD5-A120-89BC345C596F}"/>
            </c:ext>
          </c:extLst>
        </c:ser>
        <c:ser>
          <c:idx val="0"/>
          <c:order val="2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21985673.699557699</c:v>
                </c:pt>
                <c:pt idx="1">
                  <c:v>14044373.699557699</c:v>
                </c:pt>
                <c:pt idx="2">
                  <c:v>12646221.811125843</c:v>
                </c:pt>
                <c:pt idx="3">
                  <c:v>30646221.811125845</c:v>
                </c:pt>
                <c:pt idx="4">
                  <c:v>29189373.699557699</c:v>
                </c:pt>
                <c:pt idx="5">
                  <c:v>40323373.699557699</c:v>
                </c:pt>
                <c:pt idx="6">
                  <c:v>20759473.699557699</c:v>
                </c:pt>
                <c:pt idx="7">
                  <c:v>19714221.811125845</c:v>
                </c:pt>
                <c:pt idx="8">
                  <c:v>23169060.816784542</c:v>
                </c:pt>
                <c:pt idx="9">
                  <c:v>14362549.773276474</c:v>
                </c:pt>
                <c:pt idx="10">
                  <c:v>32422949.773276474</c:v>
                </c:pt>
                <c:pt idx="11">
                  <c:v>40527749.773276478</c:v>
                </c:pt>
                <c:pt idx="12">
                  <c:v>22171149.773276474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2"/>
          <c:order val="3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34744347.007425137</c:v>
                </c:pt>
                <c:pt idx="1">
                  <c:v>28489157.803101256</c:v>
                </c:pt>
                <c:pt idx="2">
                  <c:v>26104918.969783098</c:v>
                </c:pt>
                <c:pt idx="3">
                  <c:v>31264918.969783094</c:v>
                </c:pt>
                <c:pt idx="4">
                  <c:v>48865337.803101256</c:v>
                </c:pt>
                <c:pt idx="5">
                  <c:v>59440137.007425129</c:v>
                </c:pt>
                <c:pt idx="6">
                  <c:v>39921527.803101249</c:v>
                </c:pt>
                <c:pt idx="7">
                  <c:v>37928918.969783098</c:v>
                </c:pt>
                <c:pt idx="8">
                  <c:v>25255190.48179378</c:v>
                </c:pt>
                <c:pt idx="9">
                  <c:v>27893223.137474932</c:v>
                </c:pt>
                <c:pt idx="10">
                  <c:v>41417678.937474929</c:v>
                </c:pt>
                <c:pt idx="11">
                  <c:v>51712700.481793776</c:v>
                </c:pt>
                <c:pt idx="12">
                  <c:v>40830393.137474932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33792"/>
        <c:axId val="237291776"/>
      </c:barChart>
      <c:catAx>
        <c:axId val="23523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291776"/>
        <c:crosses val="autoZero"/>
        <c:auto val="1"/>
        <c:lblAlgn val="ctr"/>
        <c:lblOffset val="100"/>
        <c:noMultiLvlLbl val="0"/>
      </c:catAx>
      <c:valAx>
        <c:axId val="237291776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233792"/>
        <c:crosses val="autoZero"/>
        <c:crossBetween val="between"/>
        <c:majorUnit val="10"/>
        <c:minorUnit val="10"/>
        <c:dispUnits>
          <c:builtInUnit val="millions"/>
          <c:dispUnitsLbl>
            <c:layout>
              <c:manualLayout>
                <c:xMode val="edge"/>
                <c:yMode val="edge"/>
                <c:x val="7.0901583662798209E-2"/>
                <c:y val="4.2969286060449023E-2"/>
              </c:manualLayout>
            </c:layout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xVal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xVal>
          <c:yVal>
            <c:numRef>
              <c:f>CAPEX_Euros_OASE!$J$3:$J$15</c:f>
              <c:numCache>
                <c:formatCode>General</c:formatCode>
                <c:ptCount val="13"/>
                <c:pt idx="0">
                  <c:v>231.68423532999586</c:v>
                </c:pt>
                <c:pt idx="1">
                  <c:v>233.05774880547267</c:v>
                </c:pt>
                <c:pt idx="2">
                  <c:v>182.22156209800352</c:v>
                </c:pt>
                <c:pt idx="3">
                  <c:v>374.95184145906182</c:v>
                </c:pt>
                <c:pt idx="4">
                  <c:v>418.08371460661255</c:v>
                </c:pt>
                <c:pt idx="5">
                  <c:v>281.9987452167033</c:v>
                </c:pt>
                <c:pt idx="6">
                  <c:v>303.11553854581467</c:v>
                </c:pt>
                <c:pt idx="7">
                  <c:v>269.98922447222066</c:v>
                </c:pt>
                <c:pt idx="8">
                  <c:v>184.76043165971825</c:v>
                </c:pt>
                <c:pt idx="9">
                  <c:v>210.02543592844702</c:v>
                </c:pt>
                <c:pt idx="10">
                  <c:v>317.61825306567135</c:v>
                </c:pt>
                <c:pt idx="11">
                  <c:v>363.29273058308746</c:v>
                </c:pt>
                <c:pt idx="12">
                  <c:v>318.93455562445712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E4-40AC-8BD3-6DC3AD95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802432"/>
        <c:axId val="225803008"/>
      </c:scatterChart>
      <c:valAx>
        <c:axId val="22580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803008"/>
        <c:crosses val="autoZero"/>
        <c:crossBetween val="midCat"/>
      </c:valAx>
      <c:valAx>
        <c:axId val="22580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80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134032.15311618152</c:v>
                </c:pt>
                <c:pt idx="1">
                  <c:v>134032.15311618152</c:v>
                </c:pt>
                <c:pt idx="2">
                  <c:v>104446.15236112358</c:v>
                </c:pt>
                <c:pt idx="3">
                  <c:v>104446.15236112358</c:v>
                </c:pt>
                <c:pt idx="4">
                  <c:v>134032.15311618152</c:v>
                </c:pt>
                <c:pt idx="5">
                  <c:v>134032.15311618152</c:v>
                </c:pt>
                <c:pt idx="6">
                  <c:v>134032.15311618152</c:v>
                </c:pt>
                <c:pt idx="7">
                  <c:v>104446.15236112358</c:v>
                </c:pt>
                <c:pt idx="8">
                  <c:v>129857.75993294036</c:v>
                </c:pt>
                <c:pt idx="9">
                  <c:v>120923.53906277897</c:v>
                </c:pt>
                <c:pt idx="10">
                  <c:v>120923.53906277897</c:v>
                </c:pt>
                <c:pt idx="11">
                  <c:v>120923.53906277897</c:v>
                </c:pt>
                <c:pt idx="12">
                  <c:v>120923.53906277897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10655.320874972513</c:v>
                </c:pt>
                <c:pt idx="1">
                  <c:v>10655.320874972513</c:v>
                </c:pt>
                <c:pt idx="2">
                  <c:v>7118.2838613933172</c:v>
                </c:pt>
                <c:pt idx="3">
                  <c:v>7118.2838613933172</c:v>
                </c:pt>
                <c:pt idx="4">
                  <c:v>10655.320874972513</c:v>
                </c:pt>
                <c:pt idx="5">
                  <c:v>10655.320874972513</c:v>
                </c:pt>
                <c:pt idx="6">
                  <c:v>10655.320874972513</c:v>
                </c:pt>
                <c:pt idx="7">
                  <c:v>7118.2838613933172</c:v>
                </c:pt>
                <c:pt idx="8">
                  <c:v>10155.456402750504</c:v>
                </c:pt>
                <c:pt idx="9">
                  <c:v>10155.456402750504</c:v>
                </c:pt>
                <c:pt idx="10">
                  <c:v>10155.456402750504</c:v>
                </c:pt>
                <c:pt idx="11">
                  <c:v>10155.456402750504</c:v>
                </c:pt>
                <c:pt idx="12">
                  <c:v>10155.456402750504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7862</c:v>
                </c:pt>
                <c:pt idx="1">
                  <c:v>13040</c:v>
                </c:pt>
                <c:pt idx="2">
                  <c:v>21000</c:v>
                </c:pt>
                <c:pt idx="3">
                  <c:v>21000</c:v>
                </c:pt>
                <c:pt idx="4">
                  <c:v>41400</c:v>
                </c:pt>
                <c:pt idx="5">
                  <c:v>15980</c:v>
                </c:pt>
                <c:pt idx="6">
                  <c:v>24400</c:v>
                </c:pt>
                <c:pt idx="7">
                  <c:v>42000</c:v>
                </c:pt>
                <c:pt idx="8">
                  <c:v>10744</c:v>
                </c:pt>
                <c:pt idx="9">
                  <c:v>31048</c:v>
                </c:pt>
                <c:pt idx="10">
                  <c:v>59100</c:v>
                </c:pt>
                <c:pt idx="11">
                  <c:v>33980</c:v>
                </c:pt>
                <c:pt idx="12">
                  <c:v>62096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287164</c:v>
                </c:pt>
                <c:pt idx="1">
                  <c:v>11160</c:v>
                </c:pt>
                <c:pt idx="2">
                  <c:v>360</c:v>
                </c:pt>
                <c:pt idx="3">
                  <c:v>360</c:v>
                </c:pt>
                <c:pt idx="4">
                  <c:v>13700</c:v>
                </c:pt>
                <c:pt idx="5">
                  <c:v>645800</c:v>
                </c:pt>
                <c:pt idx="6">
                  <c:v>22102</c:v>
                </c:pt>
                <c:pt idx="7">
                  <c:v>720</c:v>
                </c:pt>
                <c:pt idx="8">
                  <c:v>312624</c:v>
                </c:pt>
                <c:pt idx="9">
                  <c:v>5124</c:v>
                </c:pt>
                <c:pt idx="10">
                  <c:v>10280</c:v>
                </c:pt>
                <c:pt idx="11">
                  <c:v>645496</c:v>
                </c:pt>
                <c:pt idx="12">
                  <c:v>10248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112000</c:v>
                </c:pt>
                <c:pt idx="2">
                  <c:v>120000</c:v>
                </c:pt>
                <c:pt idx="3">
                  <c:v>480000</c:v>
                </c:pt>
                <c:pt idx="4">
                  <c:v>384000</c:v>
                </c:pt>
                <c:pt idx="5">
                  <c:v>0</c:v>
                </c:pt>
                <c:pt idx="6">
                  <c:v>224000</c:v>
                </c:pt>
                <c:pt idx="7">
                  <c:v>240000</c:v>
                </c:pt>
                <c:pt idx="8">
                  <c:v>0</c:v>
                </c:pt>
                <c:pt idx="9">
                  <c:v>120000</c:v>
                </c:pt>
                <c:pt idx="10">
                  <c:v>448000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2328576"/>
        <c:axId val="226231424"/>
        <c:axId val="0"/>
      </c:bar3DChart>
      <c:catAx>
        <c:axId val="24232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231424"/>
        <c:crosses val="autoZero"/>
        <c:auto val="1"/>
        <c:lblAlgn val="ctr"/>
        <c:lblOffset val="100"/>
        <c:noMultiLvlLbl val="0"/>
      </c:catAx>
      <c:valAx>
        <c:axId val="2262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2857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CAPEX</a:t>
            </a:r>
            <a:r>
              <a:rPr lang="de-DE" baseline="0"/>
              <a:t> in millions of Euros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21985673.699557699</c:v>
                </c:pt>
                <c:pt idx="1">
                  <c:v>14044373.699557699</c:v>
                </c:pt>
                <c:pt idx="2">
                  <c:v>12646221.811125843</c:v>
                </c:pt>
                <c:pt idx="3">
                  <c:v>30646221.811125845</c:v>
                </c:pt>
                <c:pt idx="4">
                  <c:v>29189373.699557699</c:v>
                </c:pt>
                <c:pt idx="5">
                  <c:v>40323373.699557699</c:v>
                </c:pt>
                <c:pt idx="6">
                  <c:v>20759473.699557699</c:v>
                </c:pt>
                <c:pt idx="7">
                  <c:v>19714221.811125845</c:v>
                </c:pt>
                <c:pt idx="8">
                  <c:v>23169060.816784542</c:v>
                </c:pt>
                <c:pt idx="9">
                  <c:v>14362549.773276474</c:v>
                </c:pt>
                <c:pt idx="10">
                  <c:v>32422949.773276474</c:v>
                </c:pt>
                <c:pt idx="11">
                  <c:v>40527749.773276478</c:v>
                </c:pt>
                <c:pt idx="12">
                  <c:v>22171149.773276474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30-48EB-B477-A25076BE2822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14633176.303442538</c:v>
                </c:pt>
                <c:pt idx="1">
                  <c:v>14719927.414553653</c:v>
                </c:pt>
                <c:pt idx="2">
                  <c:v>11509113.862109901</c:v>
                </c:pt>
                <c:pt idx="3">
                  <c:v>23681958.306554344</c:v>
                </c:pt>
                <c:pt idx="4">
                  <c:v>26406167.41455365</c:v>
                </c:pt>
                <c:pt idx="5">
                  <c:v>17811040.747886982</c:v>
                </c:pt>
                <c:pt idx="6">
                  <c:v>19144777.414553653</c:v>
                </c:pt>
                <c:pt idx="7">
                  <c:v>17052519.417665455</c:v>
                </c:pt>
                <c:pt idx="8">
                  <c:v>11669468.863627804</c:v>
                </c:pt>
                <c:pt idx="9">
                  <c:v>13265206.533240713</c:v>
                </c:pt>
                <c:pt idx="10">
                  <c:v>20060768.863627803</c:v>
                </c:pt>
                <c:pt idx="11">
                  <c:v>22945568.863627803</c:v>
                </c:pt>
                <c:pt idx="12">
                  <c:v>20143906.533240713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30-48EB-B477-A25076BE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31136"/>
        <c:axId val="226233728"/>
      </c:barChart>
      <c:catAx>
        <c:axId val="242331136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226233728"/>
        <c:crosses val="autoZero"/>
        <c:auto val="1"/>
        <c:lblAlgn val="ctr"/>
        <c:lblOffset val="100"/>
        <c:noMultiLvlLbl val="0"/>
      </c:catAx>
      <c:valAx>
        <c:axId val="226233728"/>
        <c:scaling>
          <c:logBase val="10"/>
          <c:orientation val="minMax"/>
          <c:min val="100000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242331136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per premise passed in thousands of euros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751.33872256023847</c:v>
                </c:pt>
                <c:pt idx="1">
                  <c:v>479.9526245491661</c:v>
                </c:pt>
                <c:pt idx="2">
                  <c:v>432.17216222834537</c:v>
                </c:pt>
                <c:pt idx="3">
                  <c:v>1047.3044156628339</c:v>
                </c:pt>
                <c:pt idx="4">
                  <c:v>997.51806778612877</c:v>
                </c:pt>
                <c:pt idx="5">
                  <c:v>1378.0115405494396</c:v>
                </c:pt>
                <c:pt idx="6">
                  <c:v>709.434546495718</c:v>
                </c:pt>
                <c:pt idx="7">
                  <c:v>673.71409374362122</c:v>
                </c:pt>
                <c:pt idx="8">
                  <c:v>791.77981056607689</c:v>
                </c:pt>
                <c:pt idx="9">
                  <c:v>490.82597817225326</c:v>
                </c:pt>
                <c:pt idx="10">
                  <c:v>1108.0223420571551</c:v>
                </c:pt>
                <c:pt idx="11">
                  <c:v>1384.9958913702576</c:v>
                </c:pt>
                <c:pt idx="12">
                  <c:v>757.67718451495023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3B-4392-AF6C-AC9EEE9F44F5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231.68423532999586</c:v>
                </c:pt>
                <c:pt idx="1">
                  <c:v>233.05774880547267</c:v>
                </c:pt>
                <c:pt idx="2">
                  <c:v>182.22156209800352</c:v>
                </c:pt>
                <c:pt idx="3">
                  <c:v>374.95184145906182</c:v>
                </c:pt>
                <c:pt idx="4">
                  <c:v>418.08371460661255</c:v>
                </c:pt>
                <c:pt idx="5">
                  <c:v>281.9987452167033</c:v>
                </c:pt>
                <c:pt idx="6">
                  <c:v>303.11553854581467</c:v>
                </c:pt>
                <c:pt idx="7">
                  <c:v>269.98922447222066</c:v>
                </c:pt>
                <c:pt idx="8">
                  <c:v>184.76043165971825</c:v>
                </c:pt>
                <c:pt idx="9">
                  <c:v>210.02543592844702</c:v>
                </c:pt>
                <c:pt idx="10">
                  <c:v>317.61825306567135</c:v>
                </c:pt>
                <c:pt idx="11">
                  <c:v>363.29273058308746</c:v>
                </c:pt>
                <c:pt idx="12">
                  <c:v>318.93455562445712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3B-4392-AF6C-AC9EEE9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42569728"/>
        <c:axId val="226236032"/>
      </c:lineChart>
      <c:catAx>
        <c:axId val="2425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Technology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6236032"/>
        <c:crosses val="autoZero"/>
        <c:auto val="1"/>
        <c:lblAlgn val="ctr"/>
        <c:lblOffset val="100"/>
        <c:noMultiLvlLbl val="1"/>
      </c:catAx>
      <c:valAx>
        <c:axId val="226236032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 per premise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569728"/>
        <c:crosses val="autoZero"/>
        <c:crossBetween val="between"/>
        <c:dispUnits>
          <c:builtInUnit val="thousands"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21985673.699557699</c:v>
                </c:pt>
                <c:pt idx="1">
                  <c:v>14044373.699557699</c:v>
                </c:pt>
                <c:pt idx="2">
                  <c:v>12646221.811125843</c:v>
                </c:pt>
                <c:pt idx="3">
                  <c:v>30646221.811125845</c:v>
                </c:pt>
                <c:pt idx="4">
                  <c:v>29189373.699557699</c:v>
                </c:pt>
                <c:pt idx="5">
                  <c:v>40323373.699557699</c:v>
                </c:pt>
                <c:pt idx="6">
                  <c:v>20759473.699557699</c:v>
                </c:pt>
                <c:pt idx="7">
                  <c:v>19714221.811125845</c:v>
                </c:pt>
                <c:pt idx="8">
                  <c:v>23169060.816784542</c:v>
                </c:pt>
                <c:pt idx="9">
                  <c:v>14362549.773276474</c:v>
                </c:pt>
                <c:pt idx="10">
                  <c:v>32422949.773276474</c:v>
                </c:pt>
                <c:pt idx="11">
                  <c:v>40527749.773276478</c:v>
                </c:pt>
                <c:pt idx="12">
                  <c:v>22171149.773276474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14633176.303442538</c:v>
                </c:pt>
                <c:pt idx="1">
                  <c:v>14719927.414553653</c:v>
                </c:pt>
                <c:pt idx="2">
                  <c:v>11509113.862109901</c:v>
                </c:pt>
                <c:pt idx="3">
                  <c:v>23681958.306554344</c:v>
                </c:pt>
                <c:pt idx="4">
                  <c:v>26406167.41455365</c:v>
                </c:pt>
                <c:pt idx="5">
                  <c:v>17811040.747886982</c:v>
                </c:pt>
                <c:pt idx="6">
                  <c:v>19144777.414553653</c:v>
                </c:pt>
                <c:pt idx="7">
                  <c:v>17052519.417665455</c:v>
                </c:pt>
                <c:pt idx="8">
                  <c:v>11669468.863627804</c:v>
                </c:pt>
                <c:pt idx="9">
                  <c:v>13265206.533240713</c:v>
                </c:pt>
                <c:pt idx="10">
                  <c:v>20060768.863627803</c:v>
                </c:pt>
                <c:pt idx="11">
                  <c:v>22945568.863627803</c:v>
                </c:pt>
                <c:pt idx="12">
                  <c:v>20143906.533240713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34744347.007425137</c:v>
                </c:pt>
                <c:pt idx="1">
                  <c:v>28489157.803101256</c:v>
                </c:pt>
                <c:pt idx="2">
                  <c:v>26104918.969783098</c:v>
                </c:pt>
                <c:pt idx="3">
                  <c:v>31264918.969783094</c:v>
                </c:pt>
                <c:pt idx="4">
                  <c:v>48865337.803101256</c:v>
                </c:pt>
                <c:pt idx="5">
                  <c:v>59440137.007425129</c:v>
                </c:pt>
                <c:pt idx="6">
                  <c:v>39921527.803101249</c:v>
                </c:pt>
                <c:pt idx="7">
                  <c:v>37928918.969783098</c:v>
                </c:pt>
                <c:pt idx="8">
                  <c:v>25255190.48179378</c:v>
                </c:pt>
                <c:pt idx="9">
                  <c:v>27893223.137474932</c:v>
                </c:pt>
                <c:pt idx="10">
                  <c:v>41417678.937474929</c:v>
                </c:pt>
                <c:pt idx="11">
                  <c:v>51712700.481793776</c:v>
                </c:pt>
                <c:pt idx="12">
                  <c:v>40830393.137474932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571776"/>
        <c:axId val="226237760"/>
      </c:barChart>
      <c:catAx>
        <c:axId val="24257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237760"/>
        <c:crosses val="autoZero"/>
        <c:auto val="1"/>
        <c:lblAlgn val="ctr"/>
        <c:lblOffset val="100"/>
        <c:noMultiLvlLbl val="0"/>
      </c:catAx>
      <c:valAx>
        <c:axId val="226237760"/>
        <c:scaling>
          <c:logBase val="10"/>
          <c:orientation val="minMax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71776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15940</c:v>
                </c:pt>
                <c:pt idx="1">
                  <c:v>19900</c:v>
                </c:pt>
                <c:pt idx="2">
                  <c:v>31700</c:v>
                </c:pt>
                <c:pt idx="3">
                  <c:v>31700</c:v>
                </c:pt>
                <c:pt idx="4">
                  <c:v>255200</c:v>
                </c:pt>
                <c:pt idx="5">
                  <c:v>43300</c:v>
                </c:pt>
                <c:pt idx="6">
                  <c:v>42100</c:v>
                </c:pt>
                <c:pt idx="7">
                  <c:v>54400</c:v>
                </c:pt>
                <c:pt idx="8">
                  <c:v>16040</c:v>
                </c:pt>
                <c:pt idx="9">
                  <c:v>42000</c:v>
                </c:pt>
                <c:pt idx="10">
                  <c:v>84000</c:v>
                </c:pt>
                <c:pt idx="11">
                  <c:v>63560</c:v>
                </c:pt>
                <c:pt idx="12">
                  <c:v>84000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277633.8</c:v>
                </c:pt>
                <c:pt idx="1">
                  <c:v>1676.4</c:v>
                </c:pt>
                <c:pt idx="2">
                  <c:v>180</c:v>
                </c:pt>
                <c:pt idx="3">
                  <c:v>180</c:v>
                </c:pt>
                <c:pt idx="4">
                  <c:v>61900</c:v>
                </c:pt>
                <c:pt idx="5">
                  <c:v>744189.6</c:v>
                </c:pt>
                <c:pt idx="6">
                  <c:v>3323.8</c:v>
                </c:pt>
                <c:pt idx="7">
                  <c:v>360</c:v>
                </c:pt>
                <c:pt idx="8">
                  <c:v>187543.4</c:v>
                </c:pt>
                <c:pt idx="9">
                  <c:v>743.4</c:v>
                </c:pt>
                <c:pt idx="10">
                  <c:v>1498</c:v>
                </c:pt>
                <c:pt idx="11">
                  <c:v>669173.6</c:v>
                </c:pt>
                <c:pt idx="12">
                  <c:v>1486.8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204800</c:v>
                </c:pt>
                <c:pt idx="2">
                  <c:v>213600</c:v>
                </c:pt>
                <c:pt idx="3">
                  <c:v>316800</c:v>
                </c:pt>
                <c:pt idx="4">
                  <c:v>316800</c:v>
                </c:pt>
                <c:pt idx="5">
                  <c:v>0</c:v>
                </c:pt>
                <c:pt idx="6">
                  <c:v>409600</c:v>
                </c:pt>
                <c:pt idx="7">
                  <c:v>427200</c:v>
                </c:pt>
                <c:pt idx="8">
                  <c:v>0</c:v>
                </c:pt>
                <c:pt idx="9">
                  <c:v>216000</c:v>
                </c:pt>
                <c:pt idx="10">
                  <c:v>320000</c:v>
                </c:pt>
                <c:pt idx="11">
                  <c:v>0</c:v>
                </c:pt>
                <c:pt idx="12">
                  <c:v>432000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2572800"/>
        <c:axId val="226518720"/>
        <c:axId val="0"/>
      </c:bar3DChart>
      <c:catAx>
        <c:axId val="24257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518720"/>
        <c:crosses val="autoZero"/>
        <c:auto val="1"/>
        <c:lblAlgn val="ctr"/>
        <c:lblOffset val="100"/>
        <c:noMultiLvlLbl val="0"/>
      </c:catAx>
      <c:valAx>
        <c:axId val="22651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7280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751.33872256023847</c:v>
                </c:pt>
                <c:pt idx="1">
                  <c:v>479.9526245491661</c:v>
                </c:pt>
                <c:pt idx="2">
                  <c:v>432.17216222834537</c:v>
                </c:pt>
                <c:pt idx="3">
                  <c:v>1047.3044156628339</c:v>
                </c:pt>
                <c:pt idx="4">
                  <c:v>997.51806778612877</c:v>
                </c:pt>
                <c:pt idx="5">
                  <c:v>1378.0115405494396</c:v>
                </c:pt>
                <c:pt idx="6">
                  <c:v>709.434546495718</c:v>
                </c:pt>
                <c:pt idx="7">
                  <c:v>673.71409374362122</c:v>
                </c:pt>
                <c:pt idx="8">
                  <c:v>791.77981056607689</c:v>
                </c:pt>
                <c:pt idx="9">
                  <c:v>490.82597817225326</c:v>
                </c:pt>
                <c:pt idx="10">
                  <c:v>1108.0223420571551</c:v>
                </c:pt>
                <c:pt idx="11">
                  <c:v>1384.9958913702576</c:v>
                </c:pt>
                <c:pt idx="12">
                  <c:v>757.67718451495023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231.68423532999586</c:v>
                </c:pt>
                <c:pt idx="1">
                  <c:v>233.05774880547267</c:v>
                </c:pt>
                <c:pt idx="2">
                  <c:v>182.22156209800352</c:v>
                </c:pt>
                <c:pt idx="3">
                  <c:v>374.95184145906182</c:v>
                </c:pt>
                <c:pt idx="4">
                  <c:v>418.08371460661255</c:v>
                </c:pt>
                <c:pt idx="5">
                  <c:v>281.9987452167033</c:v>
                </c:pt>
                <c:pt idx="6">
                  <c:v>303.11553854581467</c:v>
                </c:pt>
                <c:pt idx="7">
                  <c:v>269.98922447222066</c:v>
                </c:pt>
                <c:pt idx="8">
                  <c:v>184.76043165971825</c:v>
                </c:pt>
                <c:pt idx="9">
                  <c:v>210.02543592844702</c:v>
                </c:pt>
                <c:pt idx="10">
                  <c:v>317.61825306567135</c:v>
                </c:pt>
                <c:pt idx="11">
                  <c:v>363.29273058308746</c:v>
                </c:pt>
                <c:pt idx="12">
                  <c:v>318.93455562445712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1187.3538038215138</c:v>
                </c:pt>
                <c:pt idx="1">
                  <c:v>973.58887988180084</c:v>
                </c:pt>
                <c:pt idx="2">
                  <c:v>892.10986842263333</c:v>
                </c:pt>
                <c:pt idx="3">
                  <c:v>1068.4477810738533</c:v>
                </c:pt>
                <c:pt idx="4">
                  <c:v>1669.9247420921761</c:v>
                </c:pt>
                <c:pt idx="5">
                  <c:v>2031.3080789906749</c:v>
                </c:pt>
                <c:pt idx="6">
                  <c:v>1364.2788532260697</c:v>
                </c:pt>
                <c:pt idx="7">
                  <c:v>1296.1834109009328</c:v>
                </c:pt>
                <c:pt idx="8">
                  <c:v>863.07123511016948</c:v>
                </c:pt>
                <c:pt idx="9">
                  <c:v>953.2234002281092</c:v>
                </c:pt>
                <c:pt idx="10">
                  <c:v>1415.4083431575057</c:v>
                </c:pt>
                <c:pt idx="11">
                  <c:v>1767.230554363809</c:v>
                </c:pt>
                <c:pt idx="12">
                  <c:v>1395.3384299595014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44463104"/>
        <c:axId val="226521024"/>
      </c:lineChart>
      <c:catAx>
        <c:axId val="24446310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26521024"/>
        <c:crosses val="autoZero"/>
        <c:auto val="1"/>
        <c:lblAlgn val="ctr"/>
        <c:lblOffset val="100"/>
        <c:noMultiLvlLbl val="0"/>
      </c:catAx>
      <c:valAx>
        <c:axId val="226521024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463104"/>
        <c:crosses val="autoZero"/>
        <c:crossBetween val="between"/>
        <c:dispUnits>
          <c:builtInUnit val="thousan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14633176.303442538</c:v>
                </c:pt>
                <c:pt idx="1">
                  <c:v>14719927.414553653</c:v>
                </c:pt>
                <c:pt idx="2">
                  <c:v>11509113.862109901</c:v>
                </c:pt>
                <c:pt idx="3">
                  <c:v>23681958.306554344</c:v>
                </c:pt>
                <c:pt idx="4">
                  <c:v>26406167.41455365</c:v>
                </c:pt>
                <c:pt idx="5">
                  <c:v>17811040.747886982</c:v>
                </c:pt>
                <c:pt idx="6">
                  <c:v>19144777.414553653</c:v>
                </c:pt>
                <c:pt idx="7">
                  <c:v>17052519.417665455</c:v>
                </c:pt>
                <c:pt idx="8">
                  <c:v>11669468.863627804</c:v>
                </c:pt>
                <c:pt idx="9">
                  <c:v>13265206.533240713</c:v>
                </c:pt>
                <c:pt idx="10">
                  <c:v>20060768.863627803</c:v>
                </c:pt>
                <c:pt idx="11">
                  <c:v>22945568.863627803</c:v>
                </c:pt>
                <c:pt idx="12">
                  <c:v>20143906.533240713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15321087.618583923</c:v>
                </c:pt>
                <c:pt idx="1">
                  <c:v>10546453.044047277</c:v>
                </c:pt>
                <c:pt idx="2">
                  <c:v>9069373.149994798</c:v>
                </c:pt>
                <c:pt idx="3">
                  <c:v>25478373.149994794</c:v>
                </c:pt>
                <c:pt idx="4">
                  <c:v>27512453.044047277</c:v>
                </c:pt>
                <c:pt idx="5">
                  <c:v>9990337.6185839232</c:v>
                </c:pt>
                <c:pt idx="6">
                  <c:v>17002953.044047277</c:v>
                </c:pt>
                <c:pt idx="7">
                  <c:v>17139373.149994794</c:v>
                </c:pt>
                <c:pt idx="8">
                  <c:v>10370741.677680973</c:v>
                </c:pt>
                <c:pt idx="9">
                  <c:v>11511696.385353692</c:v>
                </c:pt>
                <c:pt idx="10">
                  <c:v>27489830.385353688</c:v>
                </c:pt>
                <c:pt idx="11">
                  <c:v>28408241.677680973</c:v>
                </c:pt>
                <c:pt idx="12">
                  <c:v>16896696.385353692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A-40A5-B657-50F1A006A948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34744347.007425137</c:v>
                </c:pt>
                <c:pt idx="1">
                  <c:v>28489157.803101256</c:v>
                </c:pt>
                <c:pt idx="2">
                  <c:v>26104918.969783098</c:v>
                </c:pt>
                <c:pt idx="3">
                  <c:v>31264918.969783094</c:v>
                </c:pt>
                <c:pt idx="4">
                  <c:v>48865337.803101256</c:v>
                </c:pt>
                <c:pt idx="5">
                  <c:v>59440137.007425129</c:v>
                </c:pt>
                <c:pt idx="6">
                  <c:v>39921527.803101249</c:v>
                </c:pt>
                <c:pt idx="7">
                  <c:v>37928918.969783098</c:v>
                </c:pt>
                <c:pt idx="8">
                  <c:v>25255190.48179378</c:v>
                </c:pt>
                <c:pt idx="9">
                  <c:v>27893223.137474932</c:v>
                </c:pt>
                <c:pt idx="10">
                  <c:v>41417678.937474929</c:v>
                </c:pt>
                <c:pt idx="11">
                  <c:v>51712700.481793776</c:v>
                </c:pt>
                <c:pt idx="12">
                  <c:v>40830393.137474932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21985673.699557699</c:v>
                </c:pt>
                <c:pt idx="1">
                  <c:v>14044373.699557699</c:v>
                </c:pt>
                <c:pt idx="2">
                  <c:v>12646221.811125843</c:v>
                </c:pt>
                <c:pt idx="3">
                  <c:v>30646221.811125845</c:v>
                </c:pt>
                <c:pt idx="4">
                  <c:v>29189373.699557699</c:v>
                </c:pt>
                <c:pt idx="5">
                  <c:v>40323373.699557699</c:v>
                </c:pt>
                <c:pt idx="6">
                  <c:v>20759473.699557699</c:v>
                </c:pt>
                <c:pt idx="7">
                  <c:v>19714221.811125845</c:v>
                </c:pt>
                <c:pt idx="8">
                  <c:v>23169060.816784542</c:v>
                </c:pt>
                <c:pt idx="9">
                  <c:v>14362549.773276474</c:v>
                </c:pt>
                <c:pt idx="10">
                  <c:v>32422949.773276474</c:v>
                </c:pt>
                <c:pt idx="11">
                  <c:v>40527749.773276478</c:v>
                </c:pt>
                <c:pt idx="12">
                  <c:v>22171149.773276474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687360"/>
        <c:axId val="226523328"/>
      </c:barChart>
      <c:catAx>
        <c:axId val="2446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523328"/>
        <c:crosses val="autoZero"/>
        <c:auto val="1"/>
        <c:lblAlgn val="ctr"/>
        <c:lblOffset val="100"/>
        <c:noMultiLvlLbl val="0"/>
      </c:catAx>
      <c:valAx>
        <c:axId val="226523328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687360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2750</c:v>
                </c:pt>
                <c:pt idx="1">
                  <c:v>3630</c:v>
                </c:pt>
                <c:pt idx="2">
                  <c:v>5400</c:v>
                </c:pt>
                <c:pt idx="3">
                  <c:v>5400</c:v>
                </c:pt>
                <c:pt idx="4">
                  <c:v>13750</c:v>
                </c:pt>
                <c:pt idx="5">
                  <c:v>7500</c:v>
                </c:pt>
                <c:pt idx="6">
                  <c:v>7700</c:v>
                </c:pt>
                <c:pt idx="7">
                  <c:v>43200</c:v>
                </c:pt>
                <c:pt idx="8">
                  <c:v>2750</c:v>
                </c:pt>
                <c:pt idx="9">
                  <c:v>7700</c:v>
                </c:pt>
                <c:pt idx="10">
                  <c:v>15400</c:v>
                </c:pt>
                <c:pt idx="11">
                  <c:v>11000</c:v>
                </c:pt>
                <c:pt idx="12">
                  <c:v>15400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214565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1200</c:v>
                </c:pt>
                <c:pt idx="5">
                  <c:v>103200</c:v>
                </c:pt>
                <c:pt idx="6">
                  <c:v>5060</c:v>
                </c:pt>
                <c:pt idx="7">
                  <c:v>3600</c:v>
                </c:pt>
                <c:pt idx="8">
                  <c:v>132500</c:v>
                </c:pt>
                <c:pt idx="9">
                  <c:v>110000</c:v>
                </c:pt>
                <c:pt idx="10">
                  <c:v>10000</c:v>
                </c:pt>
                <c:pt idx="11">
                  <c:v>485000</c:v>
                </c:pt>
                <c:pt idx="12">
                  <c:v>10000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120000</c:v>
                </c:pt>
                <c:pt idx="2">
                  <c:v>120000</c:v>
                </c:pt>
                <c:pt idx="3">
                  <c:v>448000</c:v>
                </c:pt>
                <c:pt idx="4">
                  <c:v>448000</c:v>
                </c:pt>
                <c:pt idx="5">
                  <c:v>0</c:v>
                </c:pt>
                <c:pt idx="6">
                  <c:v>240000</c:v>
                </c:pt>
                <c:pt idx="7">
                  <c:v>240000</c:v>
                </c:pt>
                <c:pt idx="8">
                  <c:v>0</c:v>
                </c:pt>
                <c:pt idx="9">
                  <c:v>40000</c:v>
                </c:pt>
                <c:pt idx="10">
                  <c:v>448000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688384"/>
        <c:axId val="239247936"/>
      </c:barChart>
      <c:catAx>
        <c:axId val="24468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247936"/>
        <c:crosses val="autoZero"/>
        <c:auto val="1"/>
        <c:lblAlgn val="ctr"/>
        <c:lblOffset val="100"/>
        <c:noMultiLvlLbl val="0"/>
      </c:catAx>
      <c:valAx>
        <c:axId val="23924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68838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751.33872256023847</c:v>
                </c:pt>
                <c:pt idx="1">
                  <c:v>479.9526245491661</c:v>
                </c:pt>
                <c:pt idx="2">
                  <c:v>432.17216222834537</c:v>
                </c:pt>
                <c:pt idx="3">
                  <c:v>1047.3044156628339</c:v>
                </c:pt>
                <c:pt idx="4">
                  <c:v>997.51806778612877</c:v>
                </c:pt>
                <c:pt idx="5">
                  <c:v>1378.0115405494396</c:v>
                </c:pt>
                <c:pt idx="6">
                  <c:v>709.434546495718</c:v>
                </c:pt>
                <c:pt idx="7">
                  <c:v>673.71409374362122</c:v>
                </c:pt>
                <c:pt idx="8">
                  <c:v>791.77981056607689</c:v>
                </c:pt>
                <c:pt idx="9">
                  <c:v>490.82597817225326</c:v>
                </c:pt>
                <c:pt idx="10">
                  <c:v>1108.0223420571551</c:v>
                </c:pt>
                <c:pt idx="11">
                  <c:v>1384.9958913702576</c:v>
                </c:pt>
                <c:pt idx="12">
                  <c:v>757.67718451495023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231.68423532999586</c:v>
                </c:pt>
                <c:pt idx="1">
                  <c:v>233.05774880547267</c:v>
                </c:pt>
                <c:pt idx="2">
                  <c:v>182.22156209800352</c:v>
                </c:pt>
                <c:pt idx="3">
                  <c:v>374.95184145906182</c:v>
                </c:pt>
                <c:pt idx="4">
                  <c:v>418.08371460661255</c:v>
                </c:pt>
                <c:pt idx="5">
                  <c:v>281.9987452167033</c:v>
                </c:pt>
                <c:pt idx="6">
                  <c:v>303.11553854581467</c:v>
                </c:pt>
                <c:pt idx="7">
                  <c:v>269.98922447222066</c:v>
                </c:pt>
                <c:pt idx="8">
                  <c:v>184.76043165971825</c:v>
                </c:pt>
                <c:pt idx="9">
                  <c:v>210.02543592844702</c:v>
                </c:pt>
                <c:pt idx="10">
                  <c:v>317.61825306567135</c:v>
                </c:pt>
                <c:pt idx="11">
                  <c:v>363.29273058308746</c:v>
                </c:pt>
                <c:pt idx="12">
                  <c:v>318.93455562445712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1187.3538038215138</c:v>
                </c:pt>
                <c:pt idx="1">
                  <c:v>973.58887988180084</c:v>
                </c:pt>
                <c:pt idx="2">
                  <c:v>892.10986842263333</c:v>
                </c:pt>
                <c:pt idx="3">
                  <c:v>1068.4477810738533</c:v>
                </c:pt>
                <c:pt idx="4">
                  <c:v>1669.9247420921761</c:v>
                </c:pt>
                <c:pt idx="5">
                  <c:v>2031.3080789906749</c:v>
                </c:pt>
                <c:pt idx="6">
                  <c:v>1364.2788532260697</c:v>
                </c:pt>
                <c:pt idx="7">
                  <c:v>1296.1834109009328</c:v>
                </c:pt>
                <c:pt idx="8">
                  <c:v>863.07123511016948</c:v>
                </c:pt>
                <c:pt idx="9">
                  <c:v>953.2234002281092</c:v>
                </c:pt>
                <c:pt idx="10">
                  <c:v>1415.4083431575057</c:v>
                </c:pt>
                <c:pt idx="11">
                  <c:v>1767.230554363809</c:v>
                </c:pt>
                <c:pt idx="12">
                  <c:v>1395.3384299595014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523.5830639937094</c:v>
                </c:pt>
                <c:pt idx="1">
                  <c:v>360.41463481810121</c:v>
                </c:pt>
                <c:pt idx="2">
                  <c:v>309.93688572191917</c:v>
                </c:pt>
                <c:pt idx="3">
                  <c:v>870.69828275561463</c:v>
                </c:pt>
                <c:pt idx="4">
                  <c:v>940.21095769418628</c:v>
                </c:pt>
                <c:pt idx="5">
                  <c:v>341.40993843838163</c:v>
                </c:pt>
                <c:pt idx="6">
                  <c:v>581.05915672364426</c:v>
                </c:pt>
                <c:pt idx="7">
                  <c:v>585.72117934504797</c:v>
                </c:pt>
                <c:pt idx="8">
                  <c:v>354.40987210993688</c:v>
                </c:pt>
                <c:pt idx="9">
                  <c:v>393.40087435423732</c:v>
                </c:pt>
                <c:pt idx="10">
                  <c:v>939.43785063747146</c:v>
                </c:pt>
                <c:pt idx="11">
                  <c:v>970.82365107241378</c:v>
                </c:pt>
                <c:pt idx="12">
                  <c:v>577.42794017338838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70-40DC-A7E6-49F3B48E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44690432"/>
        <c:axId val="239250816"/>
      </c:lineChart>
      <c:catAx>
        <c:axId val="24469043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39250816"/>
        <c:crosses val="autoZero"/>
        <c:auto val="1"/>
        <c:lblAlgn val="ctr"/>
        <c:lblOffset val="100"/>
        <c:noMultiLvlLbl val="0"/>
      </c:catAx>
      <c:valAx>
        <c:axId val="239250816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690432"/>
        <c:crosses val="autoZero"/>
        <c:crossBetween val="between"/>
        <c:dispUnits>
          <c:builtInUnit val="hundre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927580068657701E-2"/>
          <c:y val="3.8067422423260923E-2"/>
          <c:w val="0.78789757515876335"/>
          <c:h val="0.77491334859738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2750</c:v>
                </c:pt>
                <c:pt idx="1">
                  <c:v>3630</c:v>
                </c:pt>
                <c:pt idx="2">
                  <c:v>5400</c:v>
                </c:pt>
                <c:pt idx="3">
                  <c:v>5400</c:v>
                </c:pt>
                <c:pt idx="4">
                  <c:v>13750</c:v>
                </c:pt>
                <c:pt idx="5">
                  <c:v>7500</c:v>
                </c:pt>
                <c:pt idx="6">
                  <c:v>7700</c:v>
                </c:pt>
                <c:pt idx="7">
                  <c:v>43200</c:v>
                </c:pt>
                <c:pt idx="8">
                  <c:v>2750</c:v>
                </c:pt>
                <c:pt idx="9">
                  <c:v>7700</c:v>
                </c:pt>
                <c:pt idx="10">
                  <c:v>15400</c:v>
                </c:pt>
                <c:pt idx="11">
                  <c:v>11000</c:v>
                </c:pt>
                <c:pt idx="12">
                  <c:v>15400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214565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1200</c:v>
                </c:pt>
                <c:pt idx="5">
                  <c:v>103200</c:v>
                </c:pt>
                <c:pt idx="6">
                  <c:v>5060</c:v>
                </c:pt>
                <c:pt idx="7">
                  <c:v>3600</c:v>
                </c:pt>
                <c:pt idx="8">
                  <c:v>132500</c:v>
                </c:pt>
                <c:pt idx="9">
                  <c:v>110000</c:v>
                </c:pt>
                <c:pt idx="10">
                  <c:v>10000</c:v>
                </c:pt>
                <c:pt idx="11">
                  <c:v>485000</c:v>
                </c:pt>
                <c:pt idx="12">
                  <c:v>10000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120000</c:v>
                </c:pt>
                <c:pt idx="2">
                  <c:v>120000</c:v>
                </c:pt>
                <c:pt idx="3">
                  <c:v>448000</c:v>
                </c:pt>
                <c:pt idx="4">
                  <c:v>448000</c:v>
                </c:pt>
                <c:pt idx="5">
                  <c:v>0</c:v>
                </c:pt>
                <c:pt idx="6">
                  <c:v>240000</c:v>
                </c:pt>
                <c:pt idx="7">
                  <c:v>240000</c:v>
                </c:pt>
                <c:pt idx="8">
                  <c:v>0</c:v>
                </c:pt>
                <c:pt idx="9">
                  <c:v>40000</c:v>
                </c:pt>
                <c:pt idx="10">
                  <c:v>448000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651904"/>
        <c:axId val="237294080"/>
      </c:barChart>
      <c:catAx>
        <c:axId val="23865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294080"/>
        <c:crosses val="autoZero"/>
        <c:auto val="1"/>
        <c:lblAlgn val="ctr"/>
        <c:lblOffset val="100"/>
        <c:noMultiLvlLbl val="0"/>
      </c:catAx>
      <c:valAx>
        <c:axId val="23729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65190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751.33872256023847</c:v>
                </c:pt>
                <c:pt idx="1">
                  <c:v>479.9526245491661</c:v>
                </c:pt>
                <c:pt idx="2">
                  <c:v>432.17216222834537</c:v>
                </c:pt>
                <c:pt idx="3">
                  <c:v>1047.3044156628339</c:v>
                </c:pt>
                <c:pt idx="4">
                  <c:v>997.51806778612877</c:v>
                </c:pt>
                <c:pt idx="5">
                  <c:v>1378.0115405494396</c:v>
                </c:pt>
                <c:pt idx="6">
                  <c:v>709.434546495718</c:v>
                </c:pt>
                <c:pt idx="7">
                  <c:v>673.71409374362122</c:v>
                </c:pt>
                <c:pt idx="8">
                  <c:v>791.77981056607689</c:v>
                </c:pt>
                <c:pt idx="9">
                  <c:v>490.82597817225326</c:v>
                </c:pt>
                <c:pt idx="10">
                  <c:v>1108.0223420571551</c:v>
                </c:pt>
                <c:pt idx="11">
                  <c:v>1384.9958913702576</c:v>
                </c:pt>
                <c:pt idx="12">
                  <c:v>757.67718451495023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231.68423532999586</c:v>
                </c:pt>
                <c:pt idx="1">
                  <c:v>233.05774880547267</c:v>
                </c:pt>
                <c:pt idx="2">
                  <c:v>182.22156209800352</c:v>
                </c:pt>
                <c:pt idx="3">
                  <c:v>374.95184145906182</c:v>
                </c:pt>
                <c:pt idx="4">
                  <c:v>418.08371460661255</c:v>
                </c:pt>
                <c:pt idx="5">
                  <c:v>281.9987452167033</c:v>
                </c:pt>
                <c:pt idx="6">
                  <c:v>303.11553854581467</c:v>
                </c:pt>
                <c:pt idx="7">
                  <c:v>269.98922447222066</c:v>
                </c:pt>
                <c:pt idx="8">
                  <c:v>184.76043165971825</c:v>
                </c:pt>
                <c:pt idx="9">
                  <c:v>210.02543592844702</c:v>
                </c:pt>
                <c:pt idx="10">
                  <c:v>317.61825306567135</c:v>
                </c:pt>
                <c:pt idx="11">
                  <c:v>363.29273058308746</c:v>
                </c:pt>
                <c:pt idx="12">
                  <c:v>318.93455562445712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1187.3538038215138</c:v>
                </c:pt>
                <c:pt idx="1">
                  <c:v>973.58887988180084</c:v>
                </c:pt>
                <c:pt idx="2">
                  <c:v>892.10986842263333</c:v>
                </c:pt>
                <c:pt idx="3">
                  <c:v>1068.4477810738533</c:v>
                </c:pt>
                <c:pt idx="4">
                  <c:v>1669.9247420921761</c:v>
                </c:pt>
                <c:pt idx="5">
                  <c:v>2031.3080789906749</c:v>
                </c:pt>
                <c:pt idx="6">
                  <c:v>1364.2788532260697</c:v>
                </c:pt>
                <c:pt idx="7">
                  <c:v>1296.1834109009328</c:v>
                </c:pt>
                <c:pt idx="8">
                  <c:v>863.07123511016948</c:v>
                </c:pt>
                <c:pt idx="9">
                  <c:v>953.2234002281092</c:v>
                </c:pt>
                <c:pt idx="10">
                  <c:v>1415.4083431575057</c:v>
                </c:pt>
                <c:pt idx="11">
                  <c:v>1767.230554363809</c:v>
                </c:pt>
                <c:pt idx="12">
                  <c:v>1395.3384299595014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523.5830639937094</c:v>
                </c:pt>
                <c:pt idx="1">
                  <c:v>360.41463481810121</c:v>
                </c:pt>
                <c:pt idx="2">
                  <c:v>309.93688572191917</c:v>
                </c:pt>
                <c:pt idx="3">
                  <c:v>870.69828275561463</c:v>
                </c:pt>
                <c:pt idx="4">
                  <c:v>940.21095769418628</c:v>
                </c:pt>
                <c:pt idx="5">
                  <c:v>341.40993843838163</c:v>
                </c:pt>
                <c:pt idx="6">
                  <c:v>581.05915672364426</c:v>
                </c:pt>
                <c:pt idx="7">
                  <c:v>585.72117934504797</c:v>
                </c:pt>
                <c:pt idx="8">
                  <c:v>354.40987210993688</c:v>
                </c:pt>
                <c:pt idx="9">
                  <c:v>393.40087435423732</c:v>
                </c:pt>
                <c:pt idx="10">
                  <c:v>939.43785063747146</c:v>
                </c:pt>
                <c:pt idx="11">
                  <c:v>970.82365107241378</c:v>
                </c:pt>
                <c:pt idx="12">
                  <c:v>577.42794017338838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9D-43BE-841C-7F46FEAD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44707328"/>
        <c:axId val="237296960"/>
      </c:lineChart>
      <c:catAx>
        <c:axId val="24470732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37296960"/>
        <c:crosses val="autoZero"/>
        <c:auto val="1"/>
        <c:lblAlgn val="ctr"/>
        <c:lblOffset val="100"/>
        <c:noMultiLvlLbl val="0"/>
      </c:catAx>
      <c:valAx>
        <c:axId val="237296960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0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OASE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170187.83055482313</c:v>
                </c:pt>
                <c:pt idx="1">
                  <c:v>170187.83055482313</c:v>
                </c:pt>
                <c:pt idx="2">
                  <c:v>123966.4385182156</c:v>
                </c:pt>
                <c:pt idx="3">
                  <c:v>123966.4385182156</c:v>
                </c:pt>
                <c:pt idx="4">
                  <c:v>170187.83055482313</c:v>
                </c:pt>
                <c:pt idx="5">
                  <c:v>170187.83055482313</c:v>
                </c:pt>
                <c:pt idx="6">
                  <c:v>170187.83055482313</c:v>
                </c:pt>
                <c:pt idx="7">
                  <c:v>123966.4385182156</c:v>
                </c:pt>
                <c:pt idx="8">
                  <c:v>148601.5257512136</c:v>
                </c:pt>
                <c:pt idx="9">
                  <c:v>162896.27914347179</c:v>
                </c:pt>
                <c:pt idx="10">
                  <c:v>148601.5257512136</c:v>
                </c:pt>
                <c:pt idx="11">
                  <c:v>148601.5257512136</c:v>
                </c:pt>
                <c:pt idx="12">
                  <c:v>162896.27914347179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35.517736249908381</c:v>
                </c:pt>
                <c:pt idx="1">
                  <c:v>35.517736249908381</c:v>
                </c:pt>
                <c:pt idx="2">
                  <c:v>23.727612871311063</c:v>
                </c:pt>
                <c:pt idx="3">
                  <c:v>23.727612871311063</c:v>
                </c:pt>
                <c:pt idx="4">
                  <c:v>35.517736249908381</c:v>
                </c:pt>
                <c:pt idx="5">
                  <c:v>35.517736249908381</c:v>
                </c:pt>
                <c:pt idx="6">
                  <c:v>35.517736249908381</c:v>
                </c:pt>
                <c:pt idx="7">
                  <c:v>23.727612871311063</c:v>
                </c:pt>
                <c:pt idx="8">
                  <c:v>33.851521342501684</c:v>
                </c:pt>
                <c:pt idx="9">
                  <c:v>33.851521342501684</c:v>
                </c:pt>
                <c:pt idx="10">
                  <c:v>33.851521342501684</c:v>
                </c:pt>
                <c:pt idx="11">
                  <c:v>33.851521342501684</c:v>
                </c:pt>
                <c:pt idx="12">
                  <c:v>33.851521342501684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3419.7777777777778</c:v>
                </c:pt>
                <c:pt idx="1">
                  <c:v>7900</c:v>
                </c:pt>
                <c:pt idx="2">
                  <c:v>7232.1111111111113</c:v>
                </c:pt>
                <c:pt idx="3">
                  <c:v>8289</c:v>
                </c:pt>
                <c:pt idx="4">
                  <c:v>30450</c:v>
                </c:pt>
                <c:pt idx="5">
                  <c:v>19660.666666666668</c:v>
                </c:pt>
                <c:pt idx="6">
                  <c:v>17040</c:v>
                </c:pt>
                <c:pt idx="7">
                  <c:v>15940.222222222223</c:v>
                </c:pt>
                <c:pt idx="8">
                  <c:v>5360</c:v>
                </c:pt>
                <c:pt idx="9">
                  <c:v>12380</c:v>
                </c:pt>
                <c:pt idx="10">
                  <c:v>24400</c:v>
                </c:pt>
                <c:pt idx="11">
                  <c:v>38000</c:v>
                </c:pt>
                <c:pt idx="12">
                  <c:v>24760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119020.4</c:v>
                </c:pt>
                <c:pt idx="1">
                  <c:v>3475.2</c:v>
                </c:pt>
                <c:pt idx="2">
                  <c:v>2160</c:v>
                </c:pt>
                <c:pt idx="3">
                  <c:v>2160</c:v>
                </c:pt>
                <c:pt idx="4">
                  <c:v>5850</c:v>
                </c:pt>
                <c:pt idx="5">
                  <c:v>166336.79999999999</c:v>
                </c:pt>
                <c:pt idx="6">
                  <c:v>6832.2000000000007</c:v>
                </c:pt>
                <c:pt idx="7">
                  <c:v>4320</c:v>
                </c:pt>
                <c:pt idx="8">
                  <c:v>79394</c:v>
                </c:pt>
                <c:pt idx="9">
                  <c:v>1194</c:v>
                </c:pt>
                <c:pt idx="10">
                  <c:v>2580</c:v>
                </c:pt>
                <c:pt idx="11">
                  <c:v>272276</c:v>
                </c:pt>
                <c:pt idx="12">
                  <c:v>2388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112800</c:v>
                </c:pt>
                <c:pt idx="2">
                  <c:v>96800</c:v>
                </c:pt>
                <c:pt idx="3">
                  <c:v>339200</c:v>
                </c:pt>
                <c:pt idx="4">
                  <c:v>321600</c:v>
                </c:pt>
                <c:pt idx="5">
                  <c:v>0</c:v>
                </c:pt>
                <c:pt idx="6">
                  <c:v>188800</c:v>
                </c:pt>
                <c:pt idx="7">
                  <c:v>196800</c:v>
                </c:pt>
                <c:pt idx="8">
                  <c:v>0</c:v>
                </c:pt>
                <c:pt idx="9">
                  <c:v>88800</c:v>
                </c:pt>
                <c:pt idx="10">
                  <c:v>225600</c:v>
                </c:pt>
                <c:pt idx="11">
                  <c:v>0</c:v>
                </c:pt>
                <c:pt idx="12">
                  <c:v>212800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708352"/>
        <c:axId val="250422400"/>
      </c:barChart>
      <c:catAx>
        <c:axId val="24470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422400"/>
        <c:crosses val="autoZero"/>
        <c:auto val="1"/>
        <c:lblAlgn val="ctr"/>
        <c:lblOffset val="100"/>
        <c:noMultiLvlLbl val="0"/>
      </c:catAx>
      <c:valAx>
        <c:axId val="2504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70835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Rokkas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134032.15311618152</c:v>
                </c:pt>
                <c:pt idx="1">
                  <c:v>134032.15311618152</c:v>
                </c:pt>
                <c:pt idx="2">
                  <c:v>104446.15236112358</c:v>
                </c:pt>
                <c:pt idx="3">
                  <c:v>104446.15236112358</c:v>
                </c:pt>
                <c:pt idx="4">
                  <c:v>134032.15311618152</c:v>
                </c:pt>
                <c:pt idx="5">
                  <c:v>134032.15311618152</c:v>
                </c:pt>
                <c:pt idx="6">
                  <c:v>134032.15311618152</c:v>
                </c:pt>
                <c:pt idx="7">
                  <c:v>104446.15236112358</c:v>
                </c:pt>
                <c:pt idx="8">
                  <c:v>129857.75993294036</c:v>
                </c:pt>
                <c:pt idx="9">
                  <c:v>120923.53906277897</c:v>
                </c:pt>
                <c:pt idx="10">
                  <c:v>120923.53906277897</c:v>
                </c:pt>
                <c:pt idx="11">
                  <c:v>120923.53906277897</c:v>
                </c:pt>
                <c:pt idx="12">
                  <c:v>120923.53906277897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10655.320874972513</c:v>
                </c:pt>
                <c:pt idx="1">
                  <c:v>10655.320874972513</c:v>
                </c:pt>
                <c:pt idx="2">
                  <c:v>7118.2838613933172</c:v>
                </c:pt>
                <c:pt idx="3">
                  <c:v>7118.2838613933172</c:v>
                </c:pt>
                <c:pt idx="4">
                  <c:v>10655.320874972513</c:v>
                </c:pt>
                <c:pt idx="5">
                  <c:v>10655.320874972513</c:v>
                </c:pt>
                <c:pt idx="6">
                  <c:v>10655.320874972513</c:v>
                </c:pt>
                <c:pt idx="7">
                  <c:v>7118.2838613933172</c:v>
                </c:pt>
                <c:pt idx="8">
                  <c:v>10155.456402750504</c:v>
                </c:pt>
                <c:pt idx="9">
                  <c:v>10155.456402750504</c:v>
                </c:pt>
                <c:pt idx="10">
                  <c:v>10155.456402750504</c:v>
                </c:pt>
                <c:pt idx="11">
                  <c:v>10155.456402750504</c:v>
                </c:pt>
                <c:pt idx="12">
                  <c:v>10155.456402750504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7862</c:v>
                </c:pt>
                <c:pt idx="1">
                  <c:v>13040</c:v>
                </c:pt>
                <c:pt idx="2">
                  <c:v>21000</c:v>
                </c:pt>
                <c:pt idx="3">
                  <c:v>21000</c:v>
                </c:pt>
                <c:pt idx="4">
                  <c:v>41400</c:v>
                </c:pt>
                <c:pt idx="5">
                  <c:v>15980</c:v>
                </c:pt>
                <c:pt idx="6">
                  <c:v>24400</c:v>
                </c:pt>
                <c:pt idx="7">
                  <c:v>42000</c:v>
                </c:pt>
                <c:pt idx="8">
                  <c:v>10744</c:v>
                </c:pt>
                <c:pt idx="9">
                  <c:v>31048</c:v>
                </c:pt>
                <c:pt idx="10">
                  <c:v>59100</c:v>
                </c:pt>
                <c:pt idx="11">
                  <c:v>33980</c:v>
                </c:pt>
                <c:pt idx="12">
                  <c:v>62096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287164</c:v>
                </c:pt>
                <c:pt idx="1">
                  <c:v>11160</c:v>
                </c:pt>
                <c:pt idx="2">
                  <c:v>360</c:v>
                </c:pt>
                <c:pt idx="3">
                  <c:v>360</c:v>
                </c:pt>
                <c:pt idx="4">
                  <c:v>13700</c:v>
                </c:pt>
                <c:pt idx="5">
                  <c:v>645800</c:v>
                </c:pt>
                <c:pt idx="6">
                  <c:v>22102</c:v>
                </c:pt>
                <c:pt idx="7">
                  <c:v>720</c:v>
                </c:pt>
                <c:pt idx="8">
                  <c:v>312624</c:v>
                </c:pt>
                <c:pt idx="9">
                  <c:v>5124</c:v>
                </c:pt>
                <c:pt idx="10">
                  <c:v>10280</c:v>
                </c:pt>
                <c:pt idx="11">
                  <c:v>645496</c:v>
                </c:pt>
                <c:pt idx="12">
                  <c:v>10248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112000</c:v>
                </c:pt>
                <c:pt idx="2">
                  <c:v>120000</c:v>
                </c:pt>
                <c:pt idx="3">
                  <c:v>480000</c:v>
                </c:pt>
                <c:pt idx="4">
                  <c:v>384000</c:v>
                </c:pt>
                <c:pt idx="5">
                  <c:v>0</c:v>
                </c:pt>
                <c:pt idx="6">
                  <c:v>224000</c:v>
                </c:pt>
                <c:pt idx="7">
                  <c:v>240000</c:v>
                </c:pt>
                <c:pt idx="8">
                  <c:v>0</c:v>
                </c:pt>
                <c:pt idx="9">
                  <c:v>120000</c:v>
                </c:pt>
                <c:pt idx="10">
                  <c:v>448000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709888"/>
        <c:axId val="250424704"/>
      </c:barChart>
      <c:catAx>
        <c:axId val="24470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424704"/>
        <c:crosses val="autoZero"/>
        <c:auto val="1"/>
        <c:lblAlgn val="ctr"/>
        <c:lblOffset val="100"/>
        <c:noMultiLvlLbl val="0"/>
      </c:catAx>
      <c:valAx>
        <c:axId val="2504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70988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 BSG applied</a:t>
            </a:r>
            <a:r>
              <a:rPr lang="de-DE" baseline="0"/>
              <a:t>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15940</c:v>
                </c:pt>
                <c:pt idx="1">
                  <c:v>19900</c:v>
                </c:pt>
                <c:pt idx="2">
                  <c:v>31700</c:v>
                </c:pt>
                <c:pt idx="3">
                  <c:v>31700</c:v>
                </c:pt>
                <c:pt idx="4">
                  <c:v>255200</c:v>
                </c:pt>
                <c:pt idx="5">
                  <c:v>43300</c:v>
                </c:pt>
                <c:pt idx="6">
                  <c:v>42100</c:v>
                </c:pt>
                <c:pt idx="7">
                  <c:v>54400</c:v>
                </c:pt>
                <c:pt idx="8">
                  <c:v>16040</c:v>
                </c:pt>
                <c:pt idx="9">
                  <c:v>42000</c:v>
                </c:pt>
                <c:pt idx="10">
                  <c:v>84000</c:v>
                </c:pt>
                <c:pt idx="11">
                  <c:v>63560</c:v>
                </c:pt>
                <c:pt idx="12">
                  <c:v>84000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277633.8</c:v>
                </c:pt>
                <c:pt idx="1">
                  <c:v>1676.4</c:v>
                </c:pt>
                <c:pt idx="2">
                  <c:v>180</c:v>
                </c:pt>
                <c:pt idx="3">
                  <c:v>180</c:v>
                </c:pt>
                <c:pt idx="4">
                  <c:v>61900</c:v>
                </c:pt>
                <c:pt idx="5">
                  <c:v>744189.6</c:v>
                </c:pt>
                <c:pt idx="6">
                  <c:v>3323.8</c:v>
                </c:pt>
                <c:pt idx="7">
                  <c:v>360</c:v>
                </c:pt>
                <c:pt idx="8">
                  <c:v>187543.4</c:v>
                </c:pt>
                <c:pt idx="9">
                  <c:v>743.4</c:v>
                </c:pt>
                <c:pt idx="10">
                  <c:v>1498</c:v>
                </c:pt>
                <c:pt idx="11">
                  <c:v>669173.6</c:v>
                </c:pt>
                <c:pt idx="12">
                  <c:v>1486.8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204800</c:v>
                </c:pt>
                <c:pt idx="2">
                  <c:v>213600</c:v>
                </c:pt>
                <c:pt idx="3">
                  <c:v>316800</c:v>
                </c:pt>
                <c:pt idx="4">
                  <c:v>316800</c:v>
                </c:pt>
                <c:pt idx="5">
                  <c:v>0</c:v>
                </c:pt>
                <c:pt idx="6">
                  <c:v>409600</c:v>
                </c:pt>
                <c:pt idx="7">
                  <c:v>427200</c:v>
                </c:pt>
                <c:pt idx="8">
                  <c:v>0</c:v>
                </c:pt>
                <c:pt idx="9">
                  <c:v>216000</c:v>
                </c:pt>
                <c:pt idx="10">
                  <c:v>320000</c:v>
                </c:pt>
                <c:pt idx="11">
                  <c:v>0</c:v>
                </c:pt>
                <c:pt idx="12">
                  <c:v>432000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714240"/>
        <c:axId val="250427008"/>
      </c:barChart>
      <c:catAx>
        <c:axId val="24871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427008"/>
        <c:crosses val="autoZero"/>
        <c:auto val="1"/>
        <c:lblAlgn val="ctr"/>
        <c:lblOffset val="100"/>
        <c:noMultiLvlLbl val="0"/>
      </c:catAx>
      <c:valAx>
        <c:axId val="2504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1424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716288"/>
        <c:axId val="224362496"/>
      </c:barChart>
      <c:catAx>
        <c:axId val="24871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4362496"/>
        <c:crosses val="autoZero"/>
        <c:auto val="1"/>
        <c:lblAlgn val="ctr"/>
        <c:lblOffset val="100"/>
        <c:noMultiLvlLbl val="0"/>
      </c:catAx>
      <c:valAx>
        <c:axId val="2243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71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[1]OPEX!$D$28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[1]OPEX!$E$28:$Q$28</c:f>
              <c:numCache>
                <c:formatCode>General</c:formatCode>
                <c:ptCount val="13"/>
                <c:pt idx="0">
                  <c:v>4820</c:v>
                </c:pt>
                <c:pt idx="1">
                  <c:v>3570.0800000000004</c:v>
                </c:pt>
                <c:pt idx="2">
                  <c:v>4078.88</c:v>
                </c:pt>
                <c:pt idx="3">
                  <c:v>8157.76</c:v>
                </c:pt>
                <c:pt idx="4">
                  <c:v>8221.36</c:v>
                </c:pt>
                <c:pt idx="5">
                  <c:v>8452.9600000000009</c:v>
                </c:pt>
                <c:pt idx="6">
                  <c:v>7244.04</c:v>
                </c:pt>
                <c:pt idx="7">
                  <c:v>10968.88</c:v>
                </c:pt>
                <c:pt idx="8">
                  <c:v>13856</c:v>
                </c:pt>
                <c:pt idx="9">
                  <c:v>4656.58</c:v>
                </c:pt>
                <c:pt idx="10">
                  <c:v>9405.3799999999992</c:v>
                </c:pt>
                <c:pt idx="11">
                  <c:v>19247.2</c:v>
                </c:pt>
                <c:pt idx="12">
                  <c:v>9405.3799999999992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[1]OPEX!$D$29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[1]OPEX!$E$29:$Q$29</c:f>
              <c:numCache>
                <c:formatCode>General</c:formatCode>
                <c:ptCount val="13"/>
                <c:pt idx="0">
                  <c:v>1919.5122240000001</c:v>
                </c:pt>
                <c:pt idx="1">
                  <c:v>3925.0231200000003</c:v>
                </c:pt>
                <c:pt idx="2">
                  <c:v>4399.7975999999999</c:v>
                </c:pt>
                <c:pt idx="3">
                  <c:v>1613.886336</c:v>
                </c:pt>
                <c:pt idx="4">
                  <c:v>1225.27872</c:v>
                </c:pt>
                <c:pt idx="5">
                  <c:v>5470.210908</c:v>
                </c:pt>
                <c:pt idx="6">
                  <c:v>4135.8412799999996</c:v>
                </c:pt>
                <c:pt idx="7">
                  <c:v>3774.5963999999999</c:v>
                </c:pt>
                <c:pt idx="8">
                  <c:v>3517.9721999999997</c:v>
                </c:pt>
                <c:pt idx="9">
                  <c:v>7031.2139999999999</c:v>
                </c:pt>
                <c:pt idx="10">
                  <c:v>840.96</c:v>
                </c:pt>
                <c:pt idx="11">
                  <c:v>4502.2896000000001</c:v>
                </c:pt>
                <c:pt idx="12">
                  <c:v>3830.31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[1]OPEX!$D$30</c:f>
              <c:strCache>
                <c:ptCount val="1"/>
                <c:pt idx="0">
                  <c:v>Fault 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[1]OPEX!$E$30:$Q$30</c:f>
              <c:numCache>
                <c:formatCode>General</c:formatCode>
                <c:ptCount val="13"/>
                <c:pt idx="0">
                  <c:v>3160.252764855331</c:v>
                </c:pt>
                <c:pt idx="1">
                  <c:v>3917.8098142122103</c:v>
                </c:pt>
                <c:pt idx="2">
                  <c:v>4026.6795888571392</c:v>
                </c:pt>
                <c:pt idx="3">
                  <c:v>6961.5683458393141</c:v>
                </c:pt>
                <c:pt idx="4">
                  <c:v>2889.28367169184</c:v>
                </c:pt>
                <c:pt idx="5">
                  <c:v>4282.5325259476649</c:v>
                </c:pt>
                <c:pt idx="6">
                  <c:v>3855.3146952522106</c:v>
                </c:pt>
                <c:pt idx="7">
                  <c:v>3408.5504153977131</c:v>
                </c:pt>
                <c:pt idx="8">
                  <c:v>5108.1202004136358</c:v>
                </c:pt>
                <c:pt idx="9">
                  <c:v>4113.6202259999991</c:v>
                </c:pt>
                <c:pt idx="10">
                  <c:v>7092.2033393530219</c:v>
                </c:pt>
                <c:pt idx="11">
                  <c:v>1682.5963004611817</c:v>
                </c:pt>
                <c:pt idx="12">
                  <c:v>2643.4630653925483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[1]OPEX!$D$31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[1]OPEX!$E$31:$Q$31</c:f>
              <c:numCache>
                <c:formatCode>General</c:formatCode>
                <c:ptCount val="13"/>
                <c:pt idx="0">
                  <c:v>494.98824944276657</c:v>
                </c:pt>
                <c:pt idx="1">
                  <c:v>570.64564671061055</c:v>
                </c:pt>
                <c:pt idx="2">
                  <c:v>625.267859442857</c:v>
                </c:pt>
                <c:pt idx="3">
                  <c:v>836.66073409196588</c:v>
                </c:pt>
                <c:pt idx="4">
                  <c:v>616.79611958459213</c:v>
                </c:pt>
                <c:pt idx="5">
                  <c:v>910.28517169738336</c:v>
                </c:pt>
                <c:pt idx="6">
                  <c:v>761.75979876261056</c:v>
                </c:pt>
                <c:pt idx="7">
                  <c:v>907.60134076988561</c:v>
                </c:pt>
                <c:pt idx="8">
                  <c:v>1124.1046200206818</c:v>
                </c:pt>
                <c:pt idx="9">
                  <c:v>790.07071129999997</c:v>
                </c:pt>
                <c:pt idx="10">
                  <c:v>866.92716696765115</c:v>
                </c:pt>
                <c:pt idx="11">
                  <c:v>1271.6042950230592</c:v>
                </c:pt>
                <c:pt idx="12">
                  <c:v>793.95765326962737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[1]OPEX!$D$32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[1]OPEX!$E$32:$Q$32</c:f>
              <c:numCache>
                <c:formatCode>General</c:formatCode>
                <c:ptCount val="13"/>
                <c:pt idx="0">
                  <c:v>692.98354921987323</c:v>
                </c:pt>
                <c:pt idx="1">
                  <c:v>798.90390539485486</c:v>
                </c:pt>
                <c:pt idx="2">
                  <c:v>875.37500321999983</c:v>
                </c:pt>
                <c:pt idx="3">
                  <c:v>1171.3250277287523</c:v>
                </c:pt>
                <c:pt idx="4">
                  <c:v>863.51456741842901</c:v>
                </c:pt>
                <c:pt idx="5">
                  <c:v>1274.3992403763368</c:v>
                </c:pt>
                <c:pt idx="6">
                  <c:v>1066.4637182676549</c:v>
                </c:pt>
                <c:pt idx="7">
                  <c:v>1270.64187707784</c:v>
                </c:pt>
                <c:pt idx="8">
                  <c:v>1573.7464680289547</c:v>
                </c:pt>
                <c:pt idx="9">
                  <c:v>1106.09899582</c:v>
                </c:pt>
                <c:pt idx="10">
                  <c:v>1213.6980337547116</c:v>
                </c:pt>
                <c:pt idx="11">
                  <c:v>1780.2460130322829</c:v>
                </c:pt>
                <c:pt idx="12">
                  <c:v>1111.5407145774784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25648640"/>
        <c:axId val="224364224"/>
      </c:barChart>
      <c:catAx>
        <c:axId val="22564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4364224"/>
        <c:crosses val="autoZero"/>
        <c:auto val="1"/>
        <c:lblAlgn val="ctr"/>
        <c:lblOffset val="100"/>
        <c:noMultiLvlLbl val="0"/>
      </c:catAx>
      <c:valAx>
        <c:axId val="2243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6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CAPEX</a:t>
            </a:r>
            <a:r>
              <a:rPr lang="de-DE" sz="2400" baseline="0"/>
              <a:t> of different PON technologies (New York Converged)</a:t>
            </a:r>
            <a:endParaRPr lang="de-DE" sz="2400"/>
          </a:p>
        </c:rich>
      </c:tx>
      <c:layout>
        <c:manualLayout>
          <c:xMode val="edge"/>
          <c:yMode val="edge"/>
          <c:x val="0.18193845530731056"/>
          <c:y val="3.346551950027915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170187.83055482313</c:v>
                </c:pt>
                <c:pt idx="1">
                  <c:v>170187.83055482313</c:v>
                </c:pt>
                <c:pt idx="2">
                  <c:v>123966.4385182156</c:v>
                </c:pt>
                <c:pt idx="3">
                  <c:v>123966.4385182156</c:v>
                </c:pt>
                <c:pt idx="4">
                  <c:v>170187.83055482313</c:v>
                </c:pt>
                <c:pt idx="5">
                  <c:v>170187.83055482313</c:v>
                </c:pt>
                <c:pt idx="6">
                  <c:v>170187.83055482313</c:v>
                </c:pt>
                <c:pt idx="7">
                  <c:v>123966.4385182156</c:v>
                </c:pt>
                <c:pt idx="8">
                  <c:v>148601.5257512136</c:v>
                </c:pt>
                <c:pt idx="9">
                  <c:v>162896.27914347179</c:v>
                </c:pt>
                <c:pt idx="10">
                  <c:v>148601.5257512136</c:v>
                </c:pt>
                <c:pt idx="11">
                  <c:v>148601.5257512136</c:v>
                </c:pt>
                <c:pt idx="12">
                  <c:v>162896.27914347179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35.517736249908381</c:v>
                </c:pt>
                <c:pt idx="1">
                  <c:v>35.517736249908381</c:v>
                </c:pt>
                <c:pt idx="2">
                  <c:v>23.727612871311063</c:v>
                </c:pt>
                <c:pt idx="3">
                  <c:v>23.727612871311063</c:v>
                </c:pt>
                <c:pt idx="4">
                  <c:v>35.517736249908381</c:v>
                </c:pt>
                <c:pt idx="5">
                  <c:v>35.517736249908381</c:v>
                </c:pt>
                <c:pt idx="6">
                  <c:v>35.517736249908381</c:v>
                </c:pt>
                <c:pt idx="7">
                  <c:v>23.727612871311063</c:v>
                </c:pt>
                <c:pt idx="8">
                  <c:v>33.851521342501684</c:v>
                </c:pt>
                <c:pt idx="9">
                  <c:v>33.851521342501684</c:v>
                </c:pt>
                <c:pt idx="10">
                  <c:v>33.851521342501684</c:v>
                </c:pt>
                <c:pt idx="11">
                  <c:v>33.851521342501684</c:v>
                </c:pt>
                <c:pt idx="12">
                  <c:v>33.851521342501684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3419.7777777777778</c:v>
                </c:pt>
                <c:pt idx="1">
                  <c:v>7900</c:v>
                </c:pt>
                <c:pt idx="2">
                  <c:v>7232.1111111111113</c:v>
                </c:pt>
                <c:pt idx="3">
                  <c:v>8289</c:v>
                </c:pt>
                <c:pt idx="4">
                  <c:v>30450</c:v>
                </c:pt>
                <c:pt idx="5">
                  <c:v>19660.666666666668</c:v>
                </c:pt>
                <c:pt idx="6">
                  <c:v>17040</c:v>
                </c:pt>
                <c:pt idx="7">
                  <c:v>15940.222222222223</c:v>
                </c:pt>
                <c:pt idx="8">
                  <c:v>5360</c:v>
                </c:pt>
                <c:pt idx="9">
                  <c:v>12380</c:v>
                </c:pt>
                <c:pt idx="10">
                  <c:v>24400</c:v>
                </c:pt>
                <c:pt idx="11">
                  <c:v>38000</c:v>
                </c:pt>
                <c:pt idx="12">
                  <c:v>24760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119020.4</c:v>
                </c:pt>
                <c:pt idx="1">
                  <c:v>3475.2</c:v>
                </c:pt>
                <c:pt idx="2">
                  <c:v>2160</c:v>
                </c:pt>
                <c:pt idx="3">
                  <c:v>2160</c:v>
                </c:pt>
                <c:pt idx="4">
                  <c:v>5850</c:v>
                </c:pt>
                <c:pt idx="5">
                  <c:v>166336.79999999999</c:v>
                </c:pt>
                <c:pt idx="6">
                  <c:v>6832.2000000000007</c:v>
                </c:pt>
                <c:pt idx="7">
                  <c:v>4320</c:v>
                </c:pt>
                <c:pt idx="8">
                  <c:v>79394</c:v>
                </c:pt>
                <c:pt idx="9">
                  <c:v>1194</c:v>
                </c:pt>
                <c:pt idx="10">
                  <c:v>2580</c:v>
                </c:pt>
                <c:pt idx="11">
                  <c:v>272276</c:v>
                </c:pt>
                <c:pt idx="12">
                  <c:v>2388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112800</c:v>
                </c:pt>
                <c:pt idx="2">
                  <c:v>96800</c:v>
                </c:pt>
                <c:pt idx="3">
                  <c:v>339200</c:v>
                </c:pt>
                <c:pt idx="4">
                  <c:v>321600</c:v>
                </c:pt>
                <c:pt idx="5">
                  <c:v>0</c:v>
                </c:pt>
                <c:pt idx="6">
                  <c:v>188800</c:v>
                </c:pt>
                <c:pt idx="7">
                  <c:v>196800</c:v>
                </c:pt>
                <c:pt idx="8">
                  <c:v>0</c:v>
                </c:pt>
                <c:pt idx="9">
                  <c:v>88800</c:v>
                </c:pt>
                <c:pt idx="10">
                  <c:v>225600</c:v>
                </c:pt>
                <c:pt idx="11">
                  <c:v>0</c:v>
                </c:pt>
                <c:pt idx="12">
                  <c:v>212800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024960"/>
        <c:axId val="225800128"/>
      </c:barChart>
      <c:catAx>
        <c:axId val="24202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800128"/>
        <c:crosses val="autoZero"/>
        <c:auto val="1"/>
        <c:lblAlgn val="ctr"/>
        <c:lblOffset val="100"/>
        <c:noMultiLvlLbl val="0"/>
      </c:catAx>
      <c:valAx>
        <c:axId val="22580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02496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20</xdr:col>
      <xdr:colOff>142874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172</xdr:row>
      <xdr:rowOff>133350</xdr:rowOff>
    </xdr:from>
    <xdr:to>
      <xdr:col>20</xdr:col>
      <xdr:colOff>190500</xdr:colOff>
      <xdr:row>209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99060</xdr:rowOff>
    </xdr:from>
    <xdr:to>
      <xdr:col>20</xdr:col>
      <xdr:colOff>161924</xdr:colOff>
      <xdr:row>69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19049</xdr:rowOff>
    </xdr:from>
    <xdr:to>
      <xdr:col>20</xdr:col>
      <xdr:colOff>200024</xdr:colOff>
      <xdr:row>100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114299</xdr:rowOff>
    </xdr:from>
    <xdr:to>
      <xdr:col>20</xdr:col>
      <xdr:colOff>247650</xdr:colOff>
      <xdr:row>140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28574</xdr:rowOff>
    </xdr:from>
    <xdr:to>
      <xdr:col>20</xdr:col>
      <xdr:colOff>228600</xdr:colOff>
      <xdr:row>172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32657</xdr:colOff>
      <xdr:row>53</xdr:row>
      <xdr:rowOff>76200</xdr:rowOff>
    </xdr:from>
    <xdr:to>
      <xdr:col>29</xdr:col>
      <xdr:colOff>337457</xdr:colOff>
      <xdr:row>68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4BAA7E32-E03E-48BC-8AEC-B0697D1A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218</xdr:row>
      <xdr:rowOff>0</xdr:rowOff>
    </xdr:from>
    <xdr:to>
      <xdr:col>17</xdr:col>
      <xdr:colOff>313781</xdr:colOff>
      <xdr:row>240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F2AF6944-48DA-45D6-93A4-52064D7B7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1278730</xdr:colOff>
      <xdr:row>17</xdr:row>
      <xdr:rowOff>83345</xdr:rowOff>
    </xdr:from>
    <xdr:to>
      <xdr:col>5</xdr:col>
      <xdr:colOff>738187</xdr:colOff>
      <xdr:row>54</xdr:row>
      <xdr:rowOff>83345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1619250</xdr:colOff>
      <xdr:row>20</xdr:row>
      <xdr:rowOff>100011</xdr:rowOff>
    </xdr:from>
    <xdr:to>
      <xdr:col>12</xdr:col>
      <xdr:colOff>483392</xdr:colOff>
      <xdr:row>50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</xdr:col>
      <xdr:colOff>2933700</xdr:colOff>
      <xdr:row>53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17</xdr:row>
      <xdr:rowOff>95250</xdr:rowOff>
    </xdr:from>
    <xdr:to>
      <xdr:col>9</xdr:col>
      <xdr:colOff>1695449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16</xdr:row>
      <xdr:rowOff>95250</xdr:rowOff>
    </xdr:from>
    <xdr:to>
      <xdr:col>18</xdr:col>
      <xdr:colOff>276224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15</xdr:row>
      <xdr:rowOff>76200</xdr:rowOff>
    </xdr:from>
    <xdr:to>
      <xdr:col>8</xdr:col>
      <xdr:colOff>266700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15</xdr:row>
      <xdr:rowOff>76200</xdr:rowOff>
    </xdr:from>
    <xdr:to>
      <xdr:col>4</xdr:col>
      <xdr:colOff>1074420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15</xdr:row>
      <xdr:rowOff>99061</xdr:rowOff>
    </xdr:from>
    <xdr:to>
      <xdr:col>19</xdr:col>
      <xdr:colOff>426720</xdr:colOff>
      <xdr:row>43</xdr:row>
      <xdr:rowOff>106681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385233</xdr:colOff>
      <xdr:row>20</xdr:row>
      <xdr:rowOff>9525</xdr:rowOff>
    </xdr:from>
    <xdr:to>
      <xdr:col>11</xdr:col>
      <xdr:colOff>445982</xdr:colOff>
      <xdr:row>41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4</xdr:col>
      <xdr:colOff>293793</xdr:colOff>
      <xdr:row>42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518160</xdr:colOff>
      <xdr:row>16</xdr:row>
      <xdr:rowOff>15240</xdr:rowOff>
    </xdr:from>
    <xdr:to>
      <xdr:col>26</xdr:col>
      <xdr:colOff>87418</xdr:colOff>
      <xdr:row>48</xdr:row>
      <xdr:rowOff>40006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x_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TC_GPON_25_PIVOT"/>
      <sheetName val="FTTC_GPON_25"/>
      <sheetName val="FTTB_XGPON_50"/>
      <sheetName val="FTTB_DWDM_50"/>
      <sheetName val="FTTH_DWDM_100"/>
      <sheetName val="FTTH_XGPON_100"/>
      <sheetName val="FTTC_GPON_100"/>
      <sheetName val="FTTB_XGPON_100"/>
      <sheetName val="FTTB_DWDM_100"/>
      <sheetName val="FTTC_Hybridpon_25"/>
      <sheetName val="FTTB_Hybridpon_50"/>
      <sheetName val="FTTH_Hybridpon_100"/>
      <sheetName val="FTTC_Hybridpon_100"/>
      <sheetName val="FTTB_Hybridpon_100"/>
      <sheetName val="OP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7">
          <cell r="E27" t="str">
            <v>FTTC_GPON_25</v>
          </cell>
          <cell r="F27" t="str">
            <v>FTTB_XGPON_50</v>
          </cell>
          <cell r="G27" t="str">
            <v>FTTB_DWDM_50</v>
          </cell>
          <cell r="H27" t="str">
            <v>FTTH_DWDM_100</v>
          </cell>
          <cell r="I27" t="str">
            <v>FTTH_XGPON_100</v>
          </cell>
          <cell r="J27" t="str">
            <v>FTTC_GPON_100</v>
          </cell>
          <cell r="K27" t="str">
            <v>FTTB_XGPON_100</v>
          </cell>
          <cell r="L27" t="str">
            <v>FTTB_DWDM_100</v>
          </cell>
          <cell r="M27" t="str">
            <v>FTTC_Hybridpon_25</v>
          </cell>
          <cell r="N27" t="str">
            <v>FTTB_Hybridpon_50</v>
          </cell>
          <cell r="O27" t="str">
            <v>FTTH_Hybridpon_100</v>
          </cell>
          <cell r="P27" t="str">
            <v>FTTC_Hybridpon_100</v>
          </cell>
          <cell r="Q27" t="str">
            <v>FTTB_Hybridpon_100</v>
          </cell>
        </row>
        <row r="28">
          <cell r="D28" t="str">
            <v>Rent</v>
          </cell>
          <cell r="E28">
            <v>4820</v>
          </cell>
          <cell r="F28">
            <v>3570.0800000000004</v>
          </cell>
          <cell r="G28">
            <v>4078.88</v>
          </cell>
          <cell r="H28">
            <v>8157.76</v>
          </cell>
          <cell r="I28">
            <v>8221.36</v>
          </cell>
          <cell r="J28">
            <v>8452.9600000000009</v>
          </cell>
          <cell r="K28">
            <v>7244.04</v>
          </cell>
          <cell r="L28">
            <v>10968.88</v>
          </cell>
          <cell r="M28">
            <v>13856</v>
          </cell>
          <cell r="N28">
            <v>4656.58</v>
          </cell>
          <cell r="O28">
            <v>9405.3799999999992</v>
          </cell>
          <cell r="P28">
            <v>19247.2</v>
          </cell>
          <cell r="Q28">
            <v>9405.3799999999992</v>
          </cell>
        </row>
        <row r="29">
          <cell r="D29" t="str">
            <v>Energy</v>
          </cell>
          <cell r="E29">
            <v>1919.5122240000001</v>
          </cell>
          <cell r="F29">
            <v>3925.0231200000003</v>
          </cell>
          <cell r="G29">
            <v>4399.7975999999999</v>
          </cell>
          <cell r="H29">
            <v>1613.886336</v>
          </cell>
          <cell r="I29">
            <v>1225.27872</v>
          </cell>
          <cell r="J29">
            <v>5470.210908</v>
          </cell>
          <cell r="K29">
            <v>4135.8412799999996</v>
          </cell>
          <cell r="L29">
            <v>3774.5963999999999</v>
          </cell>
          <cell r="M29">
            <v>3517.9721999999997</v>
          </cell>
          <cell r="N29">
            <v>7031.2139999999999</v>
          </cell>
          <cell r="O29">
            <v>840.96</v>
          </cell>
          <cell r="P29">
            <v>4502.2896000000001</v>
          </cell>
          <cell r="Q29">
            <v>3830.31</v>
          </cell>
        </row>
        <row r="30">
          <cell r="D30" t="str">
            <v>Fault Maintenance</v>
          </cell>
          <cell r="E30">
            <v>3160.252764855331</v>
          </cell>
          <cell r="F30">
            <v>3917.8098142122103</v>
          </cell>
          <cell r="G30">
            <v>4026.6795888571392</v>
          </cell>
          <cell r="H30">
            <v>6961.5683458393141</v>
          </cell>
          <cell r="I30">
            <v>2889.28367169184</v>
          </cell>
          <cell r="J30">
            <v>4282.5325259476649</v>
          </cell>
          <cell r="K30">
            <v>3855.3146952522106</v>
          </cell>
          <cell r="L30">
            <v>3408.5504153977131</v>
          </cell>
          <cell r="M30">
            <v>5108.1202004136358</v>
          </cell>
          <cell r="N30">
            <v>4113.6202259999991</v>
          </cell>
          <cell r="O30">
            <v>7092.2033393530219</v>
          </cell>
          <cell r="P30">
            <v>1682.5963004611817</v>
          </cell>
          <cell r="Q30">
            <v>2643.4630653925483</v>
          </cell>
        </row>
        <row r="31">
          <cell r="D31" t="str">
            <v>Marketing</v>
          </cell>
          <cell r="E31">
            <v>494.98824944276657</v>
          </cell>
          <cell r="F31">
            <v>570.64564671061055</v>
          </cell>
          <cell r="G31">
            <v>625.267859442857</v>
          </cell>
          <cell r="H31">
            <v>836.66073409196588</v>
          </cell>
          <cell r="I31">
            <v>616.79611958459213</v>
          </cell>
          <cell r="J31">
            <v>910.28517169738336</v>
          </cell>
          <cell r="K31">
            <v>761.75979876261056</v>
          </cell>
          <cell r="L31">
            <v>907.60134076988561</v>
          </cell>
          <cell r="M31">
            <v>1124.1046200206818</v>
          </cell>
          <cell r="N31">
            <v>790.07071129999997</v>
          </cell>
          <cell r="O31">
            <v>866.92716696765115</v>
          </cell>
          <cell r="P31">
            <v>1271.6042950230592</v>
          </cell>
          <cell r="Q31">
            <v>793.95765326962737</v>
          </cell>
        </row>
        <row r="32">
          <cell r="D32" t="str">
            <v>Operations</v>
          </cell>
          <cell r="E32">
            <v>692.98354921987323</v>
          </cell>
          <cell r="F32">
            <v>798.90390539485486</v>
          </cell>
          <cell r="G32">
            <v>875.37500321999983</v>
          </cell>
          <cell r="H32">
            <v>1171.3250277287523</v>
          </cell>
          <cell r="I32">
            <v>863.51456741842901</v>
          </cell>
          <cell r="J32">
            <v>1274.3992403763368</v>
          </cell>
          <cell r="K32">
            <v>1066.4637182676549</v>
          </cell>
          <cell r="L32">
            <v>1270.64187707784</v>
          </cell>
          <cell r="M32">
            <v>1573.7464680289547</v>
          </cell>
          <cell r="N32">
            <v>1106.09899582</v>
          </cell>
          <cell r="O32">
            <v>1213.6980337547116</v>
          </cell>
          <cell r="P32">
            <v>1780.2460130322829</v>
          </cell>
          <cell r="Q32">
            <v>1111.5407145774784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1:K10" totalsRowShown="0" headerRowDxfId="185" dataDxfId="184" tableBorderDxfId="183">
  <autoFilter ref="A1:K10"/>
  <tableColumns count="11">
    <tableColumn id="1" name="Position of component" dataDxfId="182"/>
    <tableColumn id="2" name="Component Name" dataDxfId="181"/>
    <tableColumn id="3" name="Cost per Unit (OASE)" dataDxfId="180"/>
    <tableColumn id="6" name="Cost per Unit (Rokkas)" dataDxfId="179">
      <calculatedColumnFormula>10000/50</calculatedColumnFormula>
    </tableColumn>
    <tableColumn id="8" name="Cost per Unit (BSG)" dataDxfId="178"/>
    <tableColumn id="10" name="Cost per Unit(Philipson)" dataDxfId="177"/>
    <tableColumn id="4" name="Quantity" dataDxfId="176"/>
    <tableColumn id="5" name="Component Cost(OASE)" dataDxfId="175">
      <calculatedColumnFormula>Table2[[#This Row],[Cost per Unit (OASE)]]*Table2[[#This Row],[Quantity]]</calculatedColumnFormula>
    </tableColumn>
    <tableColumn id="7" name="Component Cost(Rokkas)" dataDxfId="174">
      <calculatedColumnFormula>Table2[[#This Row],[Cost per Unit (Rokkas)]]*Table2[[#This Row],[Quantity]]</calculatedColumnFormula>
    </tableColumn>
    <tableColumn id="9" name="Component Cost(BSG)" dataDxfId="173">
      <calculatedColumnFormula>Table2[[#This Row],[Cost per Unit (BSG)]]*Table2[[#This Row],[Quantity]]</calculatedColumnFormula>
    </tableColumn>
    <tableColumn id="11" name="Component Cost(Phillipson)" dataDxfId="172">
      <calculatedColumnFormula>Table2[[#This Row],[Cost per Unit(Philipson)]]*Table2[[#This Row],[Quantity]]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21213" displayName="Table21213" ref="A1:K9" totalsRowShown="0" headerRowDxfId="59" dataDxfId="58" tableBorderDxfId="57">
  <autoFilter ref="A1:K9"/>
  <tableColumns count="11">
    <tableColumn id="1" name="Position of component" dataDxfId="56"/>
    <tableColumn id="2" name="Component Name" dataDxfId="55"/>
    <tableColumn id="3" name="Cost per Unit (OASE)" dataDxfId="54"/>
    <tableColumn id="6" name="Cost per Unit (Rokkas)" dataDxfId="53"/>
    <tableColumn id="8" name="Cost per Unit(BSG)" dataDxfId="52"/>
    <tableColumn id="11" name="Cost per uNit(Phillipson)" dataDxfId="51"/>
    <tableColumn id="4" name="Quantity" dataDxfId="50"/>
    <tableColumn id="5" name="Component Cost" dataDxfId="49">
      <calculatedColumnFormula>Table21213[[#This Row],[Cost per Unit (OASE)]]*Table21213[[#This Row],[Quantity]]</calculatedColumnFormula>
    </tableColumn>
    <tableColumn id="7" name="Component Cost(Rokkas)" dataDxfId="48">
      <calculatedColumnFormula>Table21213[[#This Row],[Cost per Unit (Rokkas)]]*Table21213[[#This Row],[Quantity]]</calculatedColumnFormula>
    </tableColumn>
    <tableColumn id="9" name="Component Cost(BSG)" dataDxfId="47">
      <calculatedColumnFormula>Table21213[[#This Row],[Cost per Unit(BSG)]]*Table21213[[#This Row],[Quantity]]</calculatedColumnFormula>
    </tableColumn>
    <tableColumn id="10" name="Component Cost(Phillipson)" dataDxfId="46">
      <calculatedColumnFormula>Table21213[[#This Row],[Cost per uNit(Phillipson)]]*Table21213[[#This Row],[Quantity]]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121314" displayName="Table2121314" ref="A1:K9" totalsRowShown="0" headerRowDxfId="45" dataDxfId="44" tableBorderDxfId="43">
  <autoFilter ref="A1:K9"/>
  <tableColumns count="11">
    <tableColumn id="1" name="Position of component" dataDxfId="42"/>
    <tableColumn id="2" name="Component Name" dataDxfId="41"/>
    <tableColumn id="3" name="Cost per Unit (OASE)" dataDxfId="40"/>
    <tableColumn id="6" name="Cost per Unit (Rokkas)" dataDxfId="39"/>
    <tableColumn id="8" name="Cost per Unit(BSG)" dataDxfId="38"/>
    <tableColumn id="10" name="Cost per Unit(Phillipson)" dataDxfId="37"/>
    <tableColumn id="4" name="Quantity" dataDxfId="36"/>
    <tableColumn id="5" name="Component Cost" dataDxfId="35">
      <calculatedColumnFormula>Table2121314[[#This Row],[Cost per Unit (OASE)]]*Table2121314[[#This Row],[Quantity]]</calculatedColumnFormula>
    </tableColumn>
    <tableColumn id="7" name="Component Cost(Rokkas)" dataDxfId="34">
      <calculatedColumnFormula>Table2121314[[#This Row],[Cost per Unit (Rokkas)]]*Table2121314[[#This Row],[Quantity]]</calculatedColumnFormula>
    </tableColumn>
    <tableColumn id="9" name="Component Cost(BSG)" dataDxfId="33">
      <calculatedColumnFormula>Table2121314[[#This Row],[Cost per Unit(BSG)]]*Table2121314[[#This Row],[Quantity]]</calculatedColumnFormula>
    </tableColumn>
    <tableColumn id="11" name="Component Cost(Phillipson)" dataDxfId="32">
      <calculatedColumnFormula>Table2121314[[#This Row],[Cost per Unit(Phillipson)]]*Table2121314[[#This Row],[Quantity]]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21215" displayName="Table21215" ref="A1:K10" totalsRowShown="0" headerRowDxfId="31" dataDxfId="30" tableBorderDxfId="29">
  <autoFilter ref="A1:K10"/>
  <tableColumns count="11">
    <tableColumn id="1" name="Position of component" dataDxfId="28"/>
    <tableColumn id="2" name="Component Name" dataDxfId="27"/>
    <tableColumn id="3" name="Cost per Unit (OASE)" dataDxfId="26"/>
    <tableColumn id="6" name="Cost per Unit (Rokkas)" dataDxfId="25"/>
    <tableColumn id="8" name="Cost per Unit (BSG)" dataDxfId="24"/>
    <tableColumn id="10" name="Cost per Unit(Phillipson)" dataDxfId="23"/>
    <tableColumn id="4" name="Quantity" dataDxfId="22"/>
    <tableColumn id="5" name="Component Cost" dataDxfId="21">
      <calculatedColumnFormula>Table21215[[#This Row],[Cost per Unit (OASE)]]*Table21215[[#This Row],[Quantity]]</calculatedColumnFormula>
    </tableColumn>
    <tableColumn id="7" name="Component Cost(Rokkas)" dataDxfId="20">
      <calculatedColumnFormula>Table21215[[#This Row],[Cost per Unit (Rokkas)]]*Table21215[[#This Row],[Quantity]]</calculatedColumnFormula>
    </tableColumn>
    <tableColumn id="9" name="Component Cost(BSG)" dataDxfId="19">
      <calculatedColumnFormula>Table21215[[#This Row],[Cost per Unit (BSG)]]*Table21215[[#This Row],[Quantity]]</calculatedColumnFormula>
    </tableColumn>
    <tableColumn id="11" name="Component Cost(Phillipson)" dataDxfId="18">
      <calculatedColumnFormula>Table21215[[#This Row],[Cost per Unit(Phillipson)]]*Table21215[[#This Row],[Quantity]]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2121316" displayName="Table2121316" ref="A1:K9" totalsRowShown="0" headerRowDxfId="17" dataDxfId="16" tableBorderDxfId="15">
  <autoFilter ref="A1:K9"/>
  <tableColumns count="11">
    <tableColumn id="1" name="Position of component" dataDxfId="14"/>
    <tableColumn id="2" name="Component Name" dataDxfId="13"/>
    <tableColumn id="3" name="Cost per Unit (OASE)" dataDxfId="12"/>
    <tableColumn id="6" name="Cost per Unit (Rokkas)" dataDxfId="11"/>
    <tableColumn id="8" name="Cost per Unit(BSG)" dataDxfId="10"/>
    <tableColumn id="10" name="Cost per Unit(Phillipson)" dataDxfId="9"/>
    <tableColumn id="4" name="Quantity" dataDxfId="8"/>
    <tableColumn id="5" name="Component Cost" dataDxfId="7">
      <calculatedColumnFormula>Table2121316[[#This Row],[Cost per Unit (OASE)]]*Table2121316[[#This Row],[Quantity]]</calculatedColumnFormula>
    </tableColumn>
    <tableColumn id="7" name="Component Cost(Rokkas)" dataDxfId="6">
      <calculatedColumnFormula>D2*G2</calculatedColumnFormula>
    </tableColumn>
    <tableColumn id="9" name="Component Cost(BSG)" dataDxfId="5">
      <calculatedColumnFormula>Table2121316[[#This Row],[Cost per Unit(BSG)]]*Table2121316[[#This Row],[Quantity]]</calculatedColumnFormula>
    </tableColumn>
    <tableColumn id="11" name="Component Cost(Phillipson)" dataDxfId="4">
      <calculatedColumnFormula>Table2121316[[#This Row],[Cost per Unit(Phillipson)]]*Table2121316[[#This Row],[Quantity]]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A2:K15" totalsRowShown="0">
  <autoFilter ref="A2:K15"/>
  <tableColumns count="11">
    <tableColumn id="1" name="Technology"/>
    <tableColumn id="2" name="Duct Cost" dataCellStyle="Calculation"/>
    <tableColumn id="3" name="Fiber Cost" dataCellStyle="Calculation"/>
    <tableColumn id="4" name="Central Office E&amp;I Costs"/>
    <tableColumn id="5" name="Remote Node E&amp;I Costs"/>
    <tableColumn id="6" name="Building E&amp;I Costs"/>
    <tableColumn id="7" name="Total Cost in Cost Units">
      <calculatedColumnFormula>SUM(B3:F3)</calculatedColumnFormula>
    </tableColumn>
    <tableColumn id="8" name="Total Cost in Euros" dataDxfId="3">
      <calculatedColumnFormula>G3*50</calculatedColumnFormula>
    </tableColumn>
    <tableColumn id="9" name="No. Of HH">
      <calculatedColumnFormula>29262*1.4</calculatedColumnFormula>
    </tableColumn>
    <tableColumn id="10" name="Cost per Home passed(OASE)">
      <calculatedColumnFormula>H3/I3</calculatedColumnFormula>
    </tableColumn>
    <tableColumn id="11" name="Data rat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717" displayName="Table717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35*Table717[[#This Row],[Duct Length]]/50</calculatedColumnFormula>
    </tableColumn>
    <tableColumn id="3" name="Fiber Cost">
      <calculatedColumnFormula>Table717[[#This Row],[Fiber Length]]*0.3/50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SUM(Table717[[#This Row],[Duct Cost]:[Building E&amp;I Costs]])</calculatedColumnFormula>
    </tableColumn>
    <tableColumn id="8" name="Total Cost in Euros(Rokkas)" dataDxfId="2">
      <calculatedColumnFormula>I2*50</calculatedColumnFormula>
    </tableColumn>
    <tableColumn id="9" name="No. Of HH"/>
    <tableColumn id="10" name="Cost per Home passed(Rokkas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Table7172" displayName="Table7172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71.26*Table7172[[#This Row],[Duct Length]]/50</calculatedColumnFormula>
    </tableColumn>
    <tableColumn id="3" name="Fiber Cost">
      <calculatedColumnFormula>9.61*Table7172[[#This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SUM(Table7172[[#This Row],[Duct Cost]:[Building E&amp;I Costs]])</calculatedColumnFormula>
    </tableColumn>
    <tableColumn id="8" name="Total Cost in Euros(BSG)" dataDxfId="1">
      <calculatedColumnFormula>I2*50</calculatedColumnFormula>
    </tableColumn>
    <tableColumn id="9" name="No. Of HH"/>
    <tableColumn id="10" name="Cost per Home passed(BSG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717218" displayName="Table717218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27*Table717218[[#This Row],[Duct Length]]/50</calculatedColumnFormula>
    </tableColumn>
    <tableColumn id="3" name="Fiber Cost">
      <calculatedColumnFormula>0.3*Table717218[[#This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SUM(Table717218[[#This Row],[Duct Cost]:[Building E&amp;I Costs]])</calculatedColumnFormula>
    </tableColumn>
    <tableColumn id="8" name="Total Cost in Euros(Phillipson)" dataDxfId="0">
      <calculatedColumnFormula>I2*50</calculatedColumnFormula>
    </tableColumn>
    <tableColumn id="9" name="No. Of HH"/>
    <tableColumn id="10" name="Cost per Home passed(Phillipson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K10" totalsRowShown="0" headerRowDxfId="171" dataDxfId="170" tableBorderDxfId="169">
  <autoFilter ref="A1:K10"/>
  <tableColumns count="11">
    <tableColumn id="1" name="Position of component" dataDxfId="168"/>
    <tableColumn id="2" name="Component Name" dataDxfId="167"/>
    <tableColumn id="3" name="Cost per Unit (OASE)" dataDxfId="166"/>
    <tableColumn id="7" name="Cost per Unit (Rokkas)" dataDxfId="165"/>
    <tableColumn id="6" name="Cost per Unit(BSG)" dataDxfId="164"/>
    <tableColumn id="10" name="Cost per Unit(Phillipson)" dataDxfId="163"/>
    <tableColumn id="4" name="Quantity" dataDxfId="162"/>
    <tableColumn id="5" name="Component Cost" dataDxfId="161">
      <calculatedColumnFormula>Table24[[#This Row],[Cost per Unit (OASE)]]*Table24[[#This Row],[Quantity]]</calculatedColumnFormula>
    </tableColumn>
    <tableColumn id="8" name="Component Cost(Rokkas)" dataDxfId="160">
      <calculatedColumnFormula>Table24[[#This Row],[Cost per Unit (Rokkas)]]*Table24[[#This Row],[Quantity]]</calculatedColumnFormula>
    </tableColumn>
    <tableColumn id="9" name="Component Cost(BSG)" dataDxfId="159">
      <calculatedColumnFormula>Table24[[#This Row],[Cost per Unit(BSG)]]*Table24[[#This Row],[Quantity]]</calculatedColumnFormula>
    </tableColumn>
    <tableColumn id="11" name="Component Cost(Phillipson)" dataDxfId="158">
      <calculatedColumnFormula>Table24[[#This Row],[Cost per Unit(Phillipson)]]*Table24[[#This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K10" totalsRowShown="0" headerRowDxfId="157" dataDxfId="156" tableBorderDxfId="155">
  <autoFilter ref="A1:K10"/>
  <tableColumns count="11">
    <tableColumn id="1" name="Position of component" dataDxfId="154"/>
    <tableColumn id="2" name="Component Name" dataDxfId="153"/>
    <tableColumn id="3" name="Cost per Unit (OASE)" dataDxfId="152"/>
    <tableColumn id="6" name="Cost per Unit(Rokkas)" dataDxfId="151"/>
    <tableColumn id="8" name="Cost per Unit(BSG)" dataDxfId="150"/>
    <tableColumn id="10" name="Cost per Unit(Phillipson)" dataDxfId="149"/>
    <tableColumn id="4" name="Quantity" dataDxfId="148"/>
    <tableColumn id="5" name="Component Cost(OASE)" dataDxfId="147">
      <calculatedColumnFormula>Table245[[#This Row],[Cost per Unit (OASE)]]*Table245[[#This Row],[Quantity]]</calculatedColumnFormula>
    </tableColumn>
    <tableColumn id="7" name="Component Cost(Rokkas)" dataDxfId="146"/>
    <tableColumn id="9" name="Component Cost(BSG)" dataDxfId="145">
      <calculatedColumnFormula>Table245[[#This Row],[Cost per Unit(BSG)]]*Table245[[#This Row],[Quantity]]</calculatedColumnFormula>
    </tableColumn>
    <tableColumn id="11" name="Component Cost(Phillipson)" dataDxfId="144">
      <calculatedColumnFormula>Table245[[#This Row],[Cost per Unit(Phillipson)]]*Table245[[#This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K10" totalsRowShown="0" headerRowDxfId="143" dataDxfId="142" tableBorderDxfId="141">
  <autoFilter ref="A1:K10"/>
  <tableColumns count="11">
    <tableColumn id="1" name="Position of component" dataDxfId="140"/>
    <tableColumn id="2" name="Component Name" dataDxfId="139"/>
    <tableColumn id="3" name="Cost per Unit (OASE)" dataDxfId="138"/>
    <tableColumn id="6" name="Cost per Unit(Rokkas)" dataDxfId="137"/>
    <tableColumn id="8" name="Cost per Unit (BSG)" dataDxfId="136"/>
    <tableColumn id="10" name="Cost per Unit(Phillipson)" dataDxfId="135"/>
    <tableColumn id="4" name="Quantity" dataDxfId="134"/>
    <tableColumn id="5" name="Component Cost" dataDxfId="133">
      <calculatedColumnFormula>Table2456[[#This Row],[Cost per Unit (OASE)]]*Table2456[[#This Row],[Quantity]]</calculatedColumnFormula>
    </tableColumn>
    <tableColumn id="7" name="Component Cost(Rokkas)" dataDxfId="132">
      <calculatedColumnFormula>Table2456[[#This Row],[Cost per Unit(Rokkas)]]*Table2456[[#This Row],[Quantity]]</calculatedColumnFormula>
    </tableColumn>
    <tableColumn id="9" name="Component Cost(BSG)" dataDxfId="131">
      <calculatedColumnFormula>Table2456[[#This Row],[Cost per Unit (BSG)]]*Table2456[[#This Row],[Quantity]]</calculatedColumnFormula>
    </tableColumn>
    <tableColumn id="11" name="Component Cost(Phillipson)" dataDxfId="130">
      <calculatedColumnFormula>Table2456[[#This Row],[Cost per Unit(Phillipson)]]*Table2456[[#This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247" displayName="Table247" ref="A1:K10" totalsRowShown="0" headerRowDxfId="129" dataDxfId="128" tableBorderDxfId="127">
  <autoFilter ref="A1:K10"/>
  <tableColumns count="11">
    <tableColumn id="1" name="Position of component" dataDxfId="126"/>
    <tableColumn id="2" name="Component Name" dataDxfId="125"/>
    <tableColumn id="3" name="Cost per Unit (OASE)" dataDxfId="124"/>
    <tableColumn id="6" name="Cost per Unit (Rokkas)" dataDxfId="123"/>
    <tableColumn id="8" name="Cost per Unit (BSG)" dataDxfId="122"/>
    <tableColumn id="10" name="Cost per Unit(Phillipson)" dataDxfId="121"/>
    <tableColumn id="4" name="Quantity" dataDxfId="120"/>
    <tableColumn id="5" name="Component Cost" dataDxfId="119">
      <calculatedColumnFormula>Table247[[#This Row],[Cost per Unit (OASE)]]*Table247[[#This Row],[Quantity]]</calculatedColumnFormula>
    </tableColumn>
    <tableColumn id="7" name="Component Cost(Rokkas)" dataDxfId="118">
      <calculatedColumnFormula>Table247[[#This Row],[Cost per Unit (Rokkas)]]*Table247[[#This Row],[Quantity]]</calculatedColumnFormula>
    </tableColumn>
    <tableColumn id="9" name="Component Cost(BSG)" dataDxfId="117">
      <calculatedColumnFormula>Table247[[#This Row],[Cost per Unit (BSG)]]*Table247[[#This Row],[Quantity]]</calculatedColumnFormula>
    </tableColumn>
    <tableColumn id="11" name="Component Cost(Phillipson)" dataDxfId="116">
      <calculatedColumnFormula>Table247[[#This Row],[Cost per Unit(Phillipson)]]*Table247[[#This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29" displayName="Table29" ref="A1:K11" totalsRowShown="0" headerRowDxfId="115" dataDxfId="114" tableBorderDxfId="113">
  <autoFilter ref="A1:K11"/>
  <tableColumns count="11">
    <tableColumn id="1" name="Position of component" dataDxfId="112"/>
    <tableColumn id="2" name="Component Name" dataDxfId="111"/>
    <tableColumn id="3" name="Cost per Unit (OASE)" dataDxfId="110"/>
    <tableColumn id="6" name="Cost per Unit (Rokkas)" dataDxfId="109"/>
    <tableColumn id="8" name="Cost per Unit(BSG)" dataDxfId="108"/>
    <tableColumn id="10" name="Cost per Unit (Phillipson)" dataDxfId="107"/>
    <tableColumn id="4" name="Quantity" dataDxfId="106"/>
    <tableColumn id="5" name="Component Cost" dataDxfId="105">
      <calculatedColumnFormula>Table29[[#This Row],[Cost per Unit (OASE)]]*Table29[[#This Row],[Quantity]]</calculatedColumnFormula>
    </tableColumn>
    <tableColumn id="7" name="Component Cost(Rokkas)" dataDxfId="104">
      <calculatedColumnFormula>D2*G2</calculatedColumnFormula>
    </tableColumn>
    <tableColumn id="9" name="Component Cost(BSG)" dataDxfId="103">
      <calculatedColumnFormula>Table29[[#This Row],[Cost per Unit(BSG)]]*Table29[[#This Row],[Quantity]]</calculatedColumnFormula>
    </tableColumn>
    <tableColumn id="11" name="Component Cost(Phillipson)" dataDxfId="102">
      <calculatedColumnFormula>Table29[[#This Row],[Cost per Unit (Phillipson)]]*Table29[[#This Row],[Quantity]]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2410" displayName="Table2410" ref="A1:K10" totalsRowShown="0" headerRowDxfId="101" dataDxfId="100" tableBorderDxfId="99">
  <autoFilter ref="A1:K10"/>
  <tableColumns count="11">
    <tableColumn id="1" name="Position of component" dataDxfId="98"/>
    <tableColumn id="2" name="Component Name" dataDxfId="97"/>
    <tableColumn id="3" name="Cost per Unit (OASE)" dataDxfId="96"/>
    <tableColumn id="6" name="Cost per Unit (Rokkas)" dataDxfId="95"/>
    <tableColumn id="8" name="Cost per Unit(BSG)" dataDxfId="94"/>
    <tableColumn id="10" name="Cost per Unit(Phillipson)" dataDxfId="93"/>
    <tableColumn id="4" name="Quantity" dataDxfId="92"/>
    <tableColumn id="5" name="Component Cost" dataDxfId="91">
      <calculatedColumnFormula>Table2410[[#This Row],[Cost per Unit (OASE)]]*Table2410[[#This Row],[Quantity]]</calculatedColumnFormula>
    </tableColumn>
    <tableColumn id="7" name="Component Cost(Rokkas)" dataDxfId="90">
      <calculatedColumnFormula>Table2410[[#This Row],[Cost per Unit (Rokkas)]]*Table2410[[#This Row],[Quantity]]</calculatedColumnFormula>
    </tableColumn>
    <tableColumn id="9" name="Component Cost(BSG)" dataDxfId="89">
      <calculatedColumnFormula>Table2410[[#This Row],[Cost per Unit(BSG)]]*Table2410[[#This Row],[Quantity]]</calculatedColumnFormula>
    </tableColumn>
    <tableColumn id="11" name="Component Cost(Phillipson)" dataDxfId="88">
      <calculatedColumnFormula>Table2410[[#This Row],[Cost per Unit(Phillipson)]]*Table2410[[#This Row],[Quantity]]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24511" displayName="Table24511" ref="A1:K10" totalsRowShown="0" headerRowDxfId="87" dataDxfId="86" tableBorderDxfId="85">
  <autoFilter ref="A1:K10"/>
  <tableColumns count="11">
    <tableColumn id="1" name="Position of component" dataDxfId="84"/>
    <tableColumn id="2" name="Component Name" dataDxfId="83"/>
    <tableColumn id="3" name="Cost per Unit (OASE)" dataDxfId="82"/>
    <tableColumn id="6" name="Cost per Unit(Rokkas)" dataDxfId="81"/>
    <tableColumn id="8" name="Cost per Unit(BSG)" dataDxfId="80"/>
    <tableColumn id="10" name="Cost per Unit(Phillipson)" dataDxfId="79"/>
    <tableColumn id="4" name="Quantity" dataDxfId="78"/>
    <tableColumn id="5" name="Component Cost" dataDxfId="77">
      <calculatedColumnFormula>Table24511[[#This Row],[Cost per Unit (OASE)]]*Table24511[[#This Row],[Quantity]]</calculatedColumnFormula>
    </tableColumn>
    <tableColumn id="7" name="Component Cost(Rokkas)" dataDxfId="76">
      <calculatedColumnFormula>Table24511[[#This Row],[Cost per Unit(Rokkas)]]*Table24511[[#This Row],[Quantity]]</calculatedColumnFormula>
    </tableColumn>
    <tableColumn id="9" name="Component Cost(BSG)" dataDxfId="75">
      <calculatedColumnFormula>Table24511[[#This Row],[Cost per Unit(BSG)]]*Table24511[[#This Row],[Quantity]]</calculatedColumnFormula>
    </tableColumn>
    <tableColumn id="11" name="Component Cost(Phillipson)" dataDxfId="74">
      <calculatedColumnFormula>Table24511[[#This Row],[Cost per Unit(Phillipson)]]*Table24511[[#This Row],[Quantity]]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12" displayName="Table212" ref="A1:K10" totalsRowShown="0" headerRowDxfId="73" dataDxfId="72" tableBorderDxfId="71">
  <autoFilter ref="A1:K10"/>
  <tableColumns count="11">
    <tableColumn id="1" name="Position of component" dataDxfId="70"/>
    <tableColumn id="2" name="Component Name" dataDxfId="69"/>
    <tableColumn id="3" name="Cost per Unit (OASE)" dataDxfId="68"/>
    <tableColumn id="6" name="Cost per Unit (Rokkas)" dataDxfId="67"/>
    <tableColumn id="8" name="Cost per Unit (BSG)" dataDxfId="66"/>
    <tableColumn id="10" name="Cost per Unit(Phillipson)" dataDxfId="65"/>
    <tableColumn id="4" name="Quantity" dataDxfId="64"/>
    <tableColumn id="5" name="Component Cost" dataDxfId="63">
      <calculatedColumnFormula>Table212[[#This Row],[Cost per Unit (OASE)]]*Table212[[#This Row],[Quantity]]</calculatedColumnFormula>
    </tableColumn>
    <tableColumn id="7" name="Component Cost(Rokkas)" dataDxfId="62">
      <calculatedColumnFormula>Table212[[#This Row],[Cost per Unit (Rokkas)]]*Table212[[#This Row],[Quantity]]</calculatedColumnFormula>
    </tableColumn>
    <tableColumn id="9" name="Component Cost(BSG)" dataDxfId="61">
      <calculatedColumnFormula>Table212[[#This Row],[Cost per Unit (BSG)]]*Table212[[#This Row],[Quantity]]</calculatedColumnFormula>
    </tableColumn>
    <tableColumn id="11" name="Component Cost(Phillipson)" dataDxfId="60">
      <calculatedColumnFormula>Table212[[#This Row],[Cost per Unit(Phillipson)]]*Table212[[#This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eexplore.ieee.org/xpl/mostRecentIssue.jsp?punumber=734719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activeCell="B20" sqref="B20"/>
    </sheetView>
  </sheetViews>
  <sheetFormatPr defaultRowHeight="15" x14ac:dyDescent="0.25"/>
  <cols>
    <col min="1" max="1" width="35.7109375" customWidth="1"/>
    <col min="2" max="2" width="79" customWidth="1"/>
    <col min="3" max="3" width="36.85546875" customWidth="1"/>
    <col min="4" max="4" width="36.140625" customWidth="1"/>
    <col min="5" max="5" width="40.85546875" customWidth="1"/>
    <col min="6" max="6" width="18" customWidth="1"/>
    <col min="7" max="7" width="19" customWidth="1"/>
    <col min="8" max="8" width="25.42578125" customWidth="1"/>
  </cols>
  <sheetData>
    <row r="1" spans="1:8" ht="14.45" x14ac:dyDescent="0.3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7</v>
      </c>
      <c r="G1" t="s">
        <v>8</v>
      </c>
      <c r="H1" t="s">
        <v>14</v>
      </c>
    </row>
    <row r="2" spans="1:8" ht="14.45" x14ac:dyDescent="0.3">
      <c r="A2" t="s">
        <v>6</v>
      </c>
      <c r="B2" t="s">
        <v>12</v>
      </c>
      <c r="C2" s="1">
        <v>27</v>
      </c>
      <c r="D2" s="2">
        <v>0.3</v>
      </c>
      <c r="E2" t="s">
        <v>11</v>
      </c>
      <c r="F2">
        <v>11000</v>
      </c>
      <c r="G2">
        <v>2500</v>
      </c>
      <c r="H2">
        <v>250</v>
      </c>
    </row>
    <row r="3" spans="1:8" ht="14.45" x14ac:dyDescent="0.3">
      <c r="A3" t="s">
        <v>15</v>
      </c>
      <c r="B3" t="s">
        <v>13</v>
      </c>
      <c r="C3" s="2">
        <v>19.5</v>
      </c>
      <c r="D3" s="2">
        <v>0.3</v>
      </c>
      <c r="E3" t="s">
        <v>11</v>
      </c>
      <c r="F3">
        <v>11000</v>
      </c>
      <c r="G3">
        <v>2500</v>
      </c>
      <c r="H3">
        <v>250</v>
      </c>
    </row>
    <row r="4" spans="1:8" ht="28.9" x14ac:dyDescent="0.3">
      <c r="A4" s="3" t="s">
        <v>17</v>
      </c>
      <c r="B4" t="s">
        <v>16</v>
      </c>
      <c r="C4" t="s">
        <v>11</v>
      </c>
      <c r="D4" t="s">
        <v>11</v>
      </c>
      <c r="E4">
        <f>(15)*1000</f>
        <v>15000</v>
      </c>
      <c r="F4">
        <v>250</v>
      </c>
      <c r="G4">
        <v>0</v>
      </c>
      <c r="H4">
        <f>(15)*1000</f>
        <v>15000</v>
      </c>
    </row>
    <row r="8" spans="1:8" ht="14.45" x14ac:dyDescent="0.3">
      <c r="A8" t="s">
        <v>94</v>
      </c>
    </row>
    <row r="10" spans="1:8" ht="14.45" x14ac:dyDescent="0.3">
      <c r="A10" t="s">
        <v>95</v>
      </c>
      <c r="B10" t="s">
        <v>98</v>
      </c>
      <c r="C10" t="s">
        <v>97</v>
      </c>
      <c r="D10" t="s">
        <v>96</v>
      </c>
      <c r="E10" t="s">
        <v>102</v>
      </c>
    </row>
    <row r="11" spans="1:8" ht="195.75" x14ac:dyDescent="0.25">
      <c r="A11" s="25" t="s">
        <v>100</v>
      </c>
      <c r="B11" t="s">
        <v>99</v>
      </c>
      <c r="C11" t="s">
        <v>103</v>
      </c>
      <c r="D11" s="32">
        <v>42348</v>
      </c>
      <c r="E11" s="26" t="s">
        <v>101</v>
      </c>
    </row>
    <row r="12" spans="1:8" ht="88.9" x14ac:dyDescent="0.3">
      <c r="A12" s="25" t="s">
        <v>104</v>
      </c>
      <c r="B12" t="s">
        <v>105</v>
      </c>
      <c r="C12" t="s">
        <v>106</v>
      </c>
      <c r="D12" s="27">
        <v>41161</v>
      </c>
      <c r="E12" t="s">
        <v>107</v>
      </c>
    </row>
    <row r="13" spans="1:8" ht="130.5" x14ac:dyDescent="0.25">
      <c r="A13" s="25" t="s">
        <v>117</v>
      </c>
      <c r="B13" t="s">
        <v>120</v>
      </c>
      <c r="C13" t="s">
        <v>119</v>
      </c>
      <c r="D13" s="27">
        <v>41589</v>
      </c>
      <c r="E13" t="s">
        <v>118</v>
      </c>
    </row>
  </sheetData>
  <hyperlinks>
    <hyperlink ref="E11" r:id="rId1" display="https://ieeexplore.ieee.org/xpl/mostRecentIssue.jsp?punumber=7347193"/>
  </hyperlinks>
  <pageMargins left="0.7" right="0.7" top="0.75" bottom="0.75" header="0.3" footer="0.3"/>
  <pageSetup paperSize="9" orientation="portrait" verticalDpi="0" r:id="rId2"/>
  <headerFooter>
    <oddFooter>&amp;LUnrestricted</oddFooter>
  </headerFooter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11" sqref="G11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23.85546875" style="24" customWidth="1"/>
    <col min="7" max="7" width="16.5703125" style="13" customWidth="1"/>
    <col min="8" max="16384" width="9.140625" style="13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14</v>
      </c>
      <c r="H2" s="4">
        <f>Table24511[[#This Row],[Cost per Unit (OASE)]]*Table24511[[#This Row],[Quantity]]</f>
        <v>224</v>
      </c>
      <c r="I2" s="12">
        <f>Table24511[[#This Row],[Cost per Unit(Rokkas)]]*Table24511[[#This Row],[Quantity]]</f>
        <v>0</v>
      </c>
      <c r="J2" s="12">
        <f>Table24511[[#This Row],[Cost per Unit(BSG)]]*Table24511[[#This Row],[Quantity]]</f>
        <v>0</v>
      </c>
      <c r="K2" s="35">
        <f>Table24511[[#This Row],[Cost per Unit(Phillipson)]]*Table24511[[#This Row],[Quantity]]</f>
        <v>0</v>
      </c>
    </row>
    <row r="3" spans="1:11" x14ac:dyDescent="0.25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300</v>
      </c>
      <c r="F3" s="4">
        <v>240</v>
      </c>
      <c r="G3" s="4">
        <v>180</v>
      </c>
      <c r="H3" s="4">
        <f>Table24511[[#This Row],[Cost per Unit (OASE)]]*Table24511[[#This Row],[Quantity]]</f>
        <v>3060</v>
      </c>
      <c r="I3" s="12">
        <f>Table24511[[#This Row],[Cost per Unit(Rokkas)]]*Table24511[[#This Row],[Quantity]]</f>
        <v>36000</v>
      </c>
      <c r="J3" s="12">
        <f>Table24511[[#This Row],[Cost per Unit(BSG)]]*Table24511[[#This Row],[Quantity]]</f>
        <v>54000</v>
      </c>
      <c r="K3" s="35">
        <f>Table24511[[#This Row],[Cost per Unit(Phillipson)]]*Table24511[[#This Row],[Quantity]]</f>
        <v>43200</v>
      </c>
    </row>
    <row r="4" spans="1:11" x14ac:dyDescent="0.2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180</v>
      </c>
      <c r="H4" s="4">
        <f>Table24511[[#This Row],[Cost per Unit (OASE)]]*Table24511[[#This Row],[Quantity]]</f>
        <v>11340</v>
      </c>
      <c r="I4" s="12">
        <f>Table24511[[#This Row],[Cost per Unit(Rokkas)]]*Table24511[[#This Row],[Quantity]]</f>
        <v>0</v>
      </c>
      <c r="J4" s="12">
        <f>Table24511[[#This Row],[Cost per Unit(BSG)]]*Table24511[[#This Row],[Quantity]]</f>
        <v>0</v>
      </c>
      <c r="K4" s="35">
        <f>Table24511[[#This Row],[Cost per Unit(Phillipson)]]*Table24511[[#This Row],[Quantity]]</f>
        <v>0</v>
      </c>
    </row>
    <row r="5" spans="1:11" x14ac:dyDescent="0.2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180</v>
      </c>
      <c r="H5" s="4">
        <f>Table24511[[#This Row],[Cost per Unit (OASE)]]*Table24511[[#This Row],[Quantity]]</f>
        <v>413.99999999999994</v>
      </c>
      <c r="I5" s="12">
        <f>Table24511[[#This Row],[Cost per Unit(Rokkas)]]*Table24511[[#This Row],[Quantity]]</f>
        <v>0</v>
      </c>
      <c r="J5" s="12">
        <f>Table24511[[#This Row],[Cost per Unit(BSG)]]*Table24511[[#This Row],[Quantity]]</f>
        <v>0</v>
      </c>
      <c r="K5" s="35">
        <f>Table24511[[#This Row],[Cost per Unit(Phillipson)]]*Table24511[[#This Row],[Quantity]]</f>
        <v>0</v>
      </c>
    </row>
    <row r="6" spans="1:11" x14ac:dyDescent="0.2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4600</v>
      </c>
      <c r="H6" s="4">
        <f>Table24511[[#This Row],[Cost per Unit (OASE)]]*Table24511[[#This Row],[Quantity]]</f>
        <v>102.22222222222223</v>
      </c>
      <c r="I6" s="12">
        <f>Table24511[[#This Row],[Cost per Unit(Rokkas)]]*Table24511[[#This Row],[Quantity]]</f>
        <v>0</v>
      </c>
      <c r="J6" s="12">
        <f>Table24511[[#This Row],[Cost per Unit(BSG)]]*Table24511[[#This Row],[Quantity]]</f>
        <v>0</v>
      </c>
      <c r="K6" s="35">
        <f>Table24511[[#This Row],[Cost per Unit(Phillipson)]]*Table24511[[#This Row],[Quantity]]</f>
        <v>0</v>
      </c>
    </row>
    <row r="7" spans="1:11" x14ac:dyDescent="0.25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2</v>
      </c>
      <c r="H7" s="4">
        <f>Table24511[[#This Row],[Cost per Unit (OASE)]]*Table24511[[#This Row],[Quantity]]</f>
        <v>800</v>
      </c>
      <c r="I7" s="12">
        <f>Table24511[[#This Row],[Cost per Unit(Rokkas)]]*Table24511[[#This Row],[Quantity]]</f>
        <v>6000</v>
      </c>
      <c r="J7" s="12">
        <f>Table24511[[#This Row],[Cost per Unit(BSG)]]*Table24511[[#This Row],[Quantity]]</f>
        <v>400</v>
      </c>
      <c r="K7" s="35">
        <f>Table24511[[#This Row],[Cost per Unit(Phillipson)]]*Table24511[[#This Row],[Quantity]]</f>
        <v>0</v>
      </c>
    </row>
    <row r="8" spans="1:11" x14ac:dyDescent="0.2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20</v>
      </c>
      <c r="G8" s="4">
        <v>180</v>
      </c>
      <c r="H8" s="4">
        <f>Table24511[[#This Row],[Cost per Unit (OASE)]]*Table24511[[#This Row],[Quantity]]</f>
        <v>4320</v>
      </c>
      <c r="I8" s="12">
        <f>Table24511[[#This Row],[Cost per Unit(Rokkas)]]*Table24511[[#This Row],[Quantity]]</f>
        <v>720</v>
      </c>
      <c r="J8" s="12">
        <f>Table24511[[#This Row],[Cost per Unit(BSG)]]*Table24511[[#This Row],[Quantity]]</f>
        <v>360</v>
      </c>
      <c r="K8" s="35">
        <f>Table24511[[#This Row],[Cost per Unit(Phillipson)]]*Table24511[[#This Row],[Quantity]]</f>
        <v>3600</v>
      </c>
    </row>
    <row r="9" spans="1:11" x14ac:dyDescent="0.25">
      <c r="A9" s="6" t="s">
        <v>32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16000</v>
      </c>
      <c r="H9" s="4">
        <f>Table24511[[#This Row],[Cost per Unit (OASE)]]*Table24511[[#This Row],[Quantity]]</f>
        <v>160000</v>
      </c>
      <c r="I9" s="12">
        <f>Table24511[[#This Row],[Cost per Unit(Rokkas)]]*Table24511[[#This Row],[Quantity]]</f>
        <v>160000</v>
      </c>
      <c r="J9" s="12">
        <f>Table24511[[#This Row],[Cost per Unit(BSG)]]*Table24511[[#This Row],[Quantity]]</f>
        <v>384000</v>
      </c>
      <c r="K9" s="35">
        <f>Table24511[[#This Row],[Cost per Unit(Phillipson)]]*Table24511[[#This Row],[Quantity]]</f>
        <v>160000</v>
      </c>
    </row>
    <row r="10" spans="1:11" x14ac:dyDescent="0.25">
      <c r="A10" s="6" t="s">
        <v>32</v>
      </c>
      <c r="B10" s="6" t="s">
        <v>40</v>
      </c>
      <c r="C10" s="4">
        <v>2.2999999999999998</v>
      </c>
      <c r="D10" s="4">
        <f>250/50</f>
        <v>5</v>
      </c>
      <c r="E10" s="4">
        <f>135/50</f>
        <v>2.7</v>
      </c>
      <c r="F10" s="4">
        <v>5</v>
      </c>
      <c r="G10" s="4">
        <v>16000</v>
      </c>
      <c r="H10" s="4">
        <f>Table24511[[#This Row],[Cost per Unit (OASE)]]*Table24511[[#This Row],[Quantity]]</f>
        <v>36800</v>
      </c>
      <c r="I10" s="12">
        <f>Table24511[[#This Row],[Cost per Unit(Rokkas)]]*Table24511[[#This Row],[Quantity]]</f>
        <v>80000</v>
      </c>
      <c r="J10" s="12">
        <f>Table24511[[#This Row],[Cost per Unit(BSG)]]*Table24511[[#This Row],[Quantity]]</f>
        <v>43200</v>
      </c>
      <c r="K10" s="35">
        <f>Table24511[[#This Row],[Cost per Unit(Phillipson)]]*Table24511[[#This Row],[Quantity]]</f>
        <v>80000</v>
      </c>
    </row>
    <row r="13" spans="1:11" ht="14.45" x14ac:dyDescent="0.3">
      <c r="A13" s="13" t="s">
        <v>84</v>
      </c>
      <c r="B13" s="13" t="s">
        <v>35</v>
      </c>
      <c r="C13" s="13" t="s">
        <v>36</v>
      </c>
      <c r="D13" s="13" t="s">
        <v>37</v>
      </c>
      <c r="E13" s="13" t="s">
        <v>34</v>
      </c>
    </row>
    <row r="14" spans="1:11" thickBot="1" x14ac:dyDescent="0.35">
      <c r="A14" s="13" t="s">
        <v>85</v>
      </c>
      <c r="B14" s="14">
        <f>SUM(H2:H7)</f>
        <v>15940.222222222223</v>
      </c>
      <c r="C14" s="14">
        <f>SUM(H8:H8)</f>
        <v>4320</v>
      </c>
      <c r="D14" s="10">
        <f>SUM(H9:H10)</f>
        <v>196800</v>
      </c>
      <c r="E14" s="5">
        <f>SUM(B14:D14)</f>
        <v>217060.22222222222</v>
      </c>
      <c r="F14" s="5"/>
    </row>
    <row r="15" spans="1:11" ht="15.6" thickTop="1" thickBot="1" x14ac:dyDescent="0.35">
      <c r="A15" s="13" t="s">
        <v>86</v>
      </c>
      <c r="B15" s="13">
        <f>SUM(I2:I7)</f>
        <v>42000</v>
      </c>
      <c r="C15" s="13">
        <f>SUM(I8)</f>
        <v>720</v>
      </c>
      <c r="D15" s="13">
        <f>SUM(I9:I10)</f>
        <v>240000</v>
      </c>
      <c r="E15" s="5">
        <f>SUM(B15:D15)</f>
        <v>282720</v>
      </c>
      <c r="F15" s="5"/>
    </row>
    <row r="16" spans="1:11" ht="15.6" thickTop="1" thickBot="1" x14ac:dyDescent="0.35">
      <c r="A16" s="13" t="s">
        <v>110</v>
      </c>
      <c r="B16" s="13">
        <f>SUM(J2:J7)</f>
        <v>54400</v>
      </c>
      <c r="C16" s="13">
        <f>SUM(J8)</f>
        <v>360</v>
      </c>
      <c r="D16" s="13">
        <f>SUM(J9:J10)</f>
        <v>427200</v>
      </c>
      <c r="E16" s="5">
        <f>SUM(B16:D16)</f>
        <v>481960</v>
      </c>
      <c r="F16" s="5"/>
    </row>
    <row r="17" spans="1:5" ht="15.6" thickTop="1" thickBot="1" x14ac:dyDescent="0.35">
      <c r="A17" s="13" t="s">
        <v>6</v>
      </c>
      <c r="B17" s="24">
        <f>SUM(K2:K7)</f>
        <v>43200</v>
      </c>
      <c r="C17" s="24">
        <f>SUM(K8)</f>
        <v>3600</v>
      </c>
      <c r="D17" s="24">
        <f>SUM(K9:K10)</f>
        <v>240000</v>
      </c>
      <c r="E17" s="5">
        <f>SUM(B17:D17)</f>
        <v>286800</v>
      </c>
    </row>
    <row r="18" spans="1: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10" sqref="G10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23</v>
      </c>
      <c r="C2" s="4">
        <v>80</v>
      </c>
      <c r="D2" s="4">
        <v>140</v>
      </c>
      <c r="E2" s="4">
        <v>288</v>
      </c>
      <c r="F2" s="4">
        <v>50</v>
      </c>
      <c r="G2" s="4">
        <v>55</v>
      </c>
      <c r="H2" s="4">
        <f>Table212[[#This Row],[Cost per Unit (OASE)]]*Table212[[#This Row],[Quantity]]</f>
        <v>4400</v>
      </c>
      <c r="I2" s="12">
        <f>Table212[[#This Row],[Cost per Unit (Rokkas)]]*Table212[[#This Row],[Quantity]]</f>
        <v>7700</v>
      </c>
      <c r="J2" s="12">
        <f>Table212[[#This Row],[Cost per Unit (BSG)]]*Table212[[#This Row],[Quantity]]</f>
        <v>15840</v>
      </c>
      <c r="K2" s="35">
        <f>Table212[[#This Row],[Cost per Unit(Phillipson)]]*Table212[[#This Row],[Quantity]]</f>
        <v>2750</v>
      </c>
    </row>
    <row r="3" spans="1:11" x14ac:dyDescent="0.25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11</v>
      </c>
      <c r="H3" s="4">
        <f>Table212[[#This Row],[Cost per Unit (OASE)]]*Table212[[#This Row],[Quantity]]</f>
        <v>440</v>
      </c>
      <c r="I3" s="12">
        <f>Table212[[#This Row],[Cost per Unit (Rokkas)]]*Table212[[#This Row],[Quantity]]</f>
        <v>44</v>
      </c>
      <c r="J3" s="12">
        <f>Table212[[#This Row],[Cost per Unit (BSG)]]*Table212[[#This Row],[Quantity]]</f>
        <v>0</v>
      </c>
      <c r="K3" s="35">
        <f>Table212[[#This Row],[Cost per Unit(Phillipson)]]*Table212[[#This Row],[Quantity]]</f>
        <v>0</v>
      </c>
    </row>
    <row r="4" spans="1:11" x14ac:dyDescent="0.2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1200</v>
      </c>
      <c r="H4" s="4">
        <f>Table212[[#This Row],[Cost per Unit (OASE)]]*Table212[[#This Row],[Quantity]]</f>
        <v>120</v>
      </c>
      <c r="I4" s="12">
        <f>Table212[[#This Row],[Cost per Unit (Rokkas)]]*Table212[[#This Row],[Quantity]]</f>
        <v>0</v>
      </c>
      <c r="J4" s="12">
        <f>Table212[[#This Row],[Cost per Unit (BSG)]]*Table212[[#This Row],[Quantity]]</f>
        <v>0</v>
      </c>
      <c r="K4" s="35">
        <f>Table212[[#This Row],[Cost per Unit(Phillipson)]]*Table212[[#This Row],[Quantity]]</f>
        <v>0</v>
      </c>
    </row>
    <row r="5" spans="1:11" x14ac:dyDescent="0.25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Table212[[#This Row],[Cost per Unit (OASE)]]*Table212[[#This Row],[Quantity]]</f>
        <v>400</v>
      </c>
      <c r="I5" s="12">
        <f>Table212[[#This Row],[Cost per Unit (Rokkas)]]*Table212[[#This Row],[Quantity]]</f>
        <v>3000</v>
      </c>
      <c r="J5" s="12">
        <f>Table212[[#This Row],[Cost per Unit (BSG)]]*Table212[[#This Row],[Quantity]]</f>
        <v>200</v>
      </c>
      <c r="K5" s="35">
        <f>Table212[[#This Row],[Cost per Unit(Phillipson)]]*Table212[[#This Row],[Quantity]]</f>
        <v>0</v>
      </c>
    </row>
    <row r="6" spans="1:11" x14ac:dyDescent="0.2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31</v>
      </c>
      <c r="H6" s="4">
        <f>Table212[[#This Row],[Cost per Unit (OASE)]]*Table212[[#This Row],[Quantity]]</f>
        <v>744</v>
      </c>
      <c r="I6" s="12">
        <f>Table212[[#This Row],[Cost per Unit (Rokkas)]]*Table212[[#This Row],[Quantity]]</f>
        <v>124</v>
      </c>
      <c r="J6" s="12">
        <f>Table212[[#This Row],[Cost per Unit (BSG)]]*Table212[[#This Row],[Quantity]]</f>
        <v>43.4</v>
      </c>
      <c r="K6" s="35">
        <f>Table212[[#This Row],[Cost per Unit(Phillipson)]]*Table212[[#This Row],[Quantity]]</f>
        <v>0</v>
      </c>
    </row>
    <row r="7" spans="1:11" x14ac:dyDescent="0.25">
      <c r="A7" s="6" t="s">
        <v>30</v>
      </c>
      <c r="B7" s="6" t="s">
        <v>115</v>
      </c>
      <c r="C7" s="24">
        <v>112</v>
      </c>
      <c r="D7" s="24">
        <f>10+15000/50</f>
        <v>310</v>
      </c>
      <c r="E7" s="24">
        <v>294</v>
      </c>
      <c r="F7" s="24">
        <v>220</v>
      </c>
      <c r="G7" s="4">
        <v>500</v>
      </c>
      <c r="H7" s="4">
        <f>Table212[[#This Row],[Cost per Unit (OASE)]]*Table212[[#This Row],[Quantity]]</f>
        <v>56000</v>
      </c>
      <c r="I7" s="12">
        <f>Table212[[#This Row],[Cost per Unit (Rokkas)]]*Table212[[#This Row],[Quantity]]</f>
        <v>155000</v>
      </c>
      <c r="J7" s="12">
        <f>Table212[[#This Row],[Cost per Unit (BSG)]]*Table212[[#This Row],[Quantity]]</f>
        <v>147000</v>
      </c>
      <c r="K7" s="35">
        <f>Table212[[#This Row],[Cost per Unit(Phillipson)]]*Table212[[#This Row],[Quantity]]</f>
        <v>110000</v>
      </c>
    </row>
    <row r="8" spans="1:11" x14ac:dyDescent="0.25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1500</v>
      </c>
      <c r="H8" s="4">
        <f>Table212[[#This Row],[Cost per Unit (OASE)]]*Table212[[#This Row],[Quantity]]</f>
        <v>4650</v>
      </c>
      <c r="I8" s="12">
        <f>Table212[[#This Row],[Cost per Unit (Rokkas)]]*Table212[[#This Row],[Quantity]]</f>
        <v>7500</v>
      </c>
      <c r="J8" s="12">
        <f>Table212[[#This Row],[Cost per Unit (BSG)]]*Table212[[#This Row],[Quantity]]</f>
        <v>4500</v>
      </c>
      <c r="K8" s="35">
        <f>Table212[[#This Row],[Cost per Unit(Phillipson)]]*Table212[[#This Row],[Quantity]]</f>
        <v>7500</v>
      </c>
    </row>
    <row r="9" spans="1:11" x14ac:dyDescent="0.25">
      <c r="A9" s="6" t="s">
        <v>30</v>
      </c>
      <c r="B9" s="6" t="s">
        <v>76</v>
      </c>
      <c r="C9" s="4">
        <v>12</v>
      </c>
      <c r="D9" s="4">
        <v>100</v>
      </c>
      <c r="E9" s="4">
        <v>24</v>
      </c>
      <c r="F9" s="4">
        <v>10</v>
      </c>
      <c r="G9" s="4">
        <v>1500</v>
      </c>
      <c r="H9" s="4">
        <f>Table212[[#This Row],[Cost per Unit (OASE)]]*Table212[[#This Row],[Quantity]]</f>
        <v>18000</v>
      </c>
      <c r="I9" s="12">
        <f>Table212[[#This Row],[Cost per Unit (Rokkas)]]*Table212[[#This Row],[Quantity]]</f>
        <v>150000</v>
      </c>
      <c r="J9" s="12">
        <f>Table212[[#This Row],[Cost per Unit (BSG)]]*Table212[[#This Row],[Quantity]]</f>
        <v>36000</v>
      </c>
      <c r="K9" s="35">
        <f>Table212[[#This Row],[Cost per Unit(Phillipson)]]*Table212[[#This Row],[Quantity]]</f>
        <v>15000</v>
      </c>
    </row>
    <row r="10" spans="1:11" x14ac:dyDescent="0.25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Table212[[#This Row],[Cost per Unit (OASE)]]*Table212[[#This Row],[Quantity]]</f>
        <v>0</v>
      </c>
      <c r="I10" s="12">
        <f>Table212[[#This Row],[Cost per Unit (Rokkas)]]*Table212[[#This Row],[Quantity]]</f>
        <v>0</v>
      </c>
      <c r="J10" s="12">
        <f>Table212[[#This Row],[Cost per Unit (BSG)]]*Table212[[#This Row],[Quantity]]</f>
        <v>0</v>
      </c>
      <c r="K10" s="35">
        <f>Table212[[#This Row],[Cost per Unit(Phillipson)]]*Table212[[#This Row],[Quantity]]</f>
        <v>0</v>
      </c>
    </row>
    <row r="15" spans="1:11" ht="14.45" x14ac:dyDescent="0.3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  <c r="G15" s="21"/>
    </row>
    <row r="16" spans="1:11" thickBot="1" x14ac:dyDescent="0.35">
      <c r="A16" s="19" t="s">
        <v>85</v>
      </c>
      <c r="B16" s="20">
        <f>SUM(H2:H5)</f>
        <v>5360</v>
      </c>
      <c r="C16" s="20">
        <f>SUM(H6:H9)</f>
        <v>79394</v>
      </c>
      <c r="D16" s="10">
        <f>SUM(H10)</f>
        <v>0</v>
      </c>
      <c r="E16" s="5">
        <f>SUM(B16:D16)</f>
        <v>84754</v>
      </c>
      <c r="F16" s="5"/>
      <c r="G16" s="10"/>
    </row>
    <row r="17" spans="1:6" ht="15.6" thickTop="1" thickBot="1" x14ac:dyDescent="0.35">
      <c r="A17" s="19" t="s">
        <v>86</v>
      </c>
      <c r="B17" s="19">
        <f>SUM(I2:I5)</f>
        <v>10744</v>
      </c>
      <c r="C17" s="19">
        <f>SUM(I6:I9)</f>
        <v>312624</v>
      </c>
      <c r="D17" s="21">
        <v>0</v>
      </c>
      <c r="E17" s="5">
        <f>SUM(B17:D17)</f>
        <v>323368</v>
      </c>
      <c r="F17" s="5"/>
    </row>
    <row r="18" spans="1:6" ht="15.6" thickTop="1" thickBot="1" x14ac:dyDescent="0.35">
      <c r="A18" s="19" t="s">
        <v>110</v>
      </c>
      <c r="B18" s="19">
        <f>SUM(J2:J5)</f>
        <v>16040</v>
      </c>
      <c r="C18" s="19">
        <f>SUM(J6:J9)</f>
        <v>187543.4</v>
      </c>
      <c r="D18" s="21">
        <v>0</v>
      </c>
      <c r="E18" s="5">
        <f>SUM(B18:D18)</f>
        <v>203583.4</v>
      </c>
      <c r="F18" s="5"/>
    </row>
    <row r="19" spans="1:6" ht="15.6" thickTop="1" thickBot="1" x14ac:dyDescent="0.35">
      <c r="A19" s="19" t="s">
        <v>6</v>
      </c>
      <c r="B19" s="24">
        <f>SUM(K2:K5)</f>
        <v>2750</v>
      </c>
      <c r="C19" s="24">
        <f>SUM(K6:K9)</f>
        <v>132500</v>
      </c>
      <c r="D19" s="24">
        <v>0</v>
      </c>
      <c r="E19" s="5">
        <f>SUM(B19:D19)</f>
        <v>135250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2" sqref="G2:G9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125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140</v>
      </c>
      <c r="H2" s="4">
        <f>Table21213[[#This Row],[Cost per Unit (OASE)]]*Table21213[[#This Row],[Quantity]]</f>
        <v>11200</v>
      </c>
      <c r="I2" s="12">
        <f>Table21213[[#This Row],[Cost per Unit (Rokkas)]]*Table21213[[#This Row],[Quantity]]</f>
        <v>28000</v>
      </c>
      <c r="J2" s="12">
        <f>Table21213[[#This Row],[Cost per Unit(BSG)]]*Table21213[[#This Row],[Quantity]]</f>
        <v>42000</v>
      </c>
      <c r="K2" s="35">
        <f>Table21213[[#This Row],[Cost per uNit(Phillipson)]]*Table21213[[#This Row],[Quantity]]</f>
        <v>7700</v>
      </c>
    </row>
    <row r="3" spans="1:11" x14ac:dyDescent="0.25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12</v>
      </c>
      <c r="H3" s="4">
        <f>Table21213[[#This Row],[Cost per Unit (OASE)]]*Table21213[[#This Row],[Quantity]]</f>
        <v>480</v>
      </c>
      <c r="I3" s="12">
        <f>Table21213[[#This Row],[Cost per Unit (Rokkas)]]*Table21213[[#This Row],[Quantity]]</f>
        <v>48</v>
      </c>
      <c r="J3" s="12">
        <f>Table21213[[#This Row],[Cost per Unit(BSG)]]*Table21213[[#This Row],[Quantity]]</f>
        <v>0</v>
      </c>
      <c r="K3" s="35">
        <f>Table21213[[#This Row],[Cost per uNit(Phillipson)]]*Table21213[[#This Row],[Quantity]]</f>
        <v>0</v>
      </c>
    </row>
    <row r="4" spans="1:11" x14ac:dyDescent="0.2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3000</v>
      </c>
      <c r="H4" s="4">
        <f>Table21213[[#This Row],[Cost per Unit (OASE)]]*Table21213[[#This Row],[Quantity]]</f>
        <v>300</v>
      </c>
      <c r="I4" s="12">
        <f>Table21213[[#This Row],[Cost per Unit (Rokkas)]]*Table21213[[#This Row],[Quantity]]</f>
        <v>0</v>
      </c>
      <c r="J4" s="12">
        <f>Table21213[[#This Row],[Cost per Unit(BSG)]]*Table21213[[#This Row],[Quantity]]</f>
        <v>0</v>
      </c>
      <c r="K4" s="35">
        <f>Table21213[[#This Row],[Cost per uNit(Phillipson)]]*Table21213[[#This Row],[Quantity]]</f>
        <v>0</v>
      </c>
    </row>
    <row r="5" spans="1:11" x14ac:dyDescent="0.25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Table21213[[#This Row],[Cost per Unit (OASE)]]*Table21213[[#This Row],[Quantity]]</f>
        <v>400</v>
      </c>
      <c r="I5" s="12">
        <f>Table21213[[#This Row],[Cost per Unit (Rokkas)]]*Table21213[[#This Row],[Quantity]]</f>
        <v>3000</v>
      </c>
      <c r="J5" s="12">
        <f>Table21213[[#This Row],[Cost per Unit(BSG)]]*Table21213[[#This Row],[Quantity]]</f>
        <v>0</v>
      </c>
      <c r="K5" s="35">
        <f>Table21213[[#This Row],[Cost per uNit(Phillipson)]]*Table21213[[#This Row],[Quantity]]</f>
        <v>0</v>
      </c>
    </row>
    <row r="6" spans="1:11" x14ac:dyDescent="0.2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31</v>
      </c>
      <c r="H6" s="4">
        <f>Table21213[[#This Row],[Cost per Unit (OASE)]]*Table21213[[#This Row],[Quantity]]</f>
        <v>744</v>
      </c>
      <c r="I6" s="12">
        <f>Table21213[[#This Row],[Cost per Unit (Rokkas)]]*Table21213[[#This Row],[Quantity]]</f>
        <v>124</v>
      </c>
      <c r="J6" s="12">
        <f>Table21213[[#This Row],[Cost per Unit(BSG)]]*Table21213[[#This Row],[Quantity]]</f>
        <v>43.4</v>
      </c>
      <c r="K6" s="35">
        <f>Table21213[[#This Row],[Cost per uNit(Phillipson)]]*Table21213[[#This Row],[Quantity]]</f>
        <v>0</v>
      </c>
    </row>
    <row r="7" spans="1:11" x14ac:dyDescent="0.25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220</v>
      </c>
      <c r="G7" s="4">
        <v>500</v>
      </c>
      <c r="H7" s="4">
        <f>Table21213[[#This Row],[Cost per Unit (OASE)]]*Table21213[[#This Row],[Quantity]]</f>
        <v>450</v>
      </c>
      <c r="I7" s="12">
        <f>Table21213[[#This Row],[Cost per Unit (Rokkas)]]*Table21213[[#This Row],[Quantity]]</f>
        <v>5000</v>
      </c>
      <c r="J7" s="12">
        <f>Table21213[[#This Row],[Cost per Unit(BSG)]]*Table21213[[#This Row],[Quantity]]</f>
        <v>700</v>
      </c>
      <c r="K7" s="35">
        <f>Table21213[[#This Row],[Cost per uNit(Phillipson)]]*Table21213[[#This Row],[Quantity]]</f>
        <v>110000</v>
      </c>
    </row>
    <row r="8" spans="1:11" x14ac:dyDescent="0.25">
      <c r="A8" s="6" t="s">
        <v>77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8000</v>
      </c>
      <c r="H8" s="4">
        <f>Table21213[[#This Row],[Cost per Unit (OASE)]]*Table21213[[#This Row],[Quantity]]</f>
        <v>24800</v>
      </c>
      <c r="I8" s="12">
        <f>Table21213[[#This Row],[Cost per Unit (Rokkas)]]*Table21213[[#This Row],[Quantity]]</f>
        <v>40000</v>
      </c>
      <c r="J8" s="12">
        <f>Table21213[[#This Row],[Cost per Unit(BSG)]]*Table21213[[#This Row],[Quantity]]</f>
        <v>24000</v>
      </c>
      <c r="K8" s="35">
        <f>Table21213[[#This Row],[Cost per uNit(Phillipson)]]*Table21213[[#This Row],[Quantity]]</f>
        <v>40000</v>
      </c>
    </row>
    <row r="9" spans="1:11" x14ac:dyDescent="0.25">
      <c r="A9" s="6" t="s">
        <v>77</v>
      </c>
      <c r="B9" s="6" t="s">
        <v>65</v>
      </c>
      <c r="C9" s="4">
        <v>8</v>
      </c>
      <c r="D9" s="4">
        <v>10</v>
      </c>
      <c r="E9" s="4">
        <v>24</v>
      </c>
      <c r="F9" s="4">
        <v>0</v>
      </c>
      <c r="G9" s="4">
        <v>8000</v>
      </c>
      <c r="H9" s="4">
        <f>Table21213[[#This Row],[Cost per Unit (OASE)]]*Table21213[[#This Row],[Quantity]]</f>
        <v>64000</v>
      </c>
      <c r="I9" s="12">
        <f>Table21213[[#This Row],[Cost per Unit (Rokkas)]]*Table21213[[#This Row],[Quantity]]</f>
        <v>80000</v>
      </c>
      <c r="J9" s="12">
        <f>Table21213[[#This Row],[Cost per Unit(BSG)]]*Table21213[[#This Row],[Quantity]]</f>
        <v>192000</v>
      </c>
      <c r="K9" s="35">
        <f>Table21213[[#This Row],[Cost per uNit(Phillipson)]]*Table21213[[#This Row],[Quantity]]</f>
        <v>0</v>
      </c>
    </row>
    <row r="14" spans="1:11" ht="14.45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thickBot="1" x14ac:dyDescent="0.35">
      <c r="A15" s="19" t="s">
        <v>85</v>
      </c>
      <c r="B15" s="20">
        <f>SUM(H2:H5)</f>
        <v>12380</v>
      </c>
      <c r="C15" s="20">
        <f>SUM(H6:H7)</f>
        <v>1194</v>
      </c>
      <c r="D15" s="10">
        <f>SUM(H8:H9)</f>
        <v>88800</v>
      </c>
      <c r="E15" s="5">
        <f>SUM(B15:D15)</f>
        <v>102374</v>
      </c>
      <c r="F15" s="5"/>
      <c r="G15" s="10"/>
    </row>
    <row r="16" spans="1:11" ht="15.6" thickTop="1" thickBot="1" x14ac:dyDescent="0.35">
      <c r="A16" s="19" t="s">
        <v>86</v>
      </c>
      <c r="B16" s="19">
        <f>SUM(I2:I5)</f>
        <v>31048</v>
      </c>
      <c r="C16" s="19">
        <f>SUM(I6:I7)</f>
        <v>5124</v>
      </c>
      <c r="D16" s="21">
        <f>SUM(I8:I9)</f>
        <v>120000</v>
      </c>
      <c r="E16" s="5">
        <f t="shared" ref="E16:E18" si="0">SUM(B16:D16)</f>
        <v>156172</v>
      </c>
      <c r="F16" s="5"/>
    </row>
    <row r="17" spans="1:6" ht="15.6" thickTop="1" thickBot="1" x14ac:dyDescent="0.35">
      <c r="A17" s="19" t="s">
        <v>110</v>
      </c>
      <c r="B17" s="19">
        <f>SUM(J2:J5)</f>
        <v>42000</v>
      </c>
      <c r="C17" s="19">
        <f>SUM(J6:J7)</f>
        <v>743.4</v>
      </c>
      <c r="D17" s="21">
        <f>SUM(J8:J9)</f>
        <v>216000</v>
      </c>
      <c r="E17" s="5">
        <f t="shared" si="0"/>
        <v>258743.4</v>
      </c>
      <c r="F17" s="5"/>
    </row>
    <row r="18" spans="1:6" ht="15.6" thickTop="1" thickBot="1" x14ac:dyDescent="0.35">
      <c r="A18" s="19" t="s">
        <v>6</v>
      </c>
      <c r="B18" s="24">
        <f>SUM(K2:K5)</f>
        <v>7700</v>
      </c>
      <c r="C18" s="24">
        <f>SUM(K6:K7)</f>
        <v>110000</v>
      </c>
      <c r="D18" s="24">
        <f>SUM(K8:K9)</f>
        <v>40000</v>
      </c>
      <c r="E18" s="5">
        <f t="shared" si="0"/>
        <v>157700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9" sqref="G9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280</v>
      </c>
      <c r="H2" s="4">
        <f>Table2121314[[#This Row],[Cost per Unit (OASE)]]*Table2121314[[#This Row],[Quantity]]</f>
        <v>22400</v>
      </c>
      <c r="I2" s="12">
        <f>Table2121314[[#This Row],[Cost per Unit (Rokkas)]]*Table2121314[[#This Row],[Quantity]]</f>
        <v>56000</v>
      </c>
      <c r="J2" s="12">
        <f>Table2121314[[#This Row],[Cost per Unit(BSG)]]*Table2121314[[#This Row],[Quantity]]</f>
        <v>84000</v>
      </c>
      <c r="K2" s="35">
        <f>Table2121314[[#This Row],[Cost per Unit(Phillipson)]]*Table2121314[[#This Row],[Quantity]]</f>
        <v>15400</v>
      </c>
    </row>
    <row r="3" spans="1:11" x14ac:dyDescent="0.25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25</v>
      </c>
      <c r="H3" s="4">
        <f>Table2121314[[#This Row],[Cost per Unit (OASE)]]*Table2121314[[#This Row],[Quantity]]</f>
        <v>1000</v>
      </c>
      <c r="I3" s="12">
        <f>Table2121314[[#This Row],[Cost per Unit (Rokkas)]]*Table2121314[[#This Row],[Quantity]]</f>
        <v>100</v>
      </c>
      <c r="J3" s="12">
        <f>Table2121314[[#This Row],[Cost per Unit(BSG)]]*Table2121314[[#This Row],[Quantity]]</f>
        <v>0</v>
      </c>
      <c r="K3" s="35">
        <f>Table2121314[[#This Row],[Cost per Unit(Phillipson)]]*Table2121314[[#This Row],[Quantity]]</f>
        <v>0</v>
      </c>
    </row>
    <row r="4" spans="1:11" x14ac:dyDescent="0.2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6000</v>
      </c>
      <c r="H4" s="4">
        <f>Table2121314[[#This Row],[Cost per Unit (OASE)]]*Table2121314[[#This Row],[Quantity]]</f>
        <v>600</v>
      </c>
      <c r="I4" s="12">
        <f>Table2121314[[#This Row],[Cost per Unit (Rokkas)]]*Table2121314[[#This Row],[Quantity]]</f>
        <v>0</v>
      </c>
      <c r="J4" s="12">
        <f>Table2121314[[#This Row],[Cost per Unit(BSG)]]*Table2121314[[#This Row],[Quantity]]</f>
        <v>0</v>
      </c>
      <c r="K4" s="35">
        <f>Table2121314[[#This Row],[Cost per Unit(Phillipson)]]*Table2121314[[#This Row],[Quantity]]</f>
        <v>0</v>
      </c>
    </row>
    <row r="5" spans="1:11" x14ac:dyDescent="0.25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Table2121314[[#This Row],[Cost per Unit (OASE)]]*Table2121314[[#This Row],[Quantity]]</f>
        <v>400</v>
      </c>
      <c r="I5" s="12">
        <f>Table2121314[[#This Row],[Cost per Unit (Rokkas)]]*Table2121314[[#This Row],[Quantity]]</f>
        <v>3000</v>
      </c>
      <c r="J5" s="12">
        <f>Table2121314[[#This Row],[Cost per Unit(BSG)]]*Table2121314[[#This Row],[Quantity]]</f>
        <v>0</v>
      </c>
      <c r="K5" s="35">
        <f>Table2121314[[#This Row],[Cost per Unit(Phillipson)]]*Table2121314[[#This Row],[Quantity]]</f>
        <v>0</v>
      </c>
    </row>
    <row r="6" spans="1:11" x14ac:dyDescent="0.2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70</v>
      </c>
      <c r="H6" s="4">
        <f>Table2121314[[#This Row],[Cost per Unit (OASE)]]*Table2121314[[#This Row],[Quantity]]</f>
        <v>1680</v>
      </c>
      <c r="I6" s="12">
        <f>Table2121314[[#This Row],[Cost per Unit (Rokkas)]]*Table2121314[[#This Row],[Quantity]]</f>
        <v>280</v>
      </c>
      <c r="J6" s="12">
        <f>Table2121314[[#This Row],[Cost per Unit(BSG)]]*Table2121314[[#This Row],[Quantity]]</f>
        <v>98</v>
      </c>
      <c r="K6" s="35">
        <f>Table2121314[[#This Row],[Cost per Unit(Phillipson)]]*Table2121314[[#This Row],[Quantity]]</f>
        <v>0</v>
      </c>
    </row>
    <row r="7" spans="1:11" x14ac:dyDescent="0.25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1000</v>
      </c>
      <c r="H7" s="4">
        <f>Table2121314[[#This Row],[Cost per Unit (OASE)]]*Table2121314[[#This Row],[Quantity]]</f>
        <v>900</v>
      </c>
      <c r="I7" s="12">
        <f>Table2121314[[#This Row],[Cost per Unit (Rokkas)]]*Table2121314[[#This Row],[Quantity]]</f>
        <v>10000</v>
      </c>
      <c r="J7" s="12">
        <f>Table2121314[[#This Row],[Cost per Unit(BSG)]]*Table2121314[[#This Row],[Quantity]]</f>
        <v>1400</v>
      </c>
      <c r="K7" s="35">
        <f>Table2121314[[#This Row],[Cost per Unit(Phillipson)]]*Table2121314[[#This Row],[Quantity]]</f>
        <v>10000</v>
      </c>
    </row>
    <row r="8" spans="1:11" x14ac:dyDescent="0.25">
      <c r="A8" s="6" t="s">
        <v>77</v>
      </c>
      <c r="B8" s="6" t="s">
        <v>75</v>
      </c>
      <c r="C8" s="4">
        <v>3.3</v>
      </c>
      <c r="D8" s="4">
        <f>5+2</f>
        <v>7</v>
      </c>
      <c r="E8" s="4">
        <f>3+2</f>
        <v>5</v>
      </c>
      <c r="F8" s="4">
        <f>5+2</f>
        <v>7</v>
      </c>
      <c r="G8" s="4">
        <v>64000</v>
      </c>
      <c r="H8" s="4">
        <f>Table2121314[[#This Row],[Cost per Unit (OASE)]]*Table2121314[[#This Row],[Quantity]]</f>
        <v>211200</v>
      </c>
      <c r="I8" s="12">
        <f>Table2121314[[#This Row],[Cost per Unit (Rokkas)]]*Table2121314[[#This Row],[Quantity]]</f>
        <v>448000</v>
      </c>
      <c r="J8" s="12">
        <f>Table2121314[[#This Row],[Cost per Unit(BSG)]]*Table2121314[[#This Row],[Quantity]]</f>
        <v>320000</v>
      </c>
      <c r="K8" s="35">
        <f>Table2121314[[#This Row],[Cost per Unit(Phillipson)]]*Table2121314[[#This Row],[Quantity]]</f>
        <v>448000</v>
      </c>
    </row>
    <row r="9" spans="1:11" x14ac:dyDescent="0.25">
      <c r="A9" s="6" t="s">
        <v>77</v>
      </c>
      <c r="B9" s="6" t="s">
        <v>48</v>
      </c>
      <c r="C9" s="4">
        <v>1.8</v>
      </c>
      <c r="D9" s="4">
        <v>0</v>
      </c>
      <c r="E9" s="4">
        <v>0</v>
      </c>
      <c r="F9" s="4">
        <v>0</v>
      </c>
      <c r="G9" s="4">
        <v>8000</v>
      </c>
      <c r="H9" s="4">
        <f>Table2121314[[#This Row],[Cost per Unit (OASE)]]*Table2121314[[#This Row],[Quantity]]</f>
        <v>14400</v>
      </c>
      <c r="I9" s="12">
        <f>Table2121314[[#This Row],[Cost per Unit (Rokkas)]]*Table2121314[[#This Row],[Quantity]]</f>
        <v>0</v>
      </c>
      <c r="J9" s="12">
        <f>Table2121314[[#This Row],[Cost per Unit(BSG)]]*Table2121314[[#This Row],[Quantity]]</f>
        <v>0</v>
      </c>
      <c r="K9" s="35">
        <f>Table2121314[[#This Row],[Cost per Unit(Phillipson)]]*Table2121314[[#This Row],[Quantity]]</f>
        <v>0</v>
      </c>
    </row>
    <row r="14" spans="1:11" ht="14.45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thickBot="1" x14ac:dyDescent="0.35">
      <c r="A15" s="19" t="s">
        <v>85</v>
      </c>
      <c r="B15" s="20">
        <f>SUM(H2:H5)</f>
        <v>24400</v>
      </c>
      <c r="C15" s="20">
        <f>SUM(H6:H7)</f>
        <v>2580</v>
      </c>
      <c r="D15" s="10">
        <f>SUM(H8:H9)</f>
        <v>225600</v>
      </c>
      <c r="E15" s="5">
        <f>SUM(B15:D15)</f>
        <v>252580</v>
      </c>
      <c r="F15" s="5"/>
      <c r="G15" s="10"/>
    </row>
    <row r="16" spans="1:11" ht="15.6" thickTop="1" thickBot="1" x14ac:dyDescent="0.35">
      <c r="A16" s="19" t="s">
        <v>86</v>
      </c>
      <c r="B16" s="19">
        <f>SUM(I2:I5)</f>
        <v>59100</v>
      </c>
      <c r="C16" s="19">
        <f>SUM(I6:I7)</f>
        <v>10280</v>
      </c>
      <c r="D16" s="21">
        <f>SUM(I8:I9)</f>
        <v>448000</v>
      </c>
      <c r="E16" s="5">
        <f>SUM(B16:D16)</f>
        <v>517380</v>
      </c>
      <c r="F16" s="5"/>
    </row>
    <row r="17" spans="1:6" ht="15.6" thickTop="1" thickBot="1" x14ac:dyDescent="0.35">
      <c r="A17" s="19" t="s">
        <v>110</v>
      </c>
      <c r="B17" s="19">
        <f>SUM(J2:J5)</f>
        <v>84000</v>
      </c>
      <c r="C17" s="19">
        <f>SUM(J6:J7)</f>
        <v>1498</v>
      </c>
      <c r="D17" s="21">
        <f>SUM(J8:J9)</f>
        <v>320000</v>
      </c>
      <c r="E17" s="5">
        <f>SUM(B17:D17)</f>
        <v>405498</v>
      </c>
      <c r="F17" s="5"/>
    </row>
    <row r="18" spans="1:6" ht="15.6" thickTop="1" thickBot="1" x14ac:dyDescent="0.35">
      <c r="A18" s="19" t="s">
        <v>6</v>
      </c>
      <c r="B18" s="24">
        <f>SUM(K2:K5)</f>
        <v>15400</v>
      </c>
      <c r="C18" s="24">
        <f>SUM(K6:K7)</f>
        <v>10000</v>
      </c>
      <c r="D18" s="24">
        <f>SUM(K8:K9)</f>
        <v>448000</v>
      </c>
      <c r="E18" s="5">
        <f>SUM(B18:D18)</f>
        <v>473400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10" sqref="G10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9" width="9.140625" style="19"/>
    <col min="10" max="10" width="22.28515625" style="19" customWidth="1"/>
    <col min="11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23</v>
      </c>
      <c r="C2" s="4">
        <v>160</v>
      </c>
      <c r="D2" s="4">
        <v>140</v>
      </c>
      <c r="E2" s="4">
        <v>288</v>
      </c>
      <c r="F2" s="4">
        <v>50</v>
      </c>
      <c r="G2" s="4">
        <v>220</v>
      </c>
      <c r="H2" s="4">
        <f>Table21215[[#This Row],[Cost per Unit (OASE)]]*Table21215[[#This Row],[Quantity]]</f>
        <v>35200</v>
      </c>
      <c r="I2" s="12">
        <f>Table21215[[#This Row],[Cost per Unit (Rokkas)]]*Table21215[[#This Row],[Quantity]]</f>
        <v>30800</v>
      </c>
      <c r="J2" s="12">
        <f>Table21215[[#This Row],[Cost per Unit (BSG)]]*Table21215[[#This Row],[Quantity]]</f>
        <v>63360</v>
      </c>
      <c r="K2" s="35">
        <f>Table21215[[#This Row],[Cost per Unit(Phillipson)]]*Table21215[[#This Row],[Quantity]]</f>
        <v>11000</v>
      </c>
    </row>
    <row r="3" spans="1:11" x14ac:dyDescent="0.25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45</v>
      </c>
      <c r="H3" s="4">
        <f>Table21215[[#This Row],[Cost per Unit (OASE)]]*Table21215[[#This Row],[Quantity]]</f>
        <v>1800</v>
      </c>
      <c r="I3" s="12">
        <f>Table21215[[#This Row],[Cost per Unit (Rokkas)]]*Table21215[[#This Row],[Quantity]]</f>
        <v>180</v>
      </c>
      <c r="J3" s="12">
        <f>Table21215[[#This Row],[Cost per Unit (BSG)]]*Table21215[[#This Row],[Quantity]]</f>
        <v>0</v>
      </c>
      <c r="K3" s="35">
        <f>Table21215[[#This Row],[Cost per Unit(Phillipson)]]*Table21215[[#This Row],[Quantity]]</f>
        <v>0</v>
      </c>
    </row>
    <row r="4" spans="1:11" x14ac:dyDescent="0.2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6000</v>
      </c>
      <c r="H4" s="4">
        <f>Table21215[[#This Row],[Cost per Unit (OASE)]]*Table21215[[#This Row],[Quantity]]</f>
        <v>600</v>
      </c>
      <c r="I4" s="12">
        <f>Table21215[[#This Row],[Cost per Unit (Rokkas)]]*Table21215[[#This Row],[Quantity]]</f>
        <v>0</v>
      </c>
      <c r="J4" s="12">
        <f>Table21215[[#This Row],[Cost per Unit (BSG)]]*Table21215[[#This Row],[Quantity]]</f>
        <v>0</v>
      </c>
      <c r="K4" s="35">
        <f>Table21215[[#This Row],[Cost per Unit(Phillipson)]]*Table21215[[#This Row],[Quantity]]</f>
        <v>0</v>
      </c>
    </row>
    <row r="5" spans="1:11" x14ac:dyDescent="0.25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Table21215[[#This Row],[Cost per Unit (OASE)]]*Table21215[[#This Row],[Quantity]]</f>
        <v>400</v>
      </c>
      <c r="I5" s="12">
        <f>Table21215[[#This Row],[Cost per Unit (Rokkas)]]*Table21215[[#This Row],[Quantity]]</f>
        <v>3000</v>
      </c>
      <c r="J5" s="12">
        <f>Table21215[[#This Row],[Cost per Unit (BSG)]]*Table21215[[#This Row],[Quantity]]</f>
        <v>200</v>
      </c>
      <c r="K5" s="35">
        <f>Table21215[[#This Row],[Cost per Unit(Phillipson)]]*Table21215[[#This Row],[Quantity]]</f>
        <v>0</v>
      </c>
    </row>
    <row r="6" spans="1:11" x14ac:dyDescent="0.2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124</v>
      </c>
      <c r="H6" s="4">
        <f>Table21215[[#This Row],[Cost per Unit (OASE)]]*Table21215[[#This Row],[Quantity]]</f>
        <v>2976</v>
      </c>
      <c r="I6" s="12">
        <f>Table21215[[#This Row],[Cost per Unit (Rokkas)]]*Table21215[[#This Row],[Quantity]]</f>
        <v>496</v>
      </c>
      <c r="J6" s="12">
        <f>Table21215[[#This Row],[Cost per Unit (BSG)]]*Table21215[[#This Row],[Quantity]]</f>
        <v>173.6</v>
      </c>
      <c r="K6" s="35">
        <f>Table21215[[#This Row],[Cost per Unit(Phillipson)]]*Table21215[[#This Row],[Quantity]]</f>
        <v>0</v>
      </c>
    </row>
    <row r="7" spans="1:11" x14ac:dyDescent="0.25">
      <c r="A7" s="6" t="s">
        <v>30</v>
      </c>
      <c r="B7" s="6" t="s">
        <v>115</v>
      </c>
      <c r="C7" s="24">
        <v>112</v>
      </c>
      <c r="D7" s="24">
        <f>15000/50</f>
        <v>300</v>
      </c>
      <c r="E7" s="24">
        <v>294</v>
      </c>
      <c r="F7" s="24">
        <v>220</v>
      </c>
      <c r="G7" s="4">
        <v>2000</v>
      </c>
      <c r="H7" s="4">
        <f>Table21215[[#This Row],[Cost per Unit (OASE)]]*Table21215[[#This Row],[Quantity]]</f>
        <v>224000</v>
      </c>
      <c r="I7" s="12">
        <f>Table21215[[#This Row],[Cost per Unit (Rokkas)]]*Table21215[[#This Row],[Quantity]]</f>
        <v>600000</v>
      </c>
      <c r="J7" s="12">
        <f>Table21215[[#This Row],[Cost per Unit (BSG)]]*Table21215[[#This Row],[Quantity]]</f>
        <v>588000</v>
      </c>
      <c r="K7" s="35">
        <f>Table21215[[#This Row],[Cost per Unit(Phillipson)]]*Table21215[[#This Row],[Quantity]]</f>
        <v>440000</v>
      </c>
    </row>
    <row r="8" spans="1:11" x14ac:dyDescent="0.25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3000</v>
      </c>
      <c r="H8" s="4">
        <f>Table21215[[#This Row],[Cost per Unit (OASE)]]*Table21215[[#This Row],[Quantity]]</f>
        <v>9300</v>
      </c>
      <c r="I8" s="12">
        <f>Table21215[[#This Row],[Cost per Unit (Rokkas)]]*Table21215[[#This Row],[Quantity]]</f>
        <v>15000</v>
      </c>
      <c r="J8" s="12">
        <f>Table21215[[#This Row],[Cost per Unit (BSG)]]*Table21215[[#This Row],[Quantity]]</f>
        <v>9000</v>
      </c>
      <c r="K8" s="35">
        <f>Table21215[[#This Row],[Cost per Unit(Phillipson)]]*Table21215[[#This Row],[Quantity]]</f>
        <v>15000</v>
      </c>
    </row>
    <row r="9" spans="1:11" x14ac:dyDescent="0.25">
      <c r="A9" s="6" t="s">
        <v>30</v>
      </c>
      <c r="B9" s="6" t="s">
        <v>76</v>
      </c>
      <c r="C9" s="4">
        <v>12</v>
      </c>
      <c r="D9" s="4">
        <v>10</v>
      </c>
      <c r="E9" s="4">
        <v>24</v>
      </c>
      <c r="F9" s="4">
        <v>10</v>
      </c>
      <c r="G9" s="4">
        <v>3000</v>
      </c>
      <c r="H9" s="4">
        <f>Table21215[[#This Row],[Cost per Unit (OASE)]]*Table21215[[#This Row],[Quantity]]</f>
        <v>36000</v>
      </c>
      <c r="I9" s="12">
        <f>Table21215[[#This Row],[Cost per Unit (Rokkas)]]*Table21215[[#This Row],[Quantity]]</f>
        <v>30000</v>
      </c>
      <c r="J9" s="12">
        <f>Table21215[[#This Row],[Cost per Unit (BSG)]]*Table21215[[#This Row],[Quantity]]</f>
        <v>72000</v>
      </c>
      <c r="K9" s="35">
        <f>Table21215[[#This Row],[Cost per Unit(Phillipson)]]*Table21215[[#This Row],[Quantity]]</f>
        <v>30000</v>
      </c>
    </row>
    <row r="10" spans="1:11" x14ac:dyDescent="0.25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Table21215[[#This Row],[Cost per Unit (OASE)]]*Table21215[[#This Row],[Quantity]]</f>
        <v>0</v>
      </c>
      <c r="I10" s="12">
        <f>Table21215[[#This Row],[Cost per Unit (Rokkas)]]*Table21215[[#This Row],[Quantity]]</f>
        <v>0</v>
      </c>
      <c r="J10" s="12">
        <f>Table21215[[#This Row],[Cost per Unit (BSG)]]*Table21215[[#This Row],[Quantity]]</f>
        <v>0</v>
      </c>
      <c r="K10" s="35">
        <f>Table21215[[#This Row],[Cost per Unit(Phillipson)]]*Table21215[[#This Row],[Quantity]]</f>
        <v>0</v>
      </c>
    </row>
    <row r="15" spans="1:11" ht="14.45" x14ac:dyDescent="0.3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thickBot="1" x14ac:dyDescent="0.35">
      <c r="A16" s="19" t="s">
        <v>85</v>
      </c>
      <c r="B16" s="20">
        <f>SUM(H2:H5)</f>
        <v>38000</v>
      </c>
      <c r="C16" s="20">
        <f>SUM(H6:H9)</f>
        <v>272276</v>
      </c>
      <c r="D16" s="10">
        <f>SUM(H10)</f>
        <v>0</v>
      </c>
      <c r="E16" s="5">
        <f>SUM(B16:D16)</f>
        <v>310276</v>
      </c>
      <c r="F16" s="5"/>
    </row>
    <row r="17" spans="1:6" ht="15.6" thickTop="1" thickBot="1" x14ac:dyDescent="0.35">
      <c r="A17" s="19" t="s">
        <v>86</v>
      </c>
      <c r="B17" s="19">
        <f>SUM(I2:I5)</f>
        <v>33980</v>
      </c>
      <c r="C17" s="19">
        <f>SUM(I6:I9)</f>
        <v>645496</v>
      </c>
      <c r="D17" s="19">
        <v>0</v>
      </c>
      <c r="E17" s="5">
        <f>SUM(B17:D17)</f>
        <v>679476</v>
      </c>
      <c r="F17" s="5"/>
    </row>
    <row r="18" spans="1:6" ht="15.6" thickTop="1" thickBot="1" x14ac:dyDescent="0.35">
      <c r="A18" s="19" t="s">
        <v>110</v>
      </c>
      <c r="B18" s="19">
        <f>SUM(J2:J5)</f>
        <v>63560</v>
      </c>
      <c r="C18" s="19">
        <f>SUM(J6:J9)</f>
        <v>669173.6</v>
      </c>
      <c r="D18" s="19">
        <v>0</v>
      </c>
      <c r="E18" s="5">
        <f>SUM(B18:D18)</f>
        <v>732733.6</v>
      </c>
      <c r="F18" s="5"/>
    </row>
    <row r="19" spans="1:6" ht="15.6" thickTop="1" thickBot="1" x14ac:dyDescent="0.35">
      <c r="A19" s="19" t="s">
        <v>6</v>
      </c>
      <c r="B19" s="24">
        <f>SUM(K2:K5)</f>
        <v>11000</v>
      </c>
      <c r="C19" s="24">
        <f>SUM(K6:K9)</f>
        <v>485000</v>
      </c>
      <c r="D19" s="24">
        <v>0</v>
      </c>
      <c r="E19" s="5">
        <f>SUM(B19:D19)</f>
        <v>496000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10" sqref="G10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8" width="9.140625" style="19"/>
    <col min="9" max="9" width="20.140625" style="19" customWidth="1"/>
    <col min="10" max="10" width="29.7109375" style="19" customWidth="1"/>
    <col min="11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280</v>
      </c>
      <c r="H2" s="4">
        <f>Table2121316[[#This Row],[Cost per Unit (OASE)]]*Table2121316[[#This Row],[Quantity]]</f>
        <v>22400</v>
      </c>
      <c r="I2" s="12">
        <f t="shared" ref="I2:I9" si="0">D2*G2</f>
        <v>56000</v>
      </c>
      <c r="J2" s="12">
        <f>Table2121316[[#This Row],[Cost per Unit(BSG)]]*Table2121316[[#This Row],[Quantity]]</f>
        <v>84000</v>
      </c>
      <c r="K2" s="35">
        <f>Table2121316[[#This Row],[Cost per Unit(Phillipson)]]*Table2121316[[#This Row],[Quantity]]</f>
        <v>15400</v>
      </c>
    </row>
    <row r="3" spans="1:11" x14ac:dyDescent="0.25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24</v>
      </c>
      <c r="H3" s="4">
        <f>Table2121316[[#This Row],[Cost per Unit (OASE)]]*Table2121316[[#This Row],[Quantity]]</f>
        <v>960</v>
      </c>
      <c r="I3" s="12">
        <f t="shared" si="0"/>
        <v>96</v>
      </c>
      <c r="J3" s="12">
        <f>Table2121316[[#This Row],[Cost per Unit(BSG)]]*Table2121316[[#This Row],[Quantity]]</f>
        <v>0</v>
      </c>
      <c r="K3" s="35">
        <f>Table2121316[[#This Row],[Cost per Unit(Phillipson)]]*Table2121316[[#This Row],[Quantity]]</f>
        <v>0</v>
      </c>
    </row>
    <row r="4" spans="1:11" x14ac:dyDescent="0.2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6000</v>
      </c>
      <c r="H4" s="4">
        <f>Table2121316[[#This Row],[Cost per Unit (OASE)]]*Table2121316[[#This Row],[Quantity]]</f>
        <v>600</v>
      </c>
      <c r="I4" s="12">
        <f t="shared" si="0"/>
        <v>0</v>
      </c>
      <c r="J4" s="12">
        <f>Table2121316[[#This Row],[Cost per Unit(BSG)]]*Table2121316[[#This Row],[Quantity]]</f>
        <v>0</v>
      </c>
      <c r="K4" s="35">
        <f>Table2121316[[#This Row],[Cost per Unit(Phillipson)]]*Table2121316[[#This Row],[Quantity]]</f>
        <v>0</v>
      </c>
    </row>
    <row r="5" spans="1:11" x14ac:dyDescent="0.25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2</v>
      </c>
      <c r="H5" s="4">
        <f>Table2121316[[#This Row],[Cost per Unit (OASE)]]*Table2121316[[#This Row],[Quantity]]</f>
        <v>800</v>
      </c>
      <c r="I5" s="12">
        <f t="shared" si="0"/>
        <v>6000</v>
      </c>
      <c r="J5" s="12">
        <f>Table2121316[[#This Row],[Cost per Unit(BSG)]]*Table2121316[[#This Row],[Quantity]]</f>
        <v>0</v>
      </c>
      <c r="K5" s="35">
        <f>Table2121316[[#This Row],[Cost per Unit(Phillipson)]]*Table2121316[[#This Row],[Quantity]]</f>
        <v>0</v>
      </c>
    </row>
    <row r="6" spans="1:11" x14ac:dyDescent="0.2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62</v>
      </c>
      <c r="H6" s="4">
        <f>Table2121316[[#This Row],[Cost per Unit (OASE)]]*Table2121316[[#This Row],[Quantity]]</f>
        <v>1488</v>
      </c>
      <c r="I6" s="12">
        <f t="shared" si="0"/>
        <v>248</v>
      </c>
      <c r="J6" s="12">
        <f>Table2121316[[#This Row],[Cost per Unit(BSG)]]*Table2121316[[#This Row],[Quantity]]</f>
        <v>86.8</v>
      </c>
      <c r="K6" s="35">
        <f>Table2121316[[#This Row],[Cost per Unit(Phillipson)]]*Table2121316[[#This Row],[Quantity]]</f>
        <v>0</v>
      </c>
    </row>
    <row r="7" spans="1:11" x14ac:dyDescent="0.25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1000</v>
      </c>
      <c r="H7" s="4">
        <f>Table2121316[[#This Row],[Cost per Unit (OASE)]]*Table2121316[[#This Row],[Quantity]]</f>
        <v>900</v>
      </c>
      <c r="I7" s="12">
        <f t="shared" si="0"/>
        <v>10000</v>
      </c>
      <c r="J7" s="12">
        <f>Table2121316[[#This Row],[Cost per Unit(BSG)]]*Table2121316[[#This Row],[Quantity]]</f>
        <v>1400</v>
      </c>
      <c r="K7" s="35">
        <f>Table2121316[[#This Row],[Cost per Unit(Phillipson)]]*Table2121316[[#This Row],[Quantity]]</f>
        <v>10000</v>
      </c>
    </row>
    <row r="8" spans="1:11" x14ac:dyDescent="0.25">
      <c r="A8" s="6" t="s">
        <v>77</v>
      </c>
      <c r="B8" s="6" t="s">
        <v>75</v>
      </c>
      <c r="C8" s="4">
        <v>3.3</v>
      </c>
      <c r="D8" s="4">
        <f>250/50</f>
        <v>5</v>
      </c>
      <c r="E8" s="4">
        <f>150/50</f>
        <v>3</v>
      </c>
      <c r="F8" s="4">
        <v>5</v>
      </c>
      <c r="G8" s="4">
        <v>16000</v>
      </c>
      <c r="H8" s="4">
        <f>Table2121316[[#This Row],[Cost per Unit (OASE)]]*Table2121316[[#This Row],[Quantity]]</f>
        <v>52800</v>
      </c>
      <c r="I8" s="12">
        <f t="shared" si="0"/>
        <v>80000</v>
      </c>
      <c r="J8" s="12">
        <f>Table2121316[[#This Row],[Cost per Unit(BSG)]]*Table2121316[[#This Row],[Quantity]]</f>
        <v>48000</v>
      </c>
      <c r="K8" s="35">
        <f>Table2121316[[#This Row],[Cost per Unit(Phillipson)]]*Table2121316[[#This Row],[Quantity]]</f>
        <v>80000</v>
      </c>
    </row>
    <row r="9" spans="1:11" x14ac:dyDescent="0.25">
      <c r="A9" s="6" t="s">
        <v>77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16000</v>
      </c>
      <c r="H9" s="4">
        <f>Table2121316[[#This Row],[Cost per Unit (OASE)]]*Table2121316[[#This Row],[Quantity]]</f>
        <v>160000</v>
      </c>
      <c r="I9" s="12">
        <f t="shared" si="0"/>
        <v>160000</v>
      </c>
      <c r="J9" s="12">
        <f>Table2121316[[#This Row],[Cost per Unit(BSG)]]*Table2121316[[#This Row],[Quantity]]</f>
        <v>384000</v>
      </c>
      <c r="K9" s="35">
        <f>Table2121316[[#This Row],[Cost per Unit(Phillipson)]]*Table2121316[[#This Row],[Quantity]]</f>
        <v>160000</v>
      </c>
    </row>
    <row r="14" spans="1:11" ht="14.45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</row>
    <row r="15" spans="1:11" thickBot="1" x14ac:dyDescent="0.35">
      <c r="A15" s="19" t="s">
        <v>85</v>
      </c>
      <c r="B15" s="20">
        <f>SUM(H2:H5)</f>
        <v>24760</v>
      </c>
      <c r="C15" s="20">
        <f>SUM(H6:H7)</f>
        <v>2388</v>
      </c>
      <c r="D15" s="10">
        <f>SUM(H8:H9)</f>
        <v>212800</v>
      </c>
      <c r="E15" s="5">
        <f>SUM(B15:D15)</f>
        <v>239948</v>
      </c>
      <c r="F15" s="5"/>
    </row>
    <row r="16" spans="1:11" ht="15.6" thickTop="1" thickBot="1" x14ac:dyDescent="0.35">
      <c r="A16" s="19" t="s">
        <v>86</v>
      </c>
      <c r="B16" s="19">
        <f>SUM(I2:I5)</f>
        <v>62096</v>
      </c>
      <c r="C16" s="19">
        <f>SUM(I6:I7)</f>
        <v>10248</v>
      </c>
      <c r="D16" s="19">
        <f>SUM(I8:I9)</f>
        <v>240000</v>
      </c>
      <c r="E16" s="5">
        <f>SUM(B16:D16)</f>
        <v>312344</v>
      </c>
      <c r="F16" s="5"/>
    </row>
    <row r="17" spans="1:6" ht="15.6" thickTop="1" thickBot="1" x14ac:dyDescent="0.35">
      <c r="A17" s="19" t="s">
        <v>110</v>
      </c>
      <c r="B17" s="19">
        <f>SUM(J2:J5)</f>
        <v>84000</v>
      </c>
      <c r="C17" s="19">
        <f>SUM(J6:J7)</f>
        <v>1486.8</v>
      </c>
      <c r="D17" s="19">
        <f>SUM(J8:J9)</f>
        <v>432000</v>
      </c>
      <c r="E17" s="5">
        <f>SUM(B17:D17)</f>
        <v>517486.8</v>
      </c>
      <c r="F17" s="5"/>
    </row>
    <row r="18" spans="1:6" ht="15.6" thickTop="1" thickBot="1" x14ac:dyDescent="0.35">
      <c r="A18" s="19" t="s">
        <v>6</v>
      </c>
      <c r="B18" s="24">
        <f>SUM(K2:K5)</f>
        <v>15400</v>
      </c>
      <c r="C18" s="24">
        <f>SUM(K6:K7)</f>
        <v>10000</v>
      </c>
      <c r="D18" s="24">
        <f>SUM(K8:K9)</f>
        <v>240000</v>
      </c>
      <c r="E18" s="5">
        <f>SUM(B18:D18)</f>
        <v>265400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A19" zoomScale="80" zoomScaleNormal="80" workbookViewId="0">
      <selection activeCell="C57" sqref="C57:F69"/>
    </sheetView>
  </sheetViews>
  <sheetFormatPr defaultRowHeight="15" x14ac:dyDescent="0.25"/>
  <cols>
    <col min="1" max="4" width="36.28515625" customWidth="1"/>
    <col min="5" max="5" width="32.85546875" customWidth="1"/>
    <col min="6" max="6" width="36.7109375" customWidth="1"/>
    <col min="7" max="8" width="29.5703125" customWidth="1"/>
    <col min="9" max="9" width="32.7109375" customWidth="1"/>
    <col min="10" max="10" width="30.140625" customWidth="1"/>
    <col min="11" max="11" width="18.85546875" customWidth="1"/>
  </cols>
  <sheetData>
    <row r="1" spans="1:11" ht="14.45" x14ac:dyDescent="0.3">
      <c r="A1" t="s">
        <v>58</v>
      </c>
    </row>
    <row r="2" spans="1:11" ht="14.45" x14ac:dyDescent="0.3">
      <c r="A2" t="s">
        <v>49</v>
      </c>
      <c r="B2" t="s">
        <v>1</v>
      </c>
      <c r="C2" t="s">
        <v>2</v>
      </c>
      <c r="D2" t="s">
        <v>62</v>
      </c>
      <c r="E2" t="s">
        <v>60</v>
      </c>
      <c r="F2" t="s">
        <v>61</v>
      </c>
      <c r="G2" t="s">
        <v>55</v>
      </c>
      <c r="H2" t="s">
        <v>56</v>
      </c>
      <c r="I2" t="s">
        <v>57</v>
      </c>
      <c r="J2" t="s">
        <v>116</v>
      </c>
      <c r="K2" t="s">
        <v>59</v>
      </c>
    </row>
    <row r="3" spans="1:11" ht="14.45" x14ac:dyDescent="0.3">
      <c r="A3" t="s">
        <v>134</v>
      </c>
      <c r="B3" s="38">
        <v>170187.83055482313</v>
      </c>
      <c r="C3" s="38">
        <v>35.517736249908381</v>
      </c>
      <c r="D3">
        <f>'FTTCab GPON 26 Mbps'!B$18</f>
        <v>3419.7777777777778</v>
      </c>
      <c r="E3" s="24">
        <f>'FTTCab GPON 26 Mbps'!C$18</f>
        <v>119020.4</v>
      </c>
      <c r="F3" s="24">
        <f>'FTTCab GPON 26 Mbps'!D$18</f>
        <v>0</v>
      </c>
      <c r="G3">
        <f>SUM(B3:F3)</f>
        <v>292663.52606885077</v>
      </c>
      <c r="H3">
        <f t="shared" ref="H3:H15" si="0">G3*50</f>
        <v>14633176.303442538</v>
      </c>
      <c r="I3">
        <v>63160</v>
      </c>
      <c r="J3">
        <f>H3/I3</f>
        <v>231.68423532999586</v>
      </c>
      <c r="K3">
        <v>25</v>
      </c>
    </row>
    <row r="4" spans="1:11" ht="14.45" x14ac:dyDescent="0.3">
      <c r="A4" t="s">
        <v>51</v>
      </c>
      <c r="B4" s="38">
        <v>170187.83055482313</v>
      </c>
      <c r="C4" s="38">
        <v>35.517736249908381</v>
      </c>
      <c r="D4">
        <f>'FTTB XGPON 50 Mbps'!B$17</f>
        <v>7900</v>
      </c>
      <c r="E4" s="24">
        <f>'FTTB XGPON 50 Mbps'!C$17</f>
        <v>3475.2</v>
      </c>
      <c r="F4" s="24">
        <f>'FTTB XGPON 50 Mbps'!D$17</f>
        <v>112800</v>
      </c>
      <c r="G4" s="13">
        <f>SUM(B4:F4)</f>
        <v>294398.54829107306</v>
      </c>
      <c r="H4" s="19">
        <f t="shared" si="0"/>
        <v>14719927.414553653</v>
      </c>
      <c r="I4" s="24">
        <v>63160</v>
      </c>
      <c r="J4" s="13">
        <f t="shared" ref="J4:J7" si="1">H4/I4</f>
        <v>233.05774880547267</v>
      </c>
      <c r="K4">
        <v>50</v>
      </c>
    </row>
    <row r="5" spans="1:11" ht="14.45" x14ac:dyDescent="0.3">
      <c r="A5" t="s">
        <v>131</v>
      </c>
      <c r="B5" s="38">
        <v>123966.4385182156</v>
      </c>
      <c r="C5" s="38">
        <v>23.727612871311063</v>
      </c>
      <c r="D5">
        <f>'FTTB WR-WDMPON 50 Mbps'!B15</f>
        <v>7232.1111111111113</v>
      </c>
      <c r="E5" s="24">
        <f>'FTTB WR-WDMPON 50 Mbps'!C15</f>
        <v>2160</v>
      </c>
      <c r="F5" s="24">
        <f>'FTTB WR-WDMPON 50 Mbps'!D15</f>
        <v>96800</v>
      </c>
      <c r="G5" s="13">
        <f t="shared" ref="G5:G6" si="2">SUM(B5:F5)</f>
        <v>230182.27724219803</v>
      </c>
      <c r="H5" s="19">
        <f t="shared" si="0"/>
        <v>11509113.862109901</v>
      </c>
      <c r="I5" s="24">
        <v>63160</v>
      </c>
      <c r="J5" s="13">
        <f t="shared" si="1"/>
        <v>182.22156209800352</v>
      </c>
      <c r="K5">
        <v>50</v>
      </c>
    </row>
    <row r="6" spans="1:11" ht="14.45" x14ac:dyDescent="0.3">
      <c r="A6" t="s">
        <v>132</v>
      </c>
      <c r="B6" s="38">
        <v>123966.4385182156</v>
      </c>
      <c r="C6" s="38">
        <v>23.727612871311063</v>
      </c>
      <c r="D6">
        <f>'FTTH WR-WDMPON 100 Mbps'!B15</f>
        <v>8289</v>
      </c>
      <c r="E6" s="24">
        <f>'FTTH WR-WDMPON 100 Mbps'!C15</f>
        <v>2160</v>
      </c>
      <c r="F6" s="24">
        <f>'FTTH WR-WDMPON 100 Mbps'!D15</f>
        <v>339200</v>
      </c>
      <c r="G6" s="13">
        <f t="shared" si="2"/>
        <v>473639.16613108688</v>
      </c>
      <c r="H6" s="19">
        <f t="shared" si="0"/>
        <v>23681958.306554344</v>
      </c>
      <c r="I6" s="24">
        <v>63160</v>
      </c>
      <c r="J6" s="13">
        <f t="shared" si="1"/>
        <v>374.95184145906182</v>
      </c>
      <c r="K6">
        <v>100</v>
      </c>
    </row>
    <row r="7" spans="1:11" ht="14.45" x14ac:dyDescent="0.3">
      <c r="A7" t="s">
        <v>54</v>
      </c>
      <c r="B7" s="38">
        <v>170187.83055482313</v>
      </c>
      <c r="C7" s="38">
        <v>35.517736249908381</v>
      </c>
      <c r="D7">
        <f>'FTTH XGPON 100 Mbps'!B17</f>
        <v>30450</v>
      </c>
      <c r="E7" s="24">
        <f>'FTTH XGPON 100 Mbps'!C17</f>
        <v>5850</v>
      </c>
      <c r="F7" s="24">
        <f>'FTTH XGPON 100 Mbps'!D17</f>
        <v>321600</v>
      </c>
      <c r="G7" s="13">
        <f>SUM(B7:F7)</f>
        <v>528123.34829107299</v>
      </c>
      <c r="H7" s="19">
        <f t="shared" si="0"/>
        <v>26406167.41455365</v>
      </c>
      <c r="I7" s="24">
        <v>63160</v>
      </c>
      <c r="J7" s="13">
        <f t="shared" si="1"/>
        <v>418.08371460661255</v>
      </c>
      <c r="K7">
        <v>100</v>
      </c>
    </row>
    <row r="8" spans="1:11" ht="14.45" x14ac:dyDescent="0.3">
      <c r="A8" t="s">
        <v>135</v>
      </c>
      <c r="B8" s="38">
        <v>170187.83055482313</v>
      </c>
      <c r="C8" s="38">
        <v>35.517736249908381</v>
      </c>
      <c r="D8" s="13">
        <f>FTTCab_GPON_100!B16</f>
        <v>19660.666666666668</v>
      </c>
      <c r="E8" s="24">
        <f>FTTCab_GPON_100!C16</f>
        <v>166336.79999999999</v>
      </c>
      <c r="F8" s="24">
        <f>FTTCab_GPON_100!D16</f>
        <v>0</v>
      </c>
      <c r="G8">
        <f>SUM(B8:F8)</f>
        <v>356220.81495773967</v>
      </c>
      <c r="H8" s="19">
        <f t="shared" si="0"/>
        <v>17811040.747886982</v>
      </c>
      <c r="I8" s="24">
        <v>63160</v>
      </c>
      <c r="J8">
        <f>H8/I8</f>
        <v>281.9987452167033</v>
      </c>
      <c r="K8" s="13">
        <v>100</v>
      </c>
    </row>
    <row r="9" spans="1:11" ht="14.45" x14ac:dyDescent="0.3">
      <c r="A9" t="s">
        <v>68</v>
      </c>
      <c r="B9" s="38">
        <v>170187.83055482313</v>
      </c>
      <c r="C9" s="38">
        <v>35.517736249908381</v>
      </c>
      <c r="D9">
        <f>FTTB_XGPON_100!B16</f>
        <v>17040</v>
      </c>
      <c r="E9">
        <f>FTTB_XGPON_100!C16</f>
        <v>6832.2000000000007</v>
      </c>
      <c r="F9">
        <f>FTTB_XGPON_100!D16</f>
        <v>188800</v>
      </c>
      <c r="G9">
        <f>SUM(B9:F9)</f>
        <v>382895.54829107306</v>
      </c>
      <c r="H9" s="19">
        <f t="shared" si="0"/>
        <v>19144777.414553653</v>
      </c>
      <c r="I9" s="24">
        <v>63160</v>
      </c>
      <c r="J9">
        <f>H9/I9</f>
        <v>303.11553854581467</v>
      </c>
      <c r="K9" s="13">
        <v>100</v>
      </c>
    </row>
    <row r="10" spans="1:11" ht="14.45" x14ac:dyDescent="0.3">
      <c r="A10" s="13" t="s">
        <v>133</v>
      </c>
      <c r="B10" s="38">
        <v>123966.4385182156</v>
      </c>
      <c r="C10" s="38">
        <v>23.727612871311063</v>
      </c>
      <c r="D10">
        <f>FTTB_WRWDM_100!B14</f>
        <v>15940.222222222223</v>
      </c>
      <c r="E10" s="24">
        <f>FTTB_WRWDM_100!C14</f>
        <v>4320</v>
      </c>
      <c r="F10" s="24">
        <f>FTTB_WRWDM_100!D14</f>
        <v>196800</v>
      </c>
      <c r="G10">
        <f>SUM(B10:F10)</f>
        <v>341050.38835330913</v>
      </c>
      <c r="H10" s="19">
        <f t="shared" si="0"/>
        <v>17052519.417665455</v>
      </c>
      <c r="I10" s="24">
        <v>63160</v>
      </c>
      <c r="J10">
        <f>H10/I10</f>
        <v>269.98922447222066</v>
      </c>
      <c r="K10" s="13">
        <v>100</v>
      </c>
    </row>
    <row r="11" spans="1:11" ht="14.45" x14ac:dyDescent="0.3">
      <c r="A11" s="18" t="s">
        <v>70</v>
      </c>
      <c r="B11" s="38">
        <v>148601.5257512136</v>
      </c>
      <c r="C11" s="38">
        <v>33.851521342501684</v>
      </c>
      <c r="D11">
        <f>FTTCab_Hybridpon_25!B16</f>
        <v>5360</v>
      </c>
      <c r="E11" s="24">
        <f>FTTCab_Hybridpon_25!C16</f>
        <v>79394</v>
      </c>
      <c r="F11" s="24">
        <f>FTTCab_Hybridpon_25!D16</f>
        <v>0</v>
      </c>
      <c r="G11">
        <f t="shared" ref="G11:G15" si="3">SUM(B11:F11)</f>
        <v>233389.3772725561</v>
      </c>
      <c r="H11" s="19">
        <f t="shared" si="0"/>
        <v>11669468.863627804</v>
      </c>
      <c r="I11" s="24">
        <v>63160</v>
      </c>
      <c r="J11">
        <f t="shared" ref="J11:J15" si="4">H11/I11</f>
        <v>184.76043165971825</v>
      </c>
      <c r="K11">
        <v>25</v>
      </c>
    </row>
    <row r="12" spans="1:11" ht="14.45" x14ac:dyDescent="0.3">
      <c r="A12" s="18" t="s">
        <v>71</v>
      </c>
      <c r="B12" s="38">
        <v>162896.27914347179</v>
      </c>
      <c r="C12" s="38">
        <v>33.851521342501684</v>
      </c>
      <c r="D12">
        <f>FTTB_Hybridpon_50!B15</f>
        <v>12380</v>
      </c>
      <c r="E12" s="24">
        <f>FTTB_Hybridpon_50!C15</f>
        <v>1194</v>
      </c>
      <c r="F12" s="24">
        <f>FTTB_Hybridpon_50!D15</f>
        <v>88800</v>
      </c>
      <c r="G12">
        <f t="shared" si="3"/>
        <v>265304.13066481426</v>
      </c>
      <c r="H12" s="19">
        <f t="shared" si="0"/>
        <v>13265206.533240713</v>
      </c>
      <c r="I12" s="24">
        <v>63160</v>
      </c>
      <c r="J12">
        <f t="shared" si="4"/>
        <v>210.02543592844702</v>
      </c>
      <c r="K12">
        <v>50</v>
      </c>
    </row>
    <row r="13" spans="1:11" ht="14.45" x14ac:dyDescent="0.3">
      <c r="A13" s="18" t="s">
        <v>72</v>
      </c>
      <c r="B13" s="38">
        <v>148601.5257512136</v>
      </c>
      <c r="C13" s="38">
        <v>33.851521342501684</v>
      </c>
      <c r="D13">
        <f>FTTH_Hybridpon_100!B15</f>
        <v>24400</v>
      </c>
      <c r="E13" s="24">
        <f>FTTH_Hybridpon_100!C15</f>
        <v>2580</v>
      </c>
      <c r="F13" s="24">
        <f>FTTH_Hybridpon_100!D15</f>
        <v>225600</v>
      </c>
      <c r="G13">
        <f t="shared" si="3"/>
        <v>401215.37727255607</v>
      </c>
      <c r="H13" s="19">
        <f t="shared" si="0"/>
        <v>20060768.863627803</v>
      </c>
      <c r="I13" s="24">
        <v>63160</v>
      </c>
      <c r="J13">
        <f t="shared" si="4"/>
        <v>317.61825306567135</v>
      </c>
      <c r="K13">
        <v>100</v>
      </c>
    </row>
    <row r="14" spans="1:11" ht="14.45" x14ac:dyDescent="0.3">
      <c r="A14" s="18" t="s">
        <v>73</v>
      </c>
      <c r="B14" s="38">
        <v>148601.5257512136</v>
      </c>
      <c r="C14" s="38">
        <v>33.851521342501684</v>
      </c>
      <c r="D14">
        <f>FTTC_Hybridpon_100!B16</f>
        <v>38000</v>
      </c>
      <c r="E14" s="24">
        <f>FTTC_Hybridpon_100!C16</f>
        <v>272276</v>
      </c>
      <c r="F14" s="24">
        <f>FTTC_Hybridpon_100!D16</f>
        <v>0</v>
      </c>
      <c r="G14">
        <f t="shared" si="3"/>
        <v>458911.37727255607</v>
      </c>
      <c r="H14" s="19">
        <f t="shared" si="0"/>
        <v>22945568.863627803</v>
      </c>
      <c r="I14" s="24">
        <v>63160</v>
      </c>
      <c r="J14">
        <f t="shared" si="4"/>
        <v>363.29273058308746</v>
      </c>
      <c r="K14">
        <v>100</v>
      </c>
    </row>
    <row r="15" spans="1:11" ht="14.45" x14ac:dyDescent="0.3">
      <c r="A15" s="15" t="s">
        <v>74</v>
      </c>
      <c r="B15" s="38">
        <v>162896.27914347179</v>
      </c>
      <c r="C15" s="38">
        <v>33.851521342501684</v>
      </c>
      <c r="D15" s="17">
        <f>FTTB_Hybridpon_100!B15</f>
        <v>24760</v>
      </c>
      <c r="E15" s="17">
        <f>FTTB_Hybridpon_100!C15</f>
        <v>2388</v>
      </c>
      <c r="F15" s="17">
        <f>FTTB_Hybridpon_100!D15</f>
        <v>212800</v>
      </c>
      <c r="G15" s="17">
        <f t="shared" si="3"/>
        <v>402878.13066481426</v>
      </c>
      <c r="H15" s="19">
        <f t="shared" si="0"/>
        <v>20143906.533240713</v>
      </c>
      <c r="I15" s="24">
        <v>63160</v>
      </c>
      <c r="J15" s="17">
        <f t="shared" si="4"/>
        <v>318.93455562445712</v>
      </c>
      <c r="K15" s="17">
        <v>100</v>
      </c>
    </row>
    <row r="56" spans="3:6" x14ac:dyDescent="0.25">
      <c r="C56" s="22" t="s">
        <v>1</v>
      </c>
      <c r="D56" s="22" t="s">
        <v>2</v>
      </c>
      <c r="E56" s="22" t="s">
        <v>80</v>
      </c>
      <c r="F56" s="22" t="s">
        <v>3</v>
      </c>
    </row>
    <row r="57" spans="3:6" x14ac:dyDescent="0.25">
      <c r="C57">
        <f>B3</f>
        <v>170187.83055482313</v>
      </c>
      <c r="D57" s="24">
        <f t="shared" ref="D57:E57" si="5">C3</f>
        <v>35.517736249908381</v>
      </c>
      <c r="E57" s="24">
        <f t="shared" si="5"/>
        <v>3419.7777777777778</v>
      </c>
      <c r="F57">
        <f>E3+F3</f>
        <v>119020.4</v>
      </c>
    </row>
    <row r="58" spans="3:6" x14ac:dyDescent="0.25">
      <c r="C58" s="24">
        <f t="shared" ref="C58:E58" si="6">B4</f>
        <v>170187.83055482313</v>
      </c>
      <c r="D58" s="24">
        <f t="shared" si="6"/>
        <v>35.517736249908381</v>
      </c>
      <c r="E58" s="24">
        <f t="shared" si="6"/>
        <v>7900</v>
      </c>
      <c r="F58" s="21">
        <f t="shared" ref="F58:F69" si="7">E4+F4</f>
        <v>116275.2</v>
      </c>
    </row>
    <row r="59" spans="3:6" x14ac:dyDescent="0.25">
      <c r="C59" s="24">
        <f t="shared" ref="C59:E59" si="8">B5</f>
        <v>123966.4385182156</v>
      </c>
      <c r="D59" s="24">
        <f t="shared" si="8"/>
        <v>23.727612871311063</v>
      </c>
      <c r="E59" s="24">
        <f t="shared" si="8"/>
        <v>7232.1111111111113</v>
      </c>
      <c r="F59" s="21">
        <f t="shared" si="7"/>
        <v>98960</v>
      </c>
    </row>
    <row r="60" spans="3:6" x14ac:dyDescent="0.25">
      <c r="C60" s="24">
        <f t="shared" ref="C60:E60" si="9">B6</f>
        <v>123966.4385182156</v>
      </c>
      <c r="D60" s="24">
        <f t="shared" si="9"/>
        <v>23.727612871311063</v>
      </c>
      <c r="E60" s="24">
        <f t="shared" si="9"/>
        <v>8289</v>
      </c>
      <c r="F60" s="21">
        <f t="shared" si="7"/>
        <v>341360</v>
      </c>
    </row>
    <row r="61" spans="3:6" x14ac:dyDescent="0.25">
      <c r="C61" s="24">
        <f t="shared" ref="C61:E61" si="10">B7</f>
        <v>170187.83055482313</v>
      </c>
      <c r="D61" s="24">
        <f t="shared" si="10"/>
        <v>35.517736249908381</v>
      </c>
      <c r="E61" s="24">
        <f t="shared" si="10"/>
        <v>30450</v>
      </c>
      <c r="F61" s="21">
        <f t="shared" si="7"/>
        <v>327450</v>
      </c>
    </row>
    <row r="62" spans="3:6" x14ac:dyDescent="0.25">
      <c r="C62" s="24">
        <f t="shared" ref="C62:E62" si="11">B8</f>
        <v>170187.83055482313</v>
      </c>
      <c r="D62" s="24">
        <f t="shared" si="11"/>
        <v>35.517736249908381</v>
      </c>
      <c r="E62" s="24">
        <f t="shared" si="11"/>
        <v>19660.666666666668</v>
      </c>
      <c r="F62" s="21">
        <f t="shared" si="7"/>
        <v>166336.79999999999</v>
      </c>
    </row>
    <row r="63" spans="3:6" x14ac:dyDescent="0.25">
      <c r="C63" s="24">
        <f t="shared" ref="C63:E63" si="12">B9</f>
        <v>170187.83055482313</v>
      </c>
      <c r="D63" s="24">
        <f t="shared" si="12"/>
        <v>35.517736249908381</v>
      </c>
      <c r="E63" s="24">
        <f t="shared" si="12"/>
        <v>17040</v>
      </c>
      <c r="F63" s="21">
        <f t="shared" si="7"/>
        <v>195632.2</v>
      </c>
    </row>
    <row r="64" spans="3:6" x14ac:dyDescent="0.25">
      <c r="C64" s="24">
        <f t="shared" ref="C64:E64" si="13">B10</f>
        <v>123966.4385182156</v>
      </c>
      <c r="D64" s="24">
        <f t="shared" si="13"/>
        <v>23.727612871311063</v>
      </c>
      <c r="E64" s="24">
        <f t="shared" si="13"/>
        <v>15940.222222222223</v>
      </c>
      <c r="F64" s="21">
        <f t="shared" si="7"/>
        <v>201120</v>
      </c>
    </row>
    <row r="65" spans="3:6" x14ac:dyDescent="0.25">
      <c r="C65" s="24">
        <f t="shared" ref="C65:E65" si="14">B11</f>
        <v>148601.5257512136</v>
      </c>
      <c r="D65" s="24">
        <f t="shared" si="14"/>
        <v>33.851521342501684</v>
      </c>
      <c r="E65" s="24">
        <f t="shared" si="14"/>
        <v>5360</v>
      </c>
      <c r="F65" s="21">
        <f t="shared" si="7"/>
        <v>79394</v>
      </c>
    </row>
    <row r="66" spans="3:6" x14ac:dyDescent="0.25">
      <c r="C66" s="24">
        <f t="shared" ref="C66:E66" si="15">B12</f>
        <v>162896.27914347179</v>
      </c>
      <c r="D66" s="24">
        <f t="shared" si="15"/>
        <v>33.851521342501684</v>
      </c>
      <c r="E66" s="24">
        <f t="shared" si="15"/>
        <v>12380</v>
      </c>
      <c r="F66" s="21">
        <f t="shared" si="7"/>
        <v>89994</v>
      </c>
    </row>
    <row r="67" spans="3:6" x14ac:dyDescent="0.25">
      <c r="C67" s="24">
        <f t="shared" ref="C67:E67" si="16">B13</f>
        <v>148601.5257512136</v>
      </c>
      <c r="D67" s="24">
        <f t="shared" si="16"/>
        <v>33.851521342501684</v>
      </c>
      <c r="E67" s="24">
        <f t="shared" si="16"/>
        <v>24400</v>
      </c>
      <c r="F67" s="21">
        <f t="shared" si="7"/>
        <v>228180</v>
      </c>
    </row>
    <row r="68" spans="3:6" x14ac:dyDescent="0.25">
      <c r="C68" s="24">
        <f t="shared" ref="C68:E68" si="17">B14</f>
        <v>148601.5257512136</v>
      </c>
      <c r="D68" s="24">
        <f t="shared" si="17"/>
        <v>33.851521342501684</v>
      </c>
      <c r="E68" s="24">
        <f t="shared" si="17"/>
        <v>38000</v>
      </c>
      <c r="F68" s="21">
        <f t="shared" si="7"/>
        <v>272276</v>
      </c>
    </row>
    <row r="69" spans="3:6" x14ac:dyDescent="0.25">
      <c r="C69" s="24">
        <f t="shared" ref="C69:E69" si="18">B15</f>
        <v>162896.27914347179</v>
      </c>
      <c r="D69" s="24">
        <f t="shared" si="18"/>
        <v>33.851521342501684</v>
      </c>
      <c r="E69" s="24">
        <f t="shared" si="18"/>
        <v>24760</v>
      </c>
      <c r="F69" s="21">
        <f t="shared" si="7"/>
        <v>215188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A7" zoomScaleNormal="100" workbookViewId="0">
      <selection activeCell="F56" sqref="F56"/>
    </sheetView>
  </sheetViews>
  <sheetFormatPr defaultRowHeight="15" x14ac:dyDescent="0.25"/>
  <cols>
    <col min="1" max="1" width="45" customWidth="1"/>
    <col min="2" max="3" width="45" style="21" customWidth="1"/>
    <col min="4" max="4" width="47.85546875" customWidth="1"/>
    <col min="5" max="5" width="22.85546875" customWidth="1"/>
    <col min="6" max="6" width="26.28515625" customWidth="1"/>
    <col min="7" max="7" width="25.42578125" customWidth="1"/>
    <col min="8" max="8" width="26.28515625" customWidth="1"/>
    <col min="9" max="9" width="27.42578125" customWidth="1"/>
    <col min="10" max="10" width="33.7109375" customWidth="1"/>
    <col min="11" max="11" width="22.42578125" customWidth="1"/>
    <col min="12" max="12" width="18.42578125" customWidth="1"/>
    <col min="13" max="13" width="17" customWidth="1"/>
  </cols>
  <sheetData>
    <row r="1" spans="1:13" ht="14.45" x14ac:dyDescent="0.3">
      <c r="A1" s="21" t="s">
        <v>49</v>
      </c>
      <c r="B1" s="21" t="s">
        <v>90</v>
      </c>
      <c r="C1" s="21" t="s">
        <v>91</v>
      </c>
      <c r="D1" s="21" t="s">
        <v>1</v>
      </c>
      <c r="E1" s="21" t="s">
        <v>2</v>
      </c>
      <c r="F1" s="21" t="s">
        <v>62</v>
      </c>
      <c r="G1" s="21" t="s">
        <v>60</v>
      </c>
      <c r="H1" s="21" t="s">
        <v>61</v>
      </c>
      <c r="I1" s="21" t="s">
        <v>55</v>
      </c>
      <c r="J1" s="21" t="s">
        <v>93</v>
      </c>
      <c r="K1" s="21" t="s">
        <v>57</v>
      </c>
      <c r="L1" s="21" t="s">
        <v>92</v>
      </c>
      <c r="M1" s="21" t="s">
        <v>59</v>
      </c>
    </row>
    <row r="2" spans="1:13" ht="14.45" x14ac:dyDescent="0.3">
      <c r="A2" s="21" t="s">
        <v>50</v>
      </c>
      <c r="B2" s="21">
        <v>191474.50445168791</v>
      </c>
      <c r="C2" s="21">
        <v>1775886.8124954188</v>
      </c>
      <c r="D2" s="21">
        <f>35*Table717[[#This Row],[Duct Length]]/50</f>
        <v>134032.15311618152</v>
      </c>
      <c r="E2" s="21">
        <f>Table717[[#This Row],[Fiber Length]]*0.3/50</f>
        <v>10655.320874972513</v>
      </c>
      <c r="F2" s="24">
        <f>'FTTCab GPON 26 Mbps'!$B$19</f>
        <v>7862</v>
      </c>
      <c r="G2" s="24">
        <f>'FTTCab GPON 26 Mbps'!C$19</f>
        <v>287164</v>
      </c>
      <c r="H2" s="24">
        <f>'FTTCab GPON 26 Mbps'!D$19</f>
        <v>0</v>
      </c>
      <c r="I2" s="21">
        <f>SUM(Table717[[#This Row],[Duct Cost]:[Building E&amp;I Costs]])</f>
        <v>439713.47399115399</v>
      </c>
      <c r="J2" s="21">
        <f t="shared" ref="J2:J14" si="0">I2*50</f>
        <v>21985673.699557699</v>
      </c>
      <c r="K2" s="21">
        <v>29262</v>
      </c>
      <c r="L2" s="21">
        <f>J2/K2</f>
        <v>751.33872256023847</v>
      </c>
      <c r="M2" s="21">
        <v>25</v>
      </c>
    </row>
    <row r="3" spans="1:13" ht="14.45" x14ac:dyDescent="0.3">
      <c r="A3" s="21" t="s">
        <v>51</v>
      </c>
      <c r="B3" s="21">
        <v>191474.50445168791</v>
      </c>
      <c r="C3" s="21">
        <v>1775886.8124954188</v>
      </c>
      <c r="D3" s="24">
        <f>35*Table717[[#This Row],[Duct Length]]/50</f>
        <v>134032.15311618152</v>
      </c>
      <c r="E3" s="24">
        <f>Table717[[#This Row],[Fiber Length]]*0.3/50</f>
        <v>10655.320874972513</v>
      </c>
      <c r="F3" s="24">
        <f>'FTTB XGPON 50 Mbps'!$B$18</f>
        <v>13040</v>
      </c>
      <c r="G3" s="24">
        <f>'FTTB XGPON 50 Mbps'!C$18</f>
        <v>11160</v>
      </c>
      <c r="H3" s="24">
        <f>'FTTB XGPON 50 Mbps'!D$18</f>
        <v>112000</v>
      </c>
      <c r="I3" s="24">
        <f>SUM(Table717[[#This Row],[Duct Cost]:[Building E&amp;I Costs]])</f>
        <v>280887.47399115399</v>
      </c>
      <c r="J3" s="21">
        <f t="shared" si="0"/>
        <v>14044373.699557699</v>
      </c>
      <c r="K3" s="21">
        <v>29262</v>
      </c>
      <c r="L3" s="21">
        <f t="shared" ref="L3:L6" si="1">J3/K3</f>
        <v>479.9526245491661</v>
      </c>
      <c r="M3" s="21">
        <v>50</v>
      </c>
    </row>
    <row r="4" spans="1:13" ht="14.45" x14ac:dyDescent="0.3">
      <c r="A4" s="21" t="s">
        <v>52</v>
      </c>
      <c r="B4" s="21">
        <v>149208.7890873194</v>
      </c>
      <c r="C4" s="21">
        <v>1186380.643565553</v>
      </c>
      <c r="D4" s="24">
        <f>35*Table717[[#This Row],[Duct Length]]/50</f>
        <v>104446.15236112358</v>
      </c>
      <c r="E4" s="24">
        <f>Table717[[#This Row],[Fiber Length]]*0.3/50</f>
        <v>7118.2838613933172</v>
      </c>
      <c r="F4" s="24">
        <f>'FTTB WR-WDMPON 50 Mbps'!$B$16</f>
        <v>21000</v>
      </c>
      <c r="G4" s="24">
        <f>'FTTB WR-WDMPON 50 Mbps'!C16</f>
        <v>360</v>
      </c>
      <c r="H4" s="24">
        <f>'FTTB WR-WDMPON 50 Mbps'!D16</f>
        <v>120000</v>
      </c>
      <c r="I4" s="24">
        <f>SUM(Table717[[#This Row],[Duct Cost]:[Building E&amp;I Costs]])</f>
        <v>252924.43622251687</v>
      </c>
      <c r="J4" s="21">
        <f t="shared" si="0"/>
        <v>12646221.811125843</v>
      </c>
      <c r="K4" s="21">
        <v>29262</v>
      </c>
      <c r="L4" s="21">
        <f t="shared" si="1"/>
        <v>432.17216222834537</v>
      </c>
      <c r="M4" s="21">
        <v>50</v>
      </c>
    </row>
    <row r="5" spans="1:13" ht="14.45" x14ac:dyDescent="0.3">
      <c r="A5" s="21" t="s">
        <v>53</v>
      </c>
      <c r="B5" s="21">
        <v>149208.7890873194</v>
      </c>
      <c r="C5" s="21">
        <v>1186380.643565553</v>
      </c>
      <c r="D5" s="24">
        <f>35*Table717[[#This Row],[Duct Length]]/50</f>
        <v>104446.15236112358</v>
      </c>
      <c r="E5" s="24">
        <f>Table717[[#This Row],[Fiber Length]]*0.3/50</f>
        <v>7118.2838613933172</v>
      </c>
      <c r="F5" s="24">
        <f>'FTTH WR-WDMPON 100 Mbps'!$B$16</f>
        <v>21000</v>
      </c>
      <c r="G5" s="24">
        <f>'FTTH WR-WDMPON 100 Mbps'!C16</f>
        <v>360</v>
      </c>
      <c r="H5" s="24">
        <f>'FTTH WR-WDMPON 100 Mbps'!D16</f>
        <v>480000</v>
      </c>
      <c r="I5" s="24">
        <f>SUM(Table717[[#This Row],[Duct Cost]:[Building E&amp;I Costs]])</f>
        <v>612924.43622251693</v>
      </c>
      <c r="J5" s="21">
        <f t="shared" si="0"/>
        <v>30646221.811125845</v>
      </c>
      <c r="K5" s="21">
        <v>29262</v>
      </c>
      <c r="L5" s="21">
        <f t="shared" si="1"/>
        <v>1047.3044156628339</v>
      </c>
      <c r="M5" s="21">
        <v>100</v>
      </c>
    </row>
    <row r="6" spans="1:13" ht="14.45" x14ac:dyDescent="0.3">
      <c r="A6" s="21" t="s">
        <v>54</v>
      </c>
      <c r="B6" s="21">
        <v>191474.50445168791</v>
      </c>
      <c r="C6" s="21">
        <v>1775886.8124954188</v>
      </c>
      <c r="D6" s="24">
        <f>35*Table717[[#This Row],[Duct Length]]/50</f>
        <v>134032.15311618152</v>
      </c>
      <c r="E6" s="24">
        <f>Table717[[#This Row],[Fiber Length]]*0.3/50</f>
        <v>10655.320874972513</v>
      </c>
      <c r="F6" s="24">
        <f>'FTTH XGPON 100 Mbps'!$B$18</f>
        <v>41400</v>
      </c>
      <c r="G6" s="24">
        <f>'FTTH XGPON 100 Mbps'!C18</f>
        <v>13700</v>
      </c>
      <c r="H6" s="24">
        <f>'FTTH XGPON 100 Mbps'!D18</f>
        <v>384000</v>
      </c>
      <c r="I6" s="24">
        <f>SUM(Table717[[#This Row],[Duct Cost]:[Building E&amp;I Costs]])</f>
        <v>583787.47399115399</v>
      </c>
      <c r="J6" s="21">
        <f t="shared" si="0"/>
        <v>29189373.699557699</v>
      </c>
      <c r="K6" s="21">
        <v>29262</v>
      </c>
      <c r="L6" s="21">
        <f t="shared" si="1"/>
        <v>997.51806778612877</v>
      </c>
      <c r="M6" s="21">
        <v>100</v>
      </c>
    </row>
    <row r="7" spans="1:13" ht="14.45" x14ac:dyDescent="0.3">
      <c r="A7" s="21" t="s">
        <v>67</v>
      </c>
      <c r="B7" s="21">
        <v>191474.50445168791</v>
      </c>
      <c r="C7" s="21">
        <v>1775886.8124954188</v>
      </c>
      <c r="D7" s="24">
        <f>35*Table717[[#This Row],[Duct Length]]/50</f>
        <v>134032.15311618152</v>
      </c>
      <c r="E7" s="24">
        <f>Table717[[#This Row],[Fiber Length]]*0.3/50</f>
        <v>10655.320874972513</v>
      </c>
      <c r="F7" s="24">
        <f>FTTCab_GPON_100!$B$17</f>
        <v>15980</v>
      </c>
      <c r="G7" s="24">
        <f>FTTCab_GPON_100!C17</f>
        <v>645800</v>
      </c>
      <c r="H7" s="24">
        <f>FTTCab_GPON_100!D17</f>
        <v>0</v>
      </c>
      <c r="I7" s="24">
        <f>SUM(Table717[[#This Row],[Duct Cost]:[Building E&amp;I Costs]])</f>
        <v>806467.47399115399</v>
      </c>
      <c r="J7" s="21">
        <f t="shared" si="0"/>
        <v>40323373.699557699</v>
      </c>
      <c r="K7" s="21">
        <v>29262</v>
      </c>
      <c r="L7" s="21">
        <f>J7/K7</f>
        <v>1378.0115405494396</v>
      </c>
      <c r="M7" s="21">
        <v>100</v>
      </c>
    </row>
    <row r="8" spans="1:13" ht="14.45" x14ac:dyDescent="0.3">
      <c r="A8" s="21" t="s">
        <v>68</v>
      </c>
      <c r="B8" s="21">
        <v>191474.50445168791</v>
      </c>
      <c r="C8" s="21">
        <v>1775886.8124954188</v>
      </c>
      <c r="D8" s="24">
        <f>35*Table717[[#This Row],[Duct Length]]/50</f>
        <v>134032.15311618152</v>
      </c>
      <c r="E8" s="24">
        <f>Table717[[#This Row],[Fiber Length]]*0.3/50</f>
        <v>10655.320874972513</v>
      </c>
      <c r="F8" s="24">
        <f>FTTB_XGPON_100!$B$17</f>
        <v>24400</v>
      </c>
      <c r="G8" s="24">
        <f>FTTB_XGPON_100!C17</f>
        <v>22102</v>
      </c>
      <c r="H8" s="24">
        <f>FTTB_XGPON_100!D17</f>
        <v>224000</v>
      </c>
      <c r="I8" s="24">
        <f>SUM(Table717[[#This Row],[Duct Cost]:[Building E&amp;I Costs]])</f>
        <v>415189.47399115399</v>
      </c>
      <c r="J8" s="21">
        <f t="shared" si="0"/>
        <v>20759473.699557699</v>
      </c>
      <c r="K8" s="21">
        <v>29262</v>
      </c>
      <c r="L8" s="21">
        <f>J8/K8</f>
        <v>709.434546495718</v>
      </c>
      <c r="M8" s="21">
        <v>100</v>
      </c>
    </row>
    <row r="9" spans="1:13" ht="14.45" x14ac:dyDescent="0.3">
      <c r="A9" s="21" t="s">
        <v>69</v>
      </c>
      <c r="B9" s="21">
        <v>149208.7890873194</v>
      </c>
      <c r="C9" s="21">
        <v>1186380.643565553</v>
      </c>
      <c r="D9" s="24">
        <f>35*Table717[[#This Row],[Duct Length]]/50</f>
        <v>104446.15236112358</v>
      </c>
      <c r="E9" s="24">
        <f>Table717[[#This Row],[Fiber Length]]*0.3/50</f>
        <v>7118.2838613933172</v>
      </c>
      <c r="F9" s="24">
        <f>FTTB_WRWDM_100!$B$15</f>
        <v>42000</v>
      </c>
      <c r="G9" s="24">
        <f>FTTB_WRWDM_100!C15</f>
        <v>720</v>
      </c>
      <c r="H9" s="24">
        <f>FTTB_WRWDM_100!D15</f>
        <v>240000</v>
      </c>
      <c r="I9" s="24">
        <f>SUM(Table717[[#This Row],[Duct Cost]:[Building E&amp;I Costs]])</f>
        <v>394284.43622251687</v>
      </c>
      <c r="J9" s="21">
        <f t="shared" si="0"/>
        <v>19714221.811125845</v>
      </c>
      <c r="K9" s="21">
        <v>29262</v>
      </c>
      <c r="L9" s="21">
        <f>J9/K9</f>
        <v>673.71409374362122</v>
      </c>
      <c r="M9" s="21">
        <v>100</v>
      </c>
    </row>
    <row r="10" spans="1:13" ht="14.45" x14ac:dyDescent="0.3">
      <c r="A10" s="22" t="s">
        <v>70</v>
      </c>
      <c r="B10" s="16">
        <v>185511.08561848622</v>
      </c>
      <c r="C10" s="16">
        <v>1692576.0671250841</v>
      </c>
      <c r="D10" s="24">
        <f>35*Table717[[#This Row],[Duct Length]]/50</f>
        <v>129857.75993294036</v>
      </c>
      <c r="E10" s="24">
        <f>Table717[[#This Row],[Fiber Length]]*0.3/50</f>
        <v>10155.456402750504</v>
      </c>
      <c r="F10" s="24">
        <f>FTTCab_Hybridpon_25!$B$17</f>
        <v>10744</v>
      </c>
      <c r="G10" s="24">
        <f>FTTCab_Hybridpon_25!C17</f>
        <v>312624</v>
      </c>
      <c r="H10" s="24">
        <f>FTTCab_Hybridpon_25!D17</f>
        <v>0</v>
      </c>
      <c r="I10" s="24">
        <f>SUM(Table717[[#This Row],[Duct Cost]:[Building E&amp;I Costs]])</f>
        <v>463381.21633569087</v>
      </c>
      <c r="J10" s="21">
        <f t="shared" si="0"/>
        <v>23169060.816784542</v>
      </c>
      <c r="K10" s="21">
        <v>29262</v>
      </c>
      <c r="L10" s="21">
        <f t="shared" ref="L10:L14" si="2">J10/K10</f>
        <v>791.77981056607689</v>
      </c>
      <c r="M10" s="21">
        <v>25</v>
      </c>
    </row>
    <row r="11" spans="1:13" ht="14.45" x14ac:dyDescent="0.3">
      <c r="A11" s="22" t="s">
        <v>71</v>
      </c>
      <c r="B11" s="16">
        <v>172747.9129468271</v>
      </c>
      <c r="C11" s="16">
        <v>1692576.0671250841</v>
      </c>
      <c r="D11" s="24">
        <f>35*Table717[[#This Row],[Duct Length]]/50</f>
        <v>120923.53906277897</v>
      </c>
      <c r="E11" s="24">
        <f>Table717[[#This Row],[Fiber Length]]*0.3/50</f>
        <v>10155.456402750504</v>
      </c>
      <c r="F11" s="24">
        <f>FTTB_Hybridpon_50!$B$16</f>
        <v>31048</v>
      </c>
      <c r="G11" s="24">
        <f>FTTB_Hybridpon_50!C16</f>
        <v>5124</v>
      </c>
      <c r="H11" s="24">
        <f>FTTB_Hybridpon_50!D16</f>
        <v>120000</v>
      </c>
      <c r="I11" s="24">
        <f>SUM(Table717[[#This Row],[Duct Cost]:[Building E&amp;I Costs]])</f>
        <v>287250.9954655295</v>
      </c>
      <c r="J11" s="21">
        <f t="shared" si="0"/>
        <v>14362549.773276474</v>
      </c>
      <c r="K11" s="21">
        <v>29262</v>
      </c>
      <c r="L11" s="21">
        <f t="shared" si="2"/>
        <v>490.82597817225326</v>
      </c>
      <c r="M11" s="21">
        <v>50</v>
      </c>
    </row>
    <row r="12" spans="1:13" ht="14.45" x14ac:dyDescent="0.3">
      <c r="A12" s="22" t="s">
        <v>72</v>
      </c>
      <c r="B12" s="16">
        <v>172747.9129468271</v>
      </c>
      <c r="C12" s="16">
        <v>1692576.0671250841</v>
      </c>
      <c r="D12" s="24">
        <f>35*Table717[[#This Row],[Duct Length]]/50</f>
        <v>120923.53906277897</v>
      </c>
      <c r="E12" s="24">
        <f>Table717[[#This Row],[Fiber Length]]*0.3/50</f>
        <v>10155.456402750504</v>
      </c>
      <c r="F12" s="24">
        <f>FTTH_Hybridpon_100!$B$16</f>
        <v>59100</v>
      </c>
      <c r="G12" s="24">
        <f>FTTH_Hybridpon_100!C16</f>
        <v>10280</v>
      </c>
      <c r="H12" s="24">
        <f>FTTH_Hybridpon_100!D16</f>
        <v>448000</v>
      </c>
      <c r="I12" s="24">
        <f>SUM(Table717[[#This Row],[Duct Cost]:[Building E&amp;I Costs]])</f>
        <v>648458.9954655295</v>
      </c>
      <c r="J12" s="21">
        <f t="shared" si="0"/>
        <v>32422949.773276474</v>
      </c>
      <c r="K12" s="21">
        <v>29262</v>
      </c>
      <c r="L12" s="21">
        <f t="shared" si="2"/>
        <v>1108.0223420571551</v>
      </c>
      <c r="M12" s="21">
        <v>100</v>
      </c>
    </row>
    <row r="13" spans="1:13" ht="14.45" x14ac:dyDescent="0.3">
      <c r="A13" s="22" t="s">
        <v>73</v>
      </c>
      <c r="B13" s="16">
        <v>172747.9129468271</v>
      </c>
      <c r="C13" s="16">
        <v>1692576.0671250841</v>
      </c>
      <c r="D13" s="24">
        <f>35*Table717[[#This Row],[Duct Length]]/50</f>
        <v>120923.53906277897</v>
      </c>
      <c r="E13" s="24">
        <f>Table717[[#This Row],[Fiber Length]]*0.3/50</f>
        <v>10155.456402750504</v>
      </c>
      <c r="F13" s="24">
        <f>FTTC_Hybridpon_100!$B$17</f>
        <v>33980</v>
      </c>
      <c r="G13" s="24">
        <f>FTTC_Hybridpon_100!C17</f>
        <v>645496</v>
      </c>
      <c r="H13" s="24">
        <f>FTTC_Hybridpon_100!D17</f>
        <v>0</v>
      </c>
      <c r="I13" s="24">
        <f>SUM(Table717[[#This Row],[Duct Cost]:[Building E&amp;I Costs]])</f>
        <v>810554.9954655295</v>
      </c>
      <c r="J13" s="21">
        <f t="shared" si="0"/>
        <v>40527749.773276478</v>
      </c>
      <c r="K13" s="21">
        <v>29262</v>
      </c>
      <c r="L13" s="21">
        <f t="shared" si="2"/>
        <v>1384.9958913702576</v>
      </c>
      <c r="M13" s="21">
        <v>100</v>
      </c>
    </row>
    <row r="14" spans="1:13" ht="14.45" x14ac:dyDescent="0.3">
      <c r="A14" s="15" t="s">
        <v>74</v>
      </c>
      <c r="B14" s="16">
        <v>172747.9129468271</v>
      </c>
      <c r="C14" s="16">
        <v>1692576.0671250841</v>
      </c>
      <c r="D14" s="24">
        <f>35*Table717[[#This Row],[Duct Length]]/50</f>
        <v>120923.53906277897</v>
      </c>
      <c r="E14" s="24">
        <f>Table717[[#This Row],[Fiber Length]]*0.3/50</f>
        <v>10155.456402750504</v>
      </c>
      <c r="F14" s="17">
        <f>FTTB_Hybridpon_100!$B$16</f>
        <v>62096</v>
      </c>
      <c r="G14" s="17">
        <f>FTTB_Hybridpon_100!C16</f>
        <v>10248</v>
      </c>
      <c r="H14" s="17">
        <f>FTTB_Hybridpon_100!D16</f>
        <v>240000</v>
      </c>
      <c r="I14" s="24">
        <f>SUM(Table717[[#This Row],[Duct Cost]:[Building E&amp;I Costs]])</f>
        <v>443422.9954655295</v>
      </c>
      <c r="J14" s="21">
        <f t="shared" si="0"/>
        <v>22171149.773276474</v>
      </c>
      <c r="K14" s="21">
        <v>29262</v>
      </c>
      <c r="L14" s="17">
        <f t="shared" si="2"/>
        <v>757.67718451495023</v>
      </c>
      <c r="M14" s="17">
        <v>100</v>
      </c>
    </row>
    <row r="28" spans="2:5" ht="14.45" x14ac:dyDescent="0.3">
      <c r="B28" s="24"/>
      <c r="C28" s="24"/>
      <c r="D28" s="24"/>
    </row>
    <row r="29" spans="2:5" ht="14.45" x14ac:dyDescent="0.3">
      <c r="B29" s="24"/>
      <c r="C29" s="24"/>
      <c r="D29" s="24"/>
      <c r="E29" s="23"/>
    </row>
    <row r="30" spans="2:5" ht="14.45" x14ac:dyDescent="0.3">
      <c r="B30" s="24"/>
      <c r="C30" s="24"/>
      <c r="D30" s="24"/>
      <c r="E30" s="23"/>
    </row>
    <row r="31" spans="2:5" x14ac:dyDescent="0.25">
      <c r="B31" s="24"/>
      <c r="C31" s="24"/>
      <c r="D31" s="24"/>
      <c r="E31" s="23"/>
    </row>
    <row r="32" spans="2:5" x14ac:dyDescent="0.25">
      <c r="B32" s="24"/>
      <c r="C32" s="24"/>
      <c r="D32" s="24"/>
      <c r="E32" s="23"/>
    </row>
    <row r="33" spans="2:5" x14ac:dyDescent="0.25">
      <c r="B33" s="24"/>
      <c r="C33" s="24"/>
      <c r="D33" s="24"/>
      <c r="E33" s="23"/>
    </row>
    <row r="34" spans="2:5" x14ac:dyDescent="0.25">
      <c r="B34" s="24"/>
      <c r="C34" s="24"/>
      <c r="D34" s="24"/>
      <c r="E34" s="23"/>
    </row>
    <row r="35" spans="2:5" x14ac:dyDescent="0.25">
      <c r="B35" s="24"/>
      <c r="C35" s="24"/>
      <c r="D35" s="24"/>
      <c r="E35" s="23"/>
    </row>
    <row r="36" spans="2:5" x14ac:dyDescent="0.25">
      <c r="B36" s="24"/>
      <c r="C36" s="24"/>
      <c r="D36" s="24"/>
      <c r="E36" s="23"/>
    </row>
    <row r="37" spans="2:5" x14ac:dyDescent="0.25">
      <c r="B37" s="24"/>
      <c r="C37" s="24"/>
      <c r="D37" s="24"/>
      <c r="E37" s="23"/>
    </row>
    <row r="38" spans="2:5" x14ac:dyDescent="0.25">
      <c r="B38" s="24"/>
      <c r="C38" s="24"/>
      <c r="D38" s="24"/>
      <c r="E38" s="23"/>
    </row>
    <row r="39" spans="2:5" x14ac:dyDescent="0.25">
      <c r="B39" s="24"/>
      <c r="C39" s="24"/>
      <c r="D39" s="24"/>
      <c r="E39" s="23"/>
    </row>
    <row r="40" spans="2:5" x14ac:dyDescent="0.25">
      <c r="B40" s="24"/>
      <c r="C40" s="24"/>
      <c r="D40" s="24"/>
      <c r="E40" s="23"/>
    </row>
    <row r="55" spans="6:9" x14ac:dyDescent="0.25">
      <c r="F55" t="s">
        <v>1</v>
      </c>
      <c r="G55" t="s">
        <v>2</v>
      </c>
      <c r="H55" t="s">
        <v>130</v>
      </c>
      <c r="I55" t="s">
        <v>3</v>
      </c>
    </row>
    <row r="56" spans="6:9" x14ac:dyDescent="0.25">
      <c r="F56">
        <f>D2</f>
        <v>134032.15311618152</v>
      </c>
      <c r="G56" s="24">
        <f t="shared" ref="G56:H68" si="3">E2</f>
        <v>10655.320874972513</v>
      </c>
      <c r="H56" s="24">
        <f t="shared" si="3"/>
        <v>7862</v>
      </c>
      <c r="I56">
        <f>G2+H2</f>
        <v>287164</v>
      </c>
    </row>
    <row r="57" spans="6:9" x14ac:dyDescent="0.25">
      <c r="F57" s="24">
        <f t="shared" ref="F57:F120" si="4">D3</f>
        <v>134032.15311618152</v>
      </c>
      <c r="G57" s="24">
        <f t="shared" si="3"/>
        <v>10655.320874972513</v>
      </c>
      <c r="H57" s="24">
        <f t="shared" si="3"/>
        <v>13040</v>
      </c>
      <c r="I57" s="24">
        <f t="shared" ref="I57:I68" si="5">G3+H3</f>
        <v>123160</v>
      </c>
    </row>
    <row r="58" spans="6:9" x14ac:dyDescent="0.25">
      <c r="F58" s="24">
        <f t="shared" si="4"/>
        <v>104446.15236112358</v>
      </c>
      <c r="G58" s="24">
        <f t="shared" si="3"/>
        <v>7118.2838613933172</v>
      </c>
      <c r="H58" s="24">
        <f t="shared" si="3"/>
        <v>21000</v>
      </c>
      <c r="I58" s="24">
        <f t="shared" si="5"/>
        <v>120360</v>
      </c>
    </row>
    <row r="59" spans="6:9" x14ac:dyDescent="0.25">
      <c r="F59" s="24">
        <f t="shared" si="4"/>
        <v>104446.15236112358</v>
      </c>
      <c r="G59" s="24">
        <f t="shared" si="3"/>
        <v>7118.2838613933172</v>
      </c>
      <c r="H59" s="24">
        <f t="shared" si="3"/>
        <v>21000</v>
      </c>
      <c r="I59" s="24">
        <f t="shared" si="5"/>
        <v>480360</v>
      </c>
    </row>
    <row r="60" spans="6:9" x14ac:dyDescent="0.25">
      <c r="F60" s="24">
        <f t="shared" si="4"/>
        <v>134032.15311618152</v>
      </c>
      <c r="G60" s="24">
        <f t="shared" si="3"/>
        <v>10655.320874972513</v>
      </c>
      <c r="H60" s="24">
        <f t="shared" si="3"/>
        <v>41400</v>
      </c>
      <c r="I60" s="24">
        <f t="shared" si="5"/>
        <v>397700</v>
      </c>
    </row>
    <row r="61" spans="6:9" x14ac:dyDescent="0.25">
      <c r="F61" s="24">
        <f t="shared" si="4"/>
        <v>134032.15311618152</v>
      </c>
      <c r="G61" s="24">
        <f t="shared" si="3"/>
        <v>10655.320874972513</v>
      </c>
      <c r="H61" s="24">
        <f t="shared" si="3"/>
        <v>15980</v>
      </c>
      <c r="I61" s="24">
        <f t="shared" si="5"/>
        <v>645800</v>
      </c>
    </row>
    <row r="62" spans="6:9" x14ac:dyDescent="0.25">
      <c r="F62" s="24">
        <f t="shared" si="4"/>
        <v>134032.15311618152</v>
      </c>
      <c r="G62" s="24">
        <f t="shared" si="3"/>
        <v>10655.320874972513</v>
      </c>
      <c r="H62" s="24">
        <f t="shared" si="3"/>
        <v>24400</v>
      </c>
      <c r="I62" s="24">
        <f t="shared" si="5"/>
        <v>246102</v>
      </c>
    </row>
    <row r="63" spans="6:9" x14ac:dyDescent="0.25">
      <c r="F63" s="24">
        <f t="shared" si="4"/>
        <v>104446.15236112358</v>
      </c>
      <c r="G63" s="24">
        <f t="shared" si="3"/>
        <v>7118.2838613933172</v>
      </c>
      <c r="H63" s="24">
        <f t="shared" si="3"/>
        <v>42000</v>
      </c>
      <c r="I63" s="24">
        <f t="shared" si="5"/>
        <v>240720</v>
      </c>
    </row>
    <row r="64" spans="6:9" x14ac:dyDescent="0.25">
      <c r="F64" s="24">
        <f t="shared" si="4"/>
        <v>129857.75993294036</v>
      </c>
      <c r="G64" s="24">
        <f t="shared" si="3"/>
        <v>10155.456402750504</v>
      </c>
      <c r="H64" s="24">
        <f t="shared" si="3"/>
        <v>10744</v>
      </c>
      <c r="I64" s="24">
        <f t="shared" si="5"/>
        <v>312624</v>
      </c>
    </row>
    <row r="65" spans="6:9" x14ac:dyDescent="0.25">
      <c r="F65" s="24">
        <f t="shared" si="4"/>
        <v>120923.53906277897</v>
      </c>
      <c r="G65" s="24">
        <f t="shared" si="3"/>
        <v>10155.456402750504</v>
      </c>
      <c r="H65" s="24">
        <f t="shared" si="3"/>
        <v>31048</v>
      </c>
      <c r="I65" s="24">
        <f t="shared" si="5"/>
        <v>125124</v>
      </c>
    </row>
    <row r="66" spans="6:9" x14ac:dyDescent="0.25">
      <c r="F66" s="24">
        <f t="shared" si="4"/>
        <v>120923.53906277897</v>
      </c>
      <c r="G66" s="24">
        <f t="shared" si="3"/>
        <v>10155.456402750504</v>
      </c>
      <c r="H66" s="24">
        <f t="shared" si="3"/>
        <v>59100</v>
      </c>
      <c r="I66" s="24">
        <f t="shared" si="5"/>
        <v>458280</v>
      </c>
    </row>
    <row r="67" spans="6:9" x14ac:dyDescent="0.25">
      <c r="F67" s="24">
        <f t="shared" si="4"/>
        <v>120923.53906277897</v>
      </c>
      <c r="G67" s="24">
        <f t="shared" si="3"/>
        <v>10155.456402750504</v>
      </c>
      <c r="H67" s="24">
        <f t="shared" si="3"/>
        <v>33980</v>
      </c>
      <c r="I67" s="24">
        <f t="shared" si="5"/>
        <v>645496</v>
      </c>
    </row>
    <row r="68" spans="6:9" x14ac:dyDescent="0.25">
      <c r="F68" s="24">
        <f t="shared" si="4"/>
        <v>120923.53906277897</v>
      </c>
      <c r="G68" s="24">
        <f t="shared" si="3"/>
        <v>10155.456402750504</v>
      </c>
      <c r="H68" s="24">
        <f t="shared" si="3"/>
        <v>62096</v>
      </c>
      <c r="I68" s="24">
        <f t="shared" si="5"/>
        <v>250248</v>
      </c>
    </row>
    <row r="69" spans="6:9" x14ac:dyDescent="0.25">
      <c r="F69" s="24">
        <f t="shared" si="4"/>
        <v>0</v>
      </c>
    </row>
    <row r="70" spans="6:9" x14ac:dyDescent="0.25">
      <c r="F70" s="24">
        <f t="shared" si="4"/>
        <v>0</v>
      </c>
    </row>
    <row r="71" spans="6:9" x14ac:dyDescent="0.25">
      <c r="F71" s="24">
        <f t="shared" si="4"/>
        <v>0</v>
      </c>
    </row>
    <row r="72" spans="6:9" x14ac:dyDescent="0.25">
      <c r="F72" s="24">
        <f t="shared" si="4"/>
        <v>0</v>
      </c>
    </row>
    <row r="73" spans="6:9" x14ac:dyDescent="0.25">
      <c r="F73" s="24">
        <f t="shared" si="4"/>
        <v>0</v>
      </c>
    </row>
    <row r="74" spans="6:9" x14ac:dyDescent="0.25">
      <c r="F74" s="24">
        <f t="shared" si="4"/>
        <v>0</v>
      </c>
    </row>
    <row r="75" spans="6:9" x14ac:dyDescent="0.25">
      <c r="F75" s="24">
        <f t="shared" si="4"/>
        <v>0</v>
      </c>
    </row>
    <row r="76" spans="6:9" x14ac:dyDescent="0.25">
      <c r="F76" s="24">
        <f t="shared" si="4"/>
        <v>0</v>
      </c>
    </row>
    <row r="77" spans="6:9" x14ac:dyDescent="0.25">
      <c r="F77" s="24">
        <f t="shared" si="4"/>
        <v>0</v>
      </c>
    </row>
    <row r="78" spans="6:9" x14ac:dyDescent="0.25">
      <c r="F78" s="24">
        <f t="shared" si="4"/>
        <v>0</v>
      </c>
    </row>
    <row r="79" spans="6:9" x14ac:dyDescent="0.25">
      <c r="F79" s="24">
        <f t="shared" si="4"/>
        <v>0</v>
      </c>
    </row>
    <row r="80" spans="6:9" x14ac:dyDescent="0.25">
      <c r="F80" s="24">
        <f t="shared" si="4"/>
        <v>0</v>
      </c>
    </row>
    <row r="81" spans="1:8" x14ac:dyDescent="0.25">
      <c r="F81" s="24">
        <f t="shared" si="4"/>
        <v>0</v>
      </c>
    </row>
    <row r="82" spans="1:8" x14ac:dyDescent="0.25">
      <c r="F82" s="24">
        <f t="shared" si="4"/>
        <v>0</v>
      </c>
    </row>
    <row r="83" spans="1:8" x14ac:dyDescent="0.25">
      <c r="F83" s="24">
        <f t="shared" si="4"/>
        <v>0</v>
      </c>
    </row>
    <row r="84" spans="1:8" x14ac:dyDescent="0.25">
      <c r="A84" s="37">
        <v>43163.914328471001</v>
      </c>
      <c r="B84" s="37">
        <v>34814.142864069901</v>
      </c>
      <c r="C84" s="37">
        <v>113496.447259147</v>
      </c>
      <c r="D84" s="37">
        <v>187697.32807546799</v>
      </c>
      <c r="E84" s="37">
        <v>78478.516816500996</v>
      </c>
      <c r="F84" s="37">
        <v>1509710.9676034499</v>
      </c>
      <c r="G84">
        <f>SUM(A84:C84)</f>
        <v>191474.50445168791</v>
      </c>
      <c r="H84">
        <f>SUM(D84:F84)</f>
        <v>1775886.8124954188</v>
      </c>
    </row>
    <row r="85" spans="1:8" x14ac:dyDescent="0.25">
      <c r="A85" s="37">
        <v>43163.914328471001</v>
      </c>
      <c r="B85" s="37">
        <v>34814.142864069901</v>
      </c>
      <c r="C85" s="37">
        <v>113496.447259147</v>
      </c>
      <c r="D85" s="37">
        <v>187697.32807546799</v>
      </c>
      <c r="E85" s="37">
        <v>78478.516816500996</v>
      </c>
      <c r="F85" s="37">
        <v>1509710.9676034499</v>
      </c>
      <c r="G85" s="24">
        <f t="shared" ref="G85:G96" si="6">SUM(A85:C85)</f>
        <v>191474.50445168791</v>
      </c>
      <c r="H85" s="24">
        <f t="shared" ref="H85:H96" si="7">SUM(D85:F85)</f>
        <v>1775886.8124954188</v>
      </c>
    </row>
    <row r="86" spans="1:8" x14ac:dyDescent="0.25">
      <c r="A86" s="37">
        <v>38574.416626852399</v>
      </c>
      <c r="B86" s="37">
        <v>0</v>
      </c>
      <c r="C86" s="37">
        <v>110634.372460467</v>
      </c>
      <c r="D86" s="37">
        <v>144928.38419398299</v>
      </c>
      <c r="E86" s="37">
        <v>0</v>
      </c>
      <c r="F86" s="37">
        <v>1041452.25937157</v>
      </c>
      <c r="G86" s="24">
        <f t="shared" si="6"/>
        <v>149208.7890873194</v>
      </c>
      <c r="H86" s="24">
        <f t="shared" si="7"/>
        <v>1186380.643565553</v>
      </c>
    </row>
    <row r="87" spans="1:8" x14ac:dyDescent="0.25">
      <c r="A87" s="37">
        <v>38574.416626852399</v>
      </c>
      <c r="B87" s="37">
        <v>0</v>
      </c>
      <c r="C87" s="37">
        <v>110634.372460467</v>
      </c>
      <c r="D87" s="37">
        <v>144928.38419398299</v>
      </c>
      <c r="E87" s="37">
        <v>0</v>
      </c>
      <c r="F87" s="37">
        <v>1041452.25937157</v>
      </c>
      <c r="G87" s="24">
        <f t="shared" si="6"/>
        <v>149208.7890873194</v>
      </c>
      <c r="H87" s="24">
        <f t="shared" si="7"/>
        <v>1186380.643565553</v>
      </c>
    </row>
    <row r="88" spans="1:8" x14ac:dyDescent="0.25">
      <c r="A88" s="37">
        <v>43163.914328471001</v>
      </c>
      <c r="B88" s="37">
        <v>34814.142864069901</v>
      </c>
      <c r="C88" s="37">
        <v>113496.447259147</v>
      </c>
      <c r="D88" s="37">
        <v>187697.32807546799</v>
      </c>
      <c r="E88" s="37">
        <v>78478.516816500996</v>
      </c>
      <c r="F88" s="37">
        <v>1509710.9676034499</v>
      </c>
      <c r="G88" s="24">
        <f t="shared" si="6"/>
        <v>191474.50445168791</v>
      </c>
      <c r="H88" s="24">
        <f t="shared" si="7"/>
        <v>1775886.8124954188</v>
      </c>
    </row>
    <row r="89" spans="1:8" x14ac:dyDescent="0.25">
      <c r="A89" s="37">
        <v>43163.914328471001</v>
      </c>
      <c r="B89" s="37">
        <v>34814.142864069901</v>
      </c>
      <c r="C89" s="37">
        <v>113496.447259147</v>
      </c>
      <c r="D89" s="37">
        <v>187697.32807546799</v>
      </c>
      <c r="E89" s="37">
        <v>78478.516816500996</v>
      </c>
      <c r="F89" s="37">
        <v>1509710.9676034499</v>
      </c>
      <c r="G89" s="24">
        <f t="shared" si="6"/>
        <v>191474.50445168791</v>
      </c>
      <c r="H89" s="24">
        <f t="shared" si="7"/>
        <v>1775886.8124954188</v>
      </c>
    </row>
    <row r="90" spans="1:8" x14ac:dyDescent="0.25">
      <c r="A90" s="37">
        <v>43163.914328471001</v>
      </c>
      <c r="B90" s="37">
        <v>34814.142864069901</v>
      </c>
      <c r="C90" s="37">
        <v>113496.447259147</v>
      </c>
      <c r="D90" s="37">
        <v>187697.32807546799</v>
      </c>
      <c r="E90" s="37">
        <v>78478.516816500996</v>
      </c>
      <c r="F90" s="37">
        <v>1509710.9676034499</v>
      </c>
      <c r="G90" s="24">
        <f t="shared" si="6"/>
        <v>191474.50445168791</v>
      </c>
      <c r="H90" s="24">
        <f t="shared" si="7"/>
        <v>1775886.8124954188</v>
      </c>
    </row>
    <row r="91" spans="1:8" x14ac:dyDescent="0.25">
      <c r="A91" s="37">
        <v>38574.416626852399</v>
      </c>
      <c r="B91" s="37">
        <v>0</v>
      </c>
      <c r="C91" s="37">
        <v>110634.372460467</v>
      </c>
      <c r="D91" s="37">
        <v>144928.38419398299</v>
      </c>
      <c r="E91" s="37">
        <v>0</v>
      </c>
      <c r="F91" s="37">
        <v>1041452.25937157</v>
      </c>
      <c r="G91" s="24">
        <f t="shared" si="6"/>
        <v>149208.7890873194</v>
      </c>
      <c r="H91" s="24">
        <f t="shared" si="7"/>
        <v>1186380.643565553</v>
      </c>
    </row>
    <row r="92" spans="1:8" x14ac:dyDescent="0.25">
      <c r="A92" s="37">
        <v>19802.896521245599</v>
      </c>
      <c r="B92" s="37">
        <v>50641.171791515597</v>
      </c>
      <c r="C92" s="37">
        <v>115067.01730572501</v>
      </c>
      <c r="D92" s="37">
        <v>46262.984465988302</v>
      </c>
      <c r="E92" s="37">
        <v>102172.280668636</v>
      </c>
      <c r="F92" s="37">
        <v>1544140.8019904599</v>
      </c>
      <c r="G92" s="24">
        <f t="shared" si="6"/>
        <v>185511.08561848622</v>
      </c>
      <c r="H92" s="24">
        <f t="shared" si="7"/>
        <v>1692576.0671250841</v>
      </c>
    </row>
    <row r="93" spans="1:8" x14ac:dyDescent="0.25">
      <c r="A93" s="37">
        <v>7039.7238495865004</v>
      </c>
      <c r="B93" s="37">
        <v>50641.171791515597</v>
      </c>
      <c r="C93" s="37">
        <v>115067.01730572501</v>
      </c>
      <c r="D93" s="37">
        <v>46262.984465988302</v>
      </c>
      <c r="E93" s="37">
        <v>102172.280668636</v>
      </c>
      <c r="F93" s="37">
        <v>1544140.8019904599</v>
      </c>
      <c r="G93" s="24">
        <f t="shared" si="6"/>
        <v>172747.9129468271</v>
      </c>
      <c r="H93" s="24">
        <f t="shared" si="7"/>
        <v>1692576.0671250841</v>
      </c>
    </row>
    <row r="94" spans="1:8" x14ac:dyDescent="0.25">
      <c r="A94" s="37">
        <v>7039.7238495865004</v>
      </c>
      <c r="B94" s="37">
        <v>50641.171791515597</v>
      </c>
      <c r="C94" s="37">
        <v>115067.01730572501</v>
      </c>
      <c r="D94" s="37">
        <v>46262.984465988302</v>
      </c>
      <c r="E94" s="37">
        <v>102172.280668636</v>
      </c>
      <c r="F94" s="37">
        <v>1544140.8019904599</v>
      </c>
      <c r="G94" s="24">
        <f t="shared" si="6"/>
        <v>172747.9129468271</v>
      </c>
      <c r="H94" s="24">
        <f t="shared" si="7"/>
        <v>1692576.0671250841</v>
      </c>
    </row>
    <row r="95" spans="1:8" x14ac:dyDescent="0.25">
      <c r="A95" s="37">
        <v>7039.7238495865004</v>
      </c>
      <c r="B95" s="37">
        <v>50641.171791515597</v>
      </c>
      <c r="C95" s="37">
        <v>115067.01730572501</v>
      </c>
      <c r="D95" s="37">
        <v>46262.984465988302</v>
      </c>
      <c r="E95" s="37">
        <v>102172.280668636</v>
      </c>
      <c r="F95" s="37">
        <v>1544140.8019904599</v>
      </c>
      <c r="G95" s="24">
        <f t="shared" si="6"/>
        <v>172747.9129468271</v>
      </c>
      <c r="H95" s="24">
        <f t="shared" si="7"/>
        <v>1692576.0671250841</v>
      </c>
    </row>
    <row r="96" spans="1:8" x14ac:dyDescent="0.25">
      <c r="A96" s="37">
        <v>7039.7238495865004</v>
      </c>
      <c r="B96" s="37">
        <v>50641.171791515597</v>
      </c>
      <c r="C96" s="37">
        <v>115067.01730572501</v>
      </c>
      <c r="D96" s="37">
        <v>46262.984465988302</v>
      </c>
      <c r="E96" s="37">
        <v>102172.280668636</v>
      </c>
      <c r="F96" s="37">
        <v>1544140.8019904599</v>
      </c>
      <c r="G96" s="24">
        <f t="shared" si="6"/>
        <v>172747.9129468271</v>
      </c>
      <c r="H96" s="24">
        <f t="shared" si="7"/>
        <v>1692576.0671250841</v>
      </c>
    </row>
    <row r="97" spans="6:6" x14ac:dyDescent="0.25">
      <c r="F97" s="24">
        <f t="shared" si="4"/>
        <v>0</v>
      </c>
    </row>
    <row r="98" spans="6:6" x14ac:dyDescent="0.25">
      <c r="F98" s="24">
        <f t="shared" si="4"/>
        <v>0</v>
      </c>
    </row>
    <row r="99" spans="6:6" x14ac:dyDescent="0.25">
      <c r="F99" s="24">
        <f t="shared" si="4"/>
        <v>0</v>
      </c>
    </row>
    <row r="100" spans="6:6" x14ac:dyDescent="0.25">
      <c r="F100" s="24">
        <f t="shared" si="4"/>
        <v>0</v>
      </c>
    </row>
    <row r="101" spans="6:6" x14ac:dyDescent="0.25">
      <c r="F101" s="24">
        <f t="shared" si="4"/>
        <v>0</v>
      </c>
    </row>
    <row r="102" spans="6:6" x14ac:dyDescent="0.25">
      <c r="F102" s="24">
        <f t="shared" si="4"/>
        <v>0</v>
      </c>
    </row>
    <row r="103" spans="6:6" x14ac:dyDescent="0.25">
      <c r="F103" s="24">
        <f t="shared" si="4"/>
        <v>0</v>
      </c>
    </row>
    <row r="104" spans="6:6" x14ac:dyDescent="0.25">
      <c r="F104" s="24">
        <f t="shared" si="4"/>
        <v>0</v>
      </c>
    </row>
    <row r="105" spans="6:6" x14ac:dyDescent="0.25">
      <c r="F105" s="24">
        <f t="shared" si="4"/>
        <v>0</v>
      </c>
    </row>
    <row r="106" spans="6:6" x14ac:dyDescent="0.25">
      <c r="F106" s="24">
        <f t="shared" si="4"/>
        <v>0</v>
      </c>
    </row>
    <row r="107" spans="6:6" x14ac:dyDescent="0.25">
      <c r="F107" s="24">
        <f t="shared" si="4"/>
        <v>0</v>
      </c>
    </row>
    <row r="108" spans="6:6" x14ac:dyDescent="0.25">
      <c r="F108" s="24">
        <f t="shared" si="4"/>
        <v>0</v>
      </c>
    </row>
    <row r="109" spans="6:6" x14ac:dyDescent="0.25">
      <c r="F109" s="24">
        <f t="shared" si="4"/>
        <v>0</v>
      </c>
    </row>
    <row r="110" spans="6:6" x14ac:dyDescent="0.25">
      <c r="F110" s="24">
        <f t="shared" si="4"/>
        <v>0</v>
      </c>
    </row>
    <row r="111" spans="6:6" x14ac:dyDescent="0.25">
      <c r="F111" s="24">
        <f t="shared" si="4"/>
        <v>0</v>
      </c>
    </row>
    <row r="112" spans="6:6" x14ac:dyDescent="0.25">
      <c r="F112" s="24">
        <f t="shared" si="4"/>
        <v>0</v>
      </c>
    </row>
    <row r="113" spans="6:6" x14ac:dyDescent="0.25">
      <c r="F113" s="24">
        <f t="shared" si="4"/>
        <v>0</v>
      </c>
    </row>
    <row r="114" spans="6:6" x14ac:dyDescent="0.25">
      <c r="F114" s="24">
        <f t="shared" si="4"/>
        <v>0</v>
      </c>
    </row>
    <row r="115" spans="6:6" x14ac:dyDescent="0.25">
      <c r="F115" s="24">
        <f t="shared" si="4"/>
        <v>0</v>
      </c>
    </row>
    <row r="116" spans="6:6" x14ac:dyDescent="0.25">
      <c r="F116" s="24">
        <f t="shared" si="4"/>
        <v>0</v>
      </c>
    </row>
    <row r="117" spans="6:6" x14ac:dyDescent="0.25">
      <c r="F117" s="24">
        <f t="shared" si="4"/>
        <v>0</v>
      </c>
    </row>
    <row r="118" spans="6:6" x14ac:dyDescent="0.25">
      <c r="F118" s="24">
        <f t="shared" si="4"/>
        <v>0</v>
      </c>
    </row>
    <row r="119" spans="6:6" x14ac:dyDescent="0.25">
      <c r="F119" s="24">
        <f t="shared" si="4"/>
        <v>0</v>
      </c>
    </row>
    <row r="120" spans="6:6" x14ac:dyDescent="0.25">
      <c r="F120" s="24">
        <f t="shared" si="4"/>
        <v>0</v>
      </c>
    </row>
    <row r="121" spans="6:6" x14ac:dyDescent="0.25">
      <c r="F121" s="24">
        <f t="shared" ref="F121:F184" si="8">D67</f>
        <v>0</v>
      </c>
    </row>
    <row r="122" spans="6:6" x14ac:dyDescent="0.25">
      <c r="F122" s="24">
        <f t="shared" si="8"/>
        <v>0</v>
      </c>
    </row>
    <row r="123" spans="6:6" x14ac:dyDescent="0.25">
      <c r="F123" s="24">
        <f t="shared" si="8"/>
        <v>0</v>
      </c>
    </row>
    <row r="124" spans="6:6" x14ac:dyDescent="0.25">
      <c r="F124" s="24">
        <f t="shared" si="8"/>
        <v>0</v>
      </c>
    </row>
    <row r="125" spans="6:6" x14ac:dyDescent="0.25">
      <c r="F125" s="24">
        <f t="shared" si="8"/>
        <v>0</v>
      </c>
    </row>
    <row r="126" spans="6:6" x14ac:dyDescent="0.25">
      <c r="F126" s="24">
        <f t="shared" si="8"/>
        <v>0</v>
      </c>
    </row>
    <row r="127" spans="6:6" x14ac:dyDescent="0.25">
      <c r="F127" s="24">
        <f t="shared" si="8"/>
        <v>0</v>
      </c>
    </row>
    <row r="128" spans="6:6" x14ac:dyDescent="0.25">
      <c r="F128" s="24">
        <f t="shared" si="8"/>
        <v>0</v>
      </c>
    </row>
    <row r="129" spans="6:6" x14ac:dyDescent="0.25">
      <c r="F129" s="24">
        <f t="shared" si="8"/>
        <v>0</v>
      </c>
    </row>
    <row r="130" spans="6:6" x14ac:dyDescent="0.25">
      <c r="F130" s="24">
        <f t="shared" si="8"/>
        <v>0</v>
      </c>
    </row>
    <row r="131" spans="6:6" x14ac:dyDescent="0.25">
      <c r="F131" s="24">
        <f t="shared" si="8"/>
        <v>0</v>
      </c>
    </row>
    <row r="132" spans="6:6" x14ac:dyDescent="0.25">
      <c r="F132" s="24">
        <f t="shared" si="8"/>
        <v>0</v>
      </c>
    </row>
    <row r="133" spans="6:6" x14ac:dyDescent="0.25">
      <c r="F133" s="24">
        <f t="shared" si="8"/>
        <v>0</v>
      </c>
    </row>
    <row r="134" spans="6:6" x14ac:dyDescent="0.25">
      <c r="F134" s="24">
        <f t="shared" si="8"/>
        <v>0</v>
      </c>
    </row>
    <row r="135" spans="6:6" x14ac:dyDescent="0.25">
      <c r="F135" s="24">
        <f t="shared" si="8"/>
        <v>0</v>
      </c>
    </row>
    <row r="136" spans="6:6" x14ac:dyDescent="0.25">
      <c r="F136" s="24">
        <f t="shared" si="8"/>
        <v>0</v>
      </c>
    </row>
    <row r="137" spans="6:6" x14ac:dyDescent="0.25">
      <c r="F137" s="24">
        <f t="shared" si="8"/>
        <v>0</v>
      </c>
    </row>
    <row r="138" spans="6:6" x14ac:dyDescent="0.25">
      <c r="F138" s="24">
        <f t="shared" si="8"/>
        <v>187697.32807546799</v>
      </c>
    </row>
    <row r="139" spans="6:6" x14ac:dyDescent="0.25">
      <c r="F139" s="24">
        <f t="shared" si="8"/>
        <v>187697.32807546799</v>
      </c>
    </row>
    <row r="140" spans="6:6" x14ac:dyDescent="0.25">
      <c r="F140" s="24">
        <f t="shared" si="8"/>
        <v>144928.38419398299</v>
      </c>
    </row>
    <row r="141" spans="6:6" x14ac:dyDescent="0.25">
      <c r="F141" s="24">
        <f t="shared" si="8"/>
        <v>144928.38419398299</v>
      </c>
    </row>
    <row r="142" spans="6:6" x14ac:dyDescent="0.25">
      <c r="F142" s="24">
        <f t="shared" si="8"/>
        <v>187697.32807546799</v>
      </c>
    </row>
    <row r="143" spans="6:6" x14ac:dyDescent="0.25">
      <c r="F143" s="24">
        <f t="shared" si="8"/>
        <v>187697.32807546799</v>
      </c>
    </row>
    <row r="144" spans="6:6" x14ac:dyDescent="0.25">
      <c r="F144" s="24">
        <f t="shared" si="8"/>
        <v>187697.32807546799</v>
      </c>
    </row>
    <row r="145" spans="6:6" x14ac:dyDescent="0.25">
      <c r="F145" s="24">
        <f t="shared" si="8"/>
        <v>144928.38419398299</v>
      </c>
    </row>
    <row r="146" spans="6:6" x14ac:dyDescent="0.25">
      <c r="F146" s="24">
        <f t="shared" si="8"/>
        <v>46262.984465988302</v>
      </c>
    </row>
    <row r="147" spans="6:6" x14ac:dyDescent="0.25">
      <c r="F147" s="24">
        <f t="shared" si="8"/>
        <v>46262.984465988302</v>
      </c>
    </row>
    <row r="148" spans="6:6" x14ac:dyDescent="0.25">
      <c r="F148" s="24">
        <f t="shared" si="8"/>
        <v>46262.984465988302</v>
      </c>
    </row>
    <row r="149" spans="6:6" x14ac:dyDescent="0.25">
      <c r="F149" s="24">
        <f t="shared" si="8"/>
        <v>46262.984465988302</v>
      </c>
    </row>
    <row r="150" spans="6:6" x14ac:dyDescent="0.25">
      <c r="F150" s="24">
        <f t="shared" si="8"/>
        <v>46262.984465988302</v>
      </c>
    </row>
    <row r="151" spans="6:6" x14ac:dyDescent="0.25">
      <c r="F151" s="24">
        <f t="shared" si="8"/>
        <v>0</v>
      </c>
    </row>
    <row r="152" spans="6:6" x14ac:dyDescent="0.25">
      <c r="F152" s="24">
        <f t="shared" si="8"/>
        <v>0</v>
      </c>
    </row>
    <row r="153" spans="6:6" x14ac:dyDescent="0.25">
      <c r="F153" s="24">
        <f t="shared" si="8"/>
        <v>0</v>
      </c>
    </row>
    <row r="154" spans="6:6" x14ac:dyDescent="0.25">
      <c r="F154" s="24">
        <f t="shared" si="8"/>
        <v>0</v>
      </c>
    </row>
    <row r="155" spans="6:6" x14ac:dyDescent="0.25">
      <c r="F155" s="24">
        <f t="shared" si="8"/>
        <v>0</v>
      </c>
    </row>
    <row r="156" spans="6:6" x14ac:dyDescent="0.25">
      <c r="F156" s="24">
        <f t="shared" si="8"/>
        <v>0</v>
      </c>
    </row>
    <row r="157" spans="6:6" x14ac:dyDescent="0.25">
      <c r="F157" s="24">
        <f t="shared" si="8"/>
        <v>0</v>
      </c>
    </row>
    <row r="158" spans="6:6" x14ac:dyDescent="0.25">
      <c r="F158" s="24">
        <f t="shared" si="8"/>
        <v>0</v>
      </c>
    </row>
    <row r="159" spans="6:6" x14ac:dyDescent="0.25">
      <c r="F159" s="24">
        <f t="shared" si="8"/>
        <v>0</v>
      </c>
    </row>
    <row r="160" spans="6:6" x14ac:dyDescent="0.25">
      <c r="F160" s="24">
        <f t="shared" si="8"/>
        <v>0</v>
      </c>
    </row>
    <row r="161" spans="6:6" x14ac:dyDescent="0.25">
      <c r="F161" s="24">
        <f t="shared" si="8"/>
        <v>0</v>
      </c>
    </row>
    <row r="162" spans="6:6" x14ac:dyDescent="0.25">
      <c r="F162" s="24">
        <f t="shared" si="8"/>
        <v>0</v>
      </c>
    </row>
    <row r="163" spans="6:6" x14ac:dyDescent="0.25">
      <c r="F163" s="24">
        <f t="shared" si="8"/>
        <v>0</v>
      </c>
    </row>
    <row r="164" spans="6:6" x14ac:dyDescent="0.25">
      <c r="F164" s="24">
        <f t="shared" si="8"/>
        <v>0</v>
      </c>
    </row>
    <row r="165" spans="6:6" x14ac:dyDescent="0.25">
      <c r="F165" s="24">
        <f t="shared" si="8"/>
        <v>0</v>
      </c>
    </row>
    <row r="166" spans="6:6" x14ac:dyDescent="0.25">
      <c r="F166" s="24">
        <f t="shared" si="8"/>
        <v>0</v>
      </c>
    </row>
    <row r="167" spans="6:6" x14ac:dyDescent="0.25">
      <c r="F167" s="24">
        <f t="shared" si="8"/>
        <v>0</v>
      </c>
    </row>
    <row r="168" spans="6:6" x14ac:dyDescent="0.25">
      <c r="F168" s="24">
        <f t="shared" si="8"/>
        <v>0</v>
      </c>
    </row>
    <row r="169" spans="6:6" x14ac:dyDescent="0.25">
      <c r="F169" s="24">
        <f t="shared" si="8"/>
        <v>0</v>
      </c>
    </row>
    <row r="170" spans="6:6" x14ac:dyDescent="0.25">
      <c r="F170" s="24">
        <f t="shared" si="8"/>
        <v>0</v>
      </c>
    </row>
    <row r="171" spans="6:6" x14ac:dyDescent="0.25">
      <c r="F171" s="24">
        <f t="shared" si="8"/>
        <v>0</v>
      </c>
    </row>
    <row r="172" spans="6:6" x14ac:dyDescent="0.25">
      <c r="F172" s="24">
        <f t="shared" si="8"/>
        <v>0</v>
      </c>
    </row>
    <row r="173" spans="6:6" x14ac:dyDescent="0.25">
      <c r="F173" s="24">
        <f t="shared" si="8"/>
        <v>0</v>
      </c>
    </row>
    <row r="174" spans="6:6" x14ac:dyDescent="0.25">
      <c r="F174" s="24">
        <f t="shared" si="8"/>
        <v>0</v>
      </c>
    </row>
    <row r="175" spans="6:6" x14ac:dyDescent="0.25">
      <c r="F175" s="24">
        <f t="shared" si="8"/>
        <v>0</v>
      </c>
    </row>
    <row r="176" spans="6:6" x14ac:dyDescent="0.25">
      <c r="F176" s="24">
        <f t="shared" si="8"/>
        <v>0</v>
      </c>
    </row>
    <row r="177" spans="6:6" x14ac:dyDescent="0.25">
      <c r="F177" s="24">
        <f t="shared" si="8"/>
        <v>0</v>
      </c>
    </row>
    <row r="178" spans="6:6" x14ac:dyDescent="0.25">
      <c r="F178" s="24">
        <f t="shared" si="8"/>
        <v>0</v>
      </c>
    </row>
    <row r="179" spans="6:6" x14ac:dyDescent="0.25">
      <c r="F179" s="24">
        <f t="shared" si="8"/>
        <v>0</v>
      </c>
    </row>
    <row r="180" spans="6:6" x14ac:dyDescent="0.25">
      <c r="F180" s="24">
        <f t="shared" si="8"/>
        <v>0</v>
      </c>
    </row>
    <row r="181" spans="6:6" x14ac:dyDescent="0.25">
      <c r="F181" s="24">
        <f t="shared" si="8"/>
        <v>0</v>
      </c>
    </row>
    <row r="182" spans="6:6" x14ac:dyDescent="0.25">
      <c r="F182" s="24">
        <f t="shared" si="8"/>
        <v>0</v>
      </c>
    </row>
    <row r="183" spans="6:6" x14ac:dyDescent="0.25">
      <c r="F183" s="24">
        <f t="shared" si="8"/>
        <v>0</v>
      </c>
    </row>
    <row r="184" spans="6:6" x14ac:dyDescent="0.25">
      <c r="F184" s="24">
        <f t="shared" si="8"/>
        <v>0</v>
      </c>
    </row>
    <row r="185" spans="6:6" x14ac:dyDescent="0.25">
      <c r="F185" s="24">
        <f t="shared" ref="F185:F239" si="9">D131</f>
        <v>0</v>
      </c>
    </row>
    <row r="186" spans="6:6" x14ac:dyDescent="0.25">
      <c r="F186" s="24">
        <f t="shared" si="9"/>
        <v>0</v>
      </c>
    </row>
    <row r="187" spans="6:6" x14ac:dyDescent="0.25">
      <c r="F187" s="24">
        <f t="shared" si="9"/>
        <v>0</v>
      </c>
    </row>
    <row r="188" spans="6:6" x14ac:dyDescent="0.25">
      <c r="F188" s="24">
        <f t="shared" si="9"/>
        <v>0</v>
      </c>
    </row>
    <row r="189" spans="6:6" x14ac:dyDescent="0.25">
      <c r="F189" s="24">
        <f t="shared" si="9"/>
        <v>0</v>
      </c>
    </row>
    <row r="190" spans="6:6" x14ac:dyDescent="0.25">
      <c r="F190" s="24">
        <f t="shared" si="9"/>
        <v>0</v>
      </c>
    </row>
    <row r="191" spans="6:6" x14ac:dyDescent="0.25">
      <c r="F191" s="24">
        <f t="shared" si="9"/>
        <v>0</v>
      </c>
    </row>
    <row r="192" spans="6:6" x14ac:dyDescent="0.25">
      <c r="F192" s="24">
        <f t="shared" si="9"/>
        <v>0</v>
      </c>
    </row>
    <row r="193" spans="6:6" x14ac:dyDescent="0.25">
      <c r="F193" s="24">
        <f t="shared" si="9"/>
        <v>0</v>
      </c>
    </row>
    <row r="194" spans="6:6" x14ac:dyDescent="0.25">
      <c r="F194" s="24">
        <f t="shared" si="9"/>
        <v>0</v>
      </c>
    </row>
    <row r="195" spans="6:6" x14ac:dyDescent="0.25">
      <c r="F195" s="24">
        <f t="shared" si="9"/>
        <v>0</v>
      </c>
    </row>
    <row r="196" spans="6:6" x14ac:dyDescent="0.25">
      <c r="F196" s="24">
        <f t="shared" si="9"/>
        <v>0</v>
      </c>
    </row>
    <row r="197" spans="6:6" x14ac:dyDescent="0.25">
      <c r="F197" s="24">
        <f t="shared" si="9"/>
        <v>0</v>
      </c>
    </row>
    <row r="198" spans="6:6" x14ac:dyDescent="0.25">
      <c r="F198" s="24">
        <f t="shared" si="9"/>
        <v>0</v>
      </c>
    </row>
    <row r="199" spans="6:6" x14ac:dyDescent="0.25">
      <c r="F199" s="24">
        <f t="shared" si="9"/>
        <v>0</v>
      </c>
    </row>
    <row r="200" spans="6:6" x14ac:dyDescent="0.25">
      <c r="F200" s="24">
        <f t="shared" si="9"/>
        <v>0</v>
      </c>
    </row>
    <row r="201" spans="6:6" x14ac:dyDescent="0.25">
      <c r="F201" s="24">
        <f t="shared" si="9"/>
        <v>0</v>
      </c>
    </row>
    <row r="202" spans="6:6" x14ac:dyDescent="0.25">
      <c r="F202" s="24">
        <f t="shared" si="9"/>
        <v>0</v>
      </c>
    </row>
    <row r="203" spans="6:6" x14ac:dyDescent="0.25">
      <c r="F203" s="24">
        <f t="shared" si="9"/>
        <v>0</v>
      </c>
    </row>
    <row r="204" spans="6:6" x14ac:dyDescent="0.25">
      <c r="F204" s="24">
        <f t="shared" si="9"/>
        <v>0</v>
      </c>
    </row>
    <row r="205" spans="6:6" x14ac:dyDescent="0.25">
      <c r="F205" s="24">
        <f t="shared" si="9"/>
        <v>0</v>
      </c>
    </row>
    <row r="206" spans="6:6" x14ac:dyDescent="0.25">
      <c r="F206" s="24">
        <f t="shared" si="9"/>
        <v>0</v>
      </c>
    </row>
    <row r="207" spans="6:6" x14ac:dyDescent="0.25">
      <c r="F207" s="24">
        <f t="shared" si="9"/>
        <v>0</v>
      </c>
    </row>
    <row r="208" spans="6:6" x14ac:dyDescent="0.25">
      <c r="F208" s="24">
        <f t="shared" si="9"/>
        <v>0</v>
      </c>
    </row>
    <row r="209" spans="6:6" x14ac:dyDescent="0.25">
      <c r="F209" s="24">
        <f t="shared" si="9"/>
        <v>0</v>
      </c>
    </row>
    <row r="210" spans="6:6" x14ac:dyDescent="0.25">
      <c r="F210" s="24">
        <f t="shared" si="9"/>
        <v>0</v>
      </c>
    </row>
    <row r="211" spans="6:6" x14ac:dyDescent="0.25">
      <c r="F211" s="24">
        <f t="shared" si="9"/>
        <v>0</v>
      </c>
    </row>
    <row r="212" spans="6:6" x14ac:dyDescent="0.25">
      <c r="F212" s="24">
        <f t="shared" si="9"/>
        <v>0</v>
      </c>
    </row>
    <row r="213" spans="6:6" x14ac:dyDescent="0.25">
      <c r="F213" s="24">
        <f t="shared" si="9"/>
        <v>0</v>
      </c>
    </row>
    <row r="214" spans="6:6" x14ac:dyDescent="0.25">
      <c r="F214" s="24">
        <f t="shared" si="9"/>
        <v>0</v>
      </c>
    </row>
    <row r="215" spans="6:6" x14ac:dyDescent="0.25">
      <c r="F215" s="24">
        <f t="shared" si="9"/>
        <v>0</v>
      </c>
    </row>
    <row r="216" spans="6:6" x14ac:dyDescent="0.25">
      <c r="F216" s="24">
        <f t="shared" si="9"/>
        <v>0</v>
      </c>
    </row>
    <row r="217" spans="6:6" x14ac:dyDescent="0.25">
      <c r="F217" s="24">
        <f t="shared" si="9"/>
        <v>0</v>
      </c>
    </row>
    <row r="218" spans="6:6" x14ac:dyDescent="0.25">
      <c r="F218" s="24">
        <f t="shared" si="9"/>
        <v>0</v>
      </c>
    </row>
    <row r="219" spans="6:6" x14ac:dyDescent="0.25">
      <c r="F219" s="24">
        <f t="shared" si="9"/>
        <v>0</v>
      </c>
    </row>
    <row r="220" spans="6:6" x14ac:dyDescent="0.25">
      <c r="F220" s="24">
        <f t="shared" si="9"/>
        <v>0</v>
      </c>
    </row>
    <row r="221" spans="6:6" x14ac:dyDescent="0.25">
      <c r="F221" s="24">
        <f t="shared" si="9"/>
        <v>0</v>
      </c>
    </row>
    <row r="222" spans="6:6" x14ac:dyDescent="0.25">
      <c r="F222" s="24">
        <f t="shared" si="9"/>
        <v>0</v>
      </c>
    </row>
    <row r="223" spans="6:6" x14ac:dyDescent="0.25">
      <c r="F223" s="24">
        <f t="shared" si="9"/>
        <v>0</v>
      </c>
    </row>
    <row r="224" spans="6:6" x14ac:dyDescent="0.25">
      <c r="F224" s="24">
        <f t="shared" si="9"/>
        <v>0</v>
      </c>
    </row>
    <row r="225" spans="6:6" x14ac:dyDescent="0.25">
      <c r="F225" s="24">
        <f t="shared" si="9"/>
        <v>0</v>
      </c>
    </row>
    <row r="226" spans="6:6" x14ac:dyDescent="0.25">
      <c r="F226" s="24">
        <f t="shared" si="9"/>
        <v>0</v>
      </c>
    </row>
    <row r="227" spans="6:6" x14ac:dyDescent="0.25">
      <c r="F227" s="24">
        <f t="shared" si="9"/>
        <v>0</v>
      </c>
    </row>
    <row r="228" spans="6:6" x14ac:dyDescent="0.25">
      <c r="F228" s="24">
        <f t="shared" si="9"/>
        <v>0</v>
      </c>
    </row>
    <row r="229" spans="6:6" x14ac:dyDescent="0.25">
      <c r="F229" s="24">
        <f t="shared" si="9"/>
        <v>0</v>
      </c>
    </row>
    <row r="230" spans="6:6" x14ac:dyDescent="0.25">
      <c r="F230" s="24">
        <f t="shared" si="9"/>
        <v>0</v>
      </c>
    </row>
    <row r="231" spans="6:6" x14ac:dyDescent="0.25">
      <c r="F231" s="24">
        <f t="shared" si="9"/>
        <v>0</v>
      </c>
    </row>
    <row r="232" spans="6:6" x14ac:dyDescent="0.25">
      <c r="F232" s="24">
        <f t="shared" si="9"/>
        <v>0</v>
      </c>
    </row>
    <row r="233" spans="6:6" x14ac:dyDescent="0.25">
      <c r="F233" s="24">
        <f t="shared" si="9"/>
        <v>0</v>
      </c>
    </row>
    <row r="234" spans="6:6" x14ac:dyDescent="0.25">
      <c r="F234" s="24">
        <f t="shared" si="9"/>
        <v>0</v>
      </c>
    </row>
    <row r="235" spans="6:6" x14ac:dyDescent="0.25">
      <c r="F235" s="24">
        <f t="shared" si="9"/>
        <v>0</v>
      </c>
    </row>
    <row r="236" spans="6:6" x14ac:dyDescent="0.25">
      <c r="F236" s="24">
        <f t="shared" si="9"/>
        <v>0</v>
      </c>
    </row>
    <row r="237" spans="6:6" x14ac:dyDescent="0.25">
      <c r="F237" s="24">
        <f t="shared" si="9"/>
        <v>0</v>
      </c>
    </row>
    <row r="238" spans="6:6" x14ac:dyDescent="0.25">
      <c r="F238" s="24">
        <f t="shared" si="9"/>
        <v>0</v>
      </c>
    </row>
    <row r="239" spans="6:6" x14ac:dyDescent="0.25">
      <c r="F239" s="24">
        <f t="shared" si="9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B1" zoomScale="90" zoomScaleNormal="90" workbookViewId="0">
      <selection activeCell="D46" sqref="D46"/>
    </sheetView>
  </sheetViews>
  <sheetFormatPr defaultRowHeight="15" x14ac:dyDescent="0.25"/>
  <cols>
    <col min="1" max="1" width="34.7109375" customWidth="1"/>
    <col min="2" max="2" width="29.7109375" customWidth="1"/>
    <col min="3" max="3" width="24.28515625" customWidth="1"/>
    <col min="4" max="4" width="21.85546875" customWidth="1"/>
    <col min="5" max="5" width="21.7109375" customWidth="1"/>
    <col min="6" max="6" width="35.42578125" customWidth="1"/>
    <col min="7" max="7" width="32.140625" customWidth="1"/>
    <col min="8" max="8" width="30.28515625" customWidth="1"/>
    <col min="9" max="9" width="31.28515625" customWidth="1"/>
    <col min="10" max="10" width="15.28515625" customWidth="1"/>
  </cols>
  <sheetData>
    <row r="1" spans="1:13" x14ac:dyDescent="0.3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112</v>
      </c>
      <c r="K1" s="24" t="s">
        <v>57</v>
      </c>
      <c r="L1" s="24" t="s">
        <v>113</v>
      </c>
      <c r="M1" s="24" t="s">
        <v>59</v>
      </c>
    </row>
    <row r="2" spans="1:13" x14ac:dyDescent="0.3">
      <c r="A2" s="24" t="s">
        <v>50</v>
      </c>
      <c r="B2" s="24">
        <v>154545.71095359759</v>
      </c>
      <c r="C2" s="24">
        <v>942011.40945595957</v>
      </c>
      <c r="D2" s="24">
        <f>71.26*Table7172[[#This Row],[Duct Length]]/50</f>
        <v>220258.5472510673</v>
      </c>
      <c r="E2" s="24">
        <f>9.61*Table7172[[#This Row],[Fiber Length]]/50</f>
        <v>181054.59289743542</v>
      </c>
      <c r="F2" s="24">
        <f>'FTTCab GPON 26 Mbps'!B$20</f>
        <v>15940</v>
      </c>
      <c r="G2" s="24">
        <f>'FTTCab GPON 26 Mbps'!C$20</f>
        <v>277633.8</v>
      </c>
      <c r="H2" s="24">
        <f>'FTTCab GPON 26 Mbps'!D$20</f>
        <v>0</v>
      </c>
      <c r="I2" s="24">
        <f>SUM(Table7172[[#This Row],[Duct Cost]:[Building E&amp;I Costs]])</f>
        <v>694886.9401485027</v>
      </c>
      <c r="J2" s="24">
        <f t="shared" ref="J2:J14" si="0">I2*50</f>
        <v>34744347.007425137</v>
      </c>
      <c r="K2" s="24">
        <v>29262</v>
      </c>
      <c r="L2" s="24">
        <f>J2/K2</f>
        <v>1187.3538038215138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71.26*Table7172[[#This Row],[Duct Length]]/50</f>
        <v>220258.5472510673</v>
      </c>
      <c r="E3" s="24">
        <f>9.61*Table7172[[#This Row],[Fiber Length]]/50</f>
        <v>123148.20881095782</v>
      </c>
      <c r="F3" s="24">
        <f>'FTTB XGPON 50 Mbps'!B$19</f>
        <v>19900</v>
      </c>
      <c r="G3" s="24">
        <f>'FTTB XGPON 50 Mbps'!C$19</f>
        <v>1676.4</v>
      </c>
      <c r="H3" s="24">
        <f>'FTTB XGPON 50 Mbps'!D$19</f>
        <v>204800</v>
      </c>
      <c r="I3" s="24">
        <f>SUM(Table7172[[#This Row],[Duct Cost]:[Building E&amp;I Costs]])</f>
        <v>569783.15606202511</v>
      </c>
      <c r="J3" s="24">
        <f t="shared" si="0"/>
        <v>28489157.803101256</v>
      </c>
      <c r="K3" s="24">
        <v>29262</v>
      </c>
      <c r="L3" s="24">
        <f t="shared" ref="L3:L6" si="1">J3/K3</f>
        <v>973.58887988180084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71.26*Table7172[[#This Row],[Duct Length]]/50</f>
        <v>136195.87571102803</v>
      </c>
      <c r="E4" s="24">
        <f>9.61*Table7172[[#This Row],[Fiber Length]]/50</f>
        <v>140422.50368463391</v>
      </c>
      <c r="F4" s="24">
        <f>'FTTB WR-WDMPON 50 Mbps'!B$17</f>
        <v>31700</v>
      </c>
      <c r="G4" s="24">
        <f>'FTTB WR-WDMPON 50 Mbps'!C$17</f>
        <v>180</v>
      </c>
      <c r="H4" s="24">
        <f>'FTTB WR-WDMPON 50 Mbps'!D$17</f>
        <v>213600</v>
      </c>
      <c r="I4" s="24">
        <f>SUM(Table7172[[#This Row],[Duct Cost]:[Building E&amp;I Costs]])</f>
        <v>522098.37939566193</v>
      </c>
      <c r="J4" s="24">
        <f t="shared" si="0"/>
        <v>26104918.969783098</v>
      </c>
      <c r="K4" s="24">
        <v>29262</v>
      </c>
      <c r="L4" s="24">
        <f t="shared" si="1"/>
        <v>892.10986842263333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71.26*Table7172[[#This Row],[Duct Length]]/50</f>
        <v>136195.87571102803</v>
      </c>
      <c r="E5" s="24">
        <f>9.61*Table7172[[#This Row],[Fiber Length]]/50</f>
        <v>140422.50368463391</v>
      </c>
      <c r="F5" s="24">
        <f>'FTTH WR-WDMPON 100 Mbps'!B$17</f>
        <v>31700</v>
      </c>
      <c r="G5" s="24">
        <f>'FTTH WR-WDMPON 100 Mbps'!C$17</f>
        <v>180</v>
      </c>
      <c r="H5" s="24">
        <f>'FTTH WR-WDMPON 100 Mbps'!D$17</f>
        <v>316800</v>
      </c>
      <c r="I5" s="24">
        <f>SUM(Table7172[[#This Row],[Duct Cost]:[Building E&amp;I Costs]])</f>
        <v>625298.37939566188</v>
      </c>
      <c r="J5" s="24">
        <f t="shared" si="0"/>
        <v>31264918.969783094</v>
      </c>
      <c r="K5" s="24">
        <v>29262</v>
      </c>
      <c r="L5" s="24">
        <f t="shared" si="1"/>
        <v>1068.4477810738533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71.26*Table7172[[#This Row],[Duct Length]]/50</f>
        <v>220258.5472510673</v>
      </c>
      <c r="E6" s="24">
        <f>9.61*Table7172[[#This Row],[Fiber Length]]/50</f>
        <v>123148.20881095782</v>
      </c>
      <c r="F6" s="24">
        <f>'FTTH XGPON 100 Mbps'!B$19</f>
        <v>255200</v>
      </c>
      <c r="G6" s="24">
        <f>'FTTH XGPON 100 Mbps'!C$19</f>
        <v>61900</v>
      </c>
      <c r="H6" s="24">
        <f>'FTTH XGPON 100 Mbps'!D$19</f>
        <v>316800</v>
      </c>
      <c r="I6" s="24">
        <f>SUM(Table7172[[#This Row],[Duct Cost]:[Building E&amp;I Costs]])</f>
        <v>977306.75606202509</v>
      </c>
      <c r="J6" s="24">
        <f t="shared" si="0"/>
        <v>48865337.803101256</v>
      </c>
      <c r="K6" s="24">
        <v>29262</v>
      </c>
      <c r="L6" s="24">
        <f t="shared" si="1"/>
        <v>1669.9247420921761</v>
      </c>
      <c r="M6" s="24">
        <v>100</v>
      </c>
    </row>
    <row r="7" spans="1:13" x14ac:dyDescent="0.3">
      <c r="A7" s="24" t="s">
        <v>67</v>
      </c>
      <c r="B7" s="24">
        <v>154545.71095359759</v>
      </c>
      <c r="C7" s="24">
        <v>942011.40945595957</v>
      </c>
      <c r="D7" s="24">
        <f>71.26*Table7172[[#This Row],[Duct Length]]/50</f>
        <v>220258.5472510673</v>
      </c>
      <c r="E7" s="24">
        <f>9.61*Table7172[[#This Row],[Fiber Length]]/50</f>
        <v>181054.59289743542</v>
      </c>
      <c r="F7" s="24">
        <f>FTTCab_GPON_100!B$18</f>
        <v>43300</v>
      </c>
      <c r="G7" s="24">
        <f>FTTCab_GPON_100!C$18</f>
        <v>744189.6</v>
      </c>
      <c r="H7" s="24">
        <f>FTTCab_GPON_100!D$18</f>
        <v>0</v>
      </c>
      <c r="I7" s="24">
        <f>SUM(Table7172[[#This Row],[Duct Cost]:[Building E&amp;I Costs]])</f>
        <v>1188802.7401485026</v>
      </c>
      <c r="J7" s="24">
        <f t="shared" si="0"/>
        <v>59440137.007425129</v>
      </c>
      <c r="K7" s="24">
        <v>29262</v>
      </c>
      <c r="L7" s="24">
        <f>J7/K7</f>
        <v>2031.3080789906749</v>
      </c>
      <c r="M7" s="24">
        <v>100</v>
      </c>
    </row>
    <row r="8" spans="1:13" x14ac:dyDescent="0.3">
      <c r="A8" s="24" t="s">
        <v>68</v>
      </c>
      <c r="B8" s="24">
        <v>154545.71095359759</v>
      </c>
      <c r="C8" s="24">
        <v>640729.49433380761</v>
      </c>
      <c r="D8" s="24">
        <f>71.26*Table7172[[#This Row],[Duct Length]]/50</f>
        <v>220258.5472510673</v>
      </c>
      <c r="E8" s="24">
        <f>9.61*Table7172[[#This Row],[Fiber Length]]/50</f>
        <v>123148.20881095782</v>
      </c>
      <c r="F8" s="24">
        <f>FTTB_XGPON_100!B$18</f>
        <v>42100</v>
      </c>
      <c r="G8" s="24">
        <f>FTTB_XGPON_100!C$18</f>
        <v>3323.8</v>
      </c>
      <c r="H8" s="24">
        <f>FTTB_XGPON_100!D$18</f>
        <v>409600</v>
      </c>
      <c r="I8" s="24">
        <f>SUM(Table7172[[#This Row],[Duct Cost]:[Building E&amp;I Costs]])</f>
        <v>798430.55606202502</v>
      </c>
      <c r="J8" s="24">
        <f t="shared" si="0"/>
        <v>39921527.803101249</v>
      </c>
      <c r="K8" s="24">
        <v>29262</v>
      </c>
      <c r="L8" s="24">
        <f>J8/K8</f>
        <v>1364.2788532260697</v>
      </c>
      <c r="M8" s="24">
        <v>100</v>
      </c>
    </row>
    <row r="9" spans="1:13" x14ac:dyDescent="0.3">
      <c r="A9" s="24" t="s">
        <v>69</v>
      </c>
      <c r="B9" s="24">
        <v>95562.640830078599</v>
      </c>
      <c r="C9" s="24">
        <v>730606.15860891738</v>
      </c>
      <c r="D9" s="24">
        <f>71.26*Table7172[[#This Row],[Duct Length]]/50</f>
        <v>136195.87571102803</v>
      </c>
      <c r="E9" s="24">
        <f>9.61*Table7172[[#This Row],[Fiber Length]]/50</f>
        <v>140422.50368463391</v>
      </c>
      <c r="F9" s="24">
        <f>FTTB_WRWDM_100!B$16</f>
        <v>54400</v>
      </c>
      <c r="G9" s="24">
        <f>FTTB_WRWDM_100!C$16</f>
        <v>360</v>
      </c>
      <c r="H9" s="24">
        <f>FTTB_WRWDM_100!D$16</f>
        <v>427200</v>
      </c>
      <c r="I9" s="24">
        <f>SUM(Table7172[[#This Row],[Duct Cost]:[Building E&amp;I Costs]])</f>
        <v>758578.37939566188</v>
      </c>
      <c r="J9" s="24">
        <f t="shared" si="0"/>
        <v>37928918.969783098</v>
      </c>
      <c r="K9" s="24">
        <v>29262</v>
      </c>
      <c r="L9" s="24">
        <f>J9/K9</f>
        <v>1296.1834109009328</v>
      </c>
      <c r="M9" s="24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71.26*Table7172[[#This Row],[Duct Length]]/50</f>
        <v>180489.8749974439</v>
      </c>
      <c r="E10" s="24">
        <f>9.61*Table7172[[#This Row],[Fiber Length]]/50</f>
        <v>121030.53463843174</v>
      </c>
      <c r="F10" s="24">
        <f>FTTCab_Hybridpon_25!B$18</f>
        <v>16040</v>
      </c>
      <c r="G10" s="24">
        <f>FTTCab_Hybridpon_25!C$18</f>
        <v>187543.4</v>
      </c>
      <c r="H10" s="24">
        <f>FTTCab_Hybridpon_25!D$18</f>
        <v>0</v>
      </c>
      <c r="I10" s="24">
        <f>SUM(Table7172[[#This Row],[Duct Cost]:[Building E&amp;I Costs]])</f>
        <v>505103.80963587563</v>
      </c>
      <c r="J10" s="24">
        <f t="shared" si="0"/>
        <v>25255190.48179378</v>
      </c>
      <c r="K10" s="24">
        <v>29262</v>
      </c>
      <c r="L10" s="24">
        <f t="shared" ref="L10:L14" si="2">J10/K10</f>
        <v>863.07123511016948</v>
      </c>
      <c r="M10" s="24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71.26*Table7172[[#This Row],[Duct Length]]/50</f>
        <v>181766.91113571086</v>
      </c>
      <c r="E11" s="24">
        <f>9.61*Table7172[[#This Row],[Fiber Length]]/50</f>
        <v>117354.15161378775</v>
      </c>
      <c r="F11" s="24">
        <f>FTTB_Hybridpon_50!B$17</f>
        <v>42000</v>
      </c>
      <c r="G11" s="24">
        <f>FTTB_Hybridpon_50!C$17</f>
        <v>743.4</v>
      </c>
      <c r="H11" s="24">
        <f>FTTB_Hybridpon_50!D$17</f>
        <v>216000</v>
      </c>
      <c r="I11" s="24">
        <f>SUM(Table7172[[#This Row],[Duct Cost]:[Building E&amp;I Costs]])</f>
        <v>557864.46274949866</v>
      </c>
      <c r="J11" s="24">
        <f t="shared" si="0"/>
        <v>27893223.137474932</v>
      </c>
      <c r="K11" s="24">
        <v>29262</v>
      </c>
      <c r="L11" s="24">
        <f t="shared" si="2"/>
        <v>953.2234002281092</v>
      </c>
      <c r="M11" s="24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71.26*Table7172[[#This Row],[Duct Length]]/50</f>
        <v>181766.91113571086</v>
      </c>
      <c r="E12" s="24">
        <f>9.61*Table7172[[#This Row],[Fiber Length]]/50</f>
        <v>241088.66761378772</v>
      </c>
      <c r="F12" s="24">
        <f>FTTH_Hybridpon_100!B$17</f>
        <v>84000</v>
      </c>
      <c r="G12" s="24">
        <f>FTTH_Hybridpon_100!C$17</f>
        <v>1498</v>
      </c>
      <c r="H12" s="24">
        <f>FTTH_Hybridpon_100!D$17</f>
        <v>320000</v>
      </c>
      <c r="I12" s="24">
        <f>SUM(Table7172[[#This Row],[Duct Cost]:[Building E&amp;I Costs]])</f>
        <v>828353.57874949859</v>
      </c>
      <c r="J12" s="24">
        <f t="shared" si="0"/>
        <v>41417678.937474929</v>
      </c>
      <c r="K12" s="24">
        <v>29262</v>
      </c>
      <c r="L12" s="24">
        <f t="shared" si="2"/>
        <v>1415.4083431575057</v>
      </c>
      <c r="M12" s="24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71.26*Table7172[[#This Row],[Duct Length]]/50</f>
        <v>180489.8749974439</v>
      </c>
      <c r="E13" s="24">
        <f>9.61*Table7172[[#This Row],[Fiber Length]]/50</f>
        <v>121030.53463843174</v>
      </c>
      <c r="F13" s="24">
        <f>FTTC_Hybridpon_100!B$18</f>
        <v>63560</v>
      </c>
      <c r="G13" s="24">
        <f>FTTC_Hybridpon_100!C$18</f>
        <v>669173.6</v>
      </c>
      <c r="H13" s="24">
        <f>FTTC_Hybridpon_100!D$18</f>
        <v>0</v>
      </c>
      <c r="I13" s="24">
        <f>SUM(Table7172[[#This Row],[Duct Cost]:[Building E&amp;I Costs]])</f>
        <v>1034254.0096358756</v>
      </c>
      <c r="J13" s="24">
        <f t="shared" si="0"/>
        <v>51712700.481793776</v>
      </c>
      <c r="K13" s="24">
        <v>29262</v>
      </c>
      <c r="L13" s="24">
        <f t="shared" si="2"/>
        <v>1767.230554363809</v>
      </c>
      <c r="M13" s="24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71.26*Table7172[[#This Row],[Duct Length]]/50</f>
        <v>181766.91113571086</v>
      </c>
      <c r="E14" s="24">
        <f>9.61*Table7172[[#This Row],[Fiber Length]]/50</f>
        <v>117354.15161378775</v>
      </c>
      <c r="F14" s="17">
        <f>FTTB_Hybridpon_100!B$17</f>
        <v>84000</v>
      </c>
      <c r="G14" s="17">
        <f>FTTB_Hybridpon_100!C$17</f>
        <v>1486.8</v>
      </c>
      <c r="H14" s="17">
        <f>FTTB_Hybridpon_100!D$17</f>
        <v>432000</v>
      </c>
      <c r="I14" s="24">
        <f>SUM(Table7172[[#This Row],[Duct Cost]:[Building E&amp;I Costs]])</f>
        <v>816607.86274949857</v>
      </c>
      <c r="J14" s="24">
        <f t="shared" si="0"/>
        <v>40830393.137474932</v>
      </c>
      <c r="K14" s="24">
        <v>29262</v>
      </c>
      <c r="L14" s="17">
        <f t="shared" si="2"/>
        <v>1395.3384299595014</v>
      </c>
      <c r="M14" s="17">
        <v>100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D4" workbookViewId="0">
      <selection activeCell="T4" sqref="T4"/>
    </sheetView>
  </sheetViews>
  <sheetFormatPr defaultRowHeight="15" x14ac:dyDescent="0.25"/>
  <cols>
    <col min="1" max="1" width="53.85546875" customWidth="1"/>
    <col min="2" max="2" width="23" customWidth="1"/>
    <col min="3" max="3" width="17.28515625" customWidth="1"/>
    <col min="4" max="4" width="19.28515625" customWidth="1"/>
    <col min="5" max="5" width="17" customWidth="1"/>
    <col min="6" max="6" width="18.42578125" customWidth="1"/>
    <col min="7" max="7" width="15.7109375" customWidth="1"/>
    <col min="8" max="8" width="17.140625" customWidth="1"/>
    <col min="9" max="9" width="18.7109375" customWidth="1"/>
  </cols>
  <sheetData>
    <row r="1" spans="1:13" x14ac:dyDescent="0.3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126</v>
      </c>
      <c r="K1" s="24" t="s">
        <v>57</v>
      </c>
      <c r="L1" s="24" t="s">
        <v>129</v>
      </c>
      <c r="M1" s="24" t="s">
        <v>59</v>
      </c>
    </row>
    <row r="2" spans="1:13" x14ac:dyDescent="0.3">
      <c r="A2" s="24" t="s">
        <v>50</v>
      </c>
      <c r="B2" s="24">
        <v>154545.71095359759</v>
      </c>
      <c r="C2" s="24">
        <v>942011.40945595957</v>
      </c>
      <c r="D2" s="24">
        <f>27*Table717218[[#This Row],[Duct Length]]/50</f>
        <v>83454.683914942696</v>
      </c>
      <c r="E2" s="24">
        <f>0.3*Table717218[[#This Row],[Fiber Length]]/50</f>
        <v>5652.0684567357575</v>
      </c>
      <c r="F2" s="24">
        <f>'FTTCab GPON 26 Mbps'!B$21</f>
        <v>2750</v>
      </c>
      <c r="G2" s="24">
        <f>'FTTCab GPON 26 Mbps'!C$21</f>
        <v>214565</v>
      </c>
      <c r="H2" s="24">
        <f>'FTTCab GPON 26 Mbps'!D$21</f>
        <v>0</v>
      </c>
      <c r="I2" s="24">
        <f>SUM(Table717218[[#This Row],[Duct Cost]:[Building E&amp;I Costs]])</f>
        <v>306421.75237167848</v>
      </c>
      <c r="J2" s="24">
        <f t="shared" ref="J2:J14" si="0">I2*50</f>
        <v>15321087.618583923</v>
      </c>
      <c r="K2" s="24">
        <v>29262</v>
      </c>
      <c r="L2" s="24">
        <f>J2/K2</f>
        <v>523.5830639937094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27*Table717218[[#This Row],[Duct Length]]/50</f>
        <v>83454.683914942696</v>
      </c>
      <c r="E3" s="24">
        <f>0.3*Table717218[[#This Row],[Fiber Length]]/50</f>
        <v>3844.3769660028456</v>
      </c>
      <c r="F3" s="24">
        <f>'FTTB XGPON 50 Mbps'!B$20</f>
        <v>3630</v>
      </c>
      <c r="G3" s="24">
        <f>'FTTB XGPON 50 Mbps'!C$20</f>
        <v>0</v>
      </c>
      <c r="H3" s="24">
        <f>'FTTB XGPON 50 Mbps'!D$20</f>
        <v>120000</v>
      </c>
      <c r="I3" s="24">
        <f>SUM(Table717218[[#This Row],[Duct Cost]:[Building E&amp;I Costs]])</f>
        <v>210929.06088094553</v>
      </c>
      <c r="J3" s="24">
        <f t="shared" si="0"/>
        <v>10546453.044047277</v>
      </c>
      <c r="K3" s="24">
        <v>29262</v>
      </c>
      <c r="L3" s="24">
        <f t="shared" ref="L3:L6" si="1">J3/K3</f>
        <v>360.41463481810121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27*Table717218[[#This Row],[Duct Length]]/50</f>
        <v>51603.826048242438</v>
      </c>
      <c r="E4" s="24">
        <f>0.3*Table717218[[#This Row],[Fiber Length]]/50</f>
        <v>4383.6369516535042</v>
      </c>
      <c r="F4" s="24">
        <f>'FTTB WR-WDMPON 50 Mbps'!B$18</f>
        <v>5400</v>
      </c>
      <c r="G4" s="24">
        <f>'FTTB WR-WDMPON 50 Mbps'!C$18</f>
        <v>0</v>
      </c>
      <c r="H4" s="24">
        <f>'FTTB WR-WDMPON 50 Mbps'!D$18</f>
        <v>120000</v>
      </c>
      <c r="I4" s="24">
        <f>SUM(Table717218[[#This Row],[Duct Cost]:[Building E&amp;I Costs]])</f>
        <v>181387.46299989594</v>
      </c>
      <c r="J4" s="24">
        <f t="shared" si="0"/>
        <v>9069373.149994798</v>
      </c>
      <c r="K4" s="24">
        <v>29262</v>
      </c>
      <c r="L4" s="24">
        <f t="shared" si="1"/>
        <v>309.93688572191917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27*Table717218[[#This Row],[Duct Length]]/50</f>
        <v>51603.826048242438</v>
      </c>
      <c r="E5" s="24">
        <f>0.3*Table717218[[#This Row],[Fiber Length]]/50</f>
        <v>4383.6369516535042</v>
      </c>
      <c r="F5" s="24">
        <f>'FTTH WR-WDMPON 100 Mbps'!B$18</f>
        <v>5400</v>
      </c>
      <c r="G5" s="24">
        <f>'FTTH WR-WDMPON 100 Mbps'!C$18</f>
        <v>180</v>
      </c>
      <c r="H5" s="24">
        <f>'FTTH WR-WDMPON 100 Mbps'!D$18</f>
        <v>448000</v>
      </c>
      <c r="I5" s="24">
        <f>SUM(Table717218[[#This Row],[Duct Cost]:[Building E&amp;I Costs]])</f>
        <v>509567.46299989591</v>
      </c>
      <c r="J5" s="24">
        <f t="shared" si="0"/>
        <v>25478373.149994794</v>
      </c>
      <c r="K5" s="24">
        <v>29262</v>
      </c>
      <c r="L5" s="24">
        <f t="shared" si="1"/>
        <v>870.69828275561463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27*Table717218[[#This Row],[Duct Length]]/50</f>
        <v>83454.683914942696</v>
      </c>
      <c r="E6" s="24">
        <f>0.3*Table717218[[#This Row],[Fiber Length]]/50</f>
        <v>3844.3769660028456</v>
      </c>
      <c r="F6" s="24">
        <f>'FTTH XGPON 100 Mbps'!B$20</f>
        <v>13750</v>
      </c>
      <c r="G6" s="24">
        <f>'FTTH XGPON 100 Mbps'!C$20</f>
        <v>1200</v>
      </c>
      <c r="H6" s="24">
        <f>'FTTH XGPON 100 Mbps'!D$20</f>
        <v>448000</v>
      </c>
      <c r="I6" s="24">
        <f>SUM(Table717218[[#This Row],[Duct Cost]:[Building E&amp;I Costs]])</f>
        <v>550249.06088094553</v>
      </c>
      <c r="J6" s="24">
        <f t="shared" si="0"/>
        <v>27512453.044047277</v>
      </c>
      <c r="K6" s="24">
        <v>29262</v>
      </c>
      <c r="L6" s="24">
        <f t="shared" si="1"/>
        <v>940.21095769418628</v>
      </c>
      <c r="M6" s="24">
        <v>100</v>
      </c>
    </row>
    <row r="7" spans="1:13" x14ac:dyDescent="0.3">
      <c r="A7" s="24" t="s">
        <v>67</v>
      </c>
      <c r="B7" s="24">
        <v>154545.71095359759</v>
      </c>
      <c r="C7" s="24">
        <v>942011.40945595957</v>
      </c>
      <c r="D7" s="24">
        <f>27*Table717218[[#This Row],[Duct Length]]/50</f>
        <v>83454.683914942696</v>
      </c>
      <c r="E7" s="24">
        <f>0.3*Table717218[[#This Row],[Fiber Length]]/50</f>
        <v>5652.0684567357575</v>
      </c>
      <c r="F7" s="24">
        <f>FTTCab_GPON_100!B$19</f>
        <v>7500</v>
      </c>
      <c r="G7" s="24">
        <f>FTTCab_GPON_100!C$19</f>
        <v>103200</v>
      </c>
      <c r="H7" s="24">
        <f>FTTCab_GPON_100!D$19</f>
        <v>0</v>
      </c>
      <c r="I7" s="24">
        <f>SUM(Table717218[[#This Row],[Duct Cost]:[Building E&amp;I Costs]])</f>
        <v>199806.75237167845</v>
      </c>
      <c r="J7" s="24">
        <f t="shared" si="0"/>
        <v>9990337.6185839232</v>
      </c>
      <c r="K7" s="24">
        <v>29262</v>
      </c>
      <c r="L7" s="24">
        <f>J7/K7</f>
        <v>341.40993843838163</v>
      </c>
      <c r="M7" s="24">
        <v>100</v>
      </c>
    </row>
    <row r="8" spans="1:13" x14ac:dyDescent="0.3">
      <c r="A8" s="24" t="s">
        <v>68</v>
      </c>
      <c r="B8" s="24">
        <v>154545.71095359759</v>
      </c>
      <c r="C8" s="24">
        <v>640729.49433380761</v>
      </c>
      <c r="D8" s="24">
        <f>27*Table717218[[#This Row],[Duct Length]]/50</f>
        <v>83454.683914942696</v>
      </c>
      <c r="E8" s="24">
        <f>0.3*Table717218[[#This Row],[Fiber Length]]/50</f>
        <v>3844.3769660028456</v>
      </c>
      <c r="F8" s="24">
        <f>FTTB_XGPON_100!B$19</f>
        <v>7700</v>
      </c>
      <c r="G8" s="24">
        <f>FTTB_XGPON_100!C$19</f>
        <v>5060</v>
      </c>
      <c r="H8" s="24">
        <f>FTTB_XGPON_100!D$19</f>
        <v>240000</v>
      </c>
      <c r="I8" s="24">
        <f>SUM(Table717218[[#This Row],[Duct Cost]:[Building E&amp;I Costs]])</f>
        <v>340059.06088094553</v>
      </c>
      <c r="J8" s="24">
        <f t="shared" si="0"/>
        <v>17002953.044047277</v>
      </c>
      <c r="K8" s="24">
        <v>29262</v>
      </c>
      <c r="L8" s="24">
        <f>J8/K8</f>
        <v>581.05915672364426</v>
      </c>
      <c r="M8" s="24">
        <v>100</v>
      </c>
    </row>
    <row r="9" spans="1:13" x14ac:dyDescent="0.3">
      <c r="A9" s="24" t="s">
        <v>69</v>
      </c>
      <c r="B9" s="24">
        <v>95562.640830078599</v>
      </c>
      <c r="C9" s="24">
        <v>730606.15860891738</v>
      </c>
      <c r="D9" s="24">
        <f>27*Table717218[[#This Row],[Duct Length]]/50</f>
        <v>51603.826048242438</v>
      </c>
      <c r="E9" s="24">
        <f>0.3*Table717218[[#This Row],[Fiber Length]]/50</f>
        <v>4383.6369516535042</v>
      </c>
      <c r="F9" s="24">
        <f>FTTB_WRWDM_100!B$17</f>
        <v>43200</v>
      </c>
      <c r="G9" s="24">
        <f>FTTB_WRWDM_100!C$17</f>
        <v>3600</v>
      </c>
      <c r="H9" s="24">
        <f>FTTB_WRWDM_100!D$17</f>
        <v>240000</v>
      </c>
      <c r="I9" s="24">
        <f>SUM(Table717218[[#This Row],[Duct Cost]:[Building E&amp;I Costs]])</f>
        <v>342787.46299989591</v>
      </c>
      <c r="J9" s="24">
        <f t="shared" si="0"/>
        <v>17139373.149994794</v>
      </c>
      <c r="K9" s="24">
        <v>29262</v>
      </c>
      <c r="L9" s="24">
        <f>J9/K9</f>
        <v>585.72117934504797</v>
      </c>
      <c r="M9" s="24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27*Table717218[[#This Row],[Duct Length]]/50</f>
        <v>68386.565042534159</v>
      </c>
      <c r="E10" s="24">
        <f>0.3*Table717218[[#This Row],[Fiber Length]]/50</f>
        <v>3778.2685110852781</v>
      </c>
      <c r="F10" s="24">
        <f>FTTCab_Hybridpon_25!B$19</f>
        <v>2750</v>
      </c>
      <c r="G10" s="24">
        <f>FTTCab_Hybridpon_25!C$19</f>
        <v>132500</v>
      </c>
      <c r="H10" s="24">
        <f>FTTCab_Hybridpon_25!D$19</f>
        <v>0</v>
      </c>
      <c r="I10" s="24">
        <f>SUM(Table717218[[#This Row],[Duct Cost]:[Building E&amp;I Costs]])</f>
        <v>207414.83355361945</v>
      </c>
      <c r="J10" s="24">
        <f t="shared" si="0"/>
        <v>10370741.677680973</v>
      </c>
      <c r="K10" s="24">
        <v>29262</v>
      </c>
      <c r="L10" s="24">
        <f t="shared" ref="L10:L14" si="2">J10/K10</f>
        <v>354.40987210993688</v>
      </c>
      <c r="M10" s="24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27*Table717218[[#This Row],[Duct Length]]/50</f>
        <v>68870.426616112716</v>
      </c>
      <c r="E11" s="24">
        <f>0.3*Table717218[[#This Row],[Fiber Length]]/50</f>
        <v>3663.5010909611156</v>
      </c>
      <c r="F11" s="24">
        <f>FTTB_Hybridpon_50!B$18</f>
        <v>7700</v>
      </c>
      <c r="G11" s="24">
        <f>FTTB_Hybridpon_50!C$18</f>
        <v>110000</v>
      </c>
      <c r="H11" s="24">
        <f>FTTB_Hybridpon_50!D$18</f>
        <v>40000</v>
      </c>
      <c r="I11" s="24">
        <f>SUM(Table717218[[#This Row],[Duct Cost]:[Building E&amp;I Costs]])</f>
        <v>230233.92770707383</v>
      </c>
      <c r="J11" s="24">
        <f t="shared" si="0"/>
        <v>11511696.385353692</v>
      </c>
      <c r="K11" s="24">
        <v>29262</v>
      </c>
      <c r="L11" s="24">
        <f t="shared" si="2"/>
        <v>393.40087435423732</v>
      </c>
      <c r="M11" s="24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27*Table717218[[#This Row],[Duct Length]]/50</f>
        <v>68870.426616112716</v>
      </c>
      <c r="E12" s="24">
        <f>0.3*Table717218[[#This Row],[Fiber Length]]/50</f>
        <v>7526.1810909611158</v>
      </c>
      <c r="F12" s="24">
        <f>FTTH_Hybridpon_100!B$18</f>
        <v>15400</v>
      </c>
      <c r="G12" s="24">
        <f>FTTH_Hybridpon_100!C$18</f>
        <v>10000</v>
      </c>
      <c r="H12" s="24">
        <f>FTTH_Hybridpon_100!D$18</f>
        <v>448000</v>
      </c>
      <c r="I12" s="24">
        <f>SUM(Table717218[[#This Row],[Duct Cost]:[Building E&amp;I Costs]])</f>
        <v>549796.6077070738</v>
      </c>
      <c r="J12" s="24">
        <f t="shared" si="0"/>
        <v>27489830.385353688</v>
      </c>
      <c r="K12" s="24">
        <v>29262</v>
      </c>
      <c r="L12" s="24">
        <f t="shared" si="2"/>
        <v>939.43785063747146</v>
      </c>
      <c r="M12" s="24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27*Table717218[[#This Row],[Duct Length]]/50</f>
        <v>68386.565042534159</v>
      </c>
      <c r="E13" s="24">
        <f>0.3*Table717218[[#This Row],[Fiber Length]]/50</f>
        <v>3778.2685110852781</v>
      </c>
      <c r="F13" s="24">
        <f>FTTC_Hybridpon_100!B$19</f>
        <v>11000</v>
      </c>
      <c r="G13" s="24">
        <f>FTTC_Hybridpon_100!C$19</f>
        <v>485000</v>
      </c>
      <c r="H13" s="24">
        <f>FTTC_Hybridpon_100!D$19</f>
        <v>0</v>
      </c>
      <c r="I13" s="24">
        <f>SUM(Table717218[[#This Row],[Duct Cost]:[Building E&amp;I Costs]])</f>
        <v>568164.83355361945</v>
      </c>
      <c r="J13" s="24">
        <f t="shared" si="0"/>
        <v>28408241.677680973</v>
      </c>
      <c r="K13" s="24">
        <v>29262</v>
      </c>
      <c r="L13" s="24">
        <f t="shared" si="2"/>
        <v>970.82365107241378</v>
      </c>
      <c r="M13" s="24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27*Table717218[[#This Row],[Duct Length]]/50</f>
        <v>68870.426616112716</v>
      </c>
      <c r="E14" s="24">
        <f>0.3*Table717218[[#This Row],[Fiber Length]]/50</f>
        <v>3663.5010909611156</v>
      </c>
      <c r="F14" s="17">
        <f>FTTB_Hybridpon_100!B$18</f>
        <v>15400</v>
      </c>
      <c r="G14" s="17">
        <f>FTTB_Hybridpon_100!C$18</f>
        <v>10000</v>
      </c>
      <c r="H14" s="17">
        <f>FTTB_Hybridpon_100!D$18</f>
        <v>240000</v>
      </c>
      <c r="I14" s="24">
        <f>SUM(Table717218[[#This Row],[Duct Cost]:[Building E&amp;I Costs]])</f>
        <v>337933.92770707386</v>
      </c>
      <c r="J14" s="24">
        <f t="shared" si="0"/>
        <v>16896696.385353692</v>
      </c>
      <c r="K14" s="24">
        <v>29262</v>
      </c>
      <c r="L14" s="17">
        <f t="shared" si="2"/>
        <v>577.42794017338838</v>
      </c>
      <c r="M14" s="17">
        <v>100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70" zoomScaleNormal="70" workbookViewId="0">
      <selection activeCell="A219" sqref="A219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xSplit="4" ySplit="16" topLeftCell="E17" activePane="bottomRight" state="frozen"/>
      <selection pane="topRight" activeCell="E1" sqref="E1"/>
      <selection pane="bottomLeft" activeCell="A17" sqref="A17"/>
      <selection pane="bottomRight" activeCell="G10" sqref="G10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22.5703125" customWidth="1"/>
    <col min="8" max="8" width="30.140625" customWidth="1"/>
    <col min="9" max="9" width="23.5703125" customWidth="1"/>
    <col min="10" max="10" width="20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121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23</v>
      </c>
      <c r="C2" s="4">
        <v>40</v>
      </c>
      <c r="D2" s="4">
        <f>3500/50</f>
        <v>70</v>
      </c>
      <c r="E2" s="4">
        <f>57600/4/50</f>
        <v>288</v>
      </c>
      <c r="F2" s="4">
        <f>2500/50</f>
        <v>50</v>
      </c>
      <c r="G2" s="4">
        <v>55</v>
      </c>
      <c r="H2" s="4">
        <f>Table2[[#This Row],[Cost per Unit (OASE)]]*Table2[[#This Row],[Quantity]]</f>
        <v>2200</v>
      </c>
      <c r="I2" s="4">
        <f>Table2[[#This Row],[Cost per Unit (Rokkas)]]*Table2[[#This Row],[Quantity]]</f>
        <v>3850</v>
      </c>
      <c r="J2" s="30">
        <f>Table2[[#This Row],[Cost per Unit (BSG)]]*Table2[[#This Row],[Quantity]]</f>
        <v>15840</v>
      </c>
      <c r="K2" s="33">
        <f>Table2[[#This Row],[Cost per Unit(Philipson)]]*Table2[[#This Row],[Quantity]]</f>
        <v>2750</v>
      </c>
    </row>
    <row r="3" spans="1:11" x14ac:dyDescent="0.25">
      <c r="A3" s="6" t="s">
        <v>27</v>
      </c>
      <c r="B3" s="6" t="s">
        <v>24</v>
      </c>
      <c r="C3" s="4">
        <v>4</v>
      </c>
      <c r="D3" s="4">
        <f>200/50</f>
        <v>4</v>
      </c>
      <c r="E3" s="4">
        <v>0</v>
      </c>
      <c r="F3" s="4">
        <v>0</v>
      </c>
      <c r="G3" s="4">
        <v>253</v>
      </c>
      <c r="H3" s="4">
        <f>Table2[[#This Row],[Cost per Unit (OASE)]]*Table2[[#This Row],[Quantity]]</f>
        <v>1012</v>
      </c>
      <c r="I3" s="4">
        <f>Table2[[#This Row],[Cost per Unit (Rokkas)]]*Table2[[#This Row],[Quantity]]</f>
        <v>1012</v>
      </c>
      <c r="J3" s="30">
        <f>Table2[[#This Row],[Cost per Unit (BSG)]]*Table2[[#This Row],[Quantity]]</f>
        <v>0</v>
      </c>
      <c r="K3" s="33">
        <f>Table2[[#This Row],[Cost per Unit(Philipson)]]*Table2[[#This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700</v>
      </c>
      <c r="H4" s="4">
        <f>Table2[[#This Row],[Cost per Unit (OASE)]]*Table2[[#This Row],[Quantity]]</f>
        <v>7.7777777777777777</v>
      </c>
      <c r="I4" s="4">
        <f>Table2[[#This Row],[Cost per Unit (Rokkas)]]*Table2[[#This Row],[Quantity]]</f>
        <v>0</v>
      </c>
      <c r="J4" s="30">
        <f>Table2[[#This Row],[Cost per Unit (BSG)]]*Table2[[#This Row],[Quantity]]</f>
        <v>0</v>
      </c>
      <c r="K4" s="33">
        <f>Table2[[#This Row],[Cost per Unit(Philipson)]]*Table2[[#This Row],[Quantity]]</f>
        <v>0</v>
      </c>
    </row>
    <row r="5" spans="1:11" x14ac:dyDescent="0.25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Table2[[#This Row],[Cost per Unit (OASE)]]*Table2[[#This Row],[Quantity]]</f>
        <v>200</v>
      </c>
      <c r="I5" s="4">
        <f>Table2[[#This Row],[Cost per Unit (Rokkas)]]*Table2[[#This Row],[Quantity]]</f>
        <v>3000</v>
      </c>
      <c r="J5" s="30">
        <f>Table2[[#This Row],[Cost per Unit (BSG)]]*Table2[[#This Row],[Quantity]]</f>
        <v>100</v>
      </c>
      <c r="K5" s="33">
        <f>Table2[[#This Row],[Cost per Unit(Philipson)]]*Table2[[#This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v>253</v>
      </c>
      <c r="H6" s="4">
        <f>Table2[[#This Row],[Cost per Unit (OASE)]]*Table2[[#This Row],[Quantity]]</f>
        <v>455.40000000000003</v>
      </c>
      <c r="I6" s="4">
        <f>Table2[[#This Row],[Cost per Unit (Rokkas)]]*Table2[[#This Row],[Quantity]]</f>
        <v>2530</v>
      </c>
      <c r="J6" s="30">
        <f>Table2[[#This Row],[Cost per Unit (BSG)]]*Table2[[#This Row],[Quantity]]</f>
        <v>354.2</v>
      </c>
      <c r="K6" s="33">
        <f>Table2[[#This Row],[Cost per Unit(Philipson)]]*Table2[[#This Row],[Quantity]]</f>
        <v>0</v>
      </c>
    </row>
    <row r="7" spans="1:11" x14ac:dyDescent="0.25">
      <c r="A7" s="6" t="s">
        <v>28</v>
      </c>
      <c r="B7" s="6" t="s">
        <v>24</v>
      </c>
      <c r="C7" s="4">
        <v>4</v>
      </c>
      <c r="D7" s="4">
        <f>200/50</f>
        <v>4</v>
      </c>
      <c r="E7" s="4">
        <v>0</v>
      </c>
      <c r="F7" s="4">
        <v>0</v>
      </c>
      <c r="G7" s="4">
        <v>253</v>
      </c>
      <c r="H7" s="4">
        <f>Table2[[#This Row],[Cost per Unit (OASE)]]*Table2[[#This Row],[Quantity]]</f>
        <v>1012</v>
      </c>
      <c r="I7" s="4">
        <f>Table2[[#This Row],[Cost per Unit (Rokkas)]]*Table2[[#This Row],[Quantity]]</f>
        <v>1012</v>
      </c>
      <c r="J7" s="30">
        <f>Table2[[#This Row],[Cost per Unit (BSG)]]*Table2[[#This Row],[Quantity]]</f>
        <v>0</v>
      </c>
      <c r="K7" s="33">
        <f>Table2[[#This Row],[Cost per Unit(Philipson)]]*Table2[[#This Row],[Quantity]]</f>
        <v>0</v>
      </c>
    </row>
    <row r="8" spans="1:11" x14ac:dyDescent="0.25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f>250/50</f>
        <v>5</v>
      </c>
      <c r="G8" s="4">
        <v>1861</v>
      </c>
      <c r="H8" s="4">
        <f>Table2[[#This Row],[Cost per Unit (OASE)]]*Table2[[#This Row],[Quantity]]</f>
        <v>1861</v>
      </c>
      <c r="I8" s="4">
        <f>Table2[[#This Row],[Cost per Unit (Rokkas)]]*Table2[[#This Row],[Quantity]]</f>
        <v>3722</v>
      </c>
      <c r="J8" s="30">
        <f>Table2[[#This Row],[Cost per Unit (BSG)]]*Table2[[#This Row],[Quantity]]</f>
        <v>2977.6000000000004</v>
      </c>
      <c r="K8" s="33">
        <f>Table2[[#This Row],[Cost per Unit(Philipson)]]*Table2[[#This Row],[Quantity]]</f>
        <v>9305</v>
      </c>
    </row>
    <row r="9" spans="1:11" x14ac:dyDescent="0.25">
      <c r="A9" s="6" t="s">
        <v>30</v>
      </c>
      <c r="B9" s="6" t="s">
        <v>127</v>
      </c>
      <c r="C9" s="4">
        <f>24+100</f>
        <v>124</v>
      </c>
      <c r="D9" s="4">
        <f>(15000)/50</f>
        <v>300</v>
      </c>
      <c r="E9" s="4">
        <f>(1200+13500)/50</f>
        <v>294</v>
      </c>
      <c r="F9" s="4">
        <f>11000/50</f>
        <v>220</v>
      </c>
      <c r="G9" s="4">
        <v>933</v>
      </c>
      <c r="H9" s="4">
        <f>Table2[[#This Row],[Cost per Unit (OASE)]]*Table2[[#This Row],[Quantity]]</f>
        <v>115692</v>
      </c>
      <c r="I9" s="4">
        <f>Table2[[#This Row],[Cost per Unit (Rokkas)]]*Table2[[#This Row],[Quantity]]</f>
        <v>279900</v>
      </c>
      <c r="J9" s="30">
        <f>Table2[[#This Row],[Cost per Unit (BSG)]]*Table2[[#This Row],[Quantity]]</f>
        <v>274302</v>
      </c>
      <c r="K9" s="33">
        <f>Table2[[#This Row],[Cost per Unit(Philipson)]]*Table2[[#This Row],[Quantity]]</f>
        <v>205260</v>
      </c>
    </row>
    <row r="10" spans="1:11" x14ac:dyDescent="0.25">
      <c r="A10" s="6" t="s">
        <v>32</v>
      </c>
      <c r="B10" s="6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7895</v>
      </c>
      <c r="H10" s="4">
        <f>Table2[[#This Row],[Cost per Unit (OASE)]]*Table2[[#This Row],[Quantity]]</f>
        <v>0</v>
      </c>
      <c r="I10" s="4">
        <f>Table2[[#This Row],[Cost per Unit (Rokkas)]]*Table2[[#This Row],[Quantity]]</f>
        <v>0</v>
      </c>
      <c r="J10" s="30">
        <f>Table2[[#This Row],[Cost per Unit (BSG)]]*Table2[[#This Row],[Quantity]]</f>
        <v>0</v>
      </c>
      <c r="K10" s="33">
        <f>Table2[[#This Row],[Cost per Unit(Philipson)]]*Table2[[#This Row],[Quantity]]</f>
        <v>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11"/>
    </row>
    <row r="17" spans="1:10" ht="14.45" x14ac:dyDescent="0.3">
      <c r="A17" t="s">
        <v>84</v>
      </c>
      <c r="B17" t="s">
        <v>35</v>
      </c>
      <c r="C17" t="s">
        <v>36</v>
      </c>
      <c r="D17" t="s">
        <v>37</v>
      </c>
      <c r="E17" t="s">
        <v>34</v>
      </c>
    </row>
    <row r="18" spans="1:10" thickBot="1" x14ac:dyDescent="0.35">
      <c r="A18" t="s">
        <v>85</v>
      </c>
      <c r="B18" s="9">
        <f>SUM(H2:H5)</f>
        <v>3419.7777777777778</v>
      </c>
      <c r="C18" s="9">
        <f>SUM(H6:H9)</f>
        <v>119020.4</v>
      </c>
      <c r="D18" s="10">
        <f>SUM(H10:H11)</f>
        <v>0</v>
      </c>
      <c r="E18" s="5">
        <f>SUM(B18:D18)</f>
        <v>122440.17777777778</v>
      </c>
      <c r="F18" s="10"/>
    </row>
    <row r="19" spans="1:10" ht="15.6" thickTop="1" thickBot="1" x14ac:dyDescent="0.35">
      <c r="A19" t="s">
        <v>86</v>
      </c>
      <c r="B19">
        <f>SUM(I2:I5)</f>
        <v>7862</v>
      </c>
      <c r="C19">
        <f>SUM(I6:I9)</f>
        <v>287164</v>
      </c>
      <c r="D19" s="21">
        <f>SUM(I10)</f>
        <v>0</v>
      </c>
      <c r="E19" s="5">
        <f>SUM(B19:D19)</f>
        <v>295026</v>
      </c>
    </row>
    <row r="20" spans="1:10" ht="15.6" thickTop="1" thickBot="1" x14ac:dyDescent="0.35">
      <c r="A20" t="s">
        <v>110</v>
      </c>
      <c r="B20">
        <f>SUM(J$2:J$5)</f>
        <v>15940</v>
      </c>
      <c r="C20">
        <f>SUM(J6:J9)</f>
        <v>277633.8</v>
      </c>
      <c r="D20" s="21">
        <f>SUM(J10)</f>
        <v>0</v>
      </c>
      <c r="E20" s="5">
        <f>SUM(B20:D20)</f>
        <v>293573.8</v>
      </c>
    </row>
    <row r="21" spans="1:10" ht="15.6" thickTop="1" thickBot="1" x14ac:dyDescent="0.35">
      <c r="A21" t="s">
        <v>6</v>
      </c>
      <c r="B21">
        <f>SUM(K2:K5)</f>
        <v>2750</v>
      </c>
      <c r="C21">
        <f>SUM(K6:K9)</f>
        <v>214565</v>
      </c>
      <c r="D21" s="21">
        <f>SUM(K10)</f>
        <v>0</v>
      </c>
      <c r="E21" s="5">
        <f>SUM(B21:D21)</f>
        <v>217315</v>
      </c>
    </row>
    <row r="22" spans="1:10" thickTop="1" x14ac:dyDescent="0.3"/>
    <row r="32" spans="1:10" ht="14.45" x14ac:dyDescent="0.3">
      <c r="H32">
        <v>112</v>
      </c>
      <c r="I32">
        <v>900</v>
      </c>
      <c r="J32">
        <v>294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ignoredErrors>
    <ignoredError sqref="D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9" sqref="G9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  <col min="9" max="9" width="15.140625" customWidth="1"/>
    <col min="10" max="10" width="15.71093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66</v>
      </c>
      <c r="H2" s="4">
        <f>Table24[[#This Row],[Cost per Unit (OASE)]]*Table24[[#This Row],[Quantity]]</f>
        <v>5280</v>
      </c>
      <c r="I2" s="12">
        <f>Table24[[#This Row],[Cost per Unit (Rokkas)]]*Table24[[#This Row],[Quantity]]</f>
        <v>9240</v>
      </c>
      <c r="J2" s="12">
        <f>Table24[[#This Row],[Cost per Unit(BSG)]]*Table24[[#This Row],[Quantity]]</f>
        <v>19800</v>
      </c>
      <c r="K2" s="35">
        <f>Table24[[#This Row],[Cost per Unit(Phillipson)]]*Table24[[#This Row],[Quantity]]</f>
        <v>3630</v>
      </c>
    </row>
    <row r="3" spans="1:11" x14ac:dyDescent="0.25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v>200</v>
      </c>
      <c r="H3" s="4">
        <f>Table24[[#This Row],[Cost per Unit (OASE)]]*Table24[[#This Row],[Quantity]]</f>
        <v>2400</v>
      </c>
      <c r="I3" s="12">
        <f>Table24[[#This Row],[Cost per Unit (Rokkas)]]*Table24[[#This Row],[Quantity]]</f>
        <v>800</v>
      </c>
      <c r="J3" s="12">
        <f>Table24[[#This Row],[Cost per Unit(BSG)]]*Table24[[#This Row],[Quantity]]</f>
        <v>0</v>
      </c>
      <c r="K3" s="35">
        <f>Table24[[#This Row],[Cost per Unit(Phillipson)]]*Table24[[#This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1800</v>
      </c>
      <c r="H4" s="4">
        <f>Table24[[#This Row],[Cost per Unit (OASE)]]*Table24[[#This Row],[Quantity]]</f>
        <v>20</v>
      </c>
      <c r="I4" s="12">
        <f>Table24[[#This Row],[Cost per Unit (Rokkas)]]*Table24[[#This Row],[Quantity]]</f>
        <v>0</v>
      </c>
      <c r="J4" s="12">
        <f>Table24[[#This Row],[Cost per Unit(BSG)]]*Table24[[#This Row],[Quantity]]</f>
        <v>0</v>
      </c>
      <c r="K4" s="35">
        <f>Table24[[#This Row],[Cost per Unit(Phillipson)]]*Table24[[#This Row],[Quantity]]</f>
        <v>0</v>
      </c>
    </row>
    <row r="5" spans="1:11" x14ac:dyDescent="0.25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Table24[[#This Row],[Cost per Unit (OASE)]]*Table24[[#This Row],[Quantity]]</f>
        <v>200</v>
      </c>
      <c r="I5" s="12">
        <f>Table24[[#This Row],[Cost per Unit (Rokkas)]]*Table24[[#This Row],[Quantity]]</f>
        <v>3000</v>
      </c>
      <c r="J5" s="12">
        <f>Table24[[#This Row],[Cost per Unit(BSG)]]*Table24[[#This Row],[Quantity]]</f>
        <v>100</v>
      </c>
      <c r="K5" s="35">
        <f>Table24[[#This Row],[Cost per Unit(Phillipson)]]*Table24[[#This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v>130</v>
      </c>
      <c r="H6" s="4">
        <f>Table24[[#This Row],[Cost per Unit (OASE)]]*Table24[[#This Row],[Quantity]]</f>
        <v>234</v>
      </c>
      <c r="I6" s="12">
        <f>Table24[[#This Row],[Cost per Unit (Rokkas)]]*Table24[[#This Row],[Quantity]]</f>
        <v>1300</v>
      </c>
      <c r="J6" s="12">
        <f>Table24[[#This Row],[Cost per Unit(BSG)]]*Table24[[#This Row],[Quantity]]</f>
        <v>182</v>
      </c>
      <c r="K6" s="35">
        <f>Table24[[#This Row],[Cost per Unit(Phillipson)]]*Table24[[#This Row],[Quantity]]</f>
        <v>0</v>
      </c>
    </row>
    <row r="7" spans="1:11" x14ac:dyDescent="0.25">
      <c r="A7" s="6" t="s">
        <v>28</v>
      </c>
      <c r="B7" s="6" t="s">
        <v>39</v>
      </c>
      <c r="C7" s="4">
        <v>12</v>
      </c>
      <c r="D7" s="4">
        <v>4</v>
      </c>
      <c r="E7" s="4">
        <v>0</v>
      </c>
      <c r="F7" s="4">
        <v>0</v>
      </c>
      <c r="G7" s="4">
        <v>130</v>
      </c>
      <c r="H7" s="4">
        <f>Table24[[#This Row],[Cost per Unit (OASE)]]*Table24[[#This Row],[Quantity]]</f>
        <v>1560</v>
      </c>
      <c r="I7" s="12">
        <f>Table24[[#This Row],[Cost per Unit (Rokkas)]]*Table24[[#This Row],[Quantity]]</f>
        <v>520</v>
      </c>
      <c r="J7" s="12">
        <f>Table24[[#This Row],[Cost per Unit(BSG)]]*Table24[[#This Row],[Quantity]]</f>
        <v>0</v>
      </c>
      <c r="K7" s="35">
        <f>Table24[[#This Row],[Cost per Unit(Phillipson)]]*Table24[[#This Row],[Quantity]]</f>
        <v>0</v>
      </c>
    </row>
    <row r="8" spans="1:11" x14ac:dyDescent="0.25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934</v>
      </c>
      <c r="H8" s="4">
        <f>Table24[[#This Row],[Cost per Unit (OASE)]]*Table24[[#This Row],[Quantity]]</f>
        <v>1681.2</v>
      </c>
      <c r="I8" s="12">
        <f>Table24[[#This Row],[Cost per Unit (Rokkas)]]*Table24[[#This Row],[Quantity]]</f>
        <v>9340</v>
      </c>
      <c r="J8" s="12">
        <f>Table24[[#This Row],[Cost per Unit(BSG)]]*Table24[[#This Row],[Quantity]]</f>
        <v>1494.4</v>
      </c>
      <c r="K8" s="35">
        <f>Table24[[#This Row],[Cost per Unit(Phillipson)]]*Table24[[#This Row],[Quantity]]</f>
        <v>0</v>
      </c>
    </row>
    <row r="9" spans="1:11" x14ac:dyDescent="0.25">
      <c r="A9" s="6" t="s">
        <v>32</v>
      </c>
      <c r="B9" s="6" t="s">
        <v>33</v>
      </c>
      <c r="C9" s="4">
        <v>12</v>
      </c>
      <c r="D9" s="4">
        <v>10</v>
      </c>
      <c r="E9" s="4">
        <f>1200/50</f>
        <v>24</v>
      </c>
      <c r="F9" s="4">
        <v>10</v>
      </c>
      <c r="G9" s="4">
        <v>8000</v>
      </c>
      <c r="H9" s="4">
        <f>Table24[[#This Row],[Cost per Unit (OASE)]]*Table24[[#This Row],[Quantity]]</f>
        <v>96000</v>
      </c>
      <c r="I9" s="12">
        <f>Table24[[#This Row],[Cost per Unit (Rokkas)]]*Table24[[#This Row],[Quantity]]</f>
        <v>80000</v>
      </c>
      <c r="J9" s="12">
        <f>Table24[[#This Row],[Cost per Unit(BSG)]]*Table24[[#This Row],[Quantity]]</f>
        <v>192000</v>
      </c>
      <c r="K9" s="35">
        <f>Table24[[#This Row],[Cost per Unit(Phillipson)]]*Table24[[#This Row],[Quantity]]</f>
        <v>80000</v>
      </c>
    </row>
    <row r="10" spans="1:11" x14ac:dyDescent="0.25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8000</v>
      </c>
      <c r="H10" s="11">
        <f>Table24[[#This Row],[Cost per Unit (OASE)]]*Table24[[#This Row],[Quantity]]</f>
        <v>16800</v>
      </c>
      <c r="I10" s="12">
        <f>Table24[[#This Row],[Cost per Unit (Rokkas)]]*Table24[[#This Row],[Quantity]]</f>
        <v>32000</v>
      </c>
      <c r="J10" s="12">
        <f>Table24[[#This Row],[Cost per Unit(BSG)]]*Table24[[#This Row],[Quantity]]</f>
        <v>12800</v>
      </c>
      <c r="K10" s="35">
        <f>Table24[[#This Row],[Cost per Unit(Phillipson)]]*Table24[[#This Row],[Quantity]]</f>
        <v>40000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12"/>
    </row>
    <row r="16" spans="1:11" ht="14.45" x14ac:dyDescent="0.3">
      <c r="A16" t="s">
        <v>49</v>
      </c>
      <c r="B16" t="s">
        <v>35</v>
      </c>
      <c r="C16" t="s">
        <v>36</v>
      </c>
      <c r="D16" t="s">
        <v>37</v>
      </c>
      <c r="E16" t="s">
        <v>34</v>
      </c>
      <c r="G16" s="21"/>
    </row>
    <row r="17" spans="1:7" thickBot="1" x14ac:dyDescent="0.35">
      <c r="A17" t="s">
        <v>85</v>
      </c>
      <c r="B17" s="9">
        <f>SUM(H2:H5)</f>
        <v>7900</v>
      </c>
      <c r="C17" s="9">
        <f>SUM(H6:H8)</f>
        <v>3475.2</v>
      </c>
      <c r="D17" s="10">
        <f>SUM(H9:H11)</f>
        <v>112800</v>
      </c>
      <c r="E17" s="5">
        <f>SUM(B17:D17)</f>
        <v>124175.2</v>
      </c>
      <c r="F17" s="5"/>
      <c r="G17" s="10"/>
    </row>
    <row r="18" spans="1:7" ht="15.6" thickTop="1" thickBot="1" x14ac:dyDescent="0.35">
      <c r="A18" t="s">
        <v>86</v>
      </c>
      <c r="B18">
        <f>SUM(I2:I5)</f>
        <v>13040</v>
      </c>
      <c r="C18">
        <f>SUM(I6:I8)</f>
        <v>11160</v>
      </c>
      <c r="D18" s="21">
        <f>SUM(I9:I10)</f>
        <v>112000</v>
      </c>
      <c r="E18" s="5">
        <f>SUM(B18:D18)</f>
        <v>136200</v>
      </c>
      <c r="F18" s="5"/>
    </row>
    <row r="19" spans="1:7" ht="15.6" thickTop="1" thickBot="1" x14ac:dyDescent="0.35">
      <c r="A19" t="s">
        <v>110</v>
      </c>
      <c r="B19">
        <f>SUM(J$2:J$5)</f>
        <v>19900</v>
      </c>
      <c r="C19">
        <f>SUM(J6:J8)</f>
        <v>1676.4</v>
      </c>
      <c r="D19" s="21">
        <f>SUM(J9:J10)</f>
        <v>204800</v>
      </c>
      <c r="E19" s="5">
        <f>SUM(B19:D19)</f>
        <v>226376.4</v>
      </c>
      <c r="F19" s="5"/>
    </row>
    <row r="20" spans="1:7" ht="15.6" thickTop="1" thickBot="1" x14ac:dyDescent="0.35">
      <c r="A20" t="s">
        <v>6</v>
      </c>
      <c r="B20" s="24">
        <f>SUM(K$2:K$5)</f>
        <v>3630</v>
      </c>
      <c r="C20">
        <f>SUM(K6:K8)</f>
        <v>0</v>
      </c>
      <c r="D20" s="21">
        <f>SUM(K9:K10)</f>
        <v>120000</v>
      </c>
      <c r="E20" s="5">
        <f>SUM(B20:D20)</f>
        <v>123630</v>
      </c>
    </row>
    <row r="21" spans="1:7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workbookViewId="0">
      <selection activeCell="G2" sqref="G2:G10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7</v>
      </c>
      <c r="H2" s="4">
        <f>Table245[[#This Row],[Cost per Unit (OASE)]]*Table245[[#This Row],[Quantity]]</f>
        <v>112</v>
      </c>
      <c r="I2" s="12">
        <f>Table245[[#This Row],[Cost per Unit(Rokkas)]]*Table245[[#This Row],[Quantity]]</f>
        <v>0</v>
      </c>
      <c r="J2" s="12">
        <f>Table245[[#This Row],[Cost per Unit(BSG)]]*Table245[[#This Row],[Quantity]]</f>
        <v>0</v>
      </c>
      <c r="K2" s="35">
        <f>Table245[[#This Row],[Cost per Unit(Phillipson)]]*Table245[[#This Row],[Quantity]]</f>
        <v>0</v>
      </c>
    </row>
    <row r="3" spans="1:11" x14ac:dyDescent="0.25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v>90</v>
      </c>
      <c r="H3" s="4">
        <f>Table245[[#This Row],[Cost per Unit (OASE)]]*Table245[[#This Row],[Quantity]]</f>
        <v>792.00000000000011</v>
      </c>
      <c r="I3" s="12">
        <f>Table245[[#This Row],[Cost per Unit(Rokkas)]]*Table245[[#This Row],[Quantity]]</f>
        <v>18000</v>
      </c>
      <c r="J3" s="12">
        <f>Table245[[#This Row],[Cost per Unit(BSG)]]*Table245[[#This Row],[Quantity]]</f>
        <v>31500</v>
      </c>
      <c r="K3" s="35">
        <f>Table245[[#This Row],[Cost per Unit(Phillipson)]]*Table245[[#This Row],[Quantity]]</f>
        <v>5400</v>
      </c>
    </row>
    <row r="4" spans="1:11" x14ac:dyDescent="0.2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90</v>
      </c>
      <c r="H4" s="4">
        <f>Table245[[#This Row],[Cost per Unit (OASE)]]*Table245[[#This Row],[Quantity]]</f>
        <v>5670</v>
      </c>
      <c r="I4" s="12">
        <f>Table245[[#This Row],[Cost per Unit(Rokkas)]]*Table245[[#This Row],[Quantity]]</f>
        <v>0</v>
      </c>
      <c r="J4" s="12">
        <f>Table245[[#This Row],[Cost per Unit(BSG)]]*Table245[[#This Row],[Quantity]]</f>
        <v>0</v>
      </c>
      <c r="K4" s="35">
        <f>Table245[[#This Row],[Cost per Unit(Phillipson)]]*Table245[[#This Row],[Quantity]]</f>
        <v>0</v>
      </c>
    </row>
    <row r="5" spans="1:11" x14ac:dyDescent="0.2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90</v>
      </c>
      <c r="H5" s="4">
        <f>Table245[[#This Row],[Cost per Unit (OASE)]]*Table245[[#This Row],[Quantity]]</f>
        <v>206.99999999999997</v>
      </c>
      <c r="I5" s="12">
        <f>Table245[[#This Row],[Cost per Unit(Rokkas)]]*Table245[[#This Row],[Quantity]]</f>
        <v>0</v>
      </c>
      <c r="J5" s="12">
        <f>Table245[[#This Row],[Cost per Unit(BSG)]]*Table245[[#This Row],[Quantity]]</f>
        <v>0</v>
      </c>
      <c r="K5" s="35">
        <f>Table245[[#This Row],[Cost per Unit(Phillipson)]]*Table245[[#This Row],[Quantity]]</f>
        <v>0</v>
      </c>
    </row>
    <row r="6" spans="1:11" x14ac:dyDescent="0.2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2300</v>
      </c>
      <c r="H6" s="4">
        <f>Table245[[#This Row],[Cost per Unit (OASE)]]*Table245[[#This Row],[Quantity]]</f>
        <v>51.111111111111114</v>
      </c>
      <c r="I6" s="12">
        <f>Table245[[#This Row],[Cost per Unit(Rokkas)]]*Table245[[#This Row],[Quantity]]</f>
        <v>0</v>
      </c>
      <c r="J6" s="12">
        <f>Table245[[#This Row],[Cost per Unit(BSG)]]*Table245[[#This Row],[Quantity]]</f>
        <v>0</v>
      </c>
      <c r="K6" s="35">
        <f>Table245[[#This Row],[Cost per Unit(Phillipson)]]*Table245[[#This Row],[Quantity]]</f>
        <v>0</v>
      </c>
    </row>
    <row r="7" spans="1:11" x14ac:dyDescent="0.25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Table245[[#This Row],[Cost per Unit (OASE)]]*Table245[[#This Row],[Quantity]]</f>
        <v>400</v>
      </c>
      <c r="I7" s="12">
        <f>Table245[[#This Row],[Cost per Unit(Rokkas)]]*Table245[[#This Row],[Quantity]]</f>
        <v>3000</v>
      </c>
      <c r="J7" s="12">
        <f>Table245[[#This Row],[Cost per Unit(BSG)]]*Table245[[#This Row],[Quantity]]</f>
        <v>200</v>
      </c>
      <c r="K7" s="35">
        <f>Table245[[#This Row],[Cost per Unit(Phillipson)]]*Table245[[#This Row],[Quantity]]</f>
        <v>0</v>
      </c>
    </row>
    <row r="8" spans="1:11" x14ac:dyDescent="0.2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0</v>
      </c>
      <c r="G8" s="4">
        <v>90</v>
      </c>
      <c r="H8" s="4">
        <f>Table245[[#This Row],[Cost per Unit (OASE)]]*Table245[[#This Row],[Quantity]]</f>
        <v>2160</v>
      </c>
      <c r="I8" s="12">
        <f>Table245[[#This Row],[Cost per Unit(Rokkas)]]*Table245[[#This Row],[Quantity]]</f>
        <v>360</v>
      </c>
      <c r="J8" s="12">
        <f>Table245[[#This Row],[Cost per Unit(BSG)]]*Table245[[#This Row],[Quantity]]</f>
        <v>180</v>
      </c>
      <c r="K8" s="35">
        <f>Table245[[#This Row],[Cost per Unit(Phillipson)]]*Table245[[#This Row],[Quantity]]</f>
        <v>0</v>
      </c>
    </row>
    <row r="9" spans="1:11" x14ac:dyDescent="0.25">
      <c r="A9" s="6" t="s">
        <v>32</v>
      </c>
      <c r="B9" s="6" t="s">
        <v>33</v>
      </c>
      <c r="C9" s="4">
        <v>10</v>
      </c>
      <c r="D9" s="4">
        <v>10</v>
      </c>
      <c r="E9" s="4">
        <v>24</v>
      </c>
      <c r="F9" s="4">
        <v>10</v>
      </c>
      <c r="G9" s="4">
        <v>8000</v>
      </c>
      <c r="H9" s="4">
        <f>Table245[[#This Row],[Cost per Unit (OASE)]]*Table245[[#This Row],[Quantity]]</f>
        <v>80000</v>
      </c>
      <c r="I9" s="12">
        <f>Table245[[#This Row],[Cost per Unit(Rokkas)]]*Table245[[#This Row],[Quantity]]</f>
        <v>80000</v>
      </c>
      <c r="J9" s="12">
        <f>Table245[[#This Row],[Cost per Unit(BSG)]]*Table245[[#This Row],[Quantity]]</f>
        <v>192000</v>
      </c>
      <c r="K9" s="35">
        <f>Table245[[#This Row],[Cost per Unit(Phillipson)]]*Table245[[#This Row],[Quantity]]</f>
        <v>80000</v>
      </c>
    </row>
    <row r="10" spans="1:11" x14ac:dyDescent="0.25">
      <c r="A10" s="6" t="s">
        <v>32</v>
      </c>
      <c r="B10" s="6" t="s">
        <v>88</v>
      </c>
      <c r="C10" s="4">
        <f>2.1</f>
        <v>2.1</v>
      </c>
      <c r="D10" s="4">
        <f>250/50</f>
        <v>5</v>
      </c>
      <c r="E10" s="4">
        <f>135/50</f>
        <v>2.7</v>
      </c>
      <c r="F10" s="4">
        <v>5</v>
      </c>
      <c r="G10" s="4">
        <v>8000</v>
      </c>
      <c r="H10" s="4">
        <f>Table245[[#This Row],[Cost per Unit (OASE)]]*Table245[[#This Row],[Quantity]]</f>
        <v>16800</v>
      </c>
      <c r="I10" s="12">
        <f>Table245[[#This Row],[Cost per Unit(Rokkas)]]*Table245[[#This Row],[Quantity]]</f>
        <v>40000</v>
      </c>
      <c r="J10" s="12">
        <f>Table245[[#This Row],[Cost per Unit(BSG)]]*Table245[[#This Row],[Quantity]]</f>
        <v>21600</v>
      </c>
      <c r="K10" s="35">
        <f>Table245[[#This Row],[Cost per Unit(Phillipson)]]*Table245[[#This Row],[Quantity]]</f>
        <v>40000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8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G14" s="21"/>
    </row>
    <row r="15" spans="1:11" thickBot="1" x14ac:dyDescent="0.35">
      <c r="A15" t="s">
        <v>85</v>
      </c>
      <c r="B15" s="9">
        <f>SUM(H2:H7)</f>
        <v>7232.1111111111113</v>
      </c>
      <c r="C15" s="9">
        <f>SUM(H8:H8)</f>
        <v>2160</v>
      </c>
      <c r="D15" s="10">
        <f>SUM(H9:H11)</f>
        <v>96800</v>
      </c>
      <c r="E15" s="5">
        <f>SUM(B15:D15)</f>
        <v>106192.11111111111</v>
      </c>
      <c r="F15" s="5"/>
      <c r="G15" s="10"/>
    </row>
    <row r="16" spans="1:11" ht="15.6" thickTop="1" thickBot="1" x14ac:dyDescent="0.35">
      <c r="A16" t="s">
        <v>86</v>
      </c>
      <c r="B16">
        <f>SUM(I2:I7)</f>
        <v>21000</v>
      </c>
      <c r="C16">
        <f>SUM(I8)</f>
        <v>360</v>
      </c>
      <c r="D16" s="21">
        <f>SUM(I9:I10)</f>
        <v>120000</v>
      </c>
      <c r="E16" s="5">
        <f t="shared" ref="E16:E18" si="0">SUM(B16:D16)</f>
        <v>141360</v>
      </c>
      <c r="F16" s="5"/>
    </row>
    <row r="17" spans="1:6" ht="15.6" thickTop="1" thickBot="1" x14ac:dyDescent="0.35">
      <c r="A17" t="s">
        <v>110</v>
      </c>
      <c r="B17">
        <f>SUM(J2:J7)</f>
        <v>31700</v>
      </c>
      <c r="C17">
        <f>J8</f>
        <v>180</v>
      </c>
      <c r="D17" s="21">
        <f>SUM(J9:J10)</f>
        <v>213600</v>
      </c>
      <c r="E17" s="5">
        <f t="shared" si="0"/>
        <v>245480</v>
      </c>
      <c r="F17" s="5"/>
    </row>
    <row r="18" spans="1:6" ht="15.6" thickTop="1" thickBot="1" x14ac:dyDescent="0.35">
      <c r="A18" t="s">
        <v>6</v>
      </c>
      <c r="B18">
        <f>SUM(K2:K7)</f>
        <v>5400</v>
      </c>
      <c r="C18">
        <f>K8</f>
        <v>0</v>
      </c>
      <c r="D18" s="21">
        <f>SUM(K9:K10)</f>
        <v>120000</v>
      </c>
      <c r="E18" s="5">
        <f t="shared" si="0"/>
        <v>125400</v>
      </c>
    </row>
    <row r="19" spans="1:6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9" sqref="G9"/>
    </sheetView>
  </sheetViews>
  <sheetFormatPr defaultRowHeight="15" x14ac:dyDescent="0.25"/>
  <cols>
    <col min="1" max="1" width="25.5703125" customWidth="1"/>
    <col min="2" max="2" width="27.7109375" customWidth="1"/>
    <col min="3" max="3" width="25" customWidth="1"/>
    <col min="4" max="4" width="28.28515625" customWidth="1"/>
    <col min="5" max="5" width="28" customWidth="1"/>
    <col min="6" max="6" width="28" style="24" customWidth="1"/>
    <col min="10" max="10" width="29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7</v>
      </c>
      <c r="H2" s="4">
        <f>Table2456[[#This Row],[Cost per Unit (OASE)]]*Table2456[[#This Row],[Quantity]]</f>
        <v>112</v>
      </c>
      <c r="I2" s="12">
        <f>Table2456[[#This Row],[Cost per Unit(Rokkas)]]*Table2456[[#This Row],[Quantity]]</f>
        <v>0</v>
      </c>
      <c r="J2" s="12">
        <f>Table2456[[#This Row],[Cost per Unit (BSG)]]*Table2456[[#This Row],[Quantity]]</f>
        <v>0</v>
      </c>
      <c r="K2" s="35">
        <f>Table2456[[#This Row],[Cost per Unit(Phillipson)]]*Table2456[[#This Row],[Quantity]]</f>
        <v>0</v>
      </c>
    </row>
    <row r="3" spans="1:11" x14ac:dyDescent="0.25">
      <c r="A3" s="6" t="s">
        <v>27</v>
      </c>
      <c r="B3" s="6" t="s">
        <v>42</v>
      </c>
      <c r="C3" s="4">
        <v>20</v>
      </c>
      <c r="D3" s="4">
        <f>10000/50</f>
        <v>200</v>
      </c>
      <c r="E3" s="4">
        <v>350</v>
      </c>
      <c r="F3" s="4">
        <v>60</v>
      </c>
      <c r="G3" s="4">
        <v>90</v>
      </c>
      <c r="H3" s="4">
        <f>Table2456[[#This Row],[Cost per Unit (OASE)]]*Table2456[[#This Row],[Quantity]]</f>
        <v>1800</v>
      </c>
      <c r="I3" s="12">
        <f>Table2456[[#This Row],[Cost per Unit(Rokkas)]]*Table2456[[#This Row],[Quantity]]</f>
        <v>18000</v>
      </c>
      <c r="J3" s="12">
        <f>Table2456[[#This Row],[Cost per Unit (BSG)]]*Table2456[[#This Row],[Quantity]]</f>
        <v>31500</v>
      </c>
      <c r="K3" s="35">
        <f>Table2456[[#This Row],[Cost per Unit(Phillipson)]]*Table2456[[#This Row],[Quantity]]</f>
        <v>5400</v>
      </c>
    </row>
    <row r="4" spans="1:11" x14ac:dyDescent="0.2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90</v>
      </c>
      <c r="H4" s="4">
        <f>Table2456[[#This Row],[Cost per Unit (OASE)]]*Table2456[[#This Row],[Quantity]]</f>
        <v>5670</v>
      </c>
      <c r="I4" s="12">
        <f>Table2456[[#This Row],[Cost per Unit(Rokkas)]]*Table2456[[#This Row],[Quantity]]</f>
        <v>0</v>
      </c>
      <c r="J4" s="12">
        <f>Table2456[[#This Row],[Cost per Unit (BSG)]]*Table2456[[#This Row],[Quantity]]</f>
        <v>0</v>
      </c>
      <c r="K4" s="35">
        <f>Table2456[[#This Row],[Cost per Unit(Phillipson)]]*Table2456[[#This Row],[Quantity]]</f>
        <v>0</v>
      </c>
    </row>
    <row r="5" spans="1:11" x14ac:dyDescent="0.2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90</v>
      </c>
      <c r="H5" s="4">
        <f>Table2456[[#This Row],[Cost per Unit (OASE)]]*Table2456[[#This Row],[Quantity]]</f>
        <v>206.99999999999997</v>
      </c>
      <c r="I5" s="12">
        <f>Table2456[[#This Row],[Cost per Unit(Rokkas)]]*Table2456[[#This Row],[Quantity]]</f>
        <v>0</v>
      </c>
      <c r="J5" s="12">
        <f>Table2456[[#This Row],[Cost per Unit (BSG)]]*Table2456[[#This Row],[Quantity]]</f>
        <v>0</v>
      </c>
      <c r="K5" s="35">
        <f>Table2456[[#This Row],[Cost per Unit(Phillipson)]]*Table2456[[#This Row],[Quantity]]</f>
        <v>0</v>
      </c>
    </row>
    <row r="6" spans="1:11" x14ac:dyDescent="0.2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4500</v>
      </c>
      <c r="H6" s="4">
        <f>Table2456[[#This Row],[Cost per Unit (OASE)]]*Table2456[[#This Row],[Quantity]]</f>
        <v>100</v>
      </c>
      <c r="I6" s="12">
        <f>Table2456[[#This Row],[Cost per Unit(Rokkas)]]*Table2456[[#This Row],[Quantity]]</f>
        <v>0</v>
      </c>
      <c r="J6" s="12">
        <f>Table2456[[#This Row],[Cost per Unit (BSG)]]*Table2456[[#This Row],[Quantity]]</f>
        <v>0</v>
      </c>
      <c r="K6" s="35">
        <f>Table2456[[#This Row],[Cost per Unit(Phillipson)]]*Table2456[[#This Row],[Quantity]]</f>
        <v>0</v>
      </c>
    </row>
    <row r="7" spans="1:11" x14ac:dyDescent="0.25">
      <c r="A7" s="6" t="s">
        <v>27</v>
      </c>
      <c r="B7" s="6" t="s">
        <v>46</v>
      </c>
      <c r="C7" s="4">
        <f>400</f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Table2456[[#This Row],[Cost per Unit (OASE)]]*Table2456[[#This Row],[Quantity]]</f>
        <v>400</v>
      </c>
      <c r="I7" s="12">
        <f>Table2456[[#This Row],[Cost per Unit(Rokkas)]]*Table2456[[#This Row],[Quantity]]</f>
        <v>3000</v>
      </c>
      <c r="J7" s="12">
        <f>Table2456[[#This Row],[Cost per Unit (BSG)]]*Table2456[[#This Row],[Quantity]]</f>
        <v>200</v>
      </c>
      <c r="K7" s="35">
        <f>Table2456[[#This Row],[Cost per Unit(Phillipson)]]*Table2456[[#This Row],[Quantity]]</f>
        <v>0</v>
      </c>
    </row>
    <row r="8" spans="1:11" x14ac:dyDescent="0.2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v>90</v>
      </c>
      <c r="H8" s="4">
        <f>Table2456[[#This Row],[Cost per Unit (OASE)]]*Table2456[[#This Row],[Quantity]]</f>
        <v>2160</v>
      </c>
      <c r="I8" s="12">
        <f>Table2456[[#This Row],[Cost per Unit(Rokkas)]]*Table2456[[#This Row],[Quantity]]</f>
        <v>360</v>
      </c>
      <c r="J8" s="12">
        <f>Table2456[[#This Row],[Cost per Unit (BSG)]]*Table2456[[#This Row],[Quantity]]</f>
        <v>180</v>
      </c>
      <c r="K8" s="35">
        <f>Table2456[[#This Row],[Cost per Unit(Phillipson)]]*Table2456[[#This Row],[Quantity]]</f>
        <v>180</v>
      </c>
    </row>
    <row r="9" spans="1:11" x14ac:dyDescent="0.25">
      <c r="A9" s="6" t="s">
        <v>32</v>
      </c>
      <c r="B9" s="6" t="s">
        <v>66</v>
      </c>
      <c r="C9" s="4">
        <v>0</v>
      </c>
      <c r="D9" s="4">
        <v>4</v>
      </c>
      <c r="E9" s="4">
        <v>2</v>
      </c>
      <c r="F9" s="4">
        <v>0</v>
      </c>
      <c r="G9" s="4">
        <v>8000</v>
      </c>
      <c r="H9" s="4">
        <f>Table2456[[#This Row],[Cost per Unit (OASE)]]*Table2456[[#This Row],[Quantity]]</f>
        <v>0</v>
      </c>
      <c r="I9" s="12">
        <f>Table2456[[#This Row],[Cost per Unit(Rokkas)]]*Table2456[[#This Row],[Quantity]]</f>
        <v>32000</v>
      </c>
      <c r="J9" s="12">
        <f>Table2456[[#This Row],[Cost per Unit (BSG)]]*Table2456[[#This Row],[Quantity]]</f>
        <v>16000</v>
      </c>
      <c r="K9" s="35">
        <f>Table2456[[#This Row],[Cost per Unit(Phillipson)]]*Table2456[[#This Row],[Quantity]]</f>
        <v>0</v>
      </c>
    </row>
    <row r="10" spans="1:11" x14ac:dyDescent="0.25">
      <c r="A10" s="6" t="s">
        <v>32</v>
      </c>
      <c r="B10" s="6" t="s">
        <v>128</v>
      </c>
      <c r="C10" s="4">
        <f>2.3+3</f>
        <v>5.3</v>
      </c>
      <c r="D10" s="4">
        <f>2+250/50</f>
        <v>7</v>
      </c>
      <c r="E10" s="4">
        <f>2.7+2</f>
        <v>4.7</v>
      </c>
      <c r="F10" s="4">
        <f>5+2</f>
        <v>7</v>
      </c>
      <c r="G10" s="4">
        <v>64000</v>
      </c>
      <c r="H10" s="4">
        <f>Table2456[[#This Row],[Cost per Unit (OASE)]]*Table2456[[#This Row],[Quantity]]</f>
        <v>339200</v>
      </c>
      <c r="I10" s="12">
        <f>Table2456[[#This Row],[Cost per Unit(Rokkas)]]*Table2456[[#This Row],[Quantity]]</f>
        <v>448000</v>
      </c>
      <c r="J10" s="12">
        <f>Table2456[[#This Row],[Cost per Unit (BSG)]]*Table2456[[#This Row],[Quantity]]</f>
        <v>300800</v>
      </c>
      <c r="K10" s="35">
        <f>Table2456[[#This Row],[Cost per Unit(Phillipson)]]*Table2456[[#This Row],[Quantity]]</f>
        <v>448000</v>
      </c>
    </row>
    <row r="11" spans="1:11" ht="14.45" x14ac:dyDescent="0.3">
      <c r="A11" s="6"/>
      <c r="B11" s="6"/>
      <c r="C11" s="4"/>
      <c r="D11" s="4"/>
      <c r="E11" s="8"/>
      <c r="F11" s="36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J14" s="31"/>
    </row>
    <row r="15" spans="1:11" thickBot="1" x14ac:dyDescent="0.35">
      <c r="A15" t="s">
        <v>85</v>
      </c>
      <c r="B15" s="9">
        <f>SUM(H2:H7)</f>
        <v>8289</v>
      </c>
      <c r="C15" s="9">
        <f>SUM(H8:H8)</f>
        <v>2160</v>
      </c>
      <c r="D15" s="10">
        <f>SUM(H9:H10)</f>
        <v>339200</v>
      </c>
      <c r="E15" s="5">
        <f>SUM(B15:D15)</f>
        <v>349649</v>
      </c>
      <c r="F15" s="5"/>
      <c r="J15" s="28"/>
    </row>
    <row r="16" spans="1:11" ht="15.6" thickTop="1" thickBot="1" x14ac:dyDescent="0.35">
      <c r="A16" t="s">
        <v>89</v>
      </c>
      <c r="B16">
        <f>SUM(I2:I7)</f>
        <v>21000</v>
      </c>
      <c r="C16">
        <f>SUM(I8)</f>
        <v>360</v>
      </c>
      <c r="D16">
        <f>SUM(I9:I10)</f>
        <v>480000</v>
      </c>
      <c r="E16" s="5">
        <f>SUM(B16:D16)</f>
        <v>501360</v>
      </c>
      <c r="F16" s="5"/>
      <c r="J16" s="29"/>
    </row>
    <row r="17" spans="1:10" ht="15.6" thickTop="1" thickBot="1" x14ac:dyDescent="0.35">
      <c r="A17" t="s">
        <v>110</v>
      </c>
      <c r="B17">
        <f>SUM(J2:J7)</f>
        <v>31700</v>
      </c>
      <c r="C17">
        <f>SUM(J8)</f>
        <v>180</v>
      </c>
      <c r="D17">
        <f>SUM(J9:J10)</f>
        <v>316800</v>
      </c>
      <c r="E17" s="5">
        <f>SUM(B17:D17)</f>
        <v>348680</v>
      </c>
      <c r="F17" s="5"/>
      <c r="J17" s="28"/>
    </row>
    <row r="18" spans="1:10" ht="15.6" thickTop="1" thickBot="1" x14ac:dyDescent="0.35">
      <c r="A18" t="s">
        <v>6</v>
      </c>
      <c r="B18">
        <f>SUM(K2:K7)</f>
        <v>5400</v>
      </c>
      <c r="C18" s="24">
        <f>SUM(K8)</f>
        <v>180</v>
      </c>
      <c r="D18" s="24">
        <f>SUM(K10:K11)</f>
        <v>448000</v>
      </c>
      <c r="E18" s="5">
        <f>SUM(B18:D18)</f>
        <v>453580</v>
      </c>
      <c r="J18" s="29"/>
    </row>
    <row r="19" spans="1:10" thickTop="1" x14ac:dyDescent="0.3">
      <c r="J19" s="28"/>
    </row>
    <row r="20" spans="1:10" ht="14.45" x14ac:dyDescent="0.3">
      <c r="J20" s="29"/>
    </row>
    <row r="21" spans="1:10" ht="14.45" x14ac:dyDescent="0.3">
      <c r="J21" s="28"/>
    </row>
    <row r="22" spans="1:10" ht="14.45" x14ac:dyDescent="0.3">
      <c r="J22" s="29"/>
    </row>
    <row r="23" spans="1:10" ht="14.45" x14ac:dyDescent="0.3">
      <c r="J23" s="28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10" sqref="G10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18" customWidth="1"/>
    <col min="5" max="5" width="17.85546875" customWidth="1"/>
    <col min="6" max="6" width="30.28515625" style="24" customWidth="1"/>
    <col min="8" max="8" width="18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f>7000/50</f>
        <v>140</v>
      </c>
      <c r="E2" s="4">
        <v>0</v>
      </c>
      <c r="F2" s="4">
        <v>55</v>
      </c>
      <c r="G2" s="4">
        <v>250</v>
      </c>
      <c r="H2" s="4">
        <f>Table247[[#This Row],[Cost per Unit (OASE)]]*Table247[[#This Row],[Quantity]]</f>
        <v>20000</v>
      </c>
      <c r="I2" s="12">
        <f>Table247[[#This Row],[Cost per Unit (Rokkas)]]*Table247[[#This Row],[Quantity]]</f>
        <v>35000</v>
      </c>
      <c r="J2" s="12">
        <f>Table247[[#This Row],[Cost per Unit (BSG)]]*Table247[[#This Row],[Quantity]]</f>
        <v>0</v>
      </c>
      <c r="K2" s="35">
        <f>Table247[[#This Row],[Cost per Unit(Phillipson)]]*Table247[[#This Row],[Quantity]]</f>
        <v>13750</v>
      </c>
    </row>
    <row r="3" spans="1:11" x14ac:dyDescent="0.25">
      <c r="A3" s="6" t="s">
        <v>27</v>
      </c>
      <c r="B3" s="6" t="s">
        <v>39</v>
      </c>
      <c r="C3" s="4">
        <v>12</v>
      </c>
      <c r="D3" s="4">
        <v>4</v>
      </c>
      <c r="E3" s="4">
        <v>300</v>
      </c>
      <c r="F3" s="4">
        <v>0</v>
      </c>
      <c r="G3" s="4">
        <v>850</v>
      </c>
      <c r="H3" s="4">
        <f>Table247[[#This Row],[Cost per Unit (OASE)]]*Table247[[#This Row],[Quantity]]</f>
        <v>10200</v>
      </c>
      <c r="I3" s="12">
        <f>Table247[[#This Row],[Cost per Unit (Rokkas)]]*Table247[[#This Row],[Quantity]]</f>
        <v>3400</v>
      </c>
      <c r="J3" s="12">
        <f>Table247[[#This Row],[Cost per Unit (BSG)]]*Table247[[#This Row],[Quantity]]</f>
        <v>255000</v>
      </c>
      <c r="K3" s="35">
        <f>Table247[[#This Row],[Cost per Unit(Phillipson)]]*Table247[[#This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4500</v>
      </c>
      <c r="H4" s="4">
        <f>Table247[[#This Row],[Cost per Unit (OASE)]]*Table247[[#This Row],[Quantity]]</f>
        <v>50</v>
      </c>
      <c r="I4" s="12">
        <f>Table247[[#This Row],[Cost per Unit (Rokkas)]]*Table247[[#This Row],[Quantity]]</f>
        <v>0</v>
      </c>
      <c r="J4" s="12">
        <f>Table247[[#This Row],[Cost per Unit (BSG)]]*Table247[[#This Row],[Quantity]]</f>
        <v>0</v>
      </c>
      <c r="K4" s="35">
        <f>Table247[[#This Row],[Cost per Unit(Phillipson)]]*Table247[[#This Row],[Quantity]]</f>
        <v>0</v>
      </c>
    </row>
    <row r="5" spans="1:11" x14ac:dyDescent="0.25">
      <c r="A5" s="6" t="s">
        <v>27</v>
      </c>
      <c r="B5" s="6" t="s">
        <v>26</v>
      </c>
      <c r="C5" s="4">
        <v>200</v>
      </c>
      <c r="D5" s="4">
        <v>3000</v>
      </c>
      <c r="E5" s="4">
        <v>200</v>
      </c>
      <c r="F5" s="4">
        <v>0</v>
      </c>
      <c r="G5" s="4">
        <v>1</v>
      </c>
      <c r="H5" s="4">
        <f>Table247[[#This Row],[Cost per Unit (OASE)]]*Table247[[#This Row],[Quantity]]</f>
        <v>200</v>
      </c>
      <c r="I5" s="12">
        <f>Table247[[#This Row],[Cost per Unit (Rokkas)]]*Table247[[#This Row],[Quantity]]</f>
        <v>3000</v>
      </c>
      <c r="J5" s="12">
        <f>Table247[[#This Row],[Cost per Unit (BSG)]]*Table247[[#This Row],[Quantity]]</f>
        <v>200</v>
      </c>
      <c r="K5" s="35">
        <f>Table247[[#This Row],[Cost per Unit(Phillipson)]]*Table247[[#This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v>10</v>
      </c>
      <c r="E6" s="4">
        <v>0</v>
      </c>
      <c r="F6" s="4">
        <v>0</v>
      </c>
      <c r="G6" s="4">
        <v>300</v>
      </c>
      <c r="H6" s="4">
        <f>Table247[[#This Row],[Cost per Unit (OASE)]]*Table247[[#This Row],[Quantity]]</f>
        <v>540</v>
      </c>
      <c r="I6" s="12">
        <f>Table247[[#This Row],[Cost per Unit (Rokkas)]]*Table247[[#This Row],[Quantity]]</f>
        <v>3000</v>
      </c>
      <c r="J6" s="12">
        <f>Table247[[#This Row],[Cost per Unit (BSG)]]*Table247[[#This Row],[Quantity]]</f>
        <v>0</v>
      </c>
      <c r="K6" s="35">
        <f>Table247[[#This Row],[Cost per Unit(Phillipson)]]*Table247[[#This Row],[Quantity]]</f>
        <v>0</v>
      </c>
    </row>
    <row r="7" spans="1:11" x14ac:dyDescent="0.25">
      <c r="A7" s="6" t="s">
        <v>28</v>
      </c>
      <c r="B7" s="6" t="s">
        <v>39</v>
      </c>
      <c r="C7" s="4">
        <v>12</v>
      </c>
      <c r="D7" s="4">
        <v>4</v>
      </c>
      <c r="E7" s="4">
        <v>200</v>
      </c>
      <c r="F7" s="4">
        <v>4</v>
      </c>
      <c r="G7" s="4">
        <v>300</v>
      </c>
      <c r="H7" s="4">
        <f>Table247[[#This Row],[Cost per Unit (OASE)]]*Table247[[#This Row],[Quantity]]</f>
        <v>3600</v>
      </c>
      <c r="I7" s="12">
        <f>Table247[[#This Row],[Cost per Unit (Rokkas)]]*Table247[[#This Row],[Quantity]]</f>
        <v>1200</v>
      </c>
      <c r="J7" s="12">
        <f>Table247[[#This Row],[Cost per Unit (BSG)]]*Table247[[#This Row],[Quantity]]</f>
        <v>60000</v>
      </c>
      <c r="K7" s="35">
        <f>Table247[[#This Row],[Cost per Unit(Phillipson)]]*Table247[[#This Row],[Quantity]]</f>
        <v>1200</v>
      </c>
    </row>
    <row r="8" spans="1:11" x14ac:dyDescent="0.25">
      <c r="A8" s="6" t="s">
        <v>30</v>
      </c>
      <c r="B8" s="6" t="s">
        <v>29</v>
      </c>
      <c r="C8" s="4">
        <v>1.8</v>
      </c>
      <c r="D8" s="4">
        <v>10</v>
      </c>
      <c r="E8" s="4">
        <v>2</v>
      </c>
      <c r="F8" s="4">
        <v>0</v>
      </c>
      <c r="G8" s="4">
        <v>950</v>
      </c>
      <c r="H8" s="4">
        <f>Table247[[#This Row],[Cost per Unit (OASE)]]*Table247[[#This Row],[Quantity]]</f>
        <v>1710</v>
      </c>
      <c r="I8" s="12">
        <f>Table247[[#This Row],[Cost per Unit (Rokkas)]]*Table247[[#This Row],[Quantity]]</f>
        <v>9500</v>
      </c>
      <c r="J8" s="12">
        <f>Table247[[#This Row],[Cost per Unit (BSG)]]*Table247[[#This Row],[Quantity]]</f>
        <v>1900</v>
      </c>
      <c r="K8" s="35">
        <f>Table247[[#This Row],[Cost per Unit(Phillipson)]]*Table247[[#This Row],[Quantity]]</f>
        <v>0</v>
      </c>
    </row>
    <row r="9" spans="1:11" x14ac:dyDescent="0.25">
      <c r="A9" s="6" t="s">
        <v>32</v>
      </c>
      <c r="B9" s="6" t="s">
        <v>29</v>
      </c>
      <c r="C9" s="4">
        <v>1.8</v>
      </c>
      <c r="D9" s="4">
        <v>0</v>
      </c>
      <c r="E9" s="4">
        <v>2</v>
      </c>
      <c r="F9" s="4">
        <v>0</v>
      </c>
      <c r="G9" s="4">
        <v>8000</v>
      </c>
      <c r="H9" s="4">
        <f>Table247[[#This Row],[Cost per Unit (OASE)]]*Table247[[#This Row],[Quantity]]</f>
        <v>14400</v>
      </c>
      <c r="I9" s="12">
        <f>Table247[[#This Row],[Cost per Unit (Rokkas)]]*Table247[[#This Row],[Quantity]]</f>
        <v>0</v>
      </c>
      <c r="J9" s="12">
        <f>Table247[[#This Row],[Cost per Unit (BSG)]]*Table247[[#This Row],[Quantity]]</f>
        <v>16000</v>
      </c>
      <c r="K9" s="35">
        <f>Table247[[#This Row],[Cost per Unit(Phillipson)]]*Table247[[#This Row],[Quantity]]</f>
        <v>0</v>
      </c>
    </row>
    <row r="10" spans="1:11" x14ac:dyDescent="0.25">
      <c r="A10" s="6" t="s">
        <v>32</v>
      </c>
      <c r="B10" s="6" t="s">
        <v>40</v>
      </c>
      <c r="C10" s="4">
        <f>1.8+3</f>
        <v>4.8</v>
      </c>
      <c r="D10" s="4">
        <f>4+2</f>
        <v>6</v>
      </c>
      <c r="E10" s="4">
        <f>2.7+2</f>
        <v>4.7</v>
      </c>
      <c r="F10" s="4">
        <f>5+2</f>
        <v>7</v>
      </c>
      <c r="G10" s="4">
        <v>64000</v>
      </c>
      <c r="H10" s="4">
        <f>Table247[[#This Row],[Cost per Unit (OASE)]]*Table247[[#This Row],[Quantity]]</f>
        <v>307200</v>
      </c>
      <c r="I10" s="12">
        <f>Table247[[#This Row],[Cost per Unit (Rokkas)]]*Table247[[#This Row],[Quantity]]</f>
        <v>384000</v>
      </c>
      <c r="J10" s="12">
        <f>Table247[[#This Row],[Cost per Unit (BSG)]]*Table247[[#This Row],[Quantity]]</f>
        <v>300800</v>
      </c>
      <c r="K10" s="35">
        <f>Table247[[#This Row],[Cost per Unit(Phillipson)]]*Table247[[#This Row],[Quantity]]</f>
        <v>448000</v>
      </c>
    </row>
    <row r="11" spans="1:11" ht="14.45" x14ac:dyDescent="0.3">
      <c r="A11" s="6"/>
      <c r="B11" s="6"/>
      <c r="C11" s="4"/>
      <c r="D11" s="4"/>
      <c r="E11" s="8"/>
      <c r="F11" s="36"/>
    </row>
    <row r="16" spans="1:11" ht="14.45" x14ac:dyDescent="0.3">
      <c r="A16" t="s">
        <v>84</v>
      </c>
      <c r="B16" t="s">
        <v>35</v>
      </c>
      <c r="C16" t="s">
        <v>36</v>
      </c>
      <c r="D16" t="s">
        <v>37</v>
      </c>
      <c r="E16" t="s">
        <v>34</v>
      </c>
    </row>
    <row r="17" spans="1:6" thickBot="1" x14ac:dyDescent="0.35">
      <c r="A17" t="s">
        <v>85</v>
      </c>
      <c r="B17" s="9">
        <f>SUM(H2:H5)</f>
        <v>30450</v>
      </c>
      <c r="C17" s="9">
        <f>SUM(H6:H8)</f>
        <v>5850</v>
      </c>
      <c r="D17" s="10">
        <f>SUM(H9:H10)</f>
        <v>321600</v>
      </c>
      <c r="E17" s="5">
        <f>SUM(B17:D17)</f>
        <v>357900</v>
      </c>
      <c r="F17" s="5"/>
    </row>
    <row r="18" spans="1:6" ht="15.6" thickTop="1" thickBot="1" x14ac:dyDescent="0.35">
      <c r="A18" t="s">
        <v>86</v>
      </c>
      <c r="B18">
        <f>SUM(I2:I5)</f>
        <v>41400</v>
      </c>
      <c r="C18">
        <f>SUM(I6:I8)</f>
        <v>13700</v>
      </c>
      <c r="D18">
        <f>SUM(I9:I10)</f>
        <v>384000</v>
      </c>
      <c r="E18" s="5">
        <f>SUM(B18:D18)</f>
        <v>439100</v>
      </c>
      <c r="F18" s="5"/>
    </row>
    <row r="19" spans="1:6" ht="15.6" thickTop="1" thickBot="1" x14ac:dyDescent="0.35">
      <c r="A19" t="s">
        <v>110</v>
      </c>
      <c r="B19">
        <f>SUM(J2:J5)</f>
        <v>255200</v>
      </c>
      <c r="C19">
        <f>SUM(J6:J8)</f>
        <v>61900</v>
      </c>
      <c r="D19">
        <f>SUM(J9:J10)</f>
        <v>316800</v>
      </c>
      <c r="E19" s="5">
        <f>SUM(B19:D19)</f>
        <v>633900</v>
      </c>
      <c r="F19" s="5"/>
    </row>
    <row r="20" spans="1:6" ht="15.6" thickTop="1" thickBot="1" x14ac:dyDescent="0.35">
      <c r="A20" t="s">
        <v>6</v>
      </c>
      <c r="B20" s="24">
        <f>SUM(K2:K5)</f>
        <v>13750</v>
      </c>
      <c r="C20" s="24">
        <f>SUM(K6:K8)</f>
        <v>1200</v>
      </c>
      <c r="D20" s="24">
        <f>SUM(K9:K10)</f>
        <v>448000</v>
      </c>
      <c r="E20" s="5">
        <f>SUM(B20:D20)</f>
        <v>462950</v>
      </c>
    </row>
    <row r="21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11" sqref="G11"/>
    </sheetView>
  </sheetViews>
  <sheetFormatPr defaultRowHeight="15" x14ac:dyDescent="0.25"/>
  <cols>
    <col min="1" max="1" width="38.5703125" customWidth="1"/>
    <col min="2" max="2" width="37.42578125" customWidth="1"/>
    <col min="3" max="3" width="28.85546875" customWidth="1"/>
    <col min="4" max="4" width="32.42578125" customWidth="1"/>
    <col min="5" max="5" width="34.28515625" customWidth="1"/>
    <col min="6" max="6" width="34.28515625" style="24" customWidth="1"/>
    <col min="7" max="7" width="16" customWidth="1"/>
    <col min="8" max="8" width="17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124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63</v>
      </c>
      <c r="C2" s="4">
        <v>80</v>
      </c>
      <c r="D2" s="4">
        <f>3500/50</f>
        <v>70</v>
      </c>
      <c r="E2" s="4">
        <f>57600/4/50</f>
        <v>288</v>
      </c>
      <c r="F2" s="4">
        <v>50</v>
      </c>
      <c r="G2" s="4">
        <f>50*3</f>
        <v>150</v>
      </c>
      <c r="H2" s="4">
        <f>Table29[[#This Row],[Cost per Unit (OASE)]]*Table29[[#This Row],[Quantity]]</f>
        <v>12000</v>
      </c>
      <c r="I2" s="12">
        <f t="shared" ref="I2:I11" si="0">D2*G2</f>
        <v>10500</v>
      </c>
      <c r="J2" s="12">
        <f>Table29[[#This Row],[Cost per Unit(BSG)]]*Table29[[#This Row],[Quantity]]</f>
        <v>43200</v>
      </c>
      <c r="K2" s="35">
        <f>Table29[[#This Row],[Cost per Unit (Phillipson)]]*Table29[[#This Row],[Quantity]]</f>
        <v>7500</v>
      </c>
    </row>
    <row r="3" spans="1:11" x14ac:dyDescent="0.25">
      <c r="A3" s="6" t="s">
        <v>27</v>
      </c>
      <c r="B3" s="6" t="s">
        <v>39</v>
      </c>
      <c r="C3" s="4">
        <v>12</v>
      </c>
      <c r="D3" s="4">
        <f>200/50</f>
        <v>4</v>
      </c>
      <c r="E3" s="4">
        <v>0</v>
      </c>
      <c r="F3" s="4">
        <v>0</v>
      </c>
      <c r="G3" s="4">
        <f>124*5</f>
        <v>620</v>
      </c>
      <c r="H3" s="4">
        <f>Table29[[#This Row],[Cost per Unit (OASE)]]*Table29[[#This Row],[Quantity]]</f>
        <v>7440</v>
      </c>
      <c r="I3" s="12">
        <f t="shared" si="0"/>
        <v>2480</v>
      </c>
      <c r="J3" s="12">
        <f>Table29[[#This Row],[Cost per Unit(BSG)]]*Table29[[#This Row],[Quantity]]</f>
        <v>0</v>
      </c>
      <c r="K3" s="35">
        <f>Table29[[#This Row],[Cost per Unit (Phillipson)]]*Table29[[#This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f>3*620</f>
        <v>1860</v>
      </c>
      <c r="H4" s="4">
        <f>Table29[[#This Row],[Cost per Unit (OASE)]]*Table29[[#This Row],[Quantity]]</f>
        <v>20.666666666666668</v>
      </c>
      <c r="I4" s="12">
        <f t="shared" si="0"/>
        <v>0</v>
      </c>
      <c r="J4" s="12">
        <f>Table29[[#This Row],[Cost per Unit(BSG)]]*Table29[[#This Row],[Quantity]]</f>
        <v>0</v>
      </c>
      <c r="K4" s="35">
        <f>Table29[[#This Row],[Cost per Unit (Phillipson)]]*Table29[[#This Row],[Quantity]]</f>
        <v>0</v>
      </c>
    </row>
    <row r="5" spans="1:11" x14ac:dyDescent="0.25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Table29[[#This Row],[Cost per Unit (OASE)]]*Table29[[#This Row],[Quantity]]</f>
        <v>200</v>
      </c>
      <c r="I5" s="12">
        <f t="shared" si="0"/>
        <v>3000</v>
      </c>
      <c r="J5" s="12">
        <f>Table29[[#This Row],[Cost per Unit(BSG)]]*Table29[[#This Row],[Quantity]]</f>
        <v>100</v>
      </c>
      <c r="K5" s="35">
        <f>Table29[[#This Row],[Cost per Unit (Phillipson)]]*Table29[[#This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124*5</f>
        <v>620</v>
      </c>
      <c r="H6" s="4">
        <f>Table29[[#This Row],[Cost per Unit (OASE)]]*Table29[[#This Row],[Quantity]]</f>
        <v>1116</v>
      </c>
      <c r="I6" s="12">
        <f t="shared" si="0"/>
        <v>6200</v>
      </c>
      <c r="J6" s="12">
        <f>Table29[[#This Row],[Cost per Unit(BSG)]]*Table29[[#This Row],[Quantity]]</f>
        <v>868</v>
      </c>
      <c r="K6" s="35">
        <f>Table29[[#This Row],[Cost per Unit (Phillipson)]]*Table29[[#This Row],[Quantity]]</f>
        <v>0</v>
      </c>
    </row>
    <row r="7" spans="1:11" x14ac:dyDescent="0.25">
      <c r="A7" s="6" t="s">
        <v>28</v>
      </c>
      <c r="B7" s="6" t="s">
        <v>39</v>
      </c>
      <c r="C7" s="4">
        <v>12</v>
      </c>
      <c r="D7" s="4">
        <f>200/50</f>
        <v>4</v>
      </c>
      <c r="E7" s="4">
        <v>0</v>
      </c>
      <c r="F7" s="4">
        <v>0</v>
      </c>
      <c r="G7" s="4">
        <f>124*5</f>
        <v>620</v>
      </c>
      <c r="H7" s="4">
        <f>Table29[[#This Row],[Cost per Unit (OASE)]]*Table29[[#This Row],[Quantity]]</f>
        <v>7440</v>
      </c>
      <c r="I7" s="12">
        <f t="shared" si="0"/>
        <v>2480</v>
      </c>
      <c r="J7" s="12">
        <f>Table29[[#This Row],[Cost per Unit(BSG)]]*Table29[[#This Row],[Quantity]]</f>
        <v>0</v>
      </c>
      <c r="K7" s="35">
        <f>Table29[[#This Row],[Cost per Unit (Phillipson)]]*Table29[[#This Row],[Quantity]]</f>
        <v>0</v>
      </c>
    </row>
    <row r="8" spans="1:11" x14ac:dyDescent="0.25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v>5</v>
      </c>
      <c r="G8" s="4">
        <f>928*5</f>
        <v>4640</v>
      </c>
      <c r="H8" s="4">
        <f>Table29[[#This Row],[Cost per Unit (OASE)]]*Table29[[#This Row],[Quantity]]</f>
        <v>4640</v>
      </c>
      <c r="I8" s="12">
        <f t="shared" si="0"/>
        <v>9280</v>
      </c>
      <c r="J8" s="12">
        <f>Table29[[#This Row],[Cost per Unit(BSG)]]*Table29[[#This Row],[Quantity]]</f>
        <v>7424</v>
      </c>
      <c r="K8" s="35">
        <f>Table29[[#This Row],[Cost per Unit (Phillipson)]]*Table29[[#This Row],[Quantity]]</f>
        <v>23200</v>
      </c>
    </row>
    <row r="9" spans="1:11" x14ac:dyDescent="0.25">
      <c r="A9" s="6" t="s">
        <v>30</v>
      </c>
      <c r="B9" s="6" t="s">
        <v>64</v>
      </c>
      <c r="C9" s="4">
        <f>1.2+25</f>
        <v>26.2</v>
      </c>
      <c r="D9" s="4">
        <v>10</v>
      </c>
      <c r="E9" s="4">
        <v>1.4</v>
      </c>
      <c r="F9" s="4">
        <v>0</v>
      </c>
      <c r="G9" s="4">
        <f>3*928</f>
        <v>2784</v>
      </c>
      <c r="H9" s="4">
        <f>Table29[[#This Row],[Cost per Unit (OASE)]]*Table29[[#This Row],[Quantity]]</f>
        <v>72940.800000000003</v>
      </c>
      <c r="I9" s="12">
        <f t="shared" si="0"/>
        <v>27840</v>
      </c>
      <c r="J9" s="12">
        <f>Table29[[#This Row],[Cost per Unit(BSG)]]*Table29[[#This Row],[Quantity]]</f>
        <v>3897.6</v>
      </c>
      <c r="K9" s="35">
        <f>Table29[[#This Row],[Cost per Unit (Phillipson)]]*Table29[[#This Row],[Quantity]]</f>
        <v>0</v>
      </c>
    </row>
    <row r="10" spans="1:11" x14ac:dyDescent="0.25">
      <c r="A10" s="6" t="s">
        <v>30</v>
      </c>
      <c r="B10" s="6" t="s">
        <v>114</v>
      </c>
      <c r="C10" s="4">
        <f>10</f>
        <v>10</v>
      </c>
      <c r="D10" s="4">
        <f>(15000/4)/50</f>
        <v>75</v>
      </c>
      <c r="E10" s="4">
        <f>(1200+(13500/4))/50</f>
        <v>91.5</v>
      </c>
      <c r="F10" s="4">
        <v>10</v>
      </c>
      <c r="G10" s="4">
        <v>8000</v>
      </c>
      <c r="H10" s="4">
        <f>Table29[[#This Row],[Cost per Unit (OASE)]]*Table29[[#This Row],[Quantity]]</f>
        <v>80000</v>
      </c>
      <c r="I10" s="12">
        <f t="shared" si="0"/>
        <v>600000</v>
      </c>
      <c r="J10" s="12">
        <f>Table29[[#This Row],[Cost per Unit(BSG)]]*Table29[[#This Row],[Quantity]]</f>
        <v>732000</v>
      </c>
      <c r="K10" s="35">
        <f>Table29[[#This Row],[Cost per Unit (Phillipson)]]*Table29[[#This Row],[Quantity]]</f>
        <v>80000</v>
      </c>
    </row>
    <row r="11" spans="1:11" x14ac:dyDescent="0.25">
      <c r="A11" s="6" t="s">
        <v>32</v>
      </c>
      <c r="B11" s="6" t="s">
        <v>66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f>Table29[[#This Row],[Cost per Unit (OASE)]]*Table29[[#This Row],[Quantity]]</f>
        <v>0</v>
      </c>
      <c r="I11" s="12">
        <f t="shared" si="0"/>
        <v>0</v>
      </c>
      <c r="J11" s="12">
        <f>Table29[[#This Row],[Cost per Unit(BSG)]]*Table29[[#This Row],[Quantity]]</f>
        <v>0</v>
      </c>
      <c r="K11" s="35">
        <f>Table29[[#This Row],[Cost per Unit (Phillipson)]]*Table29[[#This Row],[Quantity]]</f>
        <v>0</v>
      </c>
    </row>
    <row r="12" spans="1:11" ht="14.45" x14ac:dyDescent="0.3">
      <c r="A12" s="6"/>
      <c r="B12" s="6"/>
      <c r="C12" s="4"/>
      <c r="D12" s="4"/>
      <c r="E12" s="4"/>
      <c r="F12" s="12"/>
    </row>
    <row r="13" spans="1:11" ht="14.45" x14ac:dyDescent="0.3">
      <c r="A13" s="6"/>
      <c r="B13" s="6"/>
      <c r="C13" s="4"/>
      <c r="D13" s="4"/>
      <c r="E13" s="4"/>
      <c r="F13" s="12"/>
    </row>
    <row r="15" spans="1:11" ht="14.45" x14ac:dyDescent="0.3">
      <c r="A15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thickBot="1" x14ac:dyDescent="0.35">
      <c r="A16" t="s">
        <v>85</v>
      </c>
      <c r="B16" s="20">
        <f>SUM(H1:H5)</f>
        <v>19660.666666666668</v>
      </c>
      <c r="C16" s="20">
        <f>SUM(H5:H10)</f>
        <v>166336.79999999999</v>
      </c>
      <c r="D16" s="10">
        <f>SUM(H11)</f>
        <v>0</v>
      </c>
      <c r="E16" s="5">
        <f>SUM(B16:D16)</f>
        <v>185997.46666666665</v>
      </c>
      <c r="F16" s="5"/>
    </row>
    <row r="17" spans="1:6" ht="15.6" thickTop="1" thickBot="1" x14ac:dyDescent="0.35">
      <c r="A17" t="s">
        <v>86</v>
      </c>
      <c r="B17">
        <f>SUM(I2:I5)</f>
        <v>15980</v>
      </c>
      <c r="C17">
        <f>SUM(I6:I10)</f>
        <v>645800</v>
      </c>
      <c r="D17">
        <v>0</v>
      </c>
      <c r="E17" s="5">
        <f>SUM(B17:D17)</f>
        <v>661780</v>
      </c>
      <c r="F17" s="5"/>
    </row>
    <row r="18" spans="1:6" ht="15.6" thickTop="1" thickBot="1" x14ac:dyDescent="0.35">
      <c r="A18" t="s">
        <v>110</v>
      </c>
      <c r="B18">
        <f>SUM(J2:J5)</f>
        <v>43300</v>
      </c>
      <c r="C18">
        <f>SUM(J6:J10)</f>
        <v>744189.6</v>
      </c>
      <c r="D18">
        <v>0</v>
      </c>
      <c r="E18" s="5">
        <f>SUM(B18:D18)</f>
        <v>787489.6</v>
      </c>
      <c r="F18" s="5"/>
    </row>
    <row r="19" spans="1:6" ht="15.6" thickTop="1" thickBot="1" x14ac:dyDescent="0.35">
      <c r="A19" t="s">
        <v>6</v>
      </c>
      <c r="B19" s="24">
        <f>SUM(K2:K5)</f>
        <v>7500</v>
      </c>
      <c r="C19" s="24">
        <f>SUM(K6:K10)</f>
        <v>103200</v>
      </c>
      <c r="D19" s="24">
        <v>0</v>
      </c>
      <c r="E19" s="5">
        <f>SUM(B19:D19)</f>
        <v>110700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7" sqref="G7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17.85546875" style="24" customWidth="1"/>
    <col min="7" max="7" width="24.42578125" style="13" customWidth="1"/>
    <col min="8" max="8" width="25.5703125" style="13" customWidth="1"/>
    <col min="9" max="16384" width="9.140625" style="13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140</v>
      </c>
      <c r="H2" s="4">
        <f>Table2410[[#This Row],[Cost per Unit (OASE)]]*Table2410[[#This Row],[Quantity]]</f>
        <v>11200</v>
      </c>
      <c r="I2" s="12">
        <f>Table2410[[#This Row],[Cost per Unit (Rokkas)]]*Table2410[[#This Row],[Quantity]]</f>
        <v>19600</v>
      </c>
      <c r="J2" s="12">
        <f>Table2410[[#This Row],[Cost per Unit(BSG)]]*Table2410[[#This Row],[Quantity]]</f>
        <v>42000</v>
      </c>
      <c r="K2" s="35">
        <f>Table2410[[#This Row],[Cost per Unit(Phillipson)]]*Table2410[[#This Row],[Quantity]]</f>
        <v>7700</v>
      </c>
    </row>
    <row r="3" spans="1:11" x14ac:dyDescent="0.25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v>450</v>
      </c>
      <c r="H3" s="4">
        <f>Table2410[[#This Row],[Cost per Unit (OASE)]]*Table2410[[#This Row],[Quantity]]</f>
        <v>5400</v>
      </c>
      <c r="I3" s="12">
        <f>Table2410[[#This Row],[Cost per Unit (Rokkas)]]*Table2410[[#This Row],[Quantity]]</f>
        <v>1800</v>
      </c>
      <c r="J3" s="12">
        <f>Table2410[[#This Row],[Cost per Unit(BSG)]]*Table2410[[#This Row],[Quantity]]</f>
        <v>0</v>
      </c>
      <c r="K3" s="35">
        <f>Table2410[[#This Row],[Cost per Unit(Phillipson)]]*Table2410[[#This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3600</v>
      </c>
      <c r="H4" s="4">
        <f>Table2410[[#This Row],[Cost per Unit (OASE)]]*Table2410[[#This Row],[Quantity]]</f>
        <v>40</v>
      </c>
      <c r="I4" s="12">
        <f>Table2410[[#This Row],[Cost per Unit (Rokkas)]]*Table2410[[#This Row],[Quantity]]</f>
        <v>0</v>
      </c>
      <c r="J4" s="12">
        <f>Table2410[[#This Row],[Cost per Unit(BSG)]]*Table2410[[#This Row],[Quantity]]</f>
        <v>0</v>
      </c>
      <c r="K4" s="35">
        <f>Table2410[[#This Row],[Cost per Unit(Phillipson)]]*Table2410[[#This Row],[Quantity]]</f>
        <v>0</v>
      </c>
    </row>
    <row r="5" spans="1:11" x14ac:dyDescent="0.25">
      <c r="A5" s="6" t="s">
        <v>27</v>
      </c>
      <c r="B5" s="6" t="s">
        <v>26</v>
      </c>
      <c r="C5" s="4">
        <v>400</v>
      </c>
      <c r="D5" s="4">
        <v>3000</v>
      </c>
      <c r="E5" s="4">
        <v>100</v>
      </c>
      <c r="F5" s="4">
        <v>0</v>
      </c>
      <c r="G5" s="4">
        <v>1</v>
      </c>
      <c r="H5" s="4">
        <f>Table2410[[#This Row],[Cost per Unit (OASE)]]*Table2410[[#This Row],[Quantity]]</f>
        <v>400</v>
      </c>
      <c r="I5" s="12">
        <f>Table2410[[#This Row],[Cost per Unit (Rokkas)]]*Table2410[[#This Row],[Quantity]]</f>
        <v>3000</v>
      </c>
      <c r="J5" s="12">
        <f>Table2410[[#This Row],[Cost per Unit(BSG)]]*Table2410[[#This Row],[Quantity]]</f>
        <v>100</v>
      </c>
      <c r="K5" s="35">
        <f>Table2410[[#This Row],[Cost per Unit(Phillipson)]]*Table2410[[#This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v>253</v>
      </c>
      <c r="H6" s="4">
        <f>Table2410[[#This Row],[Cost per Unit (OASE)]]*Table2410[[#This Row],[Quantity]]</f>
        <v>455.40000000000003</v>
      </c>
      <c r="I6" s="12">
        <f>Table2410[[#This Row],[Cost per Unit (Rokkas)]]*Table2410[[#This Row],[Quantity]]</f>
        <v>2530</v>
      </c>
      <c r="J6" s="12">
        <f>Table2410[[#This Row],[Cost per Unit(BSG)]]*Table2410[[#This Row],[Quantity]]</f>
        <v>354.2</v>
      </c>
      <c r="K6" s="35">
        <f>Table2410[[#This Row],[Cost per Unit(Phillipson)]]*Table2410[[#This Row],[Quantity]]</f>
        <v>0</v>
      </c>
    </row>
    <row r="7" spans="1:11" x14ac:dyDescent="0.25">
      <c r="A7" s="6" t="s">
        <v>28</v>
      </c>
      <c r="B7" s="6" t="s">
        <v>39</v>
      </c>
      <c r="C7" s="4">
        <v>12</v>
      </c>
      <c r="D7" s="4">
        <v>4</v>
      </c>
      <c r="E7" s="4">
        <v>0</v>
      </c>
      <c r="F7" s="4">
        <v>20</v>
      </c>
      <c r="G7" s="4">
        <v>253</v>
      </c>
      <c r="H7" s="4">
        <f>Table2410[[#This Row],[Cost per Unit (OASE)]]*Table2410[[#This Row],[Quantity]]</f>
        <v>3036</v>
      </c>
      <c r="I7" s="12">
        <f>Table2410[[#This Row],[Cost per Unit (Rokkas)]]*Table2410[[#This Row],[Quantity]]</f>
        <v>1012</v>
      </c>
      <c r="J7" s="12">
        <f>Table2410[[#This Row],[Cost per Unit(BSG)]]*Table2410[[#This Row],[Quantity]]</f>
        <v>0</v>
      </c>
      <c r="K7" s="35">
        <f>Table2410[[#This Row],[Cost per Unit(Phillipson)]]*Table2410[[#This Row],[Quantity]]</f>
        <v>5060</v>
      </c>
    </row>
    <row r="8" spans="1:11" x14ac:dyDescent="0.25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1856</v>
      </c>
      <c r="H8" s="4">
        <f>Table2410[[#This Row],[Cost per Unit (OASE)]]*Table2410[[#This Row],[Quantity]]</f>
        <v>3340.8</v>
      </c>
      <c r="I8" s="12">
        <f>Table2410[[#This Row],[Cost per Unit (Rokkas)]]*Table2410[[#This Row],[Quantity]]</f>
        <v>18560</v>
      </c>
      <c r="J8" s="12">
        <f>Table2410[[#This Row],[Cost per Unit(BSG)]]*Table2410[[#This Row],[Quantity]]</f>
        <v>2969.6000000000004</v>
      </c>
      <c r="K8" s="35">
        <f>Table2410[[#This Row],[Cost per Unit(Phillipson)]]*Table2410[[#This Row],[Quantity]]</f>
        <v>0</v>
      </c>
    </row>
    <row r="9" spans="1:11" x14ac:dyDescent="0.25">
      <c r="A9" s="6" t="s">
        <v>32</v>
      </c>
      <c r="B9" s="6" t="s">
        <v>65</v>
      </c>
      <c r="C9" s="4">
        <f>10</f>
        <v>10</v>
      </c>
      <c r="D9" s="4">
        <v>10</v>
      </c>
      <c r="E9" s="4">
        <f>24</f>
        <v>24</v>
      </c>
      <c r="F9" s="4">
        <v>10</v>
      </c>
      <c r="G9" s="4">
        <v>16000</v>
      </c>
      <c r="H9" s="4">
        <f>Table2410[[#This Row],[Cost per Unit (OASE)]]*Table2410[[#This Row],[Quantity]]</f>
        <v>160000</v>
      </c>
      <c r="I9" s="12">
        <f>Table2410[[#This Row],[Cost per Unit (Rokkas)]]*Table2410[[#This Row],[Quantity]]</f>
        <v>160000</v>
      </c>
      <c r="J9" s="12">
        <f>Table2410[[#This Row],[Cost per Unit(BSG)]]*Table2410[[#This Row],[Quantity]]</f>
        <v>384000</v>
      </c>
      <c r="K9" s="35">
        <f>Table2410[[#This Row],[Cost per Unit(Phillipson)]]*Table2410[[#This Row],[Quantity]]</f>
        <v>160000</v>
      </c>
    </row>
    <row r="10" spans="1:11" x14ac:dyDescent="0.25">
      <c r="A10" s="6" t="s">
        <v>32</v>
      </c>
      <c r="B10" s="6" t="s">
        <v>40</v>
      </c>
      <c r="C10" s="4">
        <v>1.8</v>
      </c>
      <c r="D10" s="4">
        <v>4</v>
      </c>
      <c r="E10" s="4">
        <f>80/50</f>
        <v>1.6</v>
      </c>
      <c r="F10" s="4">
        <v>5</v>
      </c>
      <c r="G10" s="4">
        <v>16000</v>
      </c>
      <c r="H10" s="11">
        <f>Table2410[[#This Row],[Cost per Unit (OASE)]]*Table2410[[#This Row],[Quantity]]</f>
        <v>28800</v>
      </c>
      <c r="I10" s="12">
        <f>Table2410[[#This Row],[Cost per Unit (Rokkas)]]*Table2410[[#This Row],[Quantity]]</f>
        <v>64000</v>
      </c>
      <c r="J10" s="12">
        <f>Table2410[[#This Row],[Cost per Unit(BSG)]]*Table2410[[#This Row],[Quantity]]</f>
        <v>25600</v>
      </c>
      <c r="K10" s="35">
        <f>Table2410[[#This Row],[Cost per Unit(Phillipson)]]*Table2410[[#This Row],[Quantity]]</f>
        <v>80000</v>
      </c>
    </row>
    <row r="15" spans="1:11" ht="14.45" x14ac:dyDescent="0.3">
      <c r="A15" s="13" t="s">
        <v>84</v>
      </c>
      <c r="B15" s="13" t="s">
        <v>35</v>
      </c>
      <c r="C15" s="13" t="s">
        <v>36</v>
      </c>
      <c r="D15" s="13" t="s">
        <v>37</v>
      </c>
      <c r="E15" s="13" t="s">
        <v>34</v>
      </c>
    </row>
    <row r="16" spans="1:11" thickBot="1" x14ac:dyDescent="0.35">
      <c r="A16" s="13" t="s">
        <v>85</v>
      </c>
      <c r="B16" s="14">
        <f>SUM(H2:H5)</f>
        <v>17040</v>
      </c>
      <c r="C16" s="14">
        <f>SUM(H6:H8)</f>
        <v>6832.2000000000007</v>
      </c>
      <c r="D16" s="10">
        <f>SUM(H9:H10)</f>
        <v>188800</v>
      </c>
      <c r="E16" s="5">
        <f>SUM(B16:D16)</f>
        <v>212672.2</v>
      </c>
      <c r="F16" s="5"/>
    </row>
    <row r="17" spans="1:6" ht="15.6" thickTop="1" thickBot="1" x14ac:dyDescent="0.35">
      <c r="A17" s="13" t="s">
        <v>86</v>
      </c>
      <c r="B17" s="13">
        <f>SUM(I2:I5)</f>
        <v>24400</v>
      </c>
      <c r="C17" s="13">
        <f>SUM(I6:I8)</f>
        <v>22102</v>
      </c>
      <c r="D17" s="13">
        <f>SUM(I9:I10)</f>
        <v>224000</v>
      </c>
      <c r="E17" s="5">
        <f>SUM(B17:D17)</f>
        <v>270502</v>
      </c>
      <c r="F17" s="5"/>
    </row>
    <row r="18" spans="1:6" ht="15.6" thickTop="1" thickBot="1" x14ac:dyDescent="0.35">
      <c r="A18" s="13" t="s">
        <v>110</v>
      </c>
      <c r="B18" s="13">
        <f>SUM(J2:J5)</f>
        <v>42100</v>
      </c>
      <c r="C18" s="13">
        <f>SUM(J6:J8)</f>
        <v>3323.8</v>
      </c>
      <c r="D18" s="13">
        <f>SUM(J9:J10)</f>
        <v>409600</v>
      </c>
      <c r="E18" s="5">
        <f>SUM(B18:D18)</f>
        <v>455023.8</v>
      </c>
      <c r="F18" s="5"/>
    </row>
    <row r="19" spans="1:6" ht="15.6" thickTop="1" thickBot="1" x14ac:dyDescent="0.35">
      <c r="A19" s="13" t="s">
        <v>6</v>
      </c>
      <c r="B19" s="24">
        <f>SUM(K2:K5)</f>
        <v>7700</v>
      </c>
      <c r="C19" s="24">
        <f>SUM(K6:K8)</f>
        <v>5060</v>
      </c>
      <c r="D19" s="24">
        <f>SUM(K9:K10)</f>
        <v>240000</v>
      </c>
      <c r="E19" s="5">
        <f>SUM(B19:D19)</f>
        <v>252760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Papers and Reports</vt:lpstr>
      <vt:lpstr>Results_Visual</vt:lpstr>
      <vt:lpstr>FTTCab GPON 26 Mbps</vt:lpstr>
      <vt:lpstr>FTTB XGPON 50 Mbps</vt:lpstr>
      <vt:lpstr>FTTB WR-WDMPON 50 Mbps</vt:lpstr>
      <vt:lpstr>FTTH WR-WDMPON 100 Mbps</vt:lpstr>
      <vt:lpstr>FTTH XGPON 100 Mbps</vt:lpstr>
      <vt:lpstr>FTTCab_GPON_100</vt:lpstr>
      <vt:lpstr>FTTB_XGPON_100</vt:lpstr>
      <vt:lpstr>FTTB_WRWDM_100</vt:lpstr>
      <vt:lpstr>FTTCab_Hybridpon_25</vt:lpstr>
      <vt:lpstr>FTTB_Hybridpon_50</vt:lpstr>
      <vt:lpstr>FTTH_Hybridpon_100</vt:lpstr>
      <vt:lpstr>FTTC_Hybridpon_100</vt:lpstr>
      <vt:lpstr>FTTB_Hybridpon_100</vt:lpstr>
      <vt:lpstr>CAPEX_Euros_OASE</vt:lpstr>
      <vt:lpstr>CAPEX_Euros_Rokkas</vt:lpstr>
      <vt:lpstr>CAPEX_Euros_BSG</vt:lpstr>
      <vt:lpstr>CAPEX_Euros_Phillipson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2018-06-18T12:55:08Z</dcterms:created>
  <dcterms:modified xsi:type="dcterms:W3CDTF">2018-09-10T15:47:22Z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