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tables/table13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tables/table1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0" windowWidth="19365" windowHeight="9165" tabRatio="961" firstSheet="5" activeTab="12"/>
  </bookViews>
  <sheets>
    <sheet name="Papers and Reports" sheetId="1" r:id="rId1"/>
    <sheet name="Results_Visual" sheetId="20" r:id="rId2"/>
    <sheet name="FTTCab GPON 26 Mbps" sheetId="2" r:id="rId3"/>
    <sheet name="FTTB XGPON 50 Mbps" sheetId="3" r:id="rId4"/>
    <sheet name="FTTB WR-WDMPON 50 Mbps" sheetId="4" r:id="rId5"/>
    <sheet name="FTTH WR-WDMPON 100 Mbps" sheetId="5" r:id="rId6"/>
    <sheet name="FTTH XGPON 100 Mbps" sheetId="6" r:id="rId7"/>
    <sheet name="FTTCab_GPON_100" sheetId="8" r:id="rId8"/>
    <sheet name="FTTCab_Hybridpon_25" sheetId="11" r:id="rId9"/>
    <sheet name="FTTB_Hybridpon_50" sheetId="12" r:id="rId10"/>
    <sheet name="FTTH_Hybridpon_100" sheetId="13" r:id="rId11"/>
    <sheet name="FTTC_Hybridpon_100" sheetId="14" r:id="rId12"/>
    <sheet name="CAPEX_Euros_OASE" sheetId="7" r:id="rId13"/>
    <sheet name="CAPEX_Euros_Rokkas" sheetId="16" r:id="rId14"/>
    <sheet name="CAPEX_Euros_BSG" sheetId="17" r:id="rId15"/>
    <sheet name="CAPEX_Euros_Phillipson" sheetId="19" r:id="rId16"/>
  </sheets>
  <externalReferences>
    <externalReference r:id="rId17"/>
  </externalReferences>
  <calcPr calcId="145621"/>
</workbook>
</file>

<file path=xl/calcChain.xml><?xml version="1.0" encoding="utf-8"?>
<calcChain xmlns="http://schemas.openxmlformats.org/spreadsheetml/2006/main">
  <c r="B19" i="7" l="1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B24" i="7"/>
  <c r="C24" i="7"/>
  <c r="D24" i="7"/>
  <c r="E24" i="7"/>
  <c r="F24" i="7"/>
  <c r="G24" i="7"/>
  <c r="B25" i="7"/>
  <c r="C25" i="7"/>
  <c r="D25" i="7"/>
  <c r="E25" i="7"/>
  <c r="F25" i="7"/>
  <c r="G25" i="7"/>
  <c r="B26" i="7"/>
  <c r="C26" i="7"/>
  <c r="D26" i="7"/>
  <c r="E26" i="7"/>
  <c r="F26" i="7"/>
  <c r="G26" i="7"/>
  <c r="B27" i="7"/>
  <c r="C27" i="7"/>
  <c r="D27" i="7"/>
  <c r="E27" i="7"/>
  <c r="F27" i="7"/>
  <c r="G27" i="7"/>
  <c r="C18" i="7"/>
  <c r="D18" i="7"/>
  <c r="E18" i="7"/>
  <c r="F18" i="7"/>
  <c r="G18" i="7"/>
  <c r="B18" i="7"/>
  <c r="C9" i="2" l="1"/>
  <c r="G9" i="8"/>
  <c r="G8" i="8"/>
  <c r="G7" i="8"/>
  <c r="G6" i="8"/>
  <c r="G3" i="8"/>
  <c r="G4" i="8"/>
  <c r="C6" i="12" l="1"/>
  <c r="E8" i="11"/>
  <c r="D8" i="11"/>
  <c r="D7" i="11"/>
  <c r="C6" i="11"/>
  <c r="C4" i="11"/>
  <c r="D3" i="11"/>
  <c r="C4" i="8"/>
  <c r="C9" i="8"/>
  <c r="C4" i="6"/>
  <c r="C8" i="5"/>
  <c r="C7" i="5"/>
  <c r="C6" i="5"/>
  <c r="C10" i="4"/>
  <c r="C8" i="4"/>
  <c r="C6" i="4"/>
  <c r="C9" i="3"/>
  <c r="C4" i="3"/>
  <c r="C4" i="2"/>
  <c r="D9" i="2"/>
  <c r="F9" i="2"/>
  <c r="E9" i="2"/>
  <c r="G10" i="13" l="1"/>
  <c r="H10" i="13" s="1"/>
  <c r="G9" i="13"/>
  <c r="G9" i="12"/>
  <c r="G10" i="14"/>
  <c r="J10" i="14" s="1"/>
  <c r="G9" i="14"/>
  <c r="G8" i="14"/>
  <c r="K8" i="14" s="1"/>
  <c r="G6" i="14"/>
  <c r="J6" i="14" s="1"/>
  <c r="G5" i="14"/>
  <c r="K5" i="14" s="1"/>
  <c r="G4" i="14"/>
  <c r="H4" i="14" s="1"/>
  <c r="G3" i="14"/>
  <c r="G2" i="14"/>
  <c r="D16" i="14"/>
  <c r="K11" i="14"/>
  <c r="J11" i="14"/>
  <c r="I11" i="14"/>
  <c r="H11" i="14"/>
  <c r="K10" i="14"/>
  <c r="H10" i="14"/>
  <c r="D10" i="14"/>
  <c r="I10" i="14" s="1"/>
  <c r="H9" i="14"/>
  <c r="K9" i="14"/>
  <c r="E9" i="14"/>
  <c r="J9" i="14" s="1"/>
  <c r="D9" i="14"/>
  <c r="I9" i="14" s="1"/>
  <c r="J8" i="14"/>
  <c r="I8" i="14"/>
  <c r="K7" i="14"/>
  <c r="J7" i="14"/>
  <c r="I7" i="14"/>
  <c r="H7" i="14"/>
  <c r="K6" i="14"/>
  <c r="I6" i="14"/>
  <c r="H6" i="14"/>
  <c r="C6" i="14"/>
  <c r="J5" i="14"/>
  <c r="I5" i="14"/>
  <c r="H5" i="14"/>
  <c r="K4" i="14"/>
  <c r="J4" i="14"/>
  <c r="I4" i="14"/>
  <c r="K3" i="14"/>
  <c r="J3" i="14"/>
  <c r="I3" i="14"/>
  <c r="H3" i="14"/>
  <c r="D3" i="14"/>
  <c r="K2" i="14"/>
  <c r="J2" i="14"/>
  <c r="I2" i="14"/>
  <c r="H2" i="14"/>
  <c r="K10" i="12"/>
  <c r="J10" i="12"/>
  <c r="I10" i="12"/>
  <c r="H10" i="12"/>
  <c r="J10" i="13"/>
  <c r="I10" i="13"/>
  <c r="G8" i="13"/>
  <c r="K8" i="13" s="1"/>
  <c r="G6" i="13"/>
  <c r="K6" i="13" s="1"/>
  <c r="I6" i="13"/>
  <c r="G5" i="13"/>
  <c r="K5" i="13" s="1"/>
  <c r="G4" i="13"/>
  <c r="G3" i="13"/>
  <c r="H3" i="13" s="1"/>
  <c r="G2" i="13"/>
  <c r="J2" i="13" s="1"/>
  <c r="K11" i="13"/>
  <c r="J11" i="13"/>
  <c r="I11" i="13"/>
  <c r="H11" i="13"/>
  <c r="J9" i="13"/>
  <c r="I9" i="13"/>
  <c r="F9" i="13"/>
  <c r="K9" i="13" s="1"/>
  <c r="E9" i="13"/>
  <c r="D9" i="13"/>
  <c r="J8" i="13"/>
  <c r="I8" i="13"/>
  <c r="K7" i="13"/>
  <c r="J7" i="13"/>
  <c r="I7" i="13"/>
  <c r="H7" i="13"/>
  <c r="J6" i="13"/>
  <c r="C6" i="13"/>
  <c r="J5" i="13"/>
  <c r="I5" i="13"/>
  <c r="H5" i="13"/>
  <c r="J4" i="13"/>
  <c r="K3" i="13"/>
  <c r="J3" i="13"/>
  <c r="D3" i="13"/>
  <c r="I3" i="13" s="1"/>
  <c r="K2" i="13"/>
  <c r="I2" i="13"/>
  <c r="H2" i="13"/>
  <c r="B17" i="12"/>
  <c r="B18" i="12"/>
  <c r="B16" i="12"/>
  <c r="G8" i="12"/>
  <c r="G5" i="12"/>
  <c r="G4" i="12"/>
  <c r="G3" i="12"/>
  <c r="F9" i="12"/>
  <c r="E9" i="12"/>
  <c r="D9" i="12"/>
  <c r="I9" i="12" s="1"/>
  <c r="K11" i="12"/>
  <c r="J11" i="12"/>
  <c r="I11" i="12"/>
  <c r="H11" i="12"/>
  <c r="K9" i="12"/>
  <c r="K8" i="12"/>
  <c r="J8" i="12"/>
  <c r="I8" i="12"/>
  <c r="H8" i="12"/>
  <c r="K7" i="12"/>
  <c r="J7" i="12"/>
  <c r="I7" i="12"/>
  <c r="H7" i="12"/>
  <c r="K6" i="12"/>
  <c r="J6" i="12"/>
  <c r="I6" i="12"/>
  <c r="H6" i="12"/>
  <c r="K5" i="12"/>
  <c r="J5" i="12"/>
  <c r="I5" i="12"/>
  <c r="H5" i="12"/>
  <c r="K4" i="12"/>
  <c r="J4" i="12"/>
  <c r="I4" i="12"/>
  <c r="H4" i="12"/>
  <c r="K3" i="12"/>
  <c r="J3" i="12"/>
  <c r="H3" i="12"/>
  <c r="D3" i="12"/>
  <c r="I3" i="12" s="1"/>
  <c r="K2" i="12"/>
  <c r="J2" i="12"/>
  <c r="I2" i="12"/>
  <c r="H2" i="12"/>
  <c r="B15" i="12" s="1"/>
  <c r="K10" i="11"/>
  <c r="J10" i="11"/>
  <c r="I10" i="11"/>
  <c r="H10" i="11"/>
  <c r="G9" i="11"/>
  <c r="I9" i="11" s="1"/>
  <c r="K3" i="11"/>
  <c r="K4" i="11"/>
  <c r="K5" i="11"/>
  <c r="K6" i="11"/>
  <c r="K7" i="11"/>
  <c r="K8" i="11"/>
  <c r="C19" i="11" s="1"/>
  <c r="K9" i="11"/>
  <c r="J3" i="11"/>
  <c r="J4" i="11"/>
  <c r="J5" i="11"/>
  <c r="J6" i="11"/>
  <c r="J7" i="11"/>
  <c r="J8" i="11"/>
  <c r="J9" i="11"/>
  <c r="I3" i="11"/>
  <c r="I4" i="11"/>
  <c r="I5" i="11"/>
  <c r="I6" i="11"/>
  <c r="I7" i="11"/>
  <c r="I8" i="11"/>
  <c r="H3" i="11"/>
  <c r="H4" i="11"/>
  <c r="H5" i="11"/>
  <c r="H6" i="11"/>
  <c r="H7" i="11"/>
  <c r="H8" i="11"/>
  <c r="H9" i="11"/>
  <c r="F9" i="8"/>
  <c r="E9" i="8"/>
  <c r="J9" i="8" s="1"/>
  <c r="D9" i="8"/>
  <c r="I9" i="8" s="1"/>
  <c r="F8" i="8"/>
  <c r="E8" i="8"/>
  <c r="D8" i="8"/>
  <c r="D7" i="8"/>
  <c r="E6" i="8"/>
  <c r="D6" i="8"/>
  <c r="E5" i="8"/>
  <c r="D5" i="8"/>
  <c r="D3" i="8"/>
  <c r="K9" i="8"/>
  <c r="H9" i="8"/>
  <c r="G8" i="6"/>
  <c r="G7" i="6"/>
  <c r="G6" i="6"/>
  <c r="G4" i="6"/>
  <c r="G3" i="6"/>
  <c r="G2" i="6"/>
  <c r="G3" i="3"/>
  <c r="G6" i="3"/>
  <c r="G7" i="3"/>
  <c r="G8" i="3"/>
  <c r="K9" i="2"/>
  <c r="J9" i="2"/>
  <c r="I9" i="2"/>
  <c r="H9" i="2"/>
  <c r="C16" i="11" l="1"/>
  <c r="C17" i="11"/>
  <c r="C18" i="11"/>
  <c r="C16" i="12"/>
  <c r="C18" i="12"/>
  <c r="K10" i="13"/>
  <c r="D16" i="13"/>
  <c r="D17" i="13"/>
  <c r="H9" i="13"/>
  <c r="C17" i="12"/>
  <c r="H8" i="14"/>
  <c r="C16" i="14" s="1"/>
  <c r="C18" i="14"/>
  <c r="B17" i="14"/>
  <c r="B16" i="14"/>
  <c r="B18" i="14"/>
  <c r="E18" i="14" s="1"/>
  <c r="B19" i="14"/>
  <c r="C17" i="14"/>
  <c r="C19" i="14"/>
  <c r="C17" i="13"/>
  <c r="C16" i="13"/>
  <c r="C18" i="13"/>
  <c r="H6" i="13"/>
  <c r="B15" i="13"/>
  <c r="D18" i="13"/>
  <c r="B17" i="13"/>
  <c r="K4" i="13"/>
  <c r="B18" i="13" s="1"/>
  <c r="H8" i="13"/>
  <c r="H4" i="13"/>
  <c r="I4" i="13"/>
  <c r="B16" i="13" s="1"/>
  <c r="J9" i="12"/>
  <c r="H9" i="12"/>
  <c r="C15" i="12" s="1"/>
  <c r="E16" i="14" l="1"/>
  <c r="C15" i="13"/>
  <c r="D15" i="13"/>
  <c r="E15" i="13"/>
  <c r="E19" i="14"/>
  <c r="E17" i="14"/>
  <c r="E17" i="13"/>
  <c r="E16" i="13"/>
  <c r="E18" i="13"/>
  <c r="H85" i="16" l="1"/>
  <c r="H86" i="16"/>
  <c r="H87" i="16"/>
  <c r="H88" i="16"/>
  <c r="H89" i="16"/>
  <c r="H90" i="16"/>
  <c r="H91" i="16"/>
  <c r="H92" i="16"/>
  <c r="H93" i="16"/>
  <c r="H94" i="16"/>
  <c r="H95" i="16"/>
  <c r="H96" i="16"/>
  <c r="H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84" i="16"/>
  <c r="F69" i="16"/>
  <c r="F70" i="16"/>
  <c r="F71" i="16"/>
  <c r="F72" i="16"/>
  <c r="F73" i="16"/>
  <c r="F74" i="16"/>
  <c r="F75" i="16" l="1"/>
  <c r="F76" i="16"/>
  <c r="F77" i="16"/>
  <c r="F78" i="16"/>
  <c r="F79" i="16"/>
  <c r="F80" i="16"/>
  <c r="F81" i="16"/>
  <c r="F82" i="16"/>
  <c r="F83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E3" i="16"/>
  <c r="G57" i="16" s="1"/>
  <c r="E4" i="16"/>
  <c r="G58" i="16" s="1"/>
  <c r="E5" i="16"/>
  <c r="G59" i="16" s="1"/>
  <c r="E6" i="16"/>
  <c r="G60" i="16" s="1"/>
  <c r="E7" i="16"/>
  <c r="G61" i="16" s="1"/>
  <c r="G62" i="16"/>
  <c r="G63" i="16"/>
  <c r="E8" i="16"/>
  <c r="G64" i="16" s="1"/>
  <c r="E9" i="16"/>
  <c r="G65" i="16" s="1"/>
  <c r="E10" i="16"/>
  <c r="G66" i="16" s="1"/>
  <c r="E11" i="16"/>
  <c r="G67" i="16" s="1"/>
  <c r="G68" i="16"/>
  <c r="E2" i="16"/>
  <c r="G56" i="16" s="1"/>
  <c r="C58" i="7" l="1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D57" i="7"/>
  <c r="C57" i="7"/>
  <c r="E9" i="3" l="1"/>
  <c r="F10" i="6"/>
  <c r="E10" i="6"/>
  <c r="D10" i="6"/>
  <c r="F10" i="5"/>
  <c r="E10" i="5"/>
  <c r="D10" i="5"/>
  <c r="H11" i="19" l="1"/>
  <c r="H8" i="19"/>
  <c r="H7" i="19"/>
  <c r="E3" i="19"/>
  <c r="E4" i="19"/>
  <c r="E5" i="19"/>
  <c r="E6" i="19"/>
  <c r="E7" i="19"/>
  <c r="E8" i="19"/>
  <c r="E9" i="19"/>
  <c r="E10" i="19"/>
  <c r="E11" i="19"/>
  <c r="E2" i="19"/>
  <c r="D3" i="19"/>
  <c r="D4" i="19"/>
  <c r="D5" i="19"/>
  <c r="D6" i="19"/>
  <c r="D7" i="19"/>
  <c r="D8" i="19"/>
  <c r="D9" i="19"/>
  <c r="D10" i="19"/>
  <c r="D11" i="19"/>
  <c r="D2" i="19"/>
  <c r="K2" i="11"/>
  <c r="B19" i="11" s="1"/>
  <c r="K4" i="8"/>
  <c r="K5" i="8"/>
  <c r="K11" i="8"/>
  <c r="K2" i="8"/>
  <c r="K4" i="6"/>
  <c r="K5" i="6"/>
  <c r="K9" i="6"/>
  <c r="K10" i="6"/>
  <c r="K3" i="5"/>
  <c r="K4" i="5"/>
  <c r="K5" i="5"/>
  <c r="K6" i="5"/>
  <c r="K7" i="5"/>
  <c r="K8" i="5"/>
  <c r="C18" i="5" s="1"/>
  <c r="G5" i="19" s="1"/>
  <c r="K9" i="5"/>
  <c r="K10" i="5"/>
  <c r="D18" i="5" s="1"/>
  <c r="H5" i="19" s="1"/>
  <c r="K2" i="5"/>
  <c r="K3" i="4"/>
  <c r="K4" i="4"/>
  <c r="K5" i="4"/>
  <c r="K6" i="4"/>
  <c r="K7" i="4"/>
  <c r="K8" i="4"/>
  <c r="C18" i="4" s="1"/>
  <c r="G4" i="19" s="1"/>
  <c r="K9" i="4"/>
  <c r="K10" i="4"/>
  <c r="K2" i="4"/>
  <c r="K4" i="3"/>
  <c r="K5" i="3"/>
  <c r="K7" i="3"/>
  <c r="K8" i="3"/>
  <c r="K9" i="3"/>
  <c r="K10" i="3"/>
  <c r="K2" i="3"/>
  <c r="K4" i="2"/>
  <c r="K5" i="2"/>
  <c r="K10" i="2"/>
  <c r="D21" i="2" s="1"/>
  <c r="H2" i="19" s="1"/>
  <c r="F8" i="2"/>
  <c r="F2" i="2"/>
  <c r="K2" i="2" s="1"/>
  <c r="H11" i="17"/>
  <c r="H8" i="17"/>
  <c r="H7" i="17"/>
  <c r="H11" i="16"/>
  <c r="H8" i="16"/>
  <c r="H7" i="16"/>
  <c r="F8" i="19" l="1"/>
  <c r="D20" i="3"/>
  <c r="H3" i="19" s="1"/>
  <c r="D20" i="6"/>
  <c r="H6" i="19" s="1"/>
  <c r="F9" i="19"/>
  <c r="G9" i="19"/>
  <c r="G10" i="19"/>
  <c r="F11" i="19"/>
  <c r="B18" i="5"/>
  <c r="F5" i="19" s="1"/>
  <c r="I5" i="19" s="1"/>
  <c r="J5" i="19" s="1"/>
  <c r="L5" i="19" s="1"/>
  <c r="H10" i="19"/>
  <c r="D18" i="12"/>
  <c r="H9" i="19" s="1"/>
  <c r="D18" i="4"/>
  <c r="H4" i="19" s="1"/>
  <c r="B18" i="4"/>
  <c r="F4" i="19" s="1"/>
  <c r="F10" i="19"/>
  <c r="D2" i="17"/>
  <c r="E2" i="17"/>
  <c r="E3" i="17"/>
  <c r="E4" i="17"/>
  <c r="E5" i="17"/>
  <c r="E6" i="17"/>
  <c r="E7" i="17"/>
  <c r="E8" i="17"/>
  <c r="E9" i="17"/>
  <c r="E10" i="17"/>
  <c r="E11" i="17"/>
  <c r="D3" i="17"/>
  <c r="D4" i="17"/>
  <c r="D5" i="17"/>
  <c r="D6" i="17"/>
  <c r="D7" i="17"/>
  <c r="D8" i="17"/>
  <c r="D9" i="17"/>
  <c r="D10" i="17"/>
  <c r="D11" i="17"/>
  <c r="J2" i="11"/>
  <c r="B18" i="11" s="1"/>
  <c r="J4" i="8"/>
  <c r="J11" i="8"/>
  <c r="J5" i="8"/>
  <c r="E2" i="8"/>
  <c r="J2" i="8" s="1"/>
  <c r="J4" i="6"/>
  <c r="J5" i="6"/>
  <c r="J9" i="6"/>
  <c r="J10" i="6"/>
  <c r="J3" i="5"/>
  <c r="J4" i="5"/>
  <c r="J5" i="5"/>
  <c r="J6" i="5"/>
  <c r="J7" i="5"/>
  <c r="J8" i="5"/>
  <c r="C17" i="5" s="1"/>
  <c r="G5" i="17" s="1"/>
  <c r="J9" i="5"/>
  <c r="J10" i="5"/>
  <c r="J2" i="5"/>
  <c r="J3" i="4"/>
  <c r="J4" i="4"/>
  <c r="J5" i="4"/>
  <c r="J6" i="4"/>
  <c r="J7" i="4"/>
  <c r="J8" i="4"/>
  <c r="C17" i="4" s="1"/>
  <c r="G4" i="17" s="1"/>
  <c r="J9" i="4"/>
  <c r="J2" i="4"/>
  <c r="E10" i="4"/>
  <c r="J10" i="4" s="1"/>
  <c r="J4" i="3"/>
  <c r="J5" i="3"/>
  <c r="J7" i="3"/>
  <c r="J9" i="3"/>
  <c r="E10" i="3"/>
  <c r="J10" i="3" s="1"/>
  <c r="E8" i="3"/>
  <c r="J8" i="3" s="1"/>
  <c r="E6" i="3"/>
  <c r="E2" i="3"/>
  <c r="J2" i="3" s="1"/>
  <c r="J4" i="2"/>
  <c r="J10" i="2"/>
  <c r="E5" i="2"/>
  <c r="J5" i="2" s="1"/>
  <c r="E8" i="2"/>
  <c r="E6" i="2"/>
  <c r="E2" i="2"/>
  <c r="J2" i="2" s="1"/>
  <c r="I10" i="19" l="1"/>
  <c r="J10" i="19" s="1"/>
  <c r="L10" i="19" s="1"/>
  <c r="I9" i="19"/>
  <c r="J9" i="19" s="1"/>
  <c r="L9" i="19" s="1"/>
  <c r="E18" i="5"/>
  <c r="E18" i="4"/>
  <c r="I4" i="19"/>
  <c r="J4" i="19" s="1"/>
  <c r="L4" i="19" s="1"/>
  <c r="E18" i="12"/>
  <c r="D17" i="4"/>
  <c r="H4" i="17" s="1"/>
  <c r="G9" i="17"/>
  <c r="D19" i="6"/>
  <c r="H6" i="17" s="1"/>
  <c r="D20" i="2"/>
  <c r="H2" i="17" s="1"/>
  <c r="F11" i="17"/>
  <c r="F10" i="17"/>
  <c r="H10" i="17"/>
  <c r="G10" i="17"/>
  <c r="F9" i="17"/>
  <c r="D17" i="12"/>
  <c r="H9" i="17" s="1"/>
  <c r="F8" i="17"/>
  <c r="D17" i="5"/>
  <c r="H5" i="17" s="1"/>
  <c r="B17" i="5"/>
  <c r="B17" i="4"/>
  <c r="F4" i="17" s="1"/>
  <c r="D19" i="3"/>
  <c r="H3" i="17" s="1"/>
  <c r="D3" i="16"/>
  <c r="F57" i="16" s="1"/>
  <c r="D4" i="16"/>
  <c r="F58" i="16" s="1"/>
  <c r="D5" i="16"/>
  <c r="F59" i="16" s="1"/>
  <c r="D6" i="16"/>
  <c r="F60" i="16" s="1"/>
  <c r="D7" i="16"/>
  <c r="F61" i="16" s="1"/>
  <c r="F62" i="16"/>
  <c r="F63" i="16"/>
  <c r="D8" i="16"/>
  <c r="F64" i="16" s="1"/>
  <c r="D9" i="16"/>
  <c r="F65" i="16" s="1"/>
  <c r="D10" i="16"/>
  <c r="F66" i="16" s="1"/>
  <c r="D11" i="16"/>
  <c r="F67" i="16" s="1"/>
  <c r="F68" i="16"/>
  <c r="D2" i="16"/>
  <c r="F56" i="16" s="1"/>
  <c r="I2" i="11"/>
  <c r="B17" i="11" s="1"/>
  <c r="I4" i="8"/>
  <c r="I11" i="8"/>
  <c r="I5" i="8"/>
  <c r="D2" i="8"/>
  <c r="I2" i="8" s="1"/>
  <c r="I4" i="6"/>
  <c r="I5" i="6"/>
  <c r="I9" i="6"/>
  <c r="I10" i="6"/>
  <c r="D2" i="6"/>
  <c r="I4" i="5"/>
  <c r="I5" i="5"/>
  <c r="I6" i="5"/>
  <c r="I7" i="5"/>
  <c r="I2" i="5"/>
  <c r="I10" i="5"/>
  <c r="I9" i="5"/>
  <c r="D8" i="5"/>
  <c r="I8" i="5" s="1"/>
  <c r="C16" i="5" s="1"/>
  <c r="G5" i="16" s="1"/>
  <c r="D3" i="5"/>
  <c r="I3" i="5" s="1"/>
  <c r="D10" i="4"/>
  <c r="I10" i="4" s="1"/>
  <c r="D8" i="4"/>
  <c r="I8" i="4" s="1"/>
  <c r="C16" i="4" s="1"/>
  <c r="G4" i="16" s="1"/>
  <c r="I4" i="4"/>
  <c r="I5" i="4"/>
  <c r="I6" i="4"/>
  <c r="I7" i="4"/>
  <c r="I9" i="4"/>
  <c r="I2" i="4"/>
  <c r="D3" i="4"/>
  <c r="I3" i="4" s="1"/>
  <c r="D2" i="3"/>
  <c r="I2" i="3" s="1"/>
  <c r="D2" i="2"/>
  <c r="I2" i="2" s="1"/>
  <c r="I4" i="3"/>
  <c r="I5" i="3"/>
  <c r="I7" i="3"/>
  <c r="I8" i="3"/>
  <c r="I9" i="3"/>
  <c r="I10" i="3"/>
  <c r="I4" i="2"/>
  <c r="I10" i="2"/>
  <c r="D19" i="2" s="1"/>
  <c r="H2" i="16" s="1"/>
  <c r="D8" i="2"/>
  <c r="D7" i="2"/>
  <c r="D6" i="2"/>
  <c r="D5" i="2"/>
  <c r="I5" i="2" s="1"/>
  <c r="D3" i="2"/>
  <c r="F12" i="7"/>
  <c r="H5" i="6"/>
  <c r="H9" i="6"/>
  <c r="H10" i="6"/>
  <c r="H3" i="5"/>
  <c r="H4" i="5"/>
  <c r="H5" i="5"/>
  <c r="H7" i="5"/>
  <c r="H9" i="5"/>
  <c r="H10" i="5"/>
  <c r="H3" i="4"/>
  <c r="H4" i="4"/>
  <c r="H5" i="4"/>
  <c r="H7" i="4"/>
  <c r="H9" i="4"/>
  <c r="H10" i="4"/>
  <c r="H2" i="4"/>
  <c r="H5" i="2"/>
  <c r="H10" i="2"/>
  <c r="D18" i="2" s="1"/>
  <c r="F3" i="7" s="1"/>
  <c r="D16" i="11"/>
  <c r="F9" i="7" s="1"/>
  <c r="H2" i="11"/>
  <c r="B16" i="11" s="1"/>
  <c r="H11" i="8"/>
  <c r="D16" i="8" s="1"/>
  <c r="F8" i="7" s="1"/>
  <c r="H5" i="8"/>
  <c r="H2" i="8"/>
  <c r="H4" i="8"/>
  <c r="H4" i="6"/>
  <c r="H8" i="5"/>
  <c r="H6" i="5"/>
  <c r="H2" i="5"/>
  <c r="H8" i="4"/>
  <c r="H6" i="4"/>
  <c r="H10" i="3"/>
  <c r="I3" i="3"/>
  <c r="H9" i="3"/>
  <c r="H8" i="3"/>
  <c r="H7" i="3"/>
  <c r="H5" i="3"/>
  <c r="H4" i="3"/>
  <c r="H2" i="3"/>
  <c r="H2" i="2"/>
  <c r="J6" i="2"/>
  <c r="H4" i="2"/>
  <c r="H4" i="1"/>
  <c r="E4" i="1"/>
  <c r="I4" i="17" l="1"/>
  <c r="J4" i="17" s="1"/>
  <c r="L4" i="17" s="1"/>
  <c r="I3" i="2"/>
  <c r="I8" i="2"/>
  <c r="G9" i="16"/>
  <c r="G8" i="16"/>
  <c r="I64" i="16" s="1"/>
  <c r="D16" i="12"/>
  <c r="H9" i="16" s="1"/>
  <c r="D15" i="12"/>
  <c r="F10" i="7" s="1"/>
  <c r="H6" i="6"/>
  <c r="K6" i="6"/>
  <c r="J6" i="6"/>
  <c r="H6" i="2"/>
  <c r="C18" i="2" s="1"/>
  <c r="K6" i="2"/>
  <c r="G10" i="16"/>
  <c r="I9" i="17"/>
  <c r="J9" i="17" s="1"/>
  <c r="L9" i="17" s="1"/>
  <c r="H6" i="3"/>
  <c r="C17" i="3" s="1"/>
  <c r="E4" i="7" s="1"/>
  <c r="K6" i="3"/>
  <c r="C20" i="3" s="1"/>
  <c r="G3" i="19" s="1"/>
  <c r="H6" i="8"/>
  <c r="K6" i="8"/>
  <c r="H8" i="8"/>
  <c r="K8" i="8"/>
  <c r="J6" i="8"/>
  <c r="I3" i="6"/>
  <c r="K3" i="6"/>
  <c r="J3" i="6"/>
  <c r="I7" i="2"/>
  <c r="K7" i="2"/>
  <c r="J7" i="2"/>
  <c r="H3" i="8"/>
  <c r="K3" i="8"/>
  <c r="B19" i="8" s="1"/>
  <c r="J3" i="8"/>
  <c r="B18" i="8" s="1"/>
  <c r="F7" i="17" s="1"/>
  <c r="E9" i="7"/>
  <c r="F63" i="7" s="1"/>
  <c r="H3" i="6"/>
  <c r="H8" i="6"/>
  <c r="K8" i="6"/>
  <c r="J8" i="6"/>
  <c r="H2" i="6"/>
  <c r="K2" i="6"/>
  <c r="J2" i="6"/>
  <c r="J8" i="8"/>
  <c r="H10" i="8"/>
  <c r="J10" i="8"/>
  <c r="K10" i="8"/>
  <c r="H7" i="8"/>
  <c r="K7" i="8"/>
  <c r="J7" i="8"/>
  <c r="H3" i="2"/>
  <c r="B18" i="2" s="1"/>
  <c r="D3" i="7" s="1"/>
  <c r="E57" i="7" s="1"/>
  <c r="K3" i="2"/>
  <c r="B21" i="2" s="1"/>
  <c r="J3" i="2"/>
  <c r="B20" i="2" s="1"/>
  <c r="H8" i="2"/>
  <c r="K8" i="2"/>
  <c r="H3" i="3"/>
  <c r="B17" i="3" s="1"/>
  <c r="D4" i="7" s="1"/>
  <c r="K3" i="3"/>
  <c r="B20" i="3" s="1"/>
  <c r="J3" i="3"/>
  <c r="B19" i="3" s="1"/>
  <c r="F3" i="17" s="1"/>
  <c r="I6" i="2"/>
  <c r="H7" i="6"/>
  <c r="K7" i="6"/>
  <c r="J7" i="6"/>
  <c r="J8" i="2"/>
  <c r="J6" i="3"/>
  <c r="C19" i="3" s="1"/>
  <c r="G3" i="17" s="1"/>
  <c r="I10" i="17"/>
  <c r="J10" i="17" s="1"/>
  <c r="L10" i="17" s="1"/>
  <c r="E17" i="12"/>
  <c r="F5" i="17"/>
  <c r="I5" i="17" s="1"/>
  <c r="J5" i="17" s="1"/>
  <c r="L5" i="17" s="1"/>
  <c r="E17" i="5"/>
  <c r="D15" i="5"/>
  <c r="F6" i="7" s="1"/>
  <c r="E17" i="4"/>
  <c r="D18" i="3"/>
  <c r="H3" i="16" s="1"/>
  <c r="I68" i="16"/>
  <c r="H68" i="16"/>
  <c r="F11" i="16"/>
  <c r="H67" i="16" s="1"/>
  <c r="H10" i="16"/>
  <c r="I63" i="16"/>
  <c r="I7" i="8"/>
  <c r="I3" i="8"/>
  <c r="B17" i="8" s="1"/>
  <c r="F7" i="16" s="1"/>
  <c r="H61" i="16" s="1"/>
  <c r="I8" i="8"/>
  <c r="I6" i="8"/>
  <c r="I2" i="6"/>
  <c r="I7" i="6"/>
  <c r="D18" i="6"/>
  <c r="H6" i="16" s="1"/>
  <c r="B16" i="4"/>
  <c r="D16" i="4"/>
  <c r="H4" i="16" s="1"/>
  <c r="I58" i="16" s="1"/>
  <c r="D17" i="3"/>
  <c r="F4" i="7" s="1"/>
  <c r="B16" i="5"/>
  <c r="F5" i="16" s="1"/>
  <c r="H59" i="16" s="1"/>
  <c r="D16" i="5"/>
  <c r="H5" i="16" s="1"/>
  <c r="I59" i="16" s="1"/>
  <c r="F8" i="16"/>
  <c r="H64" i="16" s="1"/>
  <c r="I6" i="3"/>
  <c r="C18" i="3" s="1"/>
  <c r="G3" i="16" s="1"/>
  <c r="B18" i="3"/>
  <c r="F3" i="16" s="1"/>
  <c r="H57" i="16" s="1"/>
  <c r="I6" i="6"/>
  <c r="I10" i="8"/>
  <c r="H7" i="2"/>
  <c r="D17" i="6"/>
  <c r="F7" i="7" s="1"/>
  <c r="E10" i="7"/>
  <c r="E11" i="7"/>
  <c r="I8" i="6"/>
  <c r="F11" i="7"/>
  <c r="B16" i="8"/>
  <c r="B15" i="5"/>
  <c r="D6" i="7" s="1"/>
  <c r="E60" i="7" s="1"/>
  <c r="D15" i="4"/>
  <c r="F5" i="7" s="1"/>
  <c r="B19" i="2"/>
  <c r="F2" i="16" s="1"/>
  <c r="H56" i="16" s="1"/>
  <c r="D12" i="7"/>
  <c r="E66" i="7" s="1"/>
  <c r="D11" i="7"/>
  <c r="E65" i="7" s="1"/>
  <c r="C15" i="5"/>
  <c r="E6" i="7" s="1"/>
  <c r="C15" i="4"/>
  <c r="E5" i="7" s="1"/>
  <c r="D9" i="7"/>
  <c r="E63" i="7" s="1"/>
  <c r="B15" i="4"/>
  <c r="D5" i="7" s="1"/>
  <c r="E59" i="7" s="1"/>
  <c r="I57" i="16" l="1"/>
  <c r="C19" i="2"/>
  <c r="G2" i="16" s="1"/>
  <c r="I56" i="16" s="1"/>
  <c r="C17" i="6"/>
  <c r="E7" i="7" s="1"/>
  <c r="F61" i="7" s="1"/>
  <c r="F64" i="7"/>
  <c r="H62" i="16"/>
  <c r="B19" i="6"/>
  <c r="F6" i="17" s="1"/>
  <c r="B17" i="6"/>
  <c r="D7" i="7" s="1"/>
  <c r="E61" i="7" s="1"/>
  <c r="E3" i="7"/>
  <c r="F57" i="7" s="1"/>
  <c r="I66" i="16"/>
  <c r="I65" i="16"/>
  <c r="C16" i="8"/>
  <c r="E8" i="7" s="1"/>
  <c r="F62" i="7" s="1"/>
  <c r="E12" i="7"/>
  <c r="F66" i="7" s="1"/>
  <c r="B20" i="6"/>
  <c r="F6" i="19" s="1"/>
  <c r="G4" i="7"/>
  <c r="H4" i="7" s="1"/>
  <c r="J4" i="7" s="1"/>
  <c r="E58" i="7"/>
  <c r="I2" i="16"/>
  <c r="J2" i="16" s="1"/>
  <c r="L2" i="16" s="1"/>
  <c r="C20" i="2"/>
  <c r="G2" i="17" s="1"/>
  <c r="I5" i="16"/>
  <c r="J5" i="16" s="1"/>
  <c r="L5" i="16" s="1"/>
  <c r="G11" i="16"/>
  <c r="I8" i="16"/>
  <c r="J8" i="16" s="1"/>
  <c r="L8" i="16" s="1"/>
  <c r="G8" i="17"/>
  <c r="I8" i="17" s="1"/>
  <c r="J8" i="17" s="1"/>
  <c r="L8" i="17" s="1"/>
  <c r="E18" i="11"/>
  <c r="G11" i="17"/>
  <c r="I11" i="17" s="1"/>
  <c r="J11" i="17" s="1"/>
  <c r="L11" i="17" s="1"/>
  <c r="F2" i="17"/>
  <c r="C19" i="8"/>
  <c r="G7" i="19" s="1"/>
  <c r="G6" i="7"/>
  <c r="H6" i="7" s="1"/>
  <c r="J6" i="7" s="1"/>
  <c r="F2" i="19"/>
  <c r="F7" i="19"/>
  <c r="C18" i="8"/>
  <c r="G7" i="17" s="1"/>
  <c r="I7" i="17" s="1"/>
  <c r="J7" i="17" s="1"/>
  <c r="L7" i="17" s="1"/>
  <c r="C21" i="2"/>
  <c r="G2" i="19" s="1"/>
  <c r="C20" i="6"/>
  <c r="G6" i="19" s="1"/>
  <c r="E19" i="3"/>
  <c r="F3" i="19"/>
  <c r="I3" i="19" s="1"/>
  <c r="J3" i="19" s="1"/>
  <c r="L3" i="19" s="1"/>
  <c r="E20" i="3"/>
  <c r="F60" i="7"/>
  <c r="B18" i="6"/>
  <c r="F6" i="16" s="1"/>
  <c r="H60" i="16" s="1"/>
  <c r="I3" i="17"/>
  <c r="J3" i="17" s="1"/>
  <c r="L3" i="17" s="1"/>
  <c r="C19" i="6"/>
  <c r="F65" i="7"/>
  <c r="G11" i="7"/>
  <c r="H11" i="7" s="1"/>
  <c r="J11" i="7" s="1"/>
  <c r="F10" i="16"/>
  <c r="F9" i="16"/>
  <c r="E16" i="12"/>
  <c r="E15" i="12"/>
  <c r="D10" i="7"/>
  <c r="G9" i="7"/>
  <c r="H9" i="7" s="1"/>
  <c r="J9" i="7" s="1"/>
  <c r="D8" i="7"/>
  <c r="C18" i="6"/>
  <c r="G6" i="16" s="1"/>
  <c r="G5" i="7"/>
  <c r="H5" i="7" s="1"/>
  <c r="J5" i="7" s="1"/>
  <c r="F59" i="7"/>
  <c r="F4" i="16"/>
  <c r="E16" i="4"/>
  <c r="F58" i="7"/>
  <c r="I3" i="16"/>
  <c r="J3" i="16" s="1"/>
  <c r="L3" i="16" s="1"/>
  <c r="E17" i="11"/>
  <c r="C17" i="8"/>
  <c r="E15" i="5"/>
  <c r="E18" i="3"/>
  <c r="E16" i="5"/>
  <c r="E16" i="11"/>
  <c r="E15" i="4"/>
  <c r="E17" i="3"/>
  <c r="E19" i="2" l="1"/>
  <c r="E18" i="8"/>
  <c r="E20" i="2"/>
  <c r="G3" i="7"/>
  <c r="H3" i="7" s="1"/>
  <c r="J3" i="7" s="1"/>
  <c r="E18" i="2"/>
  <c r="E17" i="6"/>
  <c r="G7" i="7"/>
  <c r="H7" i="7" s="1"/>
  <c r="J7" i="7" s="1"/>
  <c r="G12" i="7"/>
  <c r="H12" i="7" s="1"/>
  <c r="J12" i="7" s="1"/>
  <c r="E16" i="8"/>
  <c r="E18" i="6"/>
  <c r="I4" i="16"/>
  <c r="J4" i="16" s="1"/>
  <c r="L4" i="16" s="1"/>
  <c r="H58" i="16"/>
  <c r="I6" i="16"/>
  <c r="J6" i="16" s="1"/>
  <c r="L6" i="16" s="1"/>
  <c r="I60" i="16"/>
  <c r="I9" i="16"/>
  <c r="J9" i="16" s="1"/>
  <c r="L9" i="16" s="1"/>
  <c r="H65" i="16"/>
  <c r="I10" i="16"/>
  <c r="J10" i="16" s="1"/>
  <c r="L10" i="16" s="1"/>
  <c r="H66" i="16"/>
  <c r="I11" i="16"/>
  <c r="J11" i="16" s="1"/>
  <c r="L11" i="16" s="1"/>
  <c r="I67" i="16"/>
  <c r="H63" i="16"/>
  <c r="I62" i="16"/>
  <c r="G10" i="7"/>
  <c r="H10" i="7" s="1"/>
  <c r="J10" i="7" s="1"/>
  <c r="E64" i="7"/>
  <c r="E21" i="2"/>
  <c r="I2" i="17"/>
  <c r="J2" i="17" s="1"/>
  <c r="L2" i="17" s="1"/>
  <c r="G8" i="7"/>
  <c r="H8" i="7" s="1"/>
  <c r="J8" i="7" s="1"/>
  <c r="E62" i="7"/>
  <c r="I6" i="19"/>
  <c r="J6" i="19" s="1"/>
  <c r="L6" i="19" s="1"/>
  <c r="E20" i="6"/>
  <c r="E19" i="8"/>
  <c r="I7" i="19"/>
  <c r="J7" i="19" s="1"/>
  <c r="L7" i="19" s="1"/>
  <c r="G6" i="17"/>
  <c r="I6" i="17" s="1"/>
  <c r="J6" i="17" s="1"/>
  <c r="L6" i="17" s="1"/>
  <c r="E19" i="6"/>
  <c r="G11" i="19"/>
  <c r="I11" i="19" s="1"/>
  <c r="J11" i="19" s="1"/>
  <c r="L11" i="19" s="1"/>
  <c r="G8" i="19"/>
  <c r="I8" i="19" s="1"/>
  <c r="J8" i="19" s="1"/>
  <c r="L8" i="19" s="1"/>
  <c r="E19" i="11"/>
  <c r="I2" i="19"/>
  <c r="J2" i="19" s="1"/>
  <c r="L2" i="19" s="1"/>
  <c r="E17" i="8"/>
  <c r="G7" i="16"/>
  <c r="I7" i="16" l="1"/>
  <c r="J7" i="16" s="1"/>
  <c r="L7" i="16" s="1"/>
  <c r="I61" i="16"/>
</calcChain>
</file>

<file path=xl/comments1.xml><?xml version="1.0" encoding="utf-8"?>
<comments xmlns="http://schemas.openxmlformats.org/spreadsheetml/2006/main">
  <authors>
    <author>Patri, Sai Kireet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</commentList>
</comments>
</file>

<file path=xl/sharedStrings.xml><?xml version="1.0" encoding="utf-8"?>
<sst xmlns="http://schemas.openxmlformats.org/spreadsheetml/2006/main" count="540" uniqueCount="129">
  <si>
    <t>Paper</t>
  </si>
  <si>
    <t>Duct Cost</t>
  </si>
  <si>
    <t>Fiber Cost</t>
  </si>
  <si>
    <t>RN Cost</t>
  </si>
  <si>
    <t>Duct Cost /km</t>
  </si>
  <si>
    <t>Fiber Cost /km</t>
  </si>
  <si>
    <t>Phillipson 2013</t>
  </si>
  <si>
    <t>RN1 Cost/unit</t>
  </si>
  <si>
    <t>RN2 Cost/unit</t>
  </si>
  <si>
    <t>Technology deployed</t>
  </si>
  <si>
    <t>CO Cost /unit</t>
  </si>
  <si>
    <t>NA</t>
  </si>
  <si>
    <t>FTTCab</t>
  </si>
  <si>
    <t>G.fast</t>
  </si>
  <si>
    <t>ONT Cost/unit</t>
  </si>
  <si>
    <t>Phillipson 2014</t>
  </si>
  <si>
    <t>WDM</t>
  </si>
  <si>
    <t>Leiva 2012+ 
Huelsermann 2008</t>
  </si>
  <si>
    <t>Position of component</t>
  </si>
  <si>
    <t>Component Name</t>
  </si>
  <si>
    <t>Cost per Unit (OASE)</t>
  </si>
  <si>
    <t>Quantity</t>
  </si>
  <si>
    <t>Component Cost</t>
  </si>
  <si>
    <t>GPON OLT Card(8*2.5Gbps)</t>
  </si>
  <si>
    <t>Pluggable B+</t>
  </si>
  <si>
    <t>Switching Cost</t>
  </si>
  <si>
    <t>Additional</t>
  </si>
  <si>
    <t>Central Office</t>
  </si>
  <si>
    <t>RN1</t>
  </si>
  <si>
    <t>Power Splitter 1:8</t>
  </si>
  <si>
    <t>RN2</t>
  </si>
  <si>
    <t>GPON ONT</t>
  </si>
  <si>
    <t>Building</t>
  </si>
  <si>
    <t>1:8 Mini DSLAM</t>
  </si>
  <si>
    <t>Total Cost</t>
  </si>
  <si>
    <t>OLT Electronic Cost</t>
  </si>
  <si>
    <t>RN Electronics Cost</t>
  </si>
  <si>
    <t>Building Electronics Cost</t>
  </si>
  <si>
    <t>XGPON OLT Card(6*10Gbps)</t>
  </si>
  <si>
    <t>Pluggable Nom1</t>
  </si>
  <si>
    <t>XGPON ONT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</si>
  <si>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</si>
  <si>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</si>
  <si>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</si>
  <si>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</si>
  <si>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</si>
  <si>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</si>
  <si>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</si>
  <si>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1:8 Power Splitter</t>
  </si>
  <si>
    <t>Technology</t>
  </si>
  <si>
    <t>FTTCab_GPON_25</t>
  </si>
  <si>
    <t>FTTB_XGPON_50</t>
  </si>
  <si>
    <t>FTTB_WRWDM_50</t>
  </si>
  <si>
    <t>FTTH_WRWDM_100</t>
  </si>
  <si>
    <t>FTTH_XGPON_100</t>
  </si>
  <si>
    <t>Total Cost in Cost Units</t>
  </si>
  <si>
    <t>Total Cost in Euros</t>
  </si>
  <si>
    <t>No. Of HH</t>
  </si>
  <si>
    <t>Pure Residential Scenario</t>
  </si>
  <si>
    <t>Data rate</t>
  </si>
  <si>
    <t>Remote Node E&amp;I Costs</t>
  </si>
  <si>
    <t>Building E&amp;I Costs</t>
  </si>
  <si>
    <t>Central Office E&amp;I Costs</t>
  </si>
  <si>
    <t>NIL</t>
  </si>
  <si>
    <t>FTTCab_GPON_100</t>
  </si>
  <si>
    <t>FTTC_Hybridpon_25</t>
  </si>
  <si>
    <t>FTTB_Hybridpon_50</t>
  </si>
  <si>
    <t>FTTH_Hybridpon_100</t>
  </si>
  <si>
    <t>FTTC_Hybridpon_100</t>
  </si>
  <si>
    <t>HybridPON ONT</t>
  </si>
  <si>
    <t>Buildings</t>
  </si>
  <si>
    <t>CO cost</t>
  </si>
  <si>
    <t>Component Cost(OASE)</t>
  </si>
  <si>
    <t>Cost per Unit (Rokkas)</t>
  </si>
  <si>
    <t>Component Cost(Rokkas)</t>
  </si>
  <si>
    <t>Reference</t>
  </si>
  <si>
    <t>OASE</t>
  </si>
  <si>
    <t>Rokkas 2015</t>
  </si>
  <si>
    <t>Cost per Unit(Rokkas)</t>
  </si>
  <si>
    <t>WDMPON ONT</t>
  </si>
  <si>
    <t>Rokkas (2015)</t>
  </si>
  <si>
    <t>Duct Length</t>
  </si>
  <si>
    <t>Fiber Length</t>
  </si>
  <si>
    <t>Cost per Home passed(Rokkas)</t>
  </si>
  <si>
    <t>Total Cost in Euros(Rokkas)</t>
  </si>
  <si>
    <t>Papers added</t>
  </si>
  <si>
    <t>Title</t>
  </si>
  <si>
    <t>Date of Publishing</t>
  </si>
  <si>
    <t>Authors</t>
  </si>
  <si>
    <t>URL</t>
  </si>
  <si>
    <t>https://ieeexplore.ieee.org/document/7347221/</t>
  </si>
  <si>
    <t>Techno-economic analysis of PON architectures for FTTH deployments: Comparison between GPON,XGPON and NG-PON2 for a Greenfield operator</t>
  </si>
  <si>
    <t> 2015 Conference of Telecommunication, Media and Internet Techno-Economics (CTTE)</t>
  </si>
  <si>
    <t>Journal/Conference</t>
  </si>
  <si>
    <t>Theodoros Rokkas</t>
  </si>
  <si>
    <t>BSG- The costs of deploying next generation fiber broadband</t>
  </si>
  <si>
    <t>http://www.broadbanduk.org/wp-content/uploads/2012/08/http___www-broadbanduk6.pdf</t>
  </si>
  <si>
    <t>Analysys Mason</t>
  </si>
  <si>
    <t>Broadband Stakeholders Group</t>
  </si>
  <si>
    <t>Cost per Unit (BSG)</t>
  </si>
  <si>
    <t>Component Cost(BSG)</t>
  </si>
  <si>
    <t>BSG 2008</t>
  </si>
  <si>
    <t>Cost per Unit(BSG)</t>
  </si>
  <si>
    <t>Total Cost in Euros(BSG)</t>
  </si>
  <si>
    <t>Cost per Home passed(BSG)</t>
  </si>
  <si>
    <t>Cost per Home passed(OASE)</t>
  </si>
  <si>
    <t>Fourth Generation Broadband Delivered by Hybrid FttH Solution—A Techno-Economic Study</t>
  </si>
  <si>
    <t>J. OPT. COMMUN. NETW./VOL. 5, NO. 11/NOVEMBER 2013</t>
  </si>
  <si>
    <t>Frank Phillipson, Charlotte Smit-Rietveld, and Pieter Verhagen</t>
  </si>
  <si>
    <t>https://www.researchgate.net/publication/260357529</t>
  </si>
  <si>
    <t>Cost per Unit(Philipson)</t>
  </si>
  <si>
    <t>Component Cost(Phillipson)</t>
  </si>
  <si>
    <t>Cost per Unit(Phillipson)</t>
  </si>
  <si>
    <t>Cost per Unit (Phillipson)</t>
  </si>
  <si>
    <t>Total Cost in Euros(Phillipson)</t>
  </si>
  <si>
    <t>1:32 DSLAM+Cabinet</t>
  </si>
  <si>
    <t>WR-WDMPON ONT+Install Cost</t>
  </si>
  <si>
    <t>Cost per Home passed(Phillipson)</t>
  </si>
  <si>
    <t>CO Cost</t>
  </si>
  <si>
    <t>Power Splitter 1:32</t>
  </si>
  <si>
    <t>1:8 DSLAM</t>
  </si>
  <si>
    <t>1:16Power Splitter</t>
  </si>
  <si>
    <t>1:4 Power Splitter+Cabinet</t>
  </si>
  <si>
    <t>1:6 Mini DSLAM</t>
  </si>
  <si>
    <t>EDFA</t>
  </si>
  <si>
    <t>1:4 Mini DSLAM+Cabinet</t>
  </si>
  <si>
    <t>1:16 DSLAM</t>
  </si>
  <si>
    <t>FTTB_UDWDM_50</t>
  </si>
  <si>
    <t>FTTH_UDWDM_100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</si>
</sst>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;[Red]\-[$€-2]\ #,##0"/>
    <numFmt numFmtId="165" formatCode="[$€-2]\ #,##0.00;[Red]\-[$€-2]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7.600000000000001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4" fillId="6" borderId="6" applyNumberFormat="0" applyAlignment="0" applyProtection="0"/>
    <xf numFmtId="0" fontId="15" fillId="7" borderId="6" applyNumberFormat="0" applyAlignment="0" applyProtection="0"/>
  </cellStyleXfs>
  <cellXfs count="5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Font="1" applyBorder="1"/>
    <xf numFmtId="0" fontId="5" fillId="0" borderId="1" xfId="4"/>
    <xf numFmtId="0" fontId="5" fillId="0" borderId="2" xfId="0" applyFont="1" applyBorder="1"/>
    <xf numFmtId="0" fontId="4" fillId="4" borderId="0" xfId="0" applyFont="1" applyFill="1" applyBorder="1"/>
    <xf numFmtId="0" fontId="0" fillId="0" borderId="2" xfId="0" applyNumberFormat="1" applyFont="1" applyBorder="1"/>
    <xf numFmtId="0" fontId="2" fillId="2" borderId="0" xfId="2"/>
    <xf numFmtId="0" fontId="3" fillId="3" borderId="0" xfId="3"/>
    <xf numFmtId="0" fontId="0" fillId="0" borderId="2" xfId="4" applyNumberFormat="1" applyFont="1" applyBorder="1"/>
    <xf numFmtId="0" fontId="0" fillId="0" borderId="0" xfId="0" applyFont="1" applyBorder="1"/>
    <xf numFmtId="0" fontId="0" fillId="0" borderId="0" xfId="0"/>
    <xf numFmtId="0" fontId="1" fillId="0" borderId="4" xfId="1" applyBorder="1"/>
    <xf numFmtId="0" fontId="1" fillId="0" borderId="0" xfId="1" applyBorder="1"/>
    <xf numFmtId="0" fontId="0" fillId="0" borderId="0" xfId="0" applyBorder="1"/>
    <xf numFmtId="0" fontId="1" fillId="0" borderId="3" xfId="1" applyBorder="1"/>
    <xf numFmtId="0" fontId="0" fillId="0" borderId="0" xfId="0"/>
    <xf numFmtId="0" fontId="2" fillId="2" borderId="0" xfId="2"/>
    <xf numFmtId="0" fontId="0" fillId="0" borderId="0" xfId="0"/>
    <xf numFmtId="0" fontId="1" fillId="0" borderId="3" xfId="1" applyBorder="1"/>
    <xf numFmtId="0" fontId="0" fillId="0" borderId="0" xfId="0"/>
    <xf numFmtId="0" fontId="0" fillId="0" borderId="0" xfId="0"/>
    <xf numFmtId="0" fontId="9" fillId="0" borderId="0" xfId="0" applyFont="1" applyAlignment="1">
      <alignment vertical="center" wrapText="1"/>
    </xf>
    <xf numFmtId="0" fontId="11" fillId="0" borderId="0" xfId="6"/>
    <xf numFmtId="14" fontId="0" fillId="0" borderId="0" xfId="0" applyNumberFormat="1"/>
    <xf numFmtId="0" fontId="0" fillId="5" borderId="5" xfId="0" applyFont="1" applyFill="1" applyBorder="1"/>
    <xf numFmtId="0" fontId="0" fillId="0" borderId="5" xfId="0" applyFont="1" applyBorder="1"/>
    <xf numFmtId="0" fontId="0" fillId="0" borderId="0" xfId="0" applyFont="1"/>
    <xf numFmtId="0" fontId="4" fillId="4" borderId="5" xfId="0" applyFont="1" applyFill="1" applyBorder="1"/>
    <xf numFmtId="14" fontId="10" fillId="0" borderId="0" xfId="0" applyNumberFormat="1" applyFont="1"/>
    <xf numFmtId="0" fontId="12" fillId="0" borderId="0" xfId="0" applyFont="1"/>
    <xf numFmtId="0" fontId="13" fillId="4" borderId="0" xfId="0" applyFont="1" applyFill="1" applyBorder="1"/>
    <xf numFmtId="0" fontId="12" fillId="0" borderId="0" xfId="0" applyFont="1" applyBorder="1"/>
    <xf numFmtId="0" fontId="0" fillId="0" borderId="0" xfId="0" applyNumberFormat="1" applyFont="1" applyBorder="1"/>
    <xf numFmtId="0" fontId="14" fillId="6" borderId="6" xfId="7"/>
    <xf numFmtId="0" fontId="15" fillId="7" borderId="6" xfId="8"/>
    <xf numFmtId="0" fontId="16" fillId="0" borderId="2" xfId="0" applyFont="1" applyBorder="1"/>
    <xf numFmtId="0" fontId="16" fillId="0" borderId="0" xfId="0" applyFont="1" applyBorder="1"/>
    <xf numFmtId="0" fontId="17" fillId="0" borderId="2" xfId="0" applyFont="1" applyBorder="1"/>
    <xf numFmtId="0" fontId="17" fillId="0" borderId="0" xfId="0" applyFont="1" applyBorder="1"/>
    <xf numFmtId="0" fontId="17" fillId="0" borderId="2" xfId="0" applyNumberFormat="1" applyFont="1" applyBorder="1"/>
    <xf numFmtId="0" fontId="17" fillId="0" borderId="0" xfId="0" applyNumberFormat="1" applyFont="1" applyBorder="1"/>
    <xf numFmtId="0" fontId="0" fillId="0" borderId="0" xfId="0" applyNumberFormat="1"/>
    <xf numFmtId="0" fontId="1" fillId="0" borderId="0" xfId="1"/>
    <xf numFmtId="0" fontId="1" fillId="0" borderId="3" xfId="1" applyFont="1" applyBorder="1"/>
    <xf numFmtId="0" fontId="1" fillId="5" borderId="3" xfId="1" applyFont="1" applyFill="1" applyBorder="1"/>
    <xf numFmtId="0" fontId="0" fillId="0" borderId="8" xfId="0" applyFont="1" applyBorder="1"/>
    <xf numFmtId="0" fontId="0" fillId="5" borderId="8" xfId="0" applyFont="1" applyFill="1" applyBorder="1"/>
    <xf numFmtId="0" fontId="4" fillId="8" borderId="8" xfId="0" applyFont="1" applyFill="1" applyBorder="1"/>
    <xf numFmtId="0" fontId="4" fillId="8" borderId="7" xfId="0" applyFont="1" applyFill="1" applyBorder="1"/>
  </cellXfs>
  <cellStyles count="9">
    <cellStyle name="Bad" xfId="3" builtinId="27"/>
    <cellStyle name="Calculation" xfId="8" builtinId="22"/>
    <cellStyle name="Good" xfId="2" builtinId="26"/>
    <cellStyle name="Heading 4" xfId="1" builtinId="19"/>
    <cellStyle name="Hyperlink" xfId="6" builtinId="8"/>
    <cellStyle name="Input" xfId="7" builtinId="20"/>
    <cellStyle name="Normal" xfId="0" builtinId="0"/>
    <cellStyle name="Standard 2" xfId="5"/>
    <cellStyle name="Total" xfId="4" builtinId="25"/>
  </cellStyles>
  <dxfs count="1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CAPEX_Euros_OASE!$H$3:$H$12</c:f>
              <c:numCache>
                <c:formatCode>General</c:formatCode>
                <c:ptCount val="10"/>
                <c:pt idx="0">
                  <c:v>13244343.544303276</c:v>
                </c:pt>
                <c:pt idx="1">
                  <c:v>7688542.6652305005</c:v>
                </c:pt>
                <c:pt idx="2">
                  <c:v>6354805.3477403028</c:v>
                </c:pt>
                <c:pt idx="3">
                  <c:v>7752709.5699625248</c:v>
                </c:pt>
                <c:pt idx="4">
                  <c:v>8345349.5541193904</c:v>
                </c:pt>
                <c:pt idx="5">
                  <c:v>17725136.877636611</c:v>
                </c:pt>
                <c:pt idx="6">
                  <c:v>7013677.5032757735</c:v>
                </c:pt>
                <c:pt idx="7">
                  <c:v>6566564.067899568</c:v>
                </c:pt>
                <c:pt idx="8">
                  <c:v>8523477.067899568</c:v>
                </c:pt>
                <c:pt idx="9">
                  <c:v>9619615.2810535524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CAPEX_Euros_Phillipson!$J$2:$J$11</c:f>
              <c:numCache>
                <c:formatCode>General</c:formatCode>
                <c:ptCount val="10"/>
                <c:pt idx="0">
                  <c:v>6603004.8642688645</c:v>
                </c:pt>
                <c:pt idx="1">
                  <c:v>6527907.8091027159</c:v>
                </c:pt>
                <c:pt idx="2">
                  <c:v>6065440.1442644373</c:v>
                </c:pt>
                <c:pt idx="3">
                  <c:v>7020040.1442644373</c:v>
                </c:pt>
                <c:pt idx="4">
                  <c:v>7539757.8091027159</c:v>
                </c:pt>
                <c:pt idx="5">
                  <c:v>14299254.864268865</c:v>
                </c:pt>
                <c:pt idx="6">
                  <c:v>4921103.3414894957</c:v>
                </c:pt>
                <c:pt idx="7">
                  <c:v>5549876.0658245673</c:v>
                </c:pt>
                <c:pt idx="8">
                  <c:v>7278476.0658245683</c:v>
                </c:pt>
                <c:pt idx="9">
                  <c:v>7825353.3414894948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49-4DD5-A120-89BC345C596F}"/>
            </c:ext>
          </c:extLst>
        </c:ser>
        <c:ser>
          <c:idx val="0"/>
          <c:order val="2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CAPEX_Euros_Rokkas!$J$2:$J$11</c:f>
              <c:numCache>
                <c:formatCode>General</c:formatCode>
                <c:ptCount val="10"/>
                <c:pt idx="0">
                  <c:v>8306789.8842986282</c:v>
                </c:pt>
                <c:pt idx="1">
                  <c:v>7797292.8291324787</c:v>
                </c:pt>
                <c:pt idx="2">
                  <c:v>7936891.954771122</c:v>
                </c:pt>
                <c:pt idx="3">
                  <c:v>8880291.954771122</c:v>
                </c:pt>
                <c:pt idx="4">
                  <c:v>9190292.8291324787</c:v>
                </c:pt>
                <c:pt idx="5">
                  <c:v>17208289.884298626</c:v>
                </c:pt>
                <c:pt idx="6">
                  <c:v>7917139.0112376465</c:v>
                </c:pt>
                <c:pt idx="7">
                  <c:v>8255709.8014248125</c:v>
                </c:pt>
                <c:pt idx="8">
                  <c:v>11385909.801424813</c:v>
                </c:pt>
                <c:pt idx="9">
                  <c:v>10464889.011237647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2"/>
          <c:order val="3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CAPEX_Euros_BSG!$J$2:$J$11</c:f>
              <c:numCache>
                <c:formatCode>General</c:formatCode>
                <c:ptCount val="10"/>
                <c:pt idx="0">
                  <c:v>21301293.323359858</c:v>
                </c:pt>
                <c:pt idx="1">
                  <c:v>22822050.989537552</c:v>
                </c:pt>
                <c:pt idx="2">
                  <c:v>24663884.426621806</c:v>
                </c:pt>
                <c:pt idx="3">
                  <c:v>27264464.426621806</c:v>
                </c:pt>
                <c:pt idx="4">
                  <c:v>29814330.989537552</c:v>
                </c:pt>
                <c:pt idx="5">
                  <c:v>28559743.323359858</c:v>
                </c:pt>
                <c:pt idx="6">
                  <c:v>23626462.921681505</c:v>
                </c:pt>
                <c:pt idx="7">
                  <c:v>26759942.235024612</c:v>
                </c:pt>
                <c:pt idx="8">
                  <c:v>30716682.235024609</c:v>
                </c:pt>
                <c:pt idx="9">
                  <c:v>26291372.921681508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45056"/>
        <c:axId val="41471936"/>
      </c:barChart>
      <c:catAx>
        <c:axId val="4324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71936"/>
        <c:crosses val="autoZero"/>
        <c:auto val="1"/>
        <c:lblAlgn val="ctr"/>
        <c:lblOffset val="100"/>
        <c:noMultiLvlLbl val="0"/>
      </c:catAx>
      <c:valAx>
        <c:axId val="41471936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245056"/>
        <c:crosses val="autoZero"/>
        <c:crossBetween val="between"/>
        <c:majorUnit val="10"/>
        <c:minorUnit val="10"/>
        <c:dispUnits>
          <c:builtInUnit val="millions"/>
          <c:dispUnitsLbl>
            <c:layout>
              <c:manualLayout>
                <c:xMode val="edge"/>
                <c:yMode val="edge"/>
                <c:x val="7.0901583662798209E-2"/>
                <c:y val="4.2969286060449023E-2"/>
              </c:manualLayout>
            </c:layout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xVal>
            <c:strRef>
              <c:f>CAPEX_Euros_OASE!$A$3:$A$12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xVal>
          <c:yVal>
            <c:numRef>
              <c:f>CAPEX_Euros_OASE!$J$3:$J$12</c:f>
              <c:numCache>
                <c:formatCode>General</c:formatCode>
                <c:ptCount val="10"/>
                <c:pt idx="0">
                  <c:v>209.69511628092584</c:v>
                </c:pt>
                <c:pt idx="1">
                  <c:v>121.73120115944428</c:v>
                </c:pt>
                <c:pt idx="2">
                  <c:v>100.61439752597059</c:v>
                </c:pt>
                <c:pt idx="3">
                  <c:v>122.7471432862971</c:v>
                </c:pt>
                <c:pt idx="4">
                  <c:v>132.13029693032601</c:v>
                </c:pt>
                <c:pt idx="5">
                  <c:v>280.63864594104831</c:v>
                </c:pt>
                <c:pt idx="6">
                  <c:v>111.04619226212434</c:v>
                </c:pt>
                <c:pt idx="7">
                  <c:v>103.96713217067081</c:v>
                </c:pt>
                <c:pt idx="8">
                  <c:v>134.95055522323571</c:v>
                </c:pt>
                <c:pt idx="9">
                  <c:v>152.30549843340015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3E4-40AC-8BD3-6DC3AD95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85600"/>
        <c:axId val="138386176"/>
      </c:scatterChart>
      <c:valAx>
        <c:axId val="138385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86176"/>
        <c:crosses val="autoZero"/>
        <c:crossBetween val="midCat"/>
      </c:valAx>
      <c:valAx>
        <c:axId val="1383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8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CAPEX_Euros_Rokkas!$D$2:$D$11</c:f>
              <c:numCache>
                <c:formatCode>General</c:formatCode>
                <c:ptCount val="10"/>
                <c:pt idx="0">
                  <c:v>101153.06425260435</c:v>
                </c:pt>
                <c:pt idx="1">
                  <c:v>101153.06425260435</c:v>
                </c:pt>
                <c:pt idx="2">
                  <c:v>80067.033419334926</c:v>
                </c:pt>
                <c:pt idx="3">
                  <c:v>80067.033419334926</c:v>
                </c:pt>
                <c:pt idx="4">
                  <c:v>101153.06425260435</c:v>
                </c:pt>
                <c:pt idx="5">
                  <c:v>101153.06425260435</c:v>
                </c:pt>
                <c:pt idx="6">
                  <c:v>87686.871102963225</c:v>
                </c:pt>
                <c:pt idx="7">
                  <c:v>87870.451865021489</c:v>
                </c:pt>
                <c:pt idx="8">
                  <c:v>87870.451865021489</c:v>
                </c:pt>
                <c:pt idx="9">
                  <c:v>87686.871102963225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CAPEX_Euros_Rokkas!$E$2:$E$11</c:f>
              <c:numCache>
                <c:formatCode>General</c:formatCode>
                <c:ptCount val="10"/>
                <c:pt idx="0">
                  <c:v>4552.7334333682011</c:v>
                </c:pt>
                <c:pt idx="1">
                  <c:v>7200.7923300452212</c:v>
                </c:pt>
                <c:pt idx="2">
                  <c:v>8322.8056760875188</c:v>
                </c:pt>
                <c:pt idx="3">
                  <c:v>9390.8056760875188</c:v>
                </c:pt>
                <c:pt idx="4">
                  <c:v>8268.7923300452221</c:v>
                </c:pt>
                <c:pt idx="5">
                  <c:v>4552.7334333682011</c:v>
                </c:pt>
                <c:pt idx="6">
                  <c:v>7832.9091217897103</c:v>
                </c:pt>
                <c:pt idx="7">
                  <c:v>9707.744163474772</c:v>
                </c:pt>
                <c:pt idx="8">
                  <c:v>10775.744163474772</c:v>
                </c:pt>
                <c:pt idx="9">
                  <c:v>7832.9091217897103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CAPEX_Euros_Rokkas!$F$2:$F$11</c:f>
              <c:numCache>
                <c:formatCode>General</c:formatCode>
                <c:ptCount val="10"/>
                <c:pt idx="0">
                  <c:v>4318</c:v>
                </c:pt>
                <c:pt idx="1">
                  <c:v>5460</c:v>
                </c:pt>
                <c:pt idx="2">
                  <c:v>25400</c:v>
                </c:pt>
                <c:pt idx="3">
                  <c:v>25400</c:v>
                </c:pt>
                <c:pt idx="4">
                  <c:v>7920</c:v>
                </c:pt>
                <c:pt idx="5">
                  <c:v>8712</c:v>
                </c:pt>
                <c:pt idx="6">
                  <c:v>40498</c:v>
                </c:pt>
                <c:pt idx="7">
                  <c:v>10800</c:v>
                </c:pt>
                <c:pt idx="8">
                  <c:v>18600</c:v>
                </c:pt>
                <c:pt idx="9">
                  <c:v>13400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CAPEX_Euros_Rokkas!$G$2:$G$11</c:f>
              <c:numCache>
                <c:formatCode>General</c:formatCode>
                <c:ptCount val="10"/>
                <c:pt idx="0">
                  <c:v>56112</c:v>
                </c:pt>
                <c:pt idx="1">
                  <c:v>6532</c:v>
                </c:pt>
                <c:pt idx="2">
                  <c:v>448</c:v>
                </c:pt>
                <c:pt idx="3">
                  <c:v>448</c:v>
                </c:pt>
                <c:pt idx="4">
                  <c:v>13064</c:v>
                </c:pt>
                <c:pt idx="5">
                  <c:v>229748</c:v>
                </c:pt>
                <c:pt idx="6">
                  <c:v>22325</c:v>
                </c:pt>
                <c:pt idx="7">
                  <c:v>40998</c:v>
                </c:pt>
                <c:pt idx="8">
                  <c:v>78996</c:v>
                </c:pt>
                <c:pt idx="9">
                  <c:v>100378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CAPEX_Euros_Rokkas!$H$2:$H$11</c:f>
              <c:numCache>
                <c:formatCode>General</c:formatCode>
                <c:ptCount val="10"/>
                <c:pt idx="0">
                  <c:v>0</c:v>
                </c:pt>
                <c:pt idx="1">
                  <c:v>35600</c:v>
                </c:pt>
                <c:pt idx="2">
                  <c:v>44500</c:v>
                </c:pt>
                <c:pt idx="3">
                  <c:v>62300</c:v>
                </c:pt>
                <c:pt idx="4">
                  <c:v>53400</c:v>
                </c:pt>
                <c:pt idx="5">
                  <c:v>0</c:v>
                </c:pt>
                <c:pt idx="6">
                  <c:v>0</c:v>
                </c:pt>
                <c:pt idx="7">
                  <c:v>15738</c:v>
                </c:pt>
                <c:pt idx="8">
                  <c:v>31476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275776"/>
        <c:axId val="167126144"/>
        <c:axId val="0"/>
      </c:bar3DChart>
      <c:catAx>
        <c:axId val="4327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126144"/>
        <c:crosses val="autoZero"/>
        <c:auto val="1"/>
        <c:lblAlgn val="ctr"/>
        <c:lblOffset val="100"/>
        <c:noMultiLvlLbl val="0"/>
      </c:catAx>
      <c:valAx>
        <c:axId val="1671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7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CAPEX</a:t>
            </a:r>
            <a:r>
              <a:rPr lang="de-DE" baseline="0"/>
              <a:t> in millions of Euros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CAPEX_Euros_Rokkas!$A$2:$A$11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CAPEX_Euros_Rokkas!$J$2:$J$11</c:f>
              <c:numCache>
                <c:formatCode>General</c:formatCode>
                <c:ptCount val="10"/>
                <c:pt idx="0">
                  <c:v>8306789.8842986282</c:v>
                </c:pt>
                <c:pt idx="1">
                  <c:v>7797292.8291324787</c:v>
                </c:pt>
                <c:pt idx="2">
                  <c:v>7936891.954771122</c:v>
                </c:pt>
                <c:pt idx="3">
                  <c:v>8880291.954771122</c:v>
                </c:pt>
                <c:pt idx="4">
                  <c:v>9190292.8291324787</c:v>
                </c:pt>
                <c:pt idx="5">
                  <c:v>17208289.884298626</c:v>
                </c:pt>
                <c:pt idx="6">
                  <c:v>7917139.0112376465</c:v>
                </c:pt>
                <c:pt idx="7">
                  <c:v>8255709.8014248125</c:v>
                </c:pt>
                <c:pt idx="8">
                  <c:v>11385909.801424813</c:v>
                </c:pt>
                <c:pt idx="9">
                  <c:v>10464889.011237647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30-48EB-B477-A25076BE2822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CAPEX_Euros_Rokkas!$A$2:$A$11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CAPEX_Euros_OASE!$H$3:$H$12</c:f>
              <c:numCache>
                <c:formatCode>General</c:formatCode>
                <c:ptCount val="10"/>
                <c:pt idx="0">
                  <c:v>13244343.544303276</c:v>
                </c:pt>
                <c:pt idx="1">
                  <c:v>7688542.6652305005</c:v>
                </c:pt>
                <c:pt idx="2">
                  <c:v>6354805.3477403028</c:v>
                </c:pt>
                <c:pt idx="3">
                  <c:v>7752709.5699625248</c:v>
                </c:pt>
                <c:pt idx="4">
                  <c:v>8345349.5541193904</c:v>
                </c:pt>
                <c:pt idx="5">
                  <c:v>17725136.877636611</c:v>
                </c:pt>
                <c:pt idx="6">
                  <c:v>7013677.5032757735</c:v>
                </c:pt>
                <c:pt idx="7">
                  <c:v>6566564.067899568</c:v>
                </c:pt>
                <c:pt idx="8">
                  <c:v>8523477.067899568</c:v>
                </c:pt>
                <c:pt idx="9">
                  <c:v>9619615.2810535524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30-48EB-B477-A25076BE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77312"/>
        <c:axId val="167128448"/>
      </c:barChart>
      <c:catAx>
        <c:axId val="43277312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167128448"/>
        <c:crosses val="autoZero"/>
        <c:auto val="1"/>
        <c:lblAlgn val="ctr"/>
        <c:lblOffset val="100"/>
        <c:noMultiLvlLbl val="0"/>
      </c:catAx>
      <c:valAx>
        <c:axId val="167128448"/>
        <c:scaling>
          <c:logBase val="10"/>
          <c:orientation val="minMax"/>
          <c:min val="100000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43277312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per premise passed in thousands of euros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CAPEX_Euros_Rokkas!$L$2:$L$11</c:f>
              <c:numCache>
                <c:formatCode>General</c:formatCode>
                <c:ptCount val="10"/>
                <c:pt idx="0">
                  <c:v>283.87635446307934</c:v>
                </c:pt>
                <c:pt idx="1">
                  <c:v>266.46479492626884</c:v>
                </c:pt>
                <c:pt idx="2">
                  <c:v>271.23545741135678</c:v>
                </c:pt>
                <c:pt idx="3">
                  <c:v>303.47522229413988</c:v>
                </c:pt>
                <c:pt idx="4">
                  <c:v>314.0691965392823</c:v>
                </c:pt>
                <c:pt idx="5">
                  <c:v>588.07634079347372</c:v>
                </c:pt>
                <c:pt idx="6">
                  <c:v>270.56042004092836</c:v>
                </c:pt>
                <c:pt idx="7">
                  <c:v>282.13074299175764</c:v>
                </c:pt>
                <c:pt idx="8">
                  <c:v>389.10224186401518</c:v>
                </c:pt>
                <c:pt idx="9">
                  <c:v>357.62726441246832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3B-4392-AF6C-AC9EEE9F44F5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CAPEX_Euros_OASE!$A$3:$A$12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CAPEX_Euros_OASE!$J$3:$J$12</c:f>
              <c:numCache>
                <c:formatCode>General</c:formatCode>
                <c:ptCount val="10"/>
                <c:pt idx="0">
                  <c:v>209.69511628092584</c:v>
                </c:pt>
                <c:pt idx="1">
                  <c:v>121.73120115944428</c:v>
                </c:pt>
                <c:pt idx="2">
                  <c:v>100.61439752597059</c:v>
                </c:pt>
                <c:pt idx="3">
                  <c:v>122.7471432862971</c:v>
                </c:pt>
                <c:pt idx="4">
                  <c:v>132.13029693032601</c:v>
                </c:pt>
                <c:pt idx="5">
                  <c:v>280.63864594104831</c:v>
                </c:pt>
                <c:pt idx="6">
                  <c:v>111.04619226212434</c:v>
                </c:pt>
                <c:pt idx="7">
                  <c:v>103.96713217067081</c:v>
                </c:pt>
                <c:pt idx="8">
                  <c:v>134.95055522323571</c:v>
                </c:pt>
                <c:pt idx="9">
                  <c:v>152.30549843340015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3B-4392-AF6C-AC9EEE9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43277824"/>
        <c:axId val="167130752"/>
      </c:lineChart>
      <c:catAx>
        <c:axId val="4327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Technology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7130752"/>
        <c:crosses val="autoZero"/>
        <c:auto val="1"/>
        <c:lblAlgn val="ctr"/>
        <c:lblOffset val="100"/>
        <c:noMultiLvlLbl val="1"/>
      </c:catAx>
      <c:valAx>
        <c:axId val="167130752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 per premise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2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CAPEX_Euros_BSG!$A$2:$A$11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CAPEX_Euros_Rokkas!$J$2:$J$11</c:f>
              <c:numCache>
                <c:formatCode>General</c:formatCode>
                <c:ptCount val="10"/>
                <c:pt idx="0">
                  <c:v>8306789.8842986282</c:v>
                </c:pt>
                <c:pt idx="1">
                  <c:v>7797292.8291324787</c:v>
                </c:pt>
                <c:pt idx="2">
                  <c:v>7936891.954771122</c:v>
                </c:pt>
                <c:pt idx="3">
                  <c:v>8880291.954771122</c:v>
                </c:pt>
                <c:pt idx="4">
                  <c:v>9190292.8291324787</c:v>
                </c:pt>
                <c:pt idx="5">
                  <c:v>17208289.884298626</c:v>
                </c:pt>
                <c:pt idx="6">
                  <c:v>7917139.0112376465</c:v>
                </c:pt>
                <c:pt idx="7">
                  <c:v>8255709.8014248125</c:v>
                </c:pt>
                <c:pt idx="8">
                  <c:v>11385909.801424813</c:v>
                </c:pt>
                <c:pt idx="9">
                  <c:v>10464889.011237647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CAPEX_Euros_BSG!$A$2:$A$11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CAPEX_Euros_OASE!$H$3:$H$12</c:f>
              <c:numCache>
                <c:formatCode>General</c:formatCode>
                <c:ptCount val="10"/>
                <c:pt idx="0">
                  <c:v>13244343.544303276</c:v>
                </c:pt>
                <c:pt idx="1">
                  <c:v>7688542.6652305005</c:v>
                </c:pt>
                <c:pt idx="2">
                  <c:v>6354805.3477403028</c:v>
                </c:pt>
                <c:pt idx="3">
                  <c:v>7752709.5699625248</c:v>
                </c:pt>
                <c:pt idx="4">
                  <c:v>8345349.5541193904</c:v>
                </c:pt>
                <c:pt idx="5">
                  <c:v>17725136.877636611</c:v>
                </c:pt>
                <c:pt idx="6">
                  <c:v>7013677.5032757735</c:v>
                </c:pt>
                <c:pt idx="7">
                  <c:v>6566564.067899568</c:v>
                </c:pt>
                <c:pt idx="8">
                  <c:v>8523477.067899568</c:v>
                </c:pt>
                <c:pt idx="9">
                  <c:v>9619615.2810535524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CAPEX_Euros_BSG!$A$2:$A$11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CAPEX_Euros_BSG!$J$2:$J$11</c:f>
              <c:numCache>
                <c:formatCode>General</c:formatCode>
                <c:ptCount val="10"/>
                <c:pt idx="0">
                  <c:v>21301293.323359858</c:v>
                </c:pt>
                <c:pt idx="1">
                  <c:v>22822050.989537552</c:v>
                </c:pt>
                <c:pt idx="2">
                  <c:v>24663884.426621806</c:v>
                </c:pt>
                <c:pt idx="3">
                  <c:v>27264464.426621806</c:v>
                </c:pt>
                <c:pt idx="4">
                  <c:v>29814330.989537552</c:v>
                </c:pt>
                <c:pt idx="5">
                  <c:v>28559743.323359858</c:v>
                </c:pt>
                <c:pt idx="6">
                  <c:v>23626462.921681505</c:v>
                </c:pt>
                <c:pt idx="7">
                  <c:v>26759942.235024612</c:v>
                </c:pt>
                <c:pt idx="8">
                  <c:v>30716682.235024609</c:v>
                </c:pt>
                <c:pt idx="9">
                  <c:v>26291372.921681508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558528"/>
        <c:axId val="167132480"/>
      </c:barChart>
      <c:catAx>
        <c:axId val="16955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132480"/>
        <c:crosses val="autoZero"/>
        <c:auto val="1"/>
        <c:lblAlgn val="ctr"/>
        <c:lblOffset val="100"/>
        <c:noMultiLvlLbl val="0"/>
      </c:catAx>
      <c:valAx>
        <c:axId val="167132480"/>
        <c:scaling>
          <c:logBase val="10"/>
          <c:orientation val="minMax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58528"/>
        <c:crosses val="autoZero"/>
        <c:crossBetween val="between"/>
        <c:majorUnit val="10"/>
        <c:minorUnit val="10"/>
        <c:dispUnits>
          <c:builtInUnit val="millions"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CAPEX_Euros_BSG!$D$2:$D$11</c:f>
              <c:numCache>
                <c:formatCode>General</c:formatCode>
                <c:ptCount val="10"/>
                <c:pt idx="0">
                  <c:v>205947.63881830248</c:v>
                </c:pt>
                <c:pt idx="1">
                  <c:v>205947.63881830248</c:v>
                </c:pt>
                <c:pt idx="2">
                  <c:v>163016.4800417659</c:v>
                </c:pt>
                <c:pt idx="3">
                  <c:v>163016.4800417659</c:v>
                </c:pt>
                <c:pt idx="4">
                  <c:v>205947.63881830248</c:v>
                </c:pt>
                <c:pt idx="5">
                  <c:v>205947.63881830248</c:v>
                </c:pt>
                <c:pt idx="6">
                  <c:v>178530.46956563313</c:v>
                </c:pt>
                <c:pt idx="7">
                  <c:v>178904.23999718376</c:v>
                </c:pt>
                <c:pt idx="8">
                  <c:v>178904.23999718376</c:v>
                </c:pt>
                <c:pt idx="9">
                  <c:v>178530.46956563313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CAPEX_Euros_BSG!$E$2:$E$11</c:f>
              <c:numCache>
                <c:formatCode>General</c:formatCode>
                <c:ptCount val="10"/>
                <c:pt idx="0">
                  <c:v>145839.22764889471</c:v>
                </c:pt>
                <c:pt idx="1">
                  <c:v>230665.38097244859</c:v>
                </c:pt>
                <c:pt idx="2">
                  <c:v>266607.20849067019</c:v>
                </c:pt>
                <c:pt idx="3">
                  <c:v>300818.80849067017</c:v>
                </c:pt>
                <c:pt idx="4">
                  <c:v>264876.9809724486</c:v>
                </c:pt>
                <c:pt idx="5">
                  <c:v>145839.22764889471</c:v>
                </c:pt>
                <c:pt idx="6">
                  <c:v>250914.18886799703</c:v>
                </c:pt>
                <c:pt idx="7">
                  <c:v>310971.40470330848</c:v>
                </c:pt>
                <c:pt idx="8">
                  <c:v>345183.00470330851</c:v>
                </c:pt>
                <c:pt idx="9">
                  <c:v>250914.18886799703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CAPEX_Euros_BSG!$F$2:$F$11</c:f>
              <c:numCache>
                <c:formatCode>General</c:formatCode>
                <c:ptCount val="10"/>
                <c:pt idx="0">
                  <c:v>3844</c:v>
                </c:pt>
                <c:pt idx="1">
                  <c:v>4600</c:v>
                </c:pt>
                <c:pt idx="2">
                  <c:v>39400</c:v>
                </c:pt>
                <c:pt idx="3">
                  <c:v>39400</c:v>
                </c:pt>
                <c:pt idx="4">
                  <c:v>54200</c:v>
                </c:pt>
                <c:pt idx="5">
                  <c:v>16228</c:v>
                </c:pt>
                <c:pt idx="6">
                  <c:v>5203.6000000000004</c:v>
                </c:pt>
                <c:pt idx="7">
                  <c:v>13850</c:v>
                </c:pt>
                <c:pt idx="8">
                  <c:v>27500</c:v>
                </c:pt>
                <c:pt idx="9">
                  <c:v>18400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CAPEX_Euros_BSG!$G$2:$G$11</c:f>
              <c:numCache>
                <c:formatCode>General</c:formatCode>
                <c:ptCount val="10"/>
                <c:pt idx="0">
                  <c:v>70395</c:v>
                </c:pt>
                <c:pt idx="1">
                  <c:v>988</c:v>
                </c:pt>
                <c:pt idx="2">
                  <c:v>224</c:v>
                </c:pt>
                <c:pt idx="3">
                  <c:v>224</c:v>
                </c:pt>
                <c:pt idx="4">
                  <c:v>29432</c:v>
                </c:pt>
                <c:pt idx="5">
                  <c:v>203180</c:v>
                </c:pt>
                <c:pt idx="6">
                  <c:v>37881</c:v>
                </c:pt>
                <c:pt idx="7">
                  <c:v>20288.599999999999</c:v>
                </c:pt>
                <c:pt idx="8">
                  <c:v>40377.199999999997</c:v>
                </c:pt>
                <c:pt idx="9">
                  <c:v>77982.8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CAPEX_Euros_BSG!$H$2:$H$11</c:f>
              <c:numCache>
                <c:formatCode>General</c:formatCode>
                <c:ptCount val="10"/>
                <c:pt idx="0">
                  <c:v>0</c:v>
                </c:pt>
                <c:pt idx="1">
                  <c:v>14240</c:v>
                </c:pt>
                <c:pt idx="2">
                  <c:v>24030</c:v>
                </c:pt>
                <c:pt idx="3">
                  <c:v>41830</c:v>
                </c:pt>
                <c:pt idx="4">
                  <c:v>41830</c:v>
                </c:pt>
                <c:pt idx="5">
                  <c:v>0</c:v>
                </c:pt>
                <c:pt idx="6">
                  <c:v>0</c:v>
                </c:pt>
                <c:pt idx="7">
                  <c:v>11184.6</c:v>
                </c:pt>
                <c:pt idx="8">
                  <c:v>22369.200000000001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559552"/>
        <c:axId val="165316288"/>
        <c:axId val="0"/>
      </c:bar3DChart>
      <c:catAx>
        <c:axId val="16955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316288"/>
        <c:crosses val="autoZero"/>
        <c:auto val="1"/>
        <c:lblAlgn val="ctr"/>
        <c:lblOffset val="100"/>
        <c:noMultiLvlLbl val="0"/>
      </c:catAx>
      <c:valAx>
        <c:axId val="16531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559552"/>
        <c:crosses val="autoZero"/>
        <c:crossBetween val="between"/>
        <c:dispUnits>
          <c:builtInUnit val="millions"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CAPEX_Euros_Rokkas!$L$2:$L$11</c:f>
              <c:numCache>
                <c:formatCode>General</c:formatCode>
                <c:ptCount val="10"/>
                <c:pt idx="0">
                  <c:v>283.87635446307934</c:v>
                </c:pt>
                <c:pt idx="1">
                  <c:v>266.46479492626884</c:v>
                </c:pt>
                <c:pt idx="2">
                  <c:v>271.23545741135678</c:v>
                </c:pt>
                <c:pt idx="3">
                  <c:v>303.47522229413988</c:v>
                </c:pt>
                <c:pt idx="4">
                  <c:v>314.0691965392823</c:v>
                </c:pt>
                <c:pt idx="5">
                  <c:v>588.07634079347372</c:v>
                </c:pt>
                <c:pt idx="6">
                  <c:v>270.56042004092836</c:v>
                </c:pt>
                <c:pt idx="7">
                  <c:v>282.13074299175764</c:v>
                </c:pt>
                <c:pt idx="8">
                  <c:v>389.10224186401518</c:v>
                </c:pt>
                <c:pt idx="9">
                  <c:v>357.62726441246832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CAPEX_Euros_OASE!$A$3:$A$12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CAPEX_Euros_OASE!$J$3:$J$12</c:f>
              <c:numCache>
                <c:formatCode>General</c:formatCode>
                <c:ptCount val="10"/>
                <c:pt idx="0">
                  <c:v>209.69511628092584</c:v>
                </c:pt>
                <c:pt idx="1">
                  <c:v>121.73120115944428</c:v>
                </c:pt>
                <c:pt idx="2">
                  <c:v>100.61439752597059</c:v>
                </c:pt>
                <c:pt idx="3">
                  <c:v>122.7471432862971</c:v>
                </c:pt>
                <c:pt idx="4">
                  <c:v>132.13029693032601</c:v>
                </c:pt>
                <c:pt idx="5">
                  <c:v>280.63864594104831</c:v>
                </c:pt>
                <c:pt idx="6">
                  <c:v>111.04619226212434</c:v>
                </c:pt>
                <c:pt idx="7">
                  <c:v>103.96713217067081</c:v>
                </c:pt>
                <c:pt idx="8">
                  <c:v>134.95055522323571</c:v>
                </c:pt>
                <c:pt idx="9">
                  <c:v>152.30549843340015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CAPEX_Euros_BSG!$A$2:$A$11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CAPEX_Euros_BSG!$L$2:$L$11</c:f>
              <c:numCache>
                <c:formatCode>General</c:formatCode>
                <c:ptCount val="10"/>
                <c:pt idx="0">
                  <c:v>727.95069794818733</c:v>
                </c:pt>
                <c:pt idx="1">
                  <c:v>779.9210918439461</c:v>
                </c:pt>
                <c:pt idx="2">
                  <c:v>842.86393365531421</c:v>
                </c:pt>
                <c:pt idx="3">
                  <c:v>931.73619119068439</c:v>
                </c:pt>
                <c:pt idx="4">
                  <c:v>1018.8753670131075</c:v>
                </c:pt>
                <c:pt idx="5">
                  <c:v>976.00107044494086</c:v>
                </c:pt>
                <c:pt idx="6">
                  <c:v>807.41107653890731</c:v>
                </c:pt>
                <c:pt idx="7">
                  <c:v>914.49464271152385</c:v>
                </c:pt>
                <c:pt idx="8">
                  <c:v>1049.7123311812113</c:v>
                </c:pt>
                <c:pt idx="9">
                  <c:v>898.48174840002423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9561600"/>
        <c:axId val="165318592"/>
      </c:lineChart>
      <c:catAx>
        <c:axId val="16956160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65318592"/>
        <c:crosses val="autoZero"/>
        <c:auto val="1"/>
        <c:lblAlgn val="ctr"/>
        <c:lblOffset val="100"/>
        <c:noMultiLvlLbl val="0"/>
      </c:catAx>
      <c:valAx>
        <c:axId val="165318592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6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CAPEX_Euros_OASE!$H$3:$H$12</c:f>
              <c:numCache>
                <c:formatCode>General</c:formatCode>
                <c:ptCount val="10"/>
                <c:pt idx="0">
                  <c:v>13244343.544303276</c:v>
                </c:pt>
                <c:pt idx="1">
                  <c:v>7688542.6652305005</c:v>
                </c:pt>
                <c:pt idx="2">
                  <c:v>6354805.3477403028</c:v>
                </c:pt>
                <c:pt idx="3">
                  <c:v>7752709.5699625248</c:v>
                </c:pt>
                <c:pt idx="4">
                  <c:v>8345349.5541193904</c:v>
                </c:pt>
                <c:pt idx="5">
                  <c:v>17725136.877636611</c:v>
                </c:pt>
                <c:pt idx="6">
                  <c:v>7013677.5032757735</c:v>
                </c:pt>
                <c:pt idx="7">
                  <c:v>6566564.067899568</c:v>
                </c:pt>
                <c:pt idx="8">
                  <c:v>8523477.067899568</c:v>
                </c:pt>
                <c:pt idx="9">
                  <c:v>9619615.2810535524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CAPEX_Euros_Phillipson!$J$2:$J$11</c:f>
              <c:numCache>
                <c:formatCode>General</c:formatCode>
                <c:ptCount val="10"/>
                <c:pt idx="0">
                  <c:v>6603004.8642688645</c:v>
                </c:pt>
                <c:pt idx="1">
                  <c:v>6527907.8091027159</c:v>
                </c:pt>
                <c:pt idx="2">
                  <c:v>6065440.1442644373</c:v>
                </c:pt>
                <c:pt idx="3">
                  <c:v>7020040.1442644373</c:v>
                </c:pt>
                <c:pt idx="4">
                  <c:v>7539757.8091027159</c:v>
                </c:pt>
                <c:pt idx="5">
                  <c:v>14299254.864268865</c:v>
                </c:pt>
                <c:pt idx="6">
                  <c:v>4921103.3414894957</c:v>
                </c:pt>
                <c:pt idx="7">
                  <c:v>5549876.0658245673</c:v>
                </c:pt>
                <c:pt idx="8">
                  <c:v>7278476.0658245683</c:v>
                </c:pt>
                <c:pt idx="9">
                  <c:v>7825353.3414894948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A-40A5-B657-50F1A006A948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CAPEX_Euros_BSG!$J$2:$J$11</c:f>
              <c:numCache>
                <c:formatCode>General</c:formatCode>
                <c:ptCount val="10"/>
                <c:pt idx="0">
                  <c:v>21301293.323359858</c:v>
                </c:pt>
                <c:pt idx="1">
                  <c:v>22822050.989537552</c:v>
                </c:pt>
                <c:pt idx="2">
                  <c:v>24663884.426621806</c:v>
                </c:pt>
                <c:pt idx="3">
                  <c:v>27264464.426621806</c:v>
                </c:pt>
                <c:pt idx="4">
                  <c:v>29814330.989537552</c:v>
                </c:pt>
                <c:pt idx="5">
                  <c:v>28559743.323359858</c:v>
                </c:pt>
                <c:pt idx="6">
                  <c:v>23626462.921681505</c:v>
                </c:pt>
                <c:pt idx="7">
                  <c:v>26759942.235024612</c:v>
                </c:pt>
                <c:pt idx="8">
                  <c:v>30716682.235024609</c:v>
                </c:pt>
                <c:pt idx="9">
                  <c:v>26291372.921681508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CAPEX_Euros_Rokkas!$J$2:$J$11</c:f>
              <c:numCache>
                <c:formatCode>General</c:formatCode>
                <c:ptCount val="10"/>
                <c:pt idx="0">
                  <c:v>8306789.8842986282</c:v>
                </c:pt>
                <c:pt idx="1">
                  <c:v>7797292.8291324787</c:v>
                </c:pt>
                <c:pt idx="2">
                  <c:v>7936891.954771122</c:v>
                </c:pt>
                <c:pt idx="3">
                  <c:v>8880291.954771122</c:v>
                </c:pt>
                <c:pt idx="4">
                  <c:v>9190292.8291324787</c:v>
                </c:pt>
                <c:pt idx="5">
                  <c:v>17208289.884298626</c:v>
                </c:pt>
                <c:pt idx="6">
                  <c:v>7917139.0112376465</c:v>
                </c:pt>
                <c:pt idx="7">
                  <c:v>8255709.8014248125</c:v>
                </c:pt>
                <c:pt idx="8">
                  <c:v>11385909.801424813</c:v>
                </c:pt>
                <c:pt idx="9">
                  <c:v>10464889.011237647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44736"/>
        <c:axId val="165320896"/>
      </c:barChart>
      <c:catAx>
        <c:axId val="17144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320896"/>
        <c:crosses val="autoZero"/>
        <c:auto val="1"/>
        <c:lblAlgn val="ctr"/>
        <c:lblOffset val="100"/>
        <c:noMultiLvlLbl val="0"/>
      </c:catAx>
      <c:valAx>
        <c:axId val="165320896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444736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CAPEX_Euros_Phillipson!$D$2:$D$11</c:f>
              <c:numCache>
                <c:formatCode>General</c:formatCode>
                <c:ptCount val="10"/>
                <c:pt idx="0">
                  <c:v>78032.36385200909</c:v>
                </c:pt>
                <c:pt idx="1">
                  <c:v>78032.36385200909</c:v>
                </c:pt>
                <c:pt idx="2">
                  <c:v>61765.997209201225</c:v>
                </c:pt>
                <c:pt idx="3">
                  <c:v>61765.997209201225</c:v>
                </c:pt>
                <c:pt idx="4">
                  <c:v>78032.36385200909</c:v>
                </c:pt>
                <c:pt idx="5">
                  <c:v>78032.36385200909</c:v>
                </c:pt>
                <c:pt idx="6">
                  <c:v>67644.157708000203</c:v>
                </c:pt>
                <c:pt idx="7">
                  <c:v>67785.777153016577</c:v>
                </c:pt>
                <c:pt idx="8">
                  <c:v>67785.777153016577</c:v>
                </c:pt>
                <c:pt idx="9">
                  <c:v>67644.157708000203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CAPEX_Euros_Phillipson!$E$2:$E$11</c:f>
              <c:numCache>
                <c:formatCode>General</c:formatCode>
                <c:ptCount val="10"/>
                <c:pt idx="0">
                  <c:v>4552.7334333682011</c:v>
                </c:pt>
                <c:pt idx="1">
                  <c:v>7200.7923300452212</c:v>
                </c:pt>
                <c:pt idx="2">
                  <c:v>8322.8056760875188</c:v>
                </c:pt>
                <c:pt idx="3">
                  <c:v>9390.8056760875188</c:v>
                </c:pt>
                <c:pt idx="4">
                  <c:v>8268.7923300452221</c:v>
                </c:pt>
                <c:pt idx="5">
                  <c:v>4552.7334333682011</c:v>
                </c:pt>
                <c:pt idx="6">
                  <c:v>7832.9091217897103</c:v>
                </c:pt>
                <c:pt idx="7">
                  <c:v>9707.744163474772</c:v>
                </c:pt>
                <c:pt idx="8">
                  <c:v>10775.744163474772</c:v>
                </c:pt>
                <c:pt idx="9">
                  <c:v>7832.9091217897103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CAPEX_Euros_Phillipson!$F$2:$F$11</c:f>
              <c:numCache>
                <c:formatCode>General</c:formatCode>
                <c:ptCount val="10"/>
                <c:pt idx="0">
                  <c:v>650</c:v>
                </c:pt>
                <c:pt idx="1">
                  <c:v>825</c:v>
                </c:pt>
                <c:pt idx="2">
                  <c:v>6720</c:v>
                </c:pt>
                <c:pt idx="3">
                  <c:v>6720</c:v>
                </c:pt>
                <c:pt idx="4">
                  <c:v>1650</c:v>
                </c:pt>
                <c:pt idx="5">
                  <c:v>2800</c:v>
                </c:pt>
                <c:pt idx="6">
                  <c:v>620</c:v>
                </c:pt>
                <c:pt idx="7">
                  <c:v>2340</c:v>
                </c:pt>
                <c:pt idx="8">
                  <c:v>4680</c:v>
                </c:pt>
                <c:pt idx="9">
                  <c:v>3120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CAPEX_Euros_Phillipson!$G$2:$G$11</c:f>
              <c:numCache>
                <c:formatCode>General</c:formatCode>
                <c:ptCount val="10"/>
                <c:pt idx="0">
                  <c:v>48825</c:v>
                </c:pt>
                <c:pt idx="1">
                  <c:v>0</c:v>
                </c:pt>
                <c:pt idx="2">
                  <c:v>0</c:v>
                </c:pt>
                <c:pt idx="3">
                  <c:v>224</c:v>
                </c:pt>
                <c:pt idx="4">
                  <c:v>544</c:v>
                </c:pt>
                <c:pt idx="5">
                  <c:v>200600</c:v>
                </c:pt>
                <c:pt idx="6">
                  <c:v>22325</c:v>
                </c:pt>
                <c:pt idx="7">
                  <c:v>15582</c:v>
                </c:pt>
                <c:pt idx="8">
                  <c:v>31164</c:v>
                </c:pt>
                <c:pt idx="9">
                  <c:v>77910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CAPEX_Euros_Phillipson!$H$2:$H$11</c:f>
              <c:numCache>
                <c:formatCode>General</c:formatCode>
                <c:ptCount val="10"/>
                <c:pt idx="0">
                  <c:v>0</c:v>
                </c:pt>
                <c:pt idx="1">
                  <c:v>44500</c:v>
                </c:pt>
                <c:pt idx="2">
                  <c:v>44500</c:v>
                </c:pt>
                <c:pt idx="3">
                  <c:v>62300</c:v>
                </c:pt>
                <c:pt idx="4">
                  <c:v>62300</c:v>
                </c:pt>
                <c:pt idx="5">
                  <c:v>0</c:v>
                </c:pt>
                <c:pt idx="6">
                  <c:v>0</c:v>
                </c:pt>
                <c:pt idx="7">
                  <c:v>15582</c:v>
                </c:pt>
                <c:pt idx="8">
                  <c:v>31164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676800"/>
        <c:axId val="169910848"/>
      </c:barChart>
      <c:catAx>
        <c:axId val="16967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910848"/>
        <c:crosses val="autoZero"/>
        <c:auto val="1"/>
        <c:lblAlgn val="ctr"/>
        <c:lblOffset val="100"/>
        <c:noMultiLvlLbl val="0"/>
      </c:catAx>
      <c:valAx>
        <c:axId val="16991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7680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CAPEX_Euros_Rokkas!$L$2:$L$11</c:f>
              <c:numCache>
                <c:formatCode>General</c:formatCode>
                <c:ptCount val="10"/>
                <c:pt idx="0">
                  <c:v>283.87635446307934</c:v>
                </c:pt>
                <c:pt idx="1">
                  <c:v>266.46479492626884</c:v>
                </c:pt>
                <c:pt idx="2">
                  <c:v>271.23545741135678</c:v>
                </c:pt>
                <c:pt idx="3">
                  <c:v>303.47522229413988</c:v>
                </c:pt>
                <c:pt idx="4">
                  <c:v>314.0691965392823</c:v>
                </c:pt>
                <c:pt idx="5">
                  <c:v>588.07634079347372</c:v>
                </c:pt>
                <c:pt idx="6">
                  <c:v>270.56042004092836</c:v>
                </c:pt>
                <c:pt idx="7">
                  <c:v>282.13074299175764</c:v>
                </c:pt>
                <c:pt idx="8">
                  <c:v>389.10224186401518</c:v>
                </c:pt>
                <c:pt idx="9">
                  <c:v>357.62726441246832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CAPEX_Euros_OASE!$J$3:$J$12</c:f>
              <c:numCache>
                <c:formatCode>General</c:formatCode>
                <c:ptCount val="10"/>
                <c:pt idx="0">
                  <c:v>209.69511628092584</c:v>
                </c:pt>
                <c:pt idx="1">
                  <c:v>121.73120115944428</c:v>
                </c:pt>
                <c:pt idx="2">
                  <c:v>100.61439752597059</c:v>
                </c:pt>
                <c:pt idx="3">
                  <c:v>122.7471432862971</c:v>
                </c:pt>
                <c:pt idx="4">
                  <c:v>132.13029693032601</c:v>
                </c:pt>
                <c:pt idx="5">
                  <c:v>280.63864594104831</c:v>
                </c:pt>
                <c:pt idx="6">
                  <c:v>111.04619226212434</c:v>
                </c:pt>
                <c:pt idx="7">
                  <c:v>103.96713217067081</c:v>
                </c:pt>
                <c:pt idx="8">
                  <c:v>134.95055522323571</c:v>
                </c:pt>
                <c:pt idx="9">
                  <c:v>152.30549843340015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CAPEX_Euros_BSG!$L$2:$L$11</c:f>
              <c:numCache>
                <c:formatCode>General</c:formatCode>
                <c:ptCount val="10"/>
                <c:pt idx="0">
                  <c:v>727.95069794818733</c:v>
                </c:pt>
                <c:pt idx="1">
                  <c:v>779.9210918439461</c:v>
                </c:pt>
                <c:pt idx="2">
                  <c:v>842.86393365531421</c:v>
                </c:pt>
                <c:pt idx="3">
                  <c:v>931.73619119068439</c:v>
                </c:pt>
                <c:pt idx="4">
                  <c:v>1018.8753670131075</c:v>
                </c:pt>
                <c:pt idx="5">
                  <c:v>976.00107044494086</c:v>
                </c:pt>
                <c:pt idx="6">
                  <c:v>807.41107653890731</c:v>
                </c:pt>
                <c:pt idx="7">
                  <c:v>914.49464271152385</c:v>
                </c:pt>
                <c:pt idx="8">
                  <c:v>1049.7123311812113</c:v>
                </c:pt>
                <c:pt idx="9">
                  <c:v>898.48174840002423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CAPEX_Euros_Phillipson!$L$2:$L$11</c:f>
              <c:numCache>
                <c:formatCode>General</c:formatCode>
                <c:ptCount val="10"/>
                <c:pt idx="0">
                  <c:v>225.65118119981082</c:v>
                </c:pt>
                <c:pt idx="1">
                  <c:v>223.08481337921933</c:v>
                </c:pt>
                <c:pt idx="2">
                  <c:v>207.28043688963288</c:v>
                </c:pt>
                <c:pt idx="3">
                  <c:v>239.90295073010859</c:v>
                </c:pt>
                <c:pt idx="4">
                  <c:v>257.66378952575752</c:v>
                </c:pt>
                <c:pt idx="5">
                  <c:v>488.66293706065426</c:v>
                </c:pt>
                <c:pt idx="6">
                  <c:v>168.17385487969023</c:v>
                </c:pt>
                <c:pt idx="7">
                  <c:v>189.6615428140444</c:v>
                </c:pt>
                <c:pt idx="8">
                  <c:v>248.73474355220313</c:v>
                </c:pt>
                <c:pt idx="9">
                  <c:v>267.42373527064092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D70-40DC-A7E6-49F3B48E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9678336"/>
        <c:axId val="169913728"/>
      </c:lineChart>
      <c:catAx>
        <c:axId val="16967833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69913728"/>
        <c:crosses val="autoZero"/>
        <c:auto val="1"/>
        <c:lblAlgn val="ctr"/>
        <c:lblOffset val="100"/>
        <c:noMultiLvlLbl val="0"/>
      </c:catAx>
      <c:valAx>
        <c:axId val="169913728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67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927580068657701E-2"/>
          <c:y val="3.8067422423260923E-2"/>
          <c:w val="0.78789757515876335"/>
          <c:h val="0.77491334859738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CAPEX_Euros_Phillipson!$D$2:$D$11</c:f>
              <c:numCache>
                <c:formatCode>General</c:formatCode>
                <c:ptCount val="10"/>
                <c:pt idx="0">
                  <c:v>78032.36385200909</c:v>
                </c:pt>
                <c:pt idx="1">
                  <c:v>78032.36385200909</c:v>
                </c:pt>
                <c:pt idx="2">
                  <c:v>61765.997209201225</c:v>
                </c:pt>
                <c:pt idx="3">
                  <c:v>61765.997209201225</c:v>
                </c:pt>
                <c:pt idx="4">
                  <c:v>78032.36385200909</c:v>
                </c:pt>
                <c:pt idx="5">
                  <c:v>78032.36385200909</c:v>
                </c:pt>
                <c:pt idx="6">
                  <c:v>67644.157708000203</c:v>
                </c:pt>
                <c:pt idx="7">
                  <c:v>67785.777153016577</c:v>
                </c:pt>
                <c:pt idx="8">
                  <c:v>67785.777153016577</c:v>
                </c:pt>
                <c:pt idx="9">
                  <c:v>67644.157708000203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CAPEX_Euros_Phillipson!$E$2:$E$11</c:f>
              <c:numCache>
                <c:formatCode>General</c:formatCode>
                <c:ptCount val="10"/>
                <c:pt idx="0">
                  <c:v>4552.7334333682011</c:v>
                </c:pt>
                <c:pt idx="1">
                  <c:v>7200.7923300452212</c:v>
                </c:pt>
                <c:pt idx="2">
                  <c:v>8322.8056760875188</c:v>
                </c:pt>
                <c:pt idx="3">
                  <c:v>9390.8056760875188</c:v>
                </c:pt>
                <c:pt idx="4">
                  <c:v>8268.7923300452221</c:v>
                </c:pt>
                <c:pt idx="5">
                  <c:v>4552.7334333682011</c:v>
                </c:pt>
                <c:pt idx="6">
                  <c:v>7832.9091217897103</c:v>
                </c:pt>
                <c:pt idx="7">
                  <c:v>9707.744163474772</c:v>
                </c:pt>
                <c:pt idx="8">
                  <c:v>10775.744163474772</c:v>
                </c:pt>
                <c:pt idx="9">
                  <c:v>7832.9091217897103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CAPEX_Euros_Phillipson!$F$2:$F$11</c:f>
              <c:numCache>
                <c:formatCode>General</c:formatCode>
                <c:ptCount val="10"/>
                <c:pt idx="0">
                  <c:v>650</c:v>
                </c:pt>
                <c:pt idx="1">
                  <c:v>825</c:v>
                </c:pt>
                <c:pt idx="2">
                  <c:v>6720</c:v>
                </c:pt>
                <c:pt idx="3">
                  <c:v>6720</c:v>
                </c:pt>
                <c:pt idx="4">
                  <c:v>1650</c:v>
                </c:pt>
                <c:pt idx="5">
                  <c:v>2800</c:v>
                </c:pt>
                <c:pt idx="6">
                  <c:v>620</c:v>
                </c:pt>
                <c:pt idx="7">
                  <c:v>2340</c:v>
                </c:pt>
                <c:pt idx="8">
                  <c:v>4680</c:v>
                </c:pt>
                <c:pt idx="9">
                  <c:v>3120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CAPEX_Euros_Phillipson!$G$2:$G$11</c:f>
              <c:numCache>
                <c:formatCode>General</c:formatCode>
                <c:ptCount val="10"/>
                <c:pt idx="0">
                  <c:v>48825</c:v>
                </c:pt>
                <c:pt idx="1">
                  <c:v>0</c:v>
                </c:pt>
                <c:pt idx="2">
                  <c:v>0</c:v>
                </c:pt>
                <c:pt idx="3">
                  <c:v>224</c:v>
                </c:pt>
                <c:pt idx="4">
                  <c:v>544</c:v>
                </c:pt>
                <c:pt idx="5">
                  <c:v>200600</c:v>
                </c:pt>
                <c:pt idx="6">
                  <c:v>22325</c:v>
                </c:pt>
                <c:pt idx="7">
                  <c:v>15582</c:v>
                </c:pt>
                <c:pt idx="8">
                  <c:v>31164</c:v>
                </c:pt>
                <c:pt idx="9">
                  <c:v>77910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CAPEX_Euros_Phillipson!$H$2:$H$11</c:f>
              <c:numCache>
                <c:formatCode>General</c:formatCode>
                <c:ptCount val="10"/>
                <c:pt idx="0">
                  <c:v>0</c:v>
                </c:pt>
                <c:pt idx="1">
                  <c:v>44500</c:v>
                </c:pt>
                <c:pt idx="2">
                  <c:v>44500</c:v>
                </c:pt>
                <c:pt idx="3">
                  <c:v>62300</c:v>
                </c:pt>
                <c:pt idx="4">
                  <c:v>62300</c:v>
                </c:pt>
                <c:pt idx="5">
                  <c:v>0</c:v>
                </c:pt>
                <c:pt idx="6">
                  <c:v>0</c:v>
                </c:pt>
                <c:pt idx="7">
                  <c:v>15582</c:v>
                </c:pt>
                <c:pt idx="8">
                  <c:v>31164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50560"/>
        <c:axId val="41474240"/>
      </c:barChart>
      <c:catAx>
        <c:axId val="4365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474240"/>
        <c:crosses val="autoZero"/>
        <c:auto val="1"/>
        <c:lblAlgn val="ctr"/>
        <c:lblOffset val="100"/>
        <c:noMultiLvlLbl val="0"/>
      </c:catAx>
      <c:valAx>
        <c:axId val="4147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5056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marker>
            <c:symbol val="none"/>
          </c:marker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CAPEX_Euros_Rokkas!$L$2:$L$11</c:f>
              <c:numCache>
                <c:formatCode>General</c:formatCode>
                <c:ptCount val="10"/>
                <c:pt idx="0">
                  <c:v>283.87635446307934</c:v>
                </c:pt>
                <c:pt idx="1">
                  <c:v>266.46479492626884</c:v>
                </c:pt>
                <c:pt idx="2">
                  <c:v>271.23545741135678</c:v>
                </c:pt>
                <c:pt idx="3">
                  <c:v>303.47522229413988</c:v>
                </c:pt>
                <c:pt idx="4">
                  <c:v>314.0691965392823</c:v>
                </c:pt>
                <c:pt idx="5">
                  <c:v>588.07634079347372</c:v>
                </c:pt>
                <c:pt idx="6">
                  <c:v>270.56042004092836</c:v>
                </c:pt>
                <c:pt idx="7">
                  <c:v>282.13074299175764</c:v>
                </c:pt>
                <c:pt idx="8">
                  <c:v>389.10224186401518</c:v>
                </c:pt>
                <c:pt idx="9">
                  <c:v>357.62726441246832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marker>
            <c:symbol val="none"/>
          </c:marker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CAPEX_Euros_OASE!$J$3:$J$12</c:f>
              <c:numCache>
                <c:formatCode>General</c:formatCode>
                <c:ptCount val="10"/>
                <c:pt idx="0">
                  <c:v>209.69511628092584</c:v>
                </c:pt>
                <c:pt idx="1">
                  <c:v>121.73120115944428</c:v>
                </c:pt>
                <c:pt idx="2">
                  <c:v>100.61439752597059</c:v>
                </c:pt>
                <c:pt idx="3">
                  <c:v>122.7471432862971</c:v>
                </c:pt>
                <c:pt idx="4">
                  <c:v>132.13029693032601</c:v>
                </c:pt>
                <c:pt idx="5">
                  <c:v>280.63864594104831</c:v>
                </c:pt>
                <c:pt idx="6">
                  <c:v>111.04619226212434</c:v>
                </c:pt>
                <c:pt idx="7">
                  <c:v>103.96713217067081</c:v>
                </c:pt>
                <c:pt idx="8">
                  <c:v>134.95055522323571</c:v>
                </c:pt>
                <c:pt idx="9">
                  <c:v>152.30549843340015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marker>
            <c:symbol val="none"/>
          </c:marker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CAPEX_Euros_BSG!$L$2:$L$11</c:f>
              <c:numCache>
                <c:formatCode>General</c:formatCode>
                <c:ptCount val="10"/>
                <c:pt idx="0">
                  <c:v>727.95069794818733</c:v>
                </c:pt>
                <c:pt idx="1">
                  <c:v>779.9210918439461</c:v>
                </c:pt>
                <c:pt idx="2">
                  <c:v>842.86393365531421</c:v>
                </c:pt>
                <c:pt idx="3">
                  <c:v>931.73619119068439</c:v>
                </c:pt>
                <c:pt idx="4">
                  <c:v>1018.8753670131075</c:v>
                </c:pt>
                <c:pt idx="5">
                  <c:v>976.00107044494086</c:v>
                </c:pt>
                <c:pt idx="6">
                  <c:v>807.41107653890731</c:v>
                </c:pt>
                <c:pt idx="7">
                  <c:v>914.49464271152385</c:v>
                </c:pt>
                <c:pt idx="8">
                  <c:v>1049.7123311812113</c:v>
                </c:pt>
                <c:pt idx="9">
                  <c:v>898.48174840002423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marker>
            <c:symbol val="none"/>
          </c:marker>
          <c:cat>
            <c:strRef>
              <c:f>CAPEX_Euros_Phillipson!$A$2:$A$11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CAPEX_Euros_Phillipson!$L$2:$L$11</c:f>
              <c:numCache>
                <c:formatCode>General</c:formatCode>
                <c:ptCount val="10"/>
                <c:pt idx="0">
                  <c:v>225.65118119981082</c:v>
                </c:pt>
                <c:pt idx="1">
                  <c:v>223.08481337921933</c:v>
                </c:pt>
                <c:pt idx="2">
                  <c:v>207.28043688963288</c:v>
                </c:pt>
                <c:pt idx="3">
                  <c:v>239.90295073010859</c:v>
                </c:pt>
                <c:pt idx="4">
                  <c:v>257.66378952575752</c:v>
                </c:pt>
                <c:pt idx="5">
                  <c:v>488.66293706065426</c:v>
                </c:pt>
                <c:pt idx="6">
                  <c:v>168.17385487969023</c:v>
                </c:pt>
                <c:pt idx="7">
                  <c:v>189.6615428140444</c:v>
                </c:pt>
                <c:pt idx="8">
                  <c:v>248.73474355220313</c:v>
                </c:pt>
                <c:pt idx="9">
                  <c:v>267.42373527064092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9D-43BE-841C-7F46FEAD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43705344"/>
        <c:axId val="41870464"/>
      </c:lineChart>
      <c:catAx>
        <c:axId val="4370534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41870464"/>
        <c:crosses val="autoZero"/>
        <c:auto val="1"/>
        <c:lblAlgn val="ctr"/>
        <c:lblOffset val="100"/>
        <c:noMultiLvlLbl val="0"/>
      </c:catAx>
      <c:valAx>
        <c:axId val="41870464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70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OASE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CAPEX_Euros_OASE!$A$3:$A$12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CAPEX_Euros_OASE!$B$3:$B$12</c:f>
              <c:numCache>
                <c:formatCode>General</c:formatCode>
                <c:ptCount val="10"/>
                <c:pt idx="0">
                  <c:v>130624.27288573209</c:v>
                </c:pt>
                <c:pt idx="1">
                  <c:v>130624.27288573209</c:v>
                </c:pt>
                <c:pt idx="2">
                  <c:v>96863.039824774663</c:v>
                </c:pt>
                <c:pt idx="3">
                  <c:v>96863.039824774663</c:v>
                </c:pt>
                <c:pt idx="4">
                  <c:v>130624.27288573209</c:v>
                </c:pt>
                <c:pt idx="5">
                  <c:v>130624.27288573209</c:v>
                </c:pt>
                <c:pt idx="6">
                  <c:v>108981.84036844285</c:v>
                </c:pt>
                <c:pt idx="7">
                  <c:v>109173.28887744647</c:v>
                </c:pt>
                <c:pt idx="8">
                  <c:v>109173.28887744647</c:v>
                </c:pt>
                <c:pt idx="9">
                  <c:v>108981.84036844285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CAPEX_Euros_OASE!$A$3:$A$12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CAPEX_Euros_OASE!$C$3:$C$12</c:f>
              <c:numCache>
                <c:formatCode>General</c:formatCode>
                <c:ptCount val="10"/>
                <c:pt idx="0">
                  <c:v>15.17577811122734</c:v>
                </c:pt>
                <c:pt idx="1">
                  <c:v>24.00264110015074</c:v>
                </c:pt>
                <c:pt idx="2">
                  <c:v>27.742685586958398</c:v>
                </c:pt>
                <c:pt idx="3">
                  <c:v>31.3026855869584</c:v>
                </c:pt>
                <c:pt idx="4">
                  <c:v>27.562641100150739</c:v>
                </c:pt>
                <c:pt idx="5">
                  <c:v>15.17577811122734</c:v>
                </c:pt>
                <c:pt idx="6">
                  <c:v>26.109697072632372</c:v>
                </c:pt>
                <c:pt idx="7">
                  <c:v>32.359147211582574</c:v>
                </c:pt>
                <c:pt idx="8">
                  <c:v>35.919147211582576</c:v>
                </c:pt>
                <c:pt idx="9">
                  <c:v>26.109697072632372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CAPEX_Euros_OASE!$A$3:$A$12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CAPEX_Euros_OASE!$D$3:$D$12</c:f>
              <c:numCache>
                <c:formatCode>General</c:formatCode>
                <c:ptCount val="10"/>
                <c:pt idx="0">
                  <c:v>1130.8222222222221</c:v>
                </c:pt>
                <c:pt idx="1">
                  <c:v>2489.7777777777778</c:v>
                </c:pt>
                <c:pt idx="2">
                  <c:v>8827.3244444444445</c:v>
                </c:pt>
                <c:pt idx="3">
                  <c:v>10081.84888888889</c:v>
                </c:pt>
                <c:pt idx="4">
                  <c:v>4779.5555555555557</c:v>
                </c:pt>
                <c:pt idx="5">
                  <c:v>10067.288888888888</c:v>
                </c:pt>
                <c:pt idx="6">
                  <c:v>6569.3</c:v>
                </c:pt>
                <c:pt idx="7">
                  <c:v>3737.9666666666667</c:v>
                </c:pt>
                <c:pt idx="8">
                  <c:v>7076.4666666666662</c:v>
                </c:pt>
                <c:pt idx="9">
                  <c:v>4765.5555555555566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CAPEX_Euros_OASE!$A$3:$A$12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CAPEX_Euros_OASE!$E$3:$E$12</c:f>
              <c:numCache>
                <c:formatCode>General</c:formatCode>
                <c:ptCount val="10"/>
                <c:pt idx="0">
                  <c:v>133116.6</c:v>
                </c:pt>
                <c:pt idx="1">
                  <c:v>1942.8</c:v>
                </c:pt>
                <c:pt idx="2">
                  <c:v>2688</c:v>
                </c:pt>
                <c:pt idx="3">
                  <c:v>2688</c:v>
                </c:pt>
                <c:pt idx="4">
                  <c:v>3885.6</c:v>
                </c:pt>
                <c:pt idx="5">
                  <c:v>213796</c:v>
                </c:pt>
                <c:pt idx="6">
                  <c:v>24696.3</c:v>
                </c:pt>
                <c:pt idx="7">
                  <c:v>11397.366666666667</c:v>
                </c:pt>
                <c:pt idx="8">
                  <c:v>31299.266666666663</c:v>
                </c:pt>
                <c:pt idx="9">
                  <c:v>78618.8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CAPEX_Euros_OASE!$A$3:$A$12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CAPEX_Euros_OASE!$F$3:$F$12</c:f>
              <c:numCache>
                <c:formatCode>General</c:formatCode>
                <c:ptCount val="10"/>
                <c:pt idx="0">
                  <c:v>0</c:v>
                </c:pt>
                <c:pt idx="1">
                  <c:v>18690</c:v>
                </c:pt>
                <c:pt idx="2">
                  <c:v>18690</c:v>
                </c:pt>
                <c:pt idx="3">
                  <c:v>45390</c:v>
                </c:pt>
                <c:pt idx="4">
                  <c:v>27590</c:v>
                </c:pt>
                <c:pt idx="5">
                  <c:v>0</c:v>
                </c:pt>
                <c:pt idx="6">
                  <c:v>0</c:v>
                </c:pt>
                <c:pt idx="7">
                  <c:v>6990.3</c:v>
                </c:pt>
                <c:pt idx="8">
                  <c:v>22884.6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706368"/>
        <c:axId val="41872192"/>
      </c:barChart>
      <c:catAx>
        <c:axId val="4370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72192"/>
        <c:crosses val="autoZero"/>
        <c:auto val="1"/>
        <c:lblAlgn val="ctr"/>
        <c:lblOffset val="100"/>
        <c:noMultiLvlLbl val="0"/>
      </c:catAx>
      <c:valAx>
        <c:axId val="418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06368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Rokkas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CAPEX_Euros_Rokkas!$D$2:$D$11</c:f>
              <c:numCache>
                <c:formatCode>General</c:formatCode>
                <c:ptCount val="10"/>
                <c:pt idx="0">
                  <c:v>101153.06425260435</c:v>
                </c:pt>
                <c:pt idx="1">
                  <c:v>101153.06425260435</c:v>
                </c:pt>
                <c:pt idx="2">
                  <c:v>80067.033419334926</c:v>
                </c:pt>
                <c:pt idx="3">
                  <c:v>80067.033419334926</c:v>
                </c:pt>
                <c:pt idx="4">
                  <c:v>101153.06425260435</c:v>
                </c:pt>
                <c:pt idx="5">
                  <c:v>101153.06425260435</c:v>
                </c:pt>
                <c:pt idx="6">
                  <c:v>87686.871102963225</c:v>
                </c:pt>
                <c:pt idx="7">
                  <c:v>87870.451865021489</c:v>
                </c:pt>
                <c:pt idx="8">
                  <c:v>87870.451865021489</c:v>
                </c:pt>
                <c:pt idx="9">
                  <c:v>87686.871102963225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CAPEX_Euros_Rokkas!$E$2:$E$11</c:f>
              <c:numCache>
                <c:formatCode>General</c:formatCode>
                <c:ptCount val="10"/>
                <c:pt idx="0">
                  <c:v>4552.7334333682011</c:v>
                </c:pt>
                <c:pt idx="1">
                  <c:v>7200.7923300452212</c:v>
                </c:pt>
                <c:pt idx="2">
                  <c:v>8322.8056760875188</c:v>
                </c:pt>
                <c:pt idx="3">
                  <c:v>9390.8056760875188</c:v>
                </c:pt>
                <c:pt idx="4">
                  <c:v>8268.7923300452221</c:v>
                </c:pt>
                <c:pt idx="5">
                  <c:v>4552.7334333682011</c:v>
                </c:pt>
                <c:pt idx="6">
                  <c:v>7832.9091217897103</c:v>
                </c:pt>
                <c:pt idx="7">
                  <c:v>9707.744163474772</c:v>
                </c:pt>
                <c:pt idx="8">
                  <c:v>10775.744163474772</c:v>
                </c:pt>
                <c:pt idx="9">
                  <c:v>7832.9091217897103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CAPEX_Euros_Rokkas!$F$2:$F$11</c:f>
              <c:numCache>
                <c:formatCode>General</c:formatCode>
                <c:ptCount val="10"/>
                <c:pt idx="0">
                  <c:v>4318</c:v>
                </c:pt>
                <c:pt idx="1">
                  <c:v>5460</c:v>
                </c:pt>
                <c:pt idx="2">
                  <c:v>25400</c:v>
                </c:pt>
                <c:pt idx="3">
                  <c:v>25400</c:v>
                </c:pt>
                <c:pt idx="4">
                  <c:v>7920</c:v>
                </c:pt>
                <c:pt idx="5">
                  <c:v>8712</c:v>
                </c:pt>
                <c:pt idx="6">
                  <c:v>40498</c:v>
                </c:pt>
                <c:pt idx="7">
                  <c:v>10800</c:v>
                </c:pt>
                <c:pt idx="8">
                  <c:v>18600</c:v>
                </c:pt>
                <c:pt idx="9">
                  <c:v>13400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CAPEX_Euros_Rokkas!$G$2:$G$11</c:f>
              <c:numCache>
                <c:formatCode>General</c:formatCode>
                <c:ptCount val="10"/>
                <c:pt idx="0">
                  <c:v>56112</c:v>
                </c:pt>
                <c:pt idx="1">
                  <c:v>6532</c:v>
                </c:pt>
                <c:pt idx="2">
                  <c:v>448</c:v>
                </c:pt>
                <c:pt idx="3">
                  <c:v>448</c:v>
                </c:pt>
                <c:pt idx="4">
                  <c:v>13064</c:v>
                </c:pt>
                <c:pt idx="5">
                  <c:v>229748</c:v>
                </c:pt>
                <c:pt idx="6">
                  <c:v>22325</c:v>
                </c:pt>
                <c:pt idx="7">
                  <c:v>40998</c:v>
                </c:pt>
                <c:pt idx="8">
                  <c:v>78996</c:v>
                </c:pt>
                <c:pt idx="9">
                  <c:v>100378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CAPEX_Euros_Rokkas!$H$2:$H$11</c:f>
              <c:numCache>
                <c:formatCode>General</c:formatCode>
                <c:ptCount val="10"/>
                <c:pt idx="0">
                  <c:v>0</c:v>
                </c:pt>
                <c:pt idx="1">
                  <c:v>35600</c:v>
                </c:pt>
                <c:pt idx="2">
                  <c:v>44500</c:v>
                </c:pt>
                <c:pt idx="3">
                  <c:v>62300</c:v>
                </c:pt>
                <c:pt idx="4">
                  <c:v>53400</c:v>
                </c:pt>
                <c:pt idx="5">
                  <c:v>0</c:v>
                </c:pt>
                <c:pt idx="6">
                  <c:v>0</c:v>
                </c:pt>
                <c:pt idx="7">
                  <c:v>15738</c:v>
                </c:pt>
                <c:pt idx="8">
                  <c:v>31476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707904"/>
        <c:axId val="41874496"/>
      </c:barChart>
      <c:catAx>
        <c:axId val="4370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74496"/>
        <c:crosses val="autoZero"/>
        <c:auto val="1"/>
        <c:lblAlgn val="ctr"/>
        <c:lblOffset val="100"/>
        <c:noMultiLvlLbl val="0"/>
      </c:catAx>
      <c:valAx>
        <c:axId val="4187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0790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 BSG applied</a:t>
            </a:r>
            <a:r>
              <a:rPr lang="de-DE" baseline="0"/>
              <a:t>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CAPEX_Euros_BSG!$D$2:$D$11</c:f>
              <c:numCache>
                <c:formatCode>General</c:formatCode>
                <c:ptCount val="10"/>
                <c:pt idx="0">
                  <c:v>205947.63881830248</c:v>
                </c:pt>
                <c:pt idx="1">
                  <c:v>205947.63881830248</c:v>
                </c:pt>
                <c:pt idx="2">
                  <c:v>163016.4800417659</c:v>
                </c:pt>
                <c:pt idx="3">
                  <c:v>163016.4800417659</c:v>
                </c:pt>
                <c:pt idx="4">
                  <c:v>205947.63881830248</c:v>
                </c:pt>
                <c:pt idx="5">
                  <c:v>205947.63881830248</c:v>
                </c:pt>
                <c:pt idx="6">
                  <c:v>178530.46956563313</c:v>
                </c:pt>
                <c:pt idx="7">
                  <c:v>178904.23999718376</c:v>
                </c:pt>
                <c:pt idx="8">
                  <c:v>178904.23999718376</c:v>
                </c:pt>
                <c:pt idx="9">
                  <c:v>178530.46956563313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CAPEX_Euros_BSG!$E$2:$E$11</c:f>
              <c:numCache>
                <c:formatCode>General</c:formatCode>
                <c:ptCount val="10"/>
                <c:pt idx="0">
                  <c:v>145839.22764889471</c:v>
                </c:pt>
                <c:pt idx="1">
                  <c:v>230665.38097244859</c:v>
                </c:pt>
                <c:pt idx="2">
                  <c:v>266607.20849067019</c:v>
                </c:pt>
                <c:pt idx="3">
                  <c:v>300818.80849067017</c:v>
                </c:pt>
                <c:pt idx="4">
                  <c:v>264876.9809724486</c:v>
                </c:pt>
                <c:pt idx="5">
                  <c:v>145839.22764889471</c:v>
                </c:pt>
                <c:pt idx="6">
                  <c:v>250914.18886799703</c:v>
                </c:pt>
                <c:pt idx="7">
                  <c:v>310971.40470330848</c:v>
                </c:pt>
                <c:pt idx="8">
                  <c:v>345183.00470330851</c:v>
                </c:pt>
                <c:pt idx="9">
                  <c:v>250914.18886799703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CAPEX_Euros_BSG!$F$2:$F$11</c:f>
              <c:numCache>
                <c:formatCode>General</c:formatCode>
                <c:ptCount val="10"/>
                <c:pt idx="0">
                  <c:v>3844</c:v>
                </c:pt>
                <c:pt idx="1">
                  <c:v>4600</c:v>
                </c:pt>
                <c:pt idx="2">
                  <c:v>39400</c:v>
                </c:pt>
                <c:pt idx="3">
                  <c:v>39400</c:v>
                </c:pt>
                <c:pt idx="4">
                  <c:v>54200</c:v>
                </c:pt>
                <c:pt idx="5">
                  <c:v>16228</c:v>
                </c:pt>
                <c:pt idx="6">
                  <c:v>5203.6000000000004</c:v>
                </c:pt>
                <c:pt idx="7">
                  <c:v>13850</c:v>
                </c:pt>
                <c:pt idx="8">
                  <c:v>27500</c:v>
                </c:pt>
                <c:pt idx="9">
                  <c:v>18400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CAPEX_Euros_BSG!$G$2:$G$11</c:f>
              <c:numCache>
                <c:formatCode>General</c:formatCode>
                <c:ptCount val="10"/>
                <c:pt idx="0">
                  <c:v>70395</c:v>
                </c:pt>
                <c:pt idx="1">
                  <c:v>988</c:v>
                </c:pt>
                <c:pt idx="2">
                  <c:v>224</c:v>
                </c:pt>
                <c:pt idx="3">
                  <c:v>224</c:v>
                </c:pt>
                <c:pt idx="4">
                  <c:v>29432</c:v>
                </c:pt>
                <c:pt idx="5">
                  <c:v>203180</c:v>
                </c:pt>
                <c:pt idx="6">
                  <c:v>37881</c:v>
                </c:pt>
                <c:pt idx="7">
                  <c:v>20288.599999999999</c:v>
                </c:pt>
                <c:pt idx="8">
                  <c:v>40377.199999999997</c:v>
                </c:pt>
                <c:pt idx="9">
                  <c:v>77982.8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CAPEX_Euros_BSG!$A$2:$A$11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CAPEX_Euros_BSG!$H$2:$H$11</c:f>
              <c:numCache>
                <c:formatCode>General</c:formatCode>
                <c:ptCount val="10"/>
                <c:pt idx="0">
                  <c:v>0</c:v>
                </c:pt>
                <c:pt idx="1">
                  <c:v>14240</c:v>
                </c:pt>
                <c:pt idx="2">
                  <c:v>24030</c:v>
                </c:pt>
                <c:pt idx="3">
                  <c:v>41830</c:v>
                </c:pt>
                <c:pt idx="4">
                  <c:v>41830</c:v>
                </c:pt>
                <c:pt idx="5">
                  <c:v>0</c:v>
                </c:pt>
                <c:pt idx="6">
                  <c:v>0</c:v>
                </c:pt>
                <c:pt idx="7">
                  <c:v>11184.6</c:v>
                </c:pt>
                <c:pt idx="8">
                  <c:v>22369.200000000001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769664"/>
        <c:axId val="41876800"/>
      </c:barChart>
      <c:catAx>
        <c:axId val="11076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876800"/>
        <c:crosses val="autoZero"/>
        <c:auto val="1"/>
        <c:lblAlgn val="ctr"/>
        <c:lblOffset val="100"/>
        <c:noMultiLvlLbl val="0"/>
      </c:catAx>
      <c:valAx>
        <c:axId val="418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6966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71200"/>
        <c:axId val="136660672"/>
      </c:barChart>
      <c:catAx>
        <c:axId val="11077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60672"/>
        <c:crosses val="autoZero"/>
        <c:auto val="1"/>
        <c:lblAlgn val="ctr"/>
        <c:lblOffset val="100"/>
        <c:noMultiLvlLbl val="0"/>
      </c:catAx>
      <c:valAx>
        <c:axId val="1366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77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[1]OPEX!$D$28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[1]OPEX!$E$28:$Q$28</c:f>
              <c:numCache>
                <c:formatCode>General</c:formatCode>
                <c:ptCount val="13"/>
                <c:pt idx="0">
                  <c:v>0.30500991046408316</c:v>
                </c:pt>
                <c:pt idx="1">
                  <c:v>0.12200396418563325</c:v>
                </c:pt>
                <c:pt idx="2">
                  <c:v>0.13939170254938146</c:v>
                </c:pt>
                <c:pt idx="3">
                  <c:v>0.27878340509876293</c:v>
                </c:pt>
                <c:pt idx="4">
                  <c:v>0.28095687239423145</c:v>
                </c:pt>
                <c:pt idx="5">
                  <c:v>0.28887157405508856</c:v>
                </c:pt>
                <c:pt idx="6">
                  <c:v>0.24755792495386508</c:v>
                </c:pt>
                <c:pt idx="7">
                  <c:v>0.37485065955847169</c:v>
                </c:pt>
                <c:pt idx="8">
                  <c:v>0.47351513908823728</c:v>
                </c:pt>
                <c:pt idx="9">
                  <c:v>0.15913403048322056</c:v>
                </c:pt>
                <c:pt idx="10">
                  <c:v>0.32141958854487046</c:v>
                </c:pt>
                <c:pt idx="11">
                  <c:v>0.65775408379468259</c:v>
                </c:pt>
                <c:pt idx="12">
                  <c:v>0.32141958854487046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[1]OPEX!$D$29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[1]OPEX!$E$29:$Q$29</c:f>
              <c:numCache>
                <c:formatCode>General</c:formatCode>
                <c:ptCount val="13"/>
                <c:pt idx="0">
                  <c:v>6.5597437769120359E-2</c:v>
                </c:pt>
                <c:pt idx="1">
                  <c:v>0.26098944433053106</c:v>
                </c:pt>
                <c:pt idx="2">
                  <c:v>0.27317297518966577</c:v>
                </c:pt>
                <c:pt idx="3">
                  <c:v>5.5152974369489439E-2</c:v>
                </c:pt>
                <c:pt idx="4">
                  <c:v>4.1872692228829202E-2</c:v>
                </c:pt>
                <c:pt idx="5">
                  <c:v>0.18693906458888662</c:v>
                </c:pt>
                <c:pt idx="6">
                  <c:v>0.26819394709862621</c:v>
                </c:pt>
                <c:pt idx="7">
                  <c:v>0.25180734057822435</c:v>
                </c:pt>
                <c:pt idx="8">
                  <c:v>0.12022323149477136</c:v>
                </c:pt>
                <c:pt idx="9">
                  <c:v>0.25263358622103754</c:v>
                </c:pt>
                <c:pt idx="10">
                  <c:v>2.8738978880459301E-2</c:v>
                </c:pt>
                <c:pt idx="11">
                  <c:v>0.15386130818125898</c:v>
                </c:pt>
                <c:pt idx="12">
                  <c:v>0.25604633996309206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[1]OPEX!$D$30</c:f>
              <c:strCache>
                <c:ptCount val="1"/>
                <c:pt idx="0">
                  <c:v>Fault 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[1]OPEX!$E$30:$Q$30</c:f>
              <c:numCache>
                <c:formatCode>General</c:formatCode>
                <c:ptCount val="13"/>
                <c:pt idx="0">
                  <c:v>6.8894089635283484E-2</c:v>
                </c:pt>
                <c:pt idx="1">
                  <c:v>0.13388728775245062</c:v>
                </c:pt>
                <c:pt idx="2">
                  <c:v>0.1072132633996309</c:v>
                </c:pt>
                <c:pt idx="3">
                  <c:v>7.8644922206274337E-2</c:v>
                </c:pt>
                <c:pt idx="4">
                  <c:v>7.9152560344474057E-2</c:v>
                </c:pt>
                <c:pt idx="5">
                  <c:v>0.12679911041534522</c:v>
                </c:pt>
                <c:pt idx="6">
                  <c:v>0.1051911978265327</c:v>
                </c:pt>
                <c:pt idx="7">
                  <c:v>0.10493392409267993</c:v>
                </c:pt>
                <c:pt idx="8">
                  <c:v>0.14860351798236623</c:v>
                </c:pt>
                <c:pt idx="9">
                  <c:v>0.14057891552183716</c:v>
                </c:pt>
                <c:pt idx="10">
                  <c:v>0.28578615378306338</c:v>
                </c:pt>
                <c:pt idx="11">
                  <c:v>6.2678575353701055E-2</c:v>
                </c:pt>
                <c:pt idx="12">
                  <c:v>0.10627966270248103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[1]OPEX!$D$31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[1]OPEX!$E$31:$Q$31</c:f>
              <c:numCache>
                <c:formatCode>General</c:formatCode>
                <c:ptCount val="13"/>
                <c:pt idx="0">
                  <c:v>2.1975071893424351E-2</c:v>
                </c:pt>
                <c:pt idx="1">
                  <c:v>2.5844034813430752E-2</c:v>
                </c:pt>
                <c:pt idx="2">
                  <c:v>2.5988897056933909E-2</c:v>
                </c:pt>
                <c:pt idx="3">
                  <c:v>2.0629065083726337E-2</c:v>
                </c:pt>
                <c:pt idx="4">
                  <c:v>2.0099106248376734E-2</c:v>
                </c:pt>
                <c:pt idx="5">
                  <c:v>3.013048745296602E-2</c:v>
                </c:pt>
                <c:pt idx="6">
                  <c:v>3.1047153493951204E-2</c:v>
                </c:pt>
                <c:pt idx="7">
                  <c:v>3.6579596211468807E-2</c:v>
                </c:pt>
                <c:pt idx="8">
                  <c:v>3.7117094428268743E-2</c:v>
                </c:pt>
                <c:pt idx="9">
                  <c:v>2.7617326611304761E-2</c:v>
                </c:pt>
                <c:pt idx="10">
                  <c:v>3.1797236060419662E-2</c:v>
                </c:pt>
                <c:pt idx="11">
                  <c:v>4.3714698366482133E-2</c:v>
                </c:pt>
                <c:pt idx="12">
                  <c:v>3.4187279560522171E-2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[1]OPEX!$D$32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[1]OPEX!$E$32:$Q$32</c:f>
              <c:numCache>
                <c:formatCode>General</c:formatCode>
                <c:ptCount val="13"/>
                <c:pt idx="0">
                  <c:v>3.0765100650794092E-2</c:v>
                </c:pt>
                <c:pt idx="1">
                  <c:v>3.618164873880305E-2</c:v>
                </c:pt>
                <c:pt idx="2">
                  <c:v>3.638445587970747E-2</c:v>
                </c:pt>
                <c:pt idx="3">
                  <c:v>2.8880691117216868E-2</c:v>
                </c:pt>
                <c:pt idx="4">
                  <c:v>2.813874874772743E-2</c:v>
                </c:pt>
                <c:pt idx="5">
                  <c:v>4.2182682434152435E-2</c:v>
                </c:pt>
                <c:pt idx="6">
                  <c:v>4.3466014891531686E-2</c:v>
                </c:pt>
                <c:pt idx="7">
                  <c:v>5.1211434696056331E-2</c:v>
                </c:pt>
                <c:pt idx="8">
                  <c:v>5.1963932199576256E-2</c:v>
                </c:pt>
                <c:pt idx="9">
                  <c:v>3.8664257255826666E-2</c:v>
                </c:pt>
                <c:pt idx="10">
                  <c:v>4.4516130484587524E-2</c:v>
                </c:pt>
                <c:pt idx="11">
                  <c:v>6.1200577713074987E-2</c:v>
                </c:pt>
                <c:pt idx="12">
                  <c:v>4.7862191384731051E-2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0771712"/>
        <c:axId val="136662400"/>
      </c:barChart>
      <c:catAx>
        <c:axId val="1107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662400"/>
        <c:crosses val="autoZero"/>
        <c:auto val="1"/>
        <c:lblAlgn val="ctr"/>
        <c:lblOffset val="100"/>
        <c:noMultiLvlLbl val="0"/>
      </c:catAx>
      <c:valAx>
        <c:axId val="1366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07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de-DE" sz="2400"/>
              <a:t>Per Subscriber CAPEX of PON technologies (Ottobrunn)</a:t>
            </a:r>
          </a:p>
        </c:rich>
      </c:tx>
      <c:layout>
        <c:manualLayout>
          <c:xMode val="edge"/>
          <c:yMode val="edge"/>
          <c:x val="0.24865299390772674"/>
          <c:y val="3.18907342721493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CAPEX_Euros_OASE!$A$18:$A$27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CAPEX_Euros_OASE!$B$18:$B$27</c:f>
              <c:numCache>
                <c:formatCode>General</c:formatCode>
                <c:ptCount val="10"/>
                <c:pt idx="0">
                  <c:v>14.821771574461827</c:v>
                </c:pt>
                <c:pt idx="1">
                  <c:v>14.821771574461827</c:v>
                </c:pt>
                <c:pt idx="2">
                  <c:v>10.990927019717992</c:v>
                </c:pt>
                <c:pt idx="3">
                  <c:v>10.990927019717992</c:v>
                </c:pt>
                <c:pt idx="4">
                  <c:v>14.821771574461827</c:v>
                </c:pt>
                <c:pt idx="5">
                  <c:v>14.821771574461827</c:v>
                </c:pt>
                <c:pt idx="6">
                  <c:v>12.366032039991246</c:v>
                </c:pt>
                <c:pt idx="7">
                  <c:v>12.38775546096068</c:v>
                </c:pt>
                <c:pt idx="8">
                  <c:v>12.38775546096068</c:v>
                </c:pt>
                <c:pt idx="9">
                  <c:v>12.366032039991246</c:v>
                </c:pt>
              </c:numCache>
            </c:numRef>
          </c:val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CAPEX_Euros_OASE!$A$18:$A$27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CAPEX_Euros_OASE!$C$18:$C$27</c:f>
              <c:numCache>
                <c:formatCode>General</c:formatCode>
                <c:ptCount val="10"/>
                <c:pt idx="0">
                  <c:v>1.7219764111230387E-3</c:v>
                </c:pt>
                <c:pt idx="1">
                  <c:v>2.7235494269999706E-3</c:v>
                </c:pt>
                <c:pt idx="2">
                  <c:v>3.147927560076977E-3</c:v>
                </c:pt>
                <c:pt idx="3">
                  <c:v>3.5518762722067856E-3</c:v>
                </c:pt>
                <c:pt idx="4">
                  <c:v>3.1274981391297787E-3</c:v>
                </c:pt>
                <c:pt idx="5">
                  <c:v>1.7219764111230387E-3</c:v>
                </c:pt>
                <c:pt idx="6">
                  <c:v>2.9626344119632782E-3</c:v>
                </c:pt>
                <c:pt idx="7">
                  <c:v>3.6717516409375439E-3</c:v>
                </c:pt>
                <c:pt idx="8">
                  <c:v>4.0757003530673521E-3</c:v>
                </c:pt>
                <c:pt idx="9">
                  <c:v>2.9626344119632782E-3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CAPEX_Euros_OASE!$A$18:$A$27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CAPEX_Euros_OASE!$D$18:$D$27</c:f>
              <c:numCache>
                <c:formatCode>General</c:formatCode>
                <c:ptCount val="10"/>
                <c:pt idx="0">
                  <c:v>0.12831297199843664</c:v>
                </c:pt>
                <c:pt idx="1">
                  <c:v>0.28251194573672733</c:v>
                </c:pt>
                <c:pt idx="2">
                  <c:v>1.0016253766531764</c:v>
                </c:pt>
                <c:pt idx="3">
                  <c:v>1.1439746838634846</c:v>
                </c:pt>
                <c:pt idx="4">
                  <c:v>0.54233014360099352</c:v>
                </c:pt>
                <c:pt idx="5">
                  <c:v>1.1423225790183693</c:v>
                </c:pt>
                <c:pt idx="6">
                  <c:v>0.74541018949279481</c:v>
                </c:pt>
                <c:pt idx="7">
                  <c:v>0.42414236544498657</c:v>
                </c:pt>
                <c:pt idx="8">
                  <c:v>0.80295775180604401</c:v>
                </c:pt>
                <c:pt idx="9">
                  <c:v>0.54074158124992133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CAPEX_Euros_OASE!$A$18:$A$27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CAPEX_Euros_OASE!$E$18:$E$27</c:f>
              <c:numCache>
                <c:formatCode>General</c:formatCode>
                <c:ptCount val="10"/>
                <c:pt idx="0">
                  <c:v>15.104572790196302</c:v>
                </c:pt>
                <c:pt idx="1">
                  <c:v>0.22044706683308748</c:v>
                </c:pt>
                <c:pt idx="2">
                  <c:v>0.30500397140587771</c:v>
                </c:pt>
                <c:pt idx="3">
                  <c:v>0.30500397140587771</c:v>
                </c:pt>
                <c:pt idx="4">
                  <c:v>0.44089413366617497</c:v>
                </c:pt>
                <c:pt idx="5">
                  <c:v>24.259162600703505</c:v>
                </c:pt>
                <c:pt idx="6">
                  <c:v>2.8022580279133096</c:v>
                </c:pt>
                <c:pt idx="7">
                  <c:v>1.2932448277166309</c:v>
                </c:pt>
                <c:pt idx="8">
                  <c:v>3.551488331631302</c:v>
                </c:pt>
                <c:pt idx="9">
                  <c:v>8.9207761261772394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CAPEX_Euros_OASE!$F$17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CAPEX_Euros_OASE!$A$18:$A$27</c:f>
              <c:strCache>
                <c:ptCount val="10"/>
                <c:pt idx="0">
                  <c:v>FTTCab_GPON_25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FTTC_Hybridpon_25</c:v>
                </c:pt>
                <c:pt idx="7">
                  <c:v>FTTB_Hybridpon_50</c:v>
                </c:pt>
                <c:pt idx="8">
                  <c:v>FTTH_Hybridpon_100</c:v>
                </c:pt>
                <c:pt idx="9">
                  <c:v>FTTC_Hybridpon_100</c:v>
                </c:pt>
              </c:strCache>
            </c:strRef>
          </c:cat>
          <c:val>
            <c:numRef>
              <c:f>CAPEX_Euros_OASE!$F$18:$F$27</c:f>
              <c:numCache>
                <c:formatCode>General</c:formatCode>
                <c:ptCount val="10"/>
                <c:pt idx="0">
                  <c:v>0</c:v>
                </c:pt>
                <c:pt idx="1">
                  <c:v>2.1207307386814933</c:v>
                </c:pt>
                <c:pt idx="2">
                  <c:v>2.1207307386814933</c:v>
                </c:pt>
                <c:pt idx="3">
                  <c:v>5.1503460796550549</c:v>
                </c:pt>
                <c:pt idx="4">
                  <c:v>3.1306025190060138</c:v>
                </c:pt>
                <c:pt idx="5">
                  <c:v>0</c:v>
                </c:pt>
                <c:pt idx="6">
                  <c:v>0</c:v>
                </c:pt>
                <c:pt idx="7">
                  <c:v>0.79318052876432543</c:v>
                </c:pt>
                <c:pt idx="8">
                  <c:v>2.5966867128106204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492224"/>
        <c:axId val="138383296"/>
      </c:barChart>
      <c:catAx>
        <c:axId val="16549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138383296"/>
        <c:crosses val="autoZero"/>
        <c:auto val="1"/>
        <c:lblAlgn val="ctr"/>
        <c:lblOffset val="100"/>
        <c:noMultiLvlLbl val="0"/>
      </c:catAx>
      <c:valAx>
        <c:axId val="13838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e-DE" sz="2000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4922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20</xdr:col>
      <xdr:colOff>142874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172</xdr:row>
      <xdr:rowOff>133350</xdr:rowOff>
    </xdr:from>
    <xdr:to>
      <xdr:col>20</xdr:col>
      <xdr:colOff>190500</xdr:colOff>
      <xdr:row>209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99060</xdr:rowOff>
    </xdr:from>
    <xdr:to>
      <xdr:col>20</xdr:col>
      <xdr:colOff>161924</xdr:colOff>
      <xdr:row>69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19049</xdr:rowOff>
    </xdr:from>
    <xdr:to>
      <xdr:col>20</xdr:col>
      <xdr:colOff>200024</xdr:colOff>
      <xdr:row>100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114299</xdr:rowOff>
    </xdr:from>
    <xdr:to>
      <xdr:col>20</xdr:col>
      <xdr:colOff>247650</xdr:colOff>
      <xdr:row>140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28574</xdr:rowOff>
    </xdr:from>
    <xdr:to>
      <xdr:col>20</xdr:col>
      <xdr:colOff>228600</xdr:colOff>
      <xdr:row>172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32657</xdr:colOff>
      <xdr:row>53</xdr:row>
      <xdr:rowOff>76200</xdr:rowOff>
    </xdr:from>
    <xdr:to>
      <xdr:col>29</xdr:col>
      <xdr:colOff>337457</xdr:colOff>
      <xdr:row>68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4BAA7E32-E03E-48BC-8AEC-B0697D1A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218</xdr:row>
      <xdr:rowOff>0</xdr:rowOff>
    </xdr:from>
    <xdr:to>
      <xdr:col>17</xdr:col>
      <xdr:colOff>313781</xdr:colOff>
      <xdr:row>240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F2AF6944-48DA-45D6-93A4-52064D7B7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850103</xdr:colOff>
      <xdr:row>18</xdr:row>
      <xdr:rowOff>83342</xdr:rowOff>
    </xdr:from>
    <xdr:to>
      <xdr:col>5</xdr:col>
      <xdr:colOff>404812</xdr:colOff>
      <xdr:row>47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1619250</xdr:colOff>
      <xdr:row>20</xdr:row>
      <xdr:rowOff>100011</xdr:rowOff>
    </xdr:from>
    <xdr:to>
      <xdr:col>12</xdr:col>
      <xdr:colOff>483392</xdr:colOff>
      <xdr:row>50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</xdr:col>
      <xdr:colOff>2933700</xdr:colOff>
      <xdr:row>53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17</xdr:row>
      <xdr:rowOff>95250</xdr:rowOff>
    </xdr:from>
    <xdr:to>
      <xdr:col>9</xdr:col>
      <xdr:colOff>1695449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16</xdr:row>
      <xdr:rowOff>95250</xdr:rowOff>
    </xdr:from>
    <xdr:to>
      <xdr:col>18</xdr:col>
      <xdr:colOff>276224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15</xdr:row>
      <xdr:rowOff>76200</xdr:rowOff>
    </xdr:from>
    <xdr:to>
      <xdr:col>8</xdr:col>
      <xdr:colOff>266700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15</xdr:row>
      <xdr:rowOff>76200</xdr:rowOff>
    </xdr:from>
    <xdr:to>
      <xdr:col>4</xdr:col>
      <xdr:colOff>1074420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15</xdr:row>
      <xdr:rowOff>99061</xdr:rowOff>
    </xdr:from>
    <xdr:to>
      <xdr:col>19</xdr:col>
      <xdr:colOff>426720</xdr:colOff>
      <xdr:row>43</xdr:row>
      <xdr:rowOff>106681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385233</xdr:colOff>
      <xdr:row>20</xdr:row>
      <xdr:rowOff>9525</xdr:rowOff>
    </xdr:from>
    <xdr:to>
      <xdr:col>11</xdr:col>
      <xdr:colOff>445982</xdr:colOff>
      <xdr:row>41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4</xdr:col>
      <xdr:colOff>293793</xdr:colOff>
      <xdr:row>42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518160</xdr:colOff>
      <xdr:row>16</xdr:row>
      <xdr:rowOff>15240</xdr:rowOff>
    </xdr:from>
    <xdr:to>
      <xdr:col>26</xdr:col>
      <xdr:colOff>87418</xdr:colOff>
      <xdr:row>48</xdr:row>
      <xdr:rowOff>40006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x_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TC_GPON_25_PIVOT"/>
      <sheetName val="FTTC_GPON_25"/>
      <sheetName val="FTTB_XGPON_50"/>
      <sheetName val="FTTB_DWDM_50"/>
      <sheetName val="FTTH_DWDM_100"/>
      <sheetName val="FTTH_XGPON_100"/>
      <sheetName val="FTTC_GPON_100"/>
      <sheetName val="FTTB_XGPON_100"/>
      <sheetName val="FTTB_DWDM_100"/>
      <sheetName val="FTTC_Hybridpon_25"/>
      <sheetName val="FTTB_Hybridpon_50"/>
      <sheetName val="FTTH_Hybridpon_100"/>
      <sheetName val="FTTC_Hybridpon_100"/>
      <sheetName val="FTTB_Hybridpon_100"/>
      <sheetName val="OP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7">
          <cell r="E27" t="str">
            <v>FTTC_GPON_25</v>
          </cell>
          <cell r="F27" t="str">
            <v>FTTB_XGPON_50</v>
          </cell>
          <cell r="G27" t="str">
            <v>FTTB_DWDM_50</v>
          </cell>
          <cell r="H27" t="str">
            <v>FTTH_DWDM_100</v>
          </cell>
          <cell r="I27" t="str">
            <v>FTTH_XGPON_100</v>
          </cell>
          <cell r="J27" t="str">
            <v>FTTC_GPON_100</v>
          </cell>
          <cell r="K27" t="str">
            <v>FTTB_XGPON_100</v>
          </cell>
          <cell r="L27" t="str">
            <v>FTTB_DWDM_100</v>
          </cell>
          <cell r="M27" t="str">
            <v>FTTC_Hybridpon_25</v>
          </cell>
          <cell r="N27" t="str">
            <v>FTTB_Hybridpon_50</v>
          </cell>
          <cell r="O27" t="str">
            <v>FTTH_Hybridpon_100</v>
          </cell>
          <cell r="P27" t="str">
            <v>FTTC_Hybridpon_100</v>
          </cell>
          <cell r="Q27" t="str">
            <v>FTTB_Hybridpon_100</v>
          </cell>
        </row>
        <row r="28">
          <cell r="D28" t="str">
            <v>Rent</v>
          </cell>
          <cell r="E28">
            <v>0.30500991046408316</v>
          </cell>
          <cell r="F28">
            <v>0.12200396418563325</v>
          </cell>
          <cell r="G28">
            <v>0.13939170254938146</v>
          </cell>
          <cell r="H28">
            <v>0.27878340509876293</v>
          </cell>
          <cell r="I28">
            <v>0.28095687239423145</v>
          </cell>
          <cell r="J28">
            <v>0.28887157405508856</v>
          </cell>
          <cell r="K28">
            <v>0.24755792495386508</v>
          </cell>
          <cell r="L28">
            <v>0.37485065955847169</v>
          </cell>
          <cell r="M28">
            <v>0.47351513908823728</v>
          </cell>
          <cell r="N28">
            <v>0.15913403048322056</v>
          </cell>
          <cell r="O28">
            <v>0.32141958854487046</v>
          </cell>
          <cell r="P28">
            <v>0.65775408379468259</v>
          </cell>
          <cell r="Q28">
            <v>0.32141958854487046</v>
          </cell>
        </row>
        <row r="29">
          <cell r="D29" t="str">
            <v>Energy</v>
          </cell>
          <cell r="E29">
            <v>6.5597437769120359E-2</v>
          </cell>
          <cell r="F29">
            <v>0.26098944433053106</v>
          </cell>
          <cell r="G29">
            <v>0.27317297518966577</v>
          </cell>
          <cell r="H29">
            <v>5.5152974369489439E-2</v>
          </cell>
          <cell r="I29">
            <v>4.1872692228829202E-2</v>
          </cell>
          <cell r="J29">
            <v>0.18693906458888662</v>
          </cell>
          <cell r="K29">
            <v>0.26819394709862621</v>
          </cell>
          <cell r="L29">
            <v>0.25180734057822435</v>
          </cell>
          <cell r="M29">
            <v>0.12022323149477136</v>
          </cell>
          <cell r="N29">
            <v>0.25263358622103754</v>
          </cell>
          <cell r="O29">
            <v>2.8738978880459301E-2</v>
          </cell>
          <cell r="P29">
            <v>0.15386130818125898</v>
          </cell>
          <cell r="Q29">
            <v>0.25604633996309206</v>
          </cell>
        </row>
        <row r="30">
          <cell r="D30" t="str">
            <v>Fault Maintenance</v>
          </cell>
          <cell r="E30">
            <v>6.8894089635283484E-2</v>
          </cell>
          <cell r="F30">
            <v>0.13388728775245062</v>
          </cell>
          <cell r="G30">
            <v>0.1072132633996309</v>
          </cell>
          <cell r="H30">
            <v>7.8644922206274337E-2</v>
          </cell>
          <cell r="I30">
            <v>7.9152560344474057E-2</v>
          </cell>
          <cell r="J30">
            <v>0.12679911041534522</v>
          </cell>
          <cell r="K30">
            <v>0.1051911978265327</v>
          </cell>
          <cell r="L30">
            <v>0.10493392409267993</v>
          </cell>
          <cell r="M30">
            <v>0.14860351798236623</v>
          </cell>
          <cell r="N30">
            <v>0.14057891552183716</v>
          </cell>
          <cell r="O30">
            <v>0.28578615378306338</v>
          </cell>
          <cell r="P30">
            <v>6.2678575353701055E-2</v>
          </cell>
          <cell r="Q30">
            <v>0.10627966270248103</v>
          </cell>
        </row>
        <row r="31">
          <cell r="D31" t="str">
            <v>Marketing</v>
          </cell>
          <cell r="E31">
            <v>2.1975071893424351E-2</v>
          </cell>
          <cell r="F31">
            <v>2.5844034813430752E-2</v>
          </cell>
          <cell r="G31">
            <v>2.5988897056933909E-2</v>
          </cell>
          <cell r="H31">
            <v>2.0629065083726337E-2</v>
          </cell>
          <cell r="I31">
            <v>2.0099106248376734E-2</v>
          </cell>
          <cell r="J31">
            <v>3.013048745296602E-2</v>
          </cell>
          <cell r="K31">
            <v>3.1047153493951204E-2</v>
          </cell>
          <cell r="L31">
            <v>3.6579596211468807E-2</v>
          </cell>
          <cell r="M31">
            <v>3.7117094428268743E-2</v>
          </cell>
          <cell r="N31">
            <v>2.7617326611304761E-2</v>
          </cell>
          <cell r="O31">
            <v>3.1797236060419662E-2</v>
          </cell>
          <cell r="P31">
            <v>4.3714698366482133E-2</v>
          </cell>
          <cell r="Q31">
            <v>3.4187279560522171E-2</v>
          </cell>
        </row>
        <row r="32">
          <cell r="D32" t="str">
            <v>Operations</v>
          </cell>
          <cell r="E32">
            <v>3.0765100650794092E-2</v>
          </cell>
          <cell r="F32">
            <v>3.618164873880305E-2</v>
          </cell>
          <cell r="G32">
            <v>3.638445587970747E-2</v>
          </cell>
          <cell r="H32">
            <v>2.8880691117216868E-2</v>
          </cell>
          <cell r="I32">
            <v>2.813874874772743E-2</v>
          </cell>
          <cell r="J32">
            <v>4.2182682434152435E-2</v>
          </cell>
          <cell r="K32">
            <v>4.3466014891531686E-2</v>
          </cell>
          <cell r="L32">
            <v>5.1211434696056331E-2</v>
          </cell>
          <cell r="M32">
            <v>5.1963932199576256E-2</v>
          </cell>
          <cell r="N32">
            <v>3.8664257255826666E-2</v>
          </cell>
          <cell r="O32">
            <v>4.4516130484587524E-2</v>
          </cell>
          <cell r="P32">
            <v>6.1200577713074987E-2</v>
          </cell>
          <cell r="Q32">
            <v>4.7862191384731051E-2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1:K10" totalsRowShown="0" headerRowDxfId="143" dataDxfId="142" tableBorderDxfId="141">
  <autoFilter ref="A1:K10"/>
  <tableColumns count="11">
    <tableColumn id="1" name="Position of component" dataDxfId="140"/>
    <tableColumn id="2" name="Component Name" dataDxfId="139"/>
    <tableColumn id="3" name="Cost per Unit (OASE)" dataDxfId="138"/>
    <tableColumn id="6" name="Cost per Unit (Rokkas)" dataDxfId="137">
      <calculatedColumnFormula>10000/50</calculatedColumnFormula>
    </tableColumn>
    <tableColumn id="8" name="Cost per Unit (BSG)" dataDxfId="136"/>
    <tableColumn id="10" name="Cost per Unit(Philipson)" dataDxfId="135"/>
    <tableColumn id="4" name="Quantity" dataDxfId="134"/>
    <tableColumn id="5" name="Component Cost(OASE)" dataDxfId="133">
      <calculatedColumnFormula>Table2[[#This Row],[Cost per Unit (OASE)]]*Table2[[#This Row],[Quantity]]</calculatedColumnFormula>
    </tableColumn>
    <tableColumn id="7" name="Component Cost(Rokkas)" dataDxfId="132">
      <calculatedColumnFormula>Table2[[#This Row],[Cost per Unit (Rokkas)]]*Table2[[#This Row],[Quantity]]</calculatedColumnFormula>
    </tableColumn>
    <tableColumn id="9" name="Component Cost(BSG)" dataDxfId="131">
      <calculatedColumnFormula>Table2[[#This Row],[Cost per Unit (BSG)]]*Table2[[#This Row],[Quantity]]</calculatedColumnFormula>
    </tableColumn>
    <tableColumn id="11" name="Component Cost(Phillipson)" dataDxfId="130">
      <calculatedColumnFormula>Table2[[#This Row],[Cost per Unit(Philipson)]]*Table2[[#This Row],[Quantity]]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21222" displayName="Table21222" ref="A1:K11" totalsRowShown="0" headerRowDxfId="17" dataDxfId="16" tableBorderDxfId="15">
  <autoFilter ref="A1:K11"/>
  <tableColumns count="11">
    <tableColumn id="1" name="Position of component" dataDxfId="14"/>
    <tableColumn id="2" name="Component Name" dataDxfId="13"/>
    <tableColumn id="3" name="Cost per Unit (OASE)" dataDxfId="12"/>
    <tableColumn id="6" name="Cost per Unit (Rokkas)" dataDxfId="11"/>
    <tableColumn id="8" name="Cost per Unit (BSG)" dataDxfId="10"/>
    <tableColumn id="10" name="Cost per Unit(Phillipson)" dataDxfId="9"/>
    <tableColumn id="4" name="Quantity" dataDxfId="8"/>
    <tableColumn id="5" name="Component Cost" dataDxfId="7">
      <calculatedColumnFormula>Table21222[[#This Row],[Cost per Unit (OASE)]]*Table21222[[#This Row],[Quantity]]</calculatedColumnFormula>
    </tableColumn>
    <tableColumn id="7" name="Component Cost(Rokkas)" dataDxfId="6">
      <calculatedColumnFormula>Table21222[[#This Row],[Cost per Unit (Rokkas)]]*Table21222[[#This Row],[Quantity]]</calculatedColumnFormula>
    </tableColumn>
    <tableColumn id="9" name="Component Cost(BSG)" dataDxfId="5">
      <calculatedColumnFormula>Table21222[[#This Row],[Cost per Unit (BSG)]]*Table21222[[#This Row],[Quantity]]</calculatedColumnFormula>
    </tableColumn>
    <tableColumn id="11" name="Component Cost(Phillipson)" dataDxfId="4">
      <calculatedColumnFormula>Table21222[[#This Row],[Cost per Unit(Phillipson)]]*Table21222[[#This Row],[Quantity]]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Table7" ref="A2:K12" totalsRowShown="0">
  <autoFilter ref="A2:K12"/>
  <tableColumns count="11">
    <tableColumn id="1" name="Technology"/>
    <tableColumn id="2" name="Duct Cost" dataCellStyle="Calculation"/>
    <tableColumn id="3" name="Fiber Cost" dataCellStyle="Calculation"/>
    <tableColumn id="4" name="Central Office E&amp;I Costs"/>
    <tableColumn id="5" name="Remote Node E&amp;I Costs"/>
    <tableColumn id="6" name="Building E&amp;I Costs"/>
    <tableColumn id="7" name="Total Cost in Cost Units">
      <calculatedColumnFormula>SUM(B3:F3)</calculatedColumnFormula>
    </tableColumn>
    <tableColumn id="8" name="Total Cost in Euros" dataDxfId="3">
      <calculatedColumnFormula>G3*50</calculatedColumnFormula>
    </tableColumn>
    <tableColumn id="9" name="No. Of HH">
      <calculatedColumnFormula>29262*1.4</calculatedColumnFormula>
    </tableColumn>
    <tableColumn id="10" name="Cost per Home passed(OASE)">
      <calculatedColumnFormula>H3/I3</calculatedColumnFormula>
    </tableColumn>
    <tableColumn id="11" name="Data ra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Table717" displayName="Table717" ref="A1:M11" totalsRowShown="0">
  <autoFilter ref="A1:M11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35*Table717[[#This Row],[Duct Length]]/50</calculatedColumnFormula>
    </tableColumn>
    <tableColumn id="3" name="Fiber Cost">
      <calculatedColumnFormula>Table717[[#This Row],[Fiber Length]]*0.3/50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SUM(Table717[[#This Row],[Duct Cost]:[Building E&amp;I Costs]])</calculatedColumnFormula>
    </tableColumn>
    <tableColumn id="8" name="Total Cost in Euros(Rokkas)" dataDxfId="2">
      <calculatedColumnFormula>I2*50</calculatedColumnFormula>
    </tableColumn>
    <tableColumn id="9" name="No. Of HH"/>
    <tableColumn id="10" name="Cost per Home passed(Rokkas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Table7172" displayName="Table7172" ref="A1:M11" totalsRowShown="0">
  <autoFilter ref="A1:M11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71.26*Table7172[[#This Row],[Duct Length]]/50</calculatedColumnFormula>
    </tableColumn>
    <tableColumn id="3" name="Fiber Cost">
      <calculatedColumnFormula>9.61*Table7172[[#This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SUM(Table7172[[#This Row],[Duct Cost]:[Building E&amp;I Costs]])</calculatedColumnFormula>
    </tableColumn>
    <tableColumn id="8" name="Total Cost in Euros(BSG)" dataDxfId="1">
      <calculatedColumnFormula>I2*50</calculatedColumnFormula>
    </tableColumn>
    <tableColumn id="9" name="No. Of HH"/>
    <tableColumn id="10" name="Cost per Home passed(BSG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7" name="Table717218" displayName="Table717218" ref="A1:M11" totalsRowShown="0">
  <autoFilter ref="A1:M11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27*Table717218[[#This Row],[Duct Length]]/50</calculatedColumnFormula>
    </tableColumn>
    <tableColumn id="3" name="Fiber Cost">
      <calculatedColumnFormula>0.3*Table717218[[#This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SUM(Table717218[[#This Row],[Duct Cost]:[Building E&amp;I Costs]])</calculatedColumnFormula>
    </tableColumn>
    <tableColumn id="8" name="Total Cost in Euros(Phillipson)" dataDxfId="0">
      <calculatedColumnFormula>I2*50</calculatedColumnFormula>
    </tableColumn>
    <tableColumn id="9" name="No. Of HH"/>
    <tableColumn id="10" name="Cost per Home passed(Phillipson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K10" totalsRowShown="0" headerRowDxfId="129" dataDxfId="128" tableBorderDxfId="127">
  <autoFilter ref="A1:K10"/>
  <tableColumns count="11">
    <tableColumn id="1" name="Position of component" dataDxfId="126"/>
    <tableColumn id="2" name="Component Name" dataDxfId="125"/>
    <tableColumn id="3" name="Cost per Unit (OASE)" dataDxfId="124"/>
    <tableColumn id="7" name="Cost per Unit (Rokkas)" dataDxfId="123"/>
    <tableColumn id="6" name="Cost per Unit(BSG)" dataDxfId="122"/>
    <tableColumn id="10" name="Cost per Unit(Phillipson)" dataDxfId="121"/>
    <tableColumn id="4" name="Quantity" dataDxfId="120"/>
    <tableColumn id="5" name="Component Cost" dataDxfId="119">
      <calculatedColumnFormula>Table24[[#This Row],[Cost per Unit (OASE)]]*Table24[[#This Row],[Quantity]]</calculatedColumnFormula>
    </tableColumn>
    <tableColumn id="8" name="Component Cost(Rokkas)" dataDxfId="118">
      <calculatedColumnFormula>Table24[[#This Row],[Cost per Unit (Rokkas)]]*Table24[[#This Row],[Quantity]]</calculatedColumnFormula>
    </tableColumn>
    <tableColumn id="9" name="Component Cost(BSG)" dataDxfId="117">
      <calculatedColumnFormula>Table24[[#This Row],[Cost per Unit(BSG)]]*Table24[[#This Row],[Quantity]]</calculatedColumnFormula>
    </tableColumn>
    <tableColumn id="11" name="Component Cost(Phillipson)" dataDxfId="116">
      <calculatedColumnFormula>Table24[[#This Row],[Cost per Unit(Phillipson)]]*Table24[[#This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K10" totalsRowShown="0" headerRowDxfId="115" dataDxfId="114" tableBorderDxfId="113">
  <autoFilter ref="A1:K10"/>
  <tableColumns count="11">
    <tableColumn id="1" name="Position of component" dataDxfId="112"/>
    <tableColumn id="2" name="Component Name" dataDxfId="111"/>
    <tableColumn id="3" name="Cost per Unit (OASE)" dataDxfId="110"/>
    <tableColumn id="6" name="Cost per Unit(Rokkas)" dataDxfId="109"/>
    <tableColumn id="8" name="Cost per Unit(BSG)" dataDxfId="108"/>
    <tableColumn id="10" name="Cost per Unit(Phillipson)" dataDxfId="107"/>
    <tableColumn id="4" name="Quantity" dataDxfId="106"/>
    <tableColumn id="5" name="Component Cost(OASE)" dataDxfId="105">
      <calculatedColumnFormula>Table245[[#This Row],[Cost per Unit (OASE)]]*Table245[[#This Row],[Quantity]]</calculatedColumnFormula>
    </tableColumn>
    <tableColumn id="7" name="Component Cost(Rokkas)" dataDxfId="104"/>
    <tableColumn id="9" name="Component Cost(BSG)" dataDxfId="103">
      <calculatedColumnFormula>Table245[[#This Row],[Cost per Unit(BSG)]]*Table245[[#This Row],[Quantity]]</calculatedColumnFormula>
    </tableColumn>
    <tableColumn id="11" name="Component Cost(Phillipson)" dataDxfId="102">
      <calculatedColumnFormula>Table245[[#This Row],[Cost per Unit(Phillipson)]]*Table245[[#This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K10" totalsRowShown="0" headerRowDxfId="101" dataDxfId="100" tableBorderDxfId="99">
  <autoFilter ref="A1:K10"/>
  <tableColumns count="11">
    <tableColumn id="1" name="Position of component" dataDxfId="98"/>
    <tableColumn id="2" name="Component Name" dataDxfId="97"/>
    <tableColumn id="3" name="Cost per Unit (OASE)" dataDxfId="96"/>
    <tableColumn id="6" name="Cost per Unit(Rokkas)" dataDxfId="95"/>
    <tableColumn id="8" name="Cost per Unit (BSG)" dataDxfId="94"/>
    <tableColumn id="10" name="Cost per Unit(Phillipson)" dataDxfId="93"/>
    <tableColumn id="4" name="Quantity" dataDxfId="92"/>
    <tableColumn id="5" name="Component Cost" dataDxfId="91">
      <calculatedColumnFormula>Table2456[[#This Row],[Cost per Unit (OASE)]]*Table2456[[#This Row],[Quantity]]</calculatedColumnFormula>
    </tableColumn>
    <tableColumn id="7" name="Component Cost(Rokkas)" dataDxfId="90">
      <calculatedColumnFormula>Table2456[[#This Row],[Cost per Unit(Rokkas)]]*Table2456[[#This Row],[Quantity]]</calculatedColumnFormula>
    </tableColumn>
    <tableColumn id="9" name="Component Cost(BSG)" dataDxfId="89">
      <calculatedColumnFormula>Table2456[[#This Row],[Cost per Unit (BSG)]]*Table2456[[#This Row],[Quantity]]</calculatedColumnFormula>
    </tableColumn>
    <tableColumn id="11" name="Component Cost(Phillipson)" dataDxfId="88">
      <calculatedColumnFormula>Table2456[[#This Row],[Cost per Unit(Phillipson)]]*Table2456[[#This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247" displayName="Table247" ref="A1:K10" totalsRowShown="0" headerRowDxfId="87" dataDxfId="86" tableBorderDxfId="85">
  <autoFilter ref="A1:K10"/>
  <tableColumns count="11">
    <tableColumn id="1" name="Position of component" dataDxfId="84"/>
    <tableColumn id="2" name="Component Name" dataDxfId="83"/>
    <tableColumn id="3" name="Cost per Unit (OASE)" dataDxfId="82"/>
    <tableColumn id="6" name="Cost per Unit (Rokkas)" dataDxfId="81"/>
    <tableColumn id="8" name="Cost per Unit (BSG)" dataDxfId="80"/>
    <tableColumn id="10" name="Cost per Unit(Phillipson)" dataDxfId="79"/>
    <tableColumn id="4" name="Quantity" dataDxfId="78"/>
    <tableColumn id="5" name="Component Cost" dataDxfId="77">
      <calculatedColumnFormula>Table247[[#This Row],[Cost per Unit (OASE)]]*Table247[[#This Row],[Quantity]]</calculatedColumnFormula>
    </tableColumn>
    <tableColumn id="7" name="Component Cost(Rokkas)" dataDxfId="76">
      <calculatedColumnFormula>Table247[[#This Row],[Cost per Unit (Rokkas)]]*Table247[[#This Row],[Quantity]]</calculatedColumnFormula>
    </tableColumn>
    <tableColumn id="9" name="Component Cost(BSG)" dataDxfId="75">
      <calculatedColumnFormula>Table247[[#This Row],[Cost per Unit (BSG)]]*Table247[[#This Row],[Quantity]]</calculatedColumnFormula>
    </tableColumn>
    <tableColumn id="11" name="Component Cost(Phillipson)" dataDxfId="74">
      <calculatedColumnFormula>Table247[[#This Row],[Cost per Unit(Phillipson)]]*Table247[[#This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29" displayName="Table29" ref="A1:K11" totalsRowShown="0" headerRowDxfId="73" dataDxfId="72" tableBorderDxfId="71">
  <autoFilter ref="A1:K11"/>
  <tableColumns count="11">
    <tableColumn id="1" name="Position of component" dataDxfId="70"/>
    <tableColumn id="2" name="Component Name" dataDxfId="69"/>
    <tableColumn id="3" name="Cost per Unit (OASE)" dataDxfId="68"/>
    <tableColumn id="6" name="Cost per Unit (Rokkas)" dataDxfId="67"/>
    <tableColumn id="8" name="Cost per Unit(BSG)" dataDxfId="66"/>
    <tableColumn id="10" name="Cost per Unit (Phillipson)" dataDxfId="65"/>
    <tableColumn id="4" name="Quantity" dataDxfId="64"/>
    <tableColumn id="5" name="Component Cost" dataDxfId="63">
      <calculatedColumnFormula>Table29[[#This Row],[Cost per Unit (OASE)]]*Table29[[#This Row],[Quantity]]</calculatedColumnFormula>
    </tableColumn>
    <tableColumn id="7" name="Component Cost(Rokkas)" dataDxfId="62">
      <calculatedColumnFormula>D2*G2</calculatedColumnFormula>
    </tableColumn>
    <tableColumn id="9" name="Component Cost(BSG)" dataDxfId="61">
      <calculatedColumnFormula>Table29[[#This Row],[Cost per Unit(BSG)]]*Table29[[#This Row],[Quantity]]</calculatedColumnFormula>
    </tableColumn>
    <tableColumn id="11" name="Component Cost(Phillipson)" dataDxfId="60">
      <calculatedColumnFormula>Table29[[#This Row],[Cost per Unit (Phillipson)]]*Table29[[#This Row],[Quantity]]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212" displayName="Table212" ref="A1:K11" totalsRowShown="0" headerRowDxfId="59" dataDxfId="58" tableBorderDxfId="57">
  <autoFilter ref="A1:K11"/>
  <tableColumns count="11">
    <tableColumn id="1" name="Position of component" dataDxfId="56"/>
    <tableColumn id="2" name="Component Name" dataDxfId="55"/>
    <tableColumn id="3" name="Cost per Unit (OASE)" dataDxfId="54"/>
    <tableColumn id="6" name="Cost per Unit (Rokkas)" dataDxfId="53"/>
    <tableColumn id="8" name="Cost per Unit (BSG)" dataDxfId="52"/>
    <tableColumn id="10" name="Cost per Unit(Phillipson)" dataDxfId="51"/>
    <tableColumn id="4" name="Quantity" dataDxfId="50"/>
    <tableColumn id="5" name="Component Cost" dataDxfId="49">
      <calculatedColumnFormula>Table212[[#This Row],[Cost per Unit (OASE)]]*Table212[[#This Row],[Quantity]]</calculatedColumnFormula>
    </tableColumn>
    <tableColumn id="7" name="Component Cost(Rokkas)" dataDxfId="48">
      <calculatedColumnFormula>Table212[[#This Row],[Cost per Unit (Rokkas)]]*Table212[[#This Row],[Quantity]]</calculatedColumnFormula>
    </tableColumn>
    <tableColumn id="9" name="Component Cost(BSG)" dataDxfId="47">
      <calculatedColumnFormula>Table212[[#This Row],[Cost per Unit (BSG)]]*Table212[[#This Row],[Quantity]]</calculatedColumnFormula>
    </tableColumn>
    <tableColumn id="11" name="Component Cost(Phillipson)" dataDxfId="46">
      <calculatedColumnFormula>Table212[[#This Row],[Cost per Unit(Phillipson)]]*Table212[[#This Row],[Quantity]]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8" name="Table21219" displayName="Table21219" ref="A1:K11" totalsRowShown="0" headerRowDxfId="45" dataDxfId="44" tableBorderDxfId="43">
  <autoFilter ref="A1:K11"/>
  <tableColumns count="11">
    <tableColumn id="1" name="Position of component" dataDxfId="42"/>
    <tableColumn id="2" name="Component Name" dataDxfId="41"/>
    <tableColumn id="3" name="Cost per Unit (OASE)" dataDxfId="40"/>
    <tableColumn id="6" name="Cost per Unit (Rokkas)" dataDxfId="39"/>
    <tableColumn id="8" name="Cost per Unit (BSG)" dataDxfId="38"/>
    <tableColumn id="10" name="Cost per Unit(Phillipson)" dataDxfId="37"/>
    <tableColumn id="4" name="Quantity" dataDxfId="36"/>
    <tableColumn id="5" name="Component Cost" dataDxfId="35">
      <calculatedColumnFormula>Table21219[[#This Row],[Cost per Unit (OASE)]]*Table21219[[#This Row],[Quantity]]</calculatedColumnFormula>
    </tableColumn>
    <tableColumn id="7" name="Component Cost(Rokkas)" dataDxfId="34">
      <calculatedColumnFormula>Table21219[[#This Row],[Cost per Unit (Rokkas)]]*Table21219[[#This Row],[Quantity]]</calculatedColumnFormula>
    </tableColumn>
    <tableColumn id="9" name="Component Cost(BSG)" dataDxfId="33">
      <calculatedColumnFormula>Table21219[[#This Row],[Cost per Unit (BSG)]]*Table21219[[#This Row],[Quantity]]</calculatedColumnFormula>
    </tableColumn>
    <tableColumn id="11" name="Component Cost(Phillipson)" dataDxfId="32">
      <calculatedColumnFormula>Table21219[[#This Row],[Cost per Unit(Phillipson)]]*Table21219[[#This Row],[Quantity]]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0" name="Table2121921" displayName="Table2121921" ref="A1:K11" totalsRowShown="0" headerRowDxfId="31" dataDxfId="30" tableBorderDxfId="29">
  <autoFilter ref="A1:K11"/>
  <tableColumns count="11">
    <tableColumn id="1" name="Position of component" dataDxfId="28"/>
    <tableColumn id="2" name="Component Name" dataDxfId="27"/>
    <tableColumn id="3" name="Cost per Unit (OASE)" dataDxfId="26"/>
    <tableColumn id="6" name="Cost per Unit (Rokkas)" dataDxfId="25"/>
    <tableColumn id="8" name="Cost per Unit (BSG)" dataDxfId="24"/>
    <tableColumn id="10" name="Cost per Unit(Phillipson)" dataDxfId="23"/>
    <tableColumn id="4" name="Quantity" dataDxfId="22"/>
    <tableColumn id="5" name="Component Cost" dataDxfId="21">
      <calculatedColumnFormula>Table2121921[[#This Row],[Cost per Unit (OASE)]]*Table2121921[[#This Row],[Quantity]]</calculatedColumnFormula>
    </tableColumn>
    <tableColumn id="7" name="Component Cost(Rokkas)" dataDxfId="20">
      <calculatedColumnFormula>Table2121921[[#This Row],[Cost per Unit (Rokkas)]]*Table2121921[[#This Row],[Quantity]]</calculatedColumnFormula>
    </tableColumn>
    <tableColumn id="9" name="Component Cost(BSG)" dataDxfId="19">
      <calculatedColumnFormula>Table2121921[[#This Row],[Cost per Unit (BSG)]]*Table2121921[[#This Row],[Quantity]]</calculatedColumnFormula>
    </tableColumn>
    <tableColumn id="11" name="Component Cost(Phillipson)" dataDxfId="18">
      <calculatedColumnFormula>Table2121921[[#This Row],[Cost per Unit(Phillipson)]]*Table2121921[[#This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eexplore.ieee.org/xpl/mostRecentIssue.jsp?punumber=734719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activeCell="B20" sqref="B20"/>
    </sheetView>
  </sheetViews>
  <sheetFormatPr defaultRowHeight="15" x14ac:dyDescent="0.25"/>
  <cols>
    <col min="1" max="1" width="35.7109375" customWidth="1"/>
    <col min="2" max="2" width="79" customWidth="1"/>
    <col min="3" max="3" width="36.85546875" customWidth="1"/>
    <col min="4" max="4" width="36.140625" customWidth="1"/>
    <col min="5" max="5" width="40.85546875" customWidth="1"/>
    <col min="6" max="6" width="18" customWidth="1"/>
    <col min="7" max="7" width="19" customWidth="1"/>
    <col min="8" max="8" width="25.42578125" customWidth="1"/>
  </cols>
  <sheetData>
    <row r="1" spans="1:8" ht="14.45" x14ac:dyDescent="0.3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7</v>
      </c>
      <c r="G1" t="s">
        <v>8</v>
      </c>
      <c r="H1" t="s">
        <v>14</v>
      </c>
    </row>
    <row r="2" spans="1:8" ht="14.45" x14ac:dyDescent="0.3">
      <c r="A2" t="s">
        <v>6</v>
      </c>
      <c r="B2" t="s">
        <v>12</v>
      </c>
      <c r="C2" s="1">
        <v>27</v>
      </c>
      <c r="D2" s="2">
        <v>0.3</v>
      </c>
      <c r="E2" t="s">
        <v>11</v>
      </c>
      <c r="F2">
        <v>11000</v>
      </c>
      <c r="G2">
        <v>2500</v>
      </c>
      <c r="H2">
        <v>250</v>
      </c>
    </row>
    <row r="3" spans="1:8" ht="14.45" x14ac:dyDescent="0.3">
      <c r="A3" t="s">
        <v>15</v>
      </c>
      <c r="B3" t="s">
        <v>13</v>
      </c>
      <c r="C3" s="2">
        <v>19.5</v>
      </c>
      <c r="D3" s="2">
        <v>0.3</v>
      </c>
      <c r="E3" t="s">
        <v>11</v>
      </c>
      <c r="F3">
        <v>11000</v>
      </c>
      <c r="G3">
        <v>2500</v>
      </c>
      <c r="H3">
        <v>250</v>
      </c>
    </row>
    <row r="4" spans="1:8" ht="28.9" x14ac:dyDescent="0.3">
      <c r="A4" s="3" t="s">
        <v>17</v>
      </c>
      <c r="B4" t="s">
        <v>16</v>
      </c>
      <c r="C4" t="s">
        <v>11</v>
      </c>
      <c r="D4" t="s">
        <v>11</v>
      </c>
      <c r="E4">
        <f>(15)*1000</f>
        <v>15000</v>
      </c>
      <c r="F4">
        <v>250</v>
      </c>
      <c r="G4">
        <v>0</v>
      </c>
      <c r="H4">
        <f>(15)*1000</f>
        <v>15000</v>
      </c>
    </row>
    <row r="8" spans="1:8" ht="14.45" x14ac:dyDescent="0.3">
      <c r="A8" t="s">
        <v>85</v>
      </c>
    </row>
    <row r="10" spans="1:8" ht="14.45" x14ac:dyDescent="0.3">
      <c r="A10" t="s">
        <v>86</v>
      </c>
      <c r="B10" t="s">
        <v>89</v>
      </c>
      <c r="C10" t="s">
        <v>88</v>
      </c>
      <c r="D10" t="s">
        <v>87</v>
      </c>
      <c r="E10" t="s">
        <v>93</v>
      </c>
    </row>
    <row r="11" spans="1:8" ht="195.75" x14ac:dyDescent="0.25">
      <c r="A11" s="24" t="s">
        <v>91</v>
      </c>
      <c r="B11" t="s">
        <v>90</v>
      </c>
      <c r="C11" t="s">
        <v>94</v>
      </c>
      <c r="D11" s="31">
        <v>42348</v>
      </c>
      <c r="E11" s="25" t="s">
        <v>92</v>
      </c>
    </row>
    <row r="12" spans="1:8" ht="87" x14ac:dyDescent="0.25">
      <c r="A12" s="24" t="s">
        <v>95</v>
      </c>
      <c r="B12" t="s">
        <v>96</v>
      </c>
      <c r="C12" t="s">
        <v>97</v>
      </c>
      <c r="D12" s="26">
        <v>41161</v>
      </c>
      <c r="E12" t="s">
        <v>98</v>
      </c>
    </row>
    <row r="13" spans="1:8" ht="130.5" x14ac:dyDescent="0.25">
      <c r="A13" s="24" t="s">
        <v>106</v>
      </c>
      <c r="B13" t="s">
        <v>109</v>
      </c>
      <c r="C13" t="s">
        <v>108</v>
      </c>
      <c r="D13" s="26">
        <v>41589</v>
      </c>
      <c r="E13" t="s">
        <v>107</v>
      </c>
    </row>
  </sheetData>
  <hyperlinks>
    <hyperlink ref="E11" r:id="rId1" display="https://ieeexplore.ieee.org/xpl/mostRecentIssue.jsp?punumber=7347193"/>
  </hyperlinks>
  <pageMargins left="0.7" right="0.7" top="0.75" bottom="0.75" header="0.3" footer="0.3"/>
  <pageSetup paperSize="9" orientation="portrait" verticalDpi="0" r:id="rId2"/>
  <headerFooter>
    <oddFooter>&amp;LUnrestricted</oddFooter>
  </headerFooter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9" sqref="C9"/>
    </sheetView>
  </sheetViews>
  <sheetFormatPr defaultColWidth="9.140625" defaultRowHeight="15" x14ac:dyDescent="0.25"/>
  <cols>
    <col min="1" max="1" width="29.28515625" style="18" customWidth="1"/>
    <col min="2" max="2" width="38" style="18" customWidth="1"/>
    <col min="3" max="3" width="21.28515625" style="18" customWidth="1"/>
    <col min="4" max="4" width="21.28515625" style="20" customWidth="1"/>
    <col min="5" max="6" width="21.28515625" style="23" customWidth="1"/>
    <col min="7" max="7" width="18" style="18" customWidth="1"/>
    <col min="8" max="8" width="17.85546875" style="18" customWidth="1"/>
    <col min="9" max="16384" width="9.140625" style="18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73</v>
      </c>
      <c r="E1" s="7" t="s">
        <v>99</v>
      </c>
      <c r="F1" s="7" t="s">
        <v>112</v>
      </c>
      <c r="G1" s="7" t="s">
        <v>21</v>
      </c>
      <c r="H1" s="7" t="s">
        <v>22</v>
      </c>
      <c r="I1" s="7" t="s">
        <v>74</v>
      </c>
      <c r="J1" s="7" t="s">
        <v>100</v>
      </c>
      <c r="K1" s="33" t="s">
        <v>111</v>
      </c>
    </row>
    <row r="2" spans="1:11" x14ac:dyDescent="0.2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8</v>
      </c>
      <c r="H2" s="4">
        <f>Table21219[[#This Row],[Cost per Unit (OASE)]]*Table21219[[#This Row],[Quantity]]</f>
        <v>128</v>
      </c>
      <c r="I2" s="12">
        <f>Table21219[[#This Row],[Cost per Unit (Rokkas)]]*Table21219[[#This Row],[Quantity]]</f>
        <v>0</v>
      </c>
      <c r="J2" s="12">
        <f>Table21219[[#This Row],[Cost per Unit (BSG)]]*Table21219[[#This Row],[Quantity]]</f>
        <v>0</v>
      </c>
      <c r="K2" s="34">
        <f>Table21219[[#This Row],[Cost per Unit(Phillipson)]]*Table21219[[#This Row],[Quantity]]</f>
        <v>0</v>
      </c>
    </row>
    <row r="3" spans="1:11" x14ac:dyDescent="0.25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350</v>
      </c>
      <c r="F3" s="4">
        <v>60</v>
      </c>
      <c r="G3" s="4">
        <f>13*3</f>
        <v>39</v>
      </c>
      <c r="H3" s="4">
        <f>Table21219[[#This Row],[Cost per Unit (OASE)]]*Table21219[[#This Row],[Quantity]]</f>
        <v>663</v>
      </c>
      <c r="I3" s="12">
        <f>Table21219[[#This Row],[Cost per Unit (Rokkas)]]*Table21219[[#This Row],[Quantity]]</f>
        <v>7800</v>
      </c>
      <c r="J3" s="12">
        <f>Table21219[[#This Row],[Cost per Unit (BSG)]]*Table21219[[#This Row],[Quantity]]</f>
        <v>13650</v>
      </c>
      <c r="K3" s="34">
        <f>Table21219[[#This Row],[Cost per Unit(Phillipson)]]*Table21219[[#This Row],[Quantity]]</f>
        <v>2340</v>
      </c>
    </row>
    <row r="4" spans="1:11" x14ac:dyDescent="0.2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>13*3</f>
        <v>39</v>
      </c>
      <c r="H4" s="4">
        <f>Table21219[[#This Row],[Cost per Unit (OASE)]]*Table21219[[#This Row],[Quantity]]</f>
        <v>2457</v>
      </c>
      <c r="I4" s="12">
        <f>Table21219[[#This Row],[Cost per Unit (Rokkas)]]*Table21219[[#This Row],[Quantity]]</f>
        <v>0</v>
      </c>
      <c r="J4" s="12">
        <f>Table21219[[#This Row],[Cost per Unit (BSG)]]*Table21219[[#This Row],[Quantity]]</f>
        <v>0</v>
      </c>
      <c r="K4" s="34">
        <f>Table21219[[#This Row],[Cost per Unit(Phillipson)]]*Table21219[[#This Row],[Quantity]]</f>
        <v>0</v>
      </c>
    </row>
    <row r="5" spans="1:11" x14ac:dyDescent="0.2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>13*3</f>
        <v>39</v>
      </c>
      <c r="H5" s="4">
        <f>Table21219[[#This Row],[Cost per Unit (OASE)]]*Table21219[[#This Row],[Quantity]]</f>
        <v>89.699999999999989</v>
      </c>
      <c r="I5" s="12">
        <f>Table21219[[#This Row],[Cost per Unit (Rokkas)]]*Table21219[[#This Row],[Quantity]]</f>
        <v>0</v>
      </c>
      <c r="J5" s="12">
        <f>Table21219[[#This Row],[Cost per Unit (BSG)]]*Table21219[[#This Row],[Quantity]]</f>
        <v>0</v>
      </c>
      <c r="K5" s="34">
        <f>Table21219[[#This Row],[Cost per Unit(Phillipson)]]*Table21219[[#This Row],[Quantity]]</f>
        <v>0</v>
      </c>
    </row>
    <row r="6" spans="1:11" x14ac:dyDescent="0.2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12</v>
      </c>
      <c r="H6" s="4">
        <f>Table21219[[#This Row],[Cost per Unit (OASE)]]*Table21219[[#This Row],[Quantity]]</f>
        <v>0.26666666666666666</v>
      </c>
      <c r="I6" s="12">
        <f>Table21219[[#This Row],[Cost per Unit (Rokkas)]]*Table21219[[#This Row],[Quantity]]</f>
        <v>0</v>
      </c>
      <c r="J6" s="12">
        <f>Table21219[[#This Row],[Cost per Unit (BSG)]]*Table21219[[#This Row],[Quantity]]</f>
        <v>0</v>
      </c>
      <c r="K6" s="34">
        <f>Table21219[[#This Row],[Cost per Unit(Phillipson)]]*Table21219[[#This Row],[Quantity]]</f>
        <v>0</v>
      </c>
    </row>
    <row r="7" spans="1:11" x14ac:dyDescent="0.25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Table21219[[#This Row],[Cost per Unit (OASE)]]*Table21219[[#This Row],[Quantity]]</f>
        <v>400</v>
      </c>
      <c r="I7" s="12">
        <f>Table21219[[#This Row],[Cost per Unit (Rokkas)]]*Table21219[[#This Row],[Quantity]]</f>
        <v>3000</v>
      </c>
      <c r="J7" s="12">
        <f>Table21219[[#This Row],[Cost per Unit (BSG)]]*Table21219[[#This Row],[Quantity]]</f>
        <v>200</v>
      </c>
      <c r="K7" s="34">
        <f>Table21219[[#This Row],[Cost per Unit(Phillipson)]]*Table21219[[#This Row],[Quantity]]</f>
        <v>0</v>
      </c>
    </row>
    <row r="8" spans="1:11" x14ac:dyDescent="0.25">
      <c r="A8" s="38" t="s">
        <v>28</v>
      </c>
      <c r="B8" s="38" t="s">
        <v>47</v>
      </c>
      <c r="C8" s="4">
        <v>2.2999999999999998</v>
      </c>
      <c r="D8" s="40">
        <v>4</v>
      </c>
      <c r="E8" s="40">
        <v>1.4</v>
      </c>
      <c r="F8" s="40">
        <v>0</v>
      </c>
      <c r="G8" s="40">
        <f>13*3</f>
        <v>39</v>
      </c>
      <c r="H8" s="4">
        <f>Table21219[[#This Row],[Cost per Unit (OASE)]]*Table21219[[#This Row],[Quantity]]</f>
        <v>89.699999999999989</v>
      </c>
      <c r="I8" s="12">
        <f>Table21219[[#This Row],[Cost per Unit (Rokkas)]]*Table21219[[#This Row],[Quantity]]</f>
        <v>156</v>
      </c>
      <c r="J8" s="12">
        <f>Table21219[[#This Row],[Cost per Unit (BSG)]]*Table21219[[#This Row],[Quantity]]</f>
        <v>54.599999999999994</v>
      </c>
      <c r="K8" s="34">
        <f>Table21219[[#This Row],[Cost per Unit(Phillipson)]]*Table21219[[#This Row],[Quantity]]</f>
        <v>0</v>
      </c>
    </row>
    <row r="9" spans="1:11" x14ac:dyDescent="0.25">
      <c r="A9" s="38" t="s">
        <v>70</v>
      </c>
      <c r="B9" s="38" t="s">
        <v>69</v>
      </c>
      <c r="C9" s="4">
        <v>3.1</v>
      </c>
      <c r="D9" s="4">
        <f>5+2</f>
        <v>7</v>
      </c>
      <c r="E9" s="4">
        <f>3+2</f>
        <v>5</v>
      </c>
      <c r="F9" s="4">
        <f>5+2</f>
        <v>7</v>
      </c>
      <c r="G9" s="40">
        <f>1113*2</f>
        <v>2226</v>
      </c>
      <c r="H9" s="4">
        <f>Table21219[[#This Row],[Cost per Unit (OASE)]]*Table21219[[#This Row],[Quantity]]</f>
        <v>6900.6</v>
      </c>
      <c r="I9" s="12">
        <f>Table21219[[#This Row],[Cost per Unit (Rokkas)]]*Table21219[[#This Row],[Quantity]]</f>
        <v>15582</v>
      </c>
      <c r="J9" s="12">
        <f>Table21219[[#This Row],[Cost per Unit (BSG)]]*Table21219[[#This Row],[Quantity]]</f>
        <v>11130</v>
      </c>
      <c r="K9" s="34">
        <f>Table21219[[#This Row],[Cost per Unit(Phillipson)]]*Table21219[[#This Row],[Quantity]]</f>
        <v>15582</v>
      </c>
    </row>
    <row r="10" spans="1:11" x14ac:dyDescent="0.25">
      <c r="A10" s="38" t="s">
        <v>30</v>
      </c>
      <c r="B10" s="38" t="s">
        <v>121</v>
      </c>
      <c r="C10" s="4">
        <v>1.8</v>
      </c>
      <c r="D10" s="40">
        <v>10</v>
      </c>
      <c r="E10" s="40">
        <v>4</v>
      </c>
      <c r="F10" s="40">
        <v>0</v>
      </c>
      <c r="G10" s="40">
        <v>2226</v>
      </c>
      <c r="H10" s="42">
        <f>Table21219[[#This Row],[Cost per Unit (OASE)]]*Table21219[[#This Row],[Quantity]]</f>
        <v>4006.8</v>
      </c>
      <c r="I10" s="40">
        <f>Table21219[[#This Row],[Cost per Unit (Rokkas)]]*Table21219[[#This Row],[Quantity]]</f>
        <v>22260</v>
      </c>
      <c r="J10" s="40">
        <f>Table21219[[#This Row],[Cost per Unit (BSG)]]*Table21219[[#This Row],[Quantity]]</f>
        <v>8904</v>
      </c>
      <c r="K10" s="40">
        <f>Table21219[[#This Row],[Cost per Unit(Phillipson)]]*Table21219[[#This Row],[Quantity]]</f>
        <v>0</v>
      </c>
    </row>
    <row r="11" spans="1:11" x14ac:dyDescent="0.25">
      <c r="A11" s="38" t="s">
        <v>70</v>
      </c>
      <c r="B11" s="38" t="s">
        <v>63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2">
        <f>Table21219[[#This Row],[Cost per Unit (OASE)]]*Table21219[[#This Row],[Quantity]]</f>
        <v>0</v>
      </c>
      <c r="I11" s="41">
        <f>Table21219[[#This Row],[Cost per Unit (Rokkas)]]*Table21219[[#This Row],[Quantity]]</f>
        <v>0</v>
      </c>
      <c r="J11" s="41">
        <f>Table21219[[#This Row],[Cost per Unit (BSG)]]*Table21219[[#This Row],[Quantity]]</f>
        <v>0</v>
      </c>
      <c r="K11" s="41">
        <f>Table21219[[#This Row],[Cost per Unit(Phillipson)]]*Table21219[[#This Row],[Quantity]]</f>
        <v>0</v>
      </c>
    </row>
    <row r="14" spans="1:11" ht="14.45" x14ac:dyDescent="0.3">
      <c r="A14" s="18" t="s">
        <v>75</v>
      </c>
      <c r="B14" s="18" t="s">
        <v>35</v>
      </c>
      <c r="C14" s="18" t="s">
        <v>36</v>
      </c>
      <c r="D14" s="18" t="s">
        <v>37</v>
      </c>
      <c r="E14" s="18" t="s">
        <v>34</v>
      </c>
      <c r="G14" s="20"/>
    </row>
    <row r="15" spans="1:11" thickBot="1" x14ac:dyDescent="0.35">
      <c r="A15" s="18" t="s">
        <v>76</v>
      </c>
      <c r="B15" s="19">
        <f>SUM(H2:H7)</f>
        <v>3737.9666666666667</v>
      </c>
      <c r="C15" s="19">
        <f>SUM(H6:H11)</f>
        <v>11397.366666666667</v>
      </c>
      <c r="D15" s="10">
        <f>SUM(H8:H9)</f>
        <v>6990.3</v>
      </c>
      <c r="E15" s="5">
        <f>SUM(B15:D15)</f>
        <v>22125.633333333335</v>
      </c>
      <c r="F15" s="5"/>
      <c r="G15" s="10"/>
    </row>
    <row r="16" spans="1:11" ht="15.6" thickTop="1" thickBot="1" x14ac:dyDescent="0.35">
      <c r="A16" s="18" t="s">
        <v>77</v>
      </c>
      <c r="B16" s="18">
        <f>SUM(I2:I7)</f>
        <v>10800</v>
      </c>
      <c r="C16" s="18">
        <f>SUM(I6:I11)</f>
        <v>40998</v>
      </c>
      <c r="D16" s="20">
        <f>SUM(I8:I9)</f>
        <v>15738</v>
      </c>
      <c r="E16" s="5">
        <f t="shared" ref="E16:E18" si="0">SUM(B16:D16)</f>
        <v>67536</v>
      </c>
      <c r="F16" s="5"/>
    </row>
    <row r="17" spans="1:6" ht="15.6" thickTop="1" thickBot="1" x14ac:dyDescent="0.35">
      <c r="A17" s="18" t="s">
        <v>101</v>
      </c>
      <c r="B17" s="18">
        <f>SUM(J2:J7)</f>
        <v>13850</v>
      </c>
      <c r="C17" s="18">
        <f>SUM(J6:J11)</f>
        <v>20288.599999999999</v>
      </c>
      <c r="D17" s="20">
        <f>SUM(J8:J9)</f>
        <v>11184.6</v>
      </c>
      <c r="E17" s="5">
        <f t="shared" si="0"/>
        <v>45323.199999999997</v>
      </c>
      <c r="F17" s="5"/>
    </row>
    <row r="18" spans="1:6" ht="15.6" thickTop="1" thickBot="1" x14ac:dyDescent="0.35">
      <c r="A18" s="18" t="s">
        <v>6</v>
      </c>
      <c r="B18" s="23">
        <f>SUM(K2:K7)</f>
        <v>2340</v>
      </c>
      <c r="C18" s="23">
        <f>SUM(K6:K11)</f>
        <v>15582</v>
      </c>
      <c r="D18" s="23">
        <f>SUM(K8:K9)</f>
        <v>15582</v>
      </c>
      <c r="E18" s="5">
        <f t="shared" si="0"/>
        <v>33504</v>
      </c>
    </row>
    <row r="19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C4" sqref="C4"/>
    </sheetView>
  </sheetViews>
  <sheetFormatPr defaultColWidth="9.140625" defaultRowHeight="15" x14ac:dyDescent="0.25"/>
  <cols>
    <col min="1" max="1" width="29.28515625" style="23" customWidth="1"/>
    <col min="2" max="2" width="38" style="23" customWidth="1"/>
    <col min="3" max="6" width="21.28515625" style="23" customWidth="1"/>
    <col min="7" max="7" width="18" style="23" customWidth="1"/>
    <col min="8" max="8" width="17.85546875" style="23" customWidth="1"/>
    <col min="9" max="16384" width="9.140625" style="23"/>
  </cols>
  <sheetData>
    <row r="1" spans="1:11" x14ac:dyDescent="0.25">
      <c r="A1" s="7" t="s">
        <v>18</v>
      </c>
      <c r="B1" s="7" t="s">
        <v>19</v>
      </c>
      <c r="C1" s="7" t="s">
        <v>20</v>
      </c>
      <c r="D1" s="7" t="s">
        <v>73</v>
      </c>
      <c r="E1" s="7" t="s">
        <v>99</v>
      </c>
      <c r="F1" s="7" t="s">
        <v>112</v>
      </c>
      <c r="G1" s="7" t="s">
        <v>21</v>
      </c>
      <c r="H1" s="7" t="s">
        <v>22</v>
      </c>
      <c r="I1" s="7" t="s">
        <v>74</v>
      </c>
      <c r="J1" s="7" t="s">
        <v>100</v>
      </c>
      <c r="K1" s="33" t="s">
        <v>111</v>
      </c>
    </row>
    <row r="2" spans="1:11" x14ac:dyDescent="0.2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f>8*2</f>
        <v>16</v>
      </c>
      <c r="H2" s="4">
        <f>Table2121921[[#This Row],[Cost per Unit (OASE)]]*Table2121921[[#This Row],[Quantity]]</f>
        <v>256</v>
      </c>
      <c r="I2" s="12">
        <f>Table2121921[[#This Row],[Cost per Unit (Rokkas)]]*Table2121921[[#This Row],[Quantity]]</f>
        <v>0</v>
      </c>
      <c r="J2" s="12">
        <f>Table2121921[[#This Row],[Cost per Unit (BSG)]]*Table2121921[[#This Row],[Quantity]]</f>
        <v>0</v>
      </c>
      <c r="K2" s="34">
        <f>Table2121921[[#This Row],[Cost per Unit(Phillipson)]]*Table2121921[[#This Row],[Quantity]]</f>
        <v>0</v>
      </c>
    </row>
    <row r="3" spans="1:11" x14ac:dyDescent="0.25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350</v>
      </c>
      <c r="F3" s="4">
        <v>60</v>
      </c>
      <c r="G3" s="4">
        <f>13*3*2</f>
        <v>78</v>
      </c>
      <c r="H3" s="4">
        <f>Table2121921[[#This Row],[Cost per Unit (OASE)]]*Table2121921[[#This Row],[Quantity]]</f>
        <v>1326</v>
      </c>
      <c r="I3" s="12">
        <f>Table2121921[[#This Row],[Cost per Unit (Rokkas)]]*Table2121921[[#This Row],[Quantity]]</f>
        <v>15600</v>
      </c>
      <c r="J3" s="12">
        <f>Table2121921[[#This Row],[Cost per Unit (BSG)]]*Table2121921[[#This Row],[Quantity]]</f>
        <v>27300</v>
      </c>
      <c r="K3" s="34">
        <f>Table2121921[[#This Row],[Cost per Unit(Phillipson)]]*Table2121921[[#This Row],[Quantity]]</f>
        <v>4680</v>
      </c>
    </row>
    <row r="4" spans="1:11" x14ac:dyDescent="0.2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>13*3*2</f>
        <v>78</v>
      </c>
      <c r="H4" s="4">
        <f>Table2121921[[#This Row],[Cost per Unit (OASE)]]*Table2121921[[#This Row],[Quantity]]</f>
        <v>4914</v>
      </c>
      <c r="I4" s="12">
        <f>Table2121921[[#This Row],[Cost per Unit (Rokkas)]]*Table2121921[[#This Row],[Quantity]]</f>
        <v>0</v>
      </c>
      <c r="J4" s="12">
        <f>Table2121921[[#This Row],[Cost per Unit (BSG)]]*Table2121921[[#This Row],[Quantity]]</f>
        <v>0</v>
      </c>
      <c r="K4" s="34">
        <f>Table2121921[[#This Row],[Cost per Unit(Phillipson)]]*Table2121921[[#This Row],[Quantity]]</f>
        <v>0</v>
      </c>
    </row>
    <row r="5" spans="1:11" x14ac:dyDescent="0.2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>13*3*2</f>
        <v>78</v>
      </c>
      <c r="H5" s="4">
        <f>Table2121921[[#This Row],[Cost per Unit (OASE)]]*Table2121921[[#This Row],[Quantity]]</f>
        <v>179.39999999999998</v>
      </c>
      <c r="I5" s="12">
        <f>Table2121921[[#This Row],[Cost per Unit (Rokkas)]]*Table2121921[[#This Row],[Quantity]]</f>
        <v>0</v>
      </c>
      <c r="J5" s="12">
        <f>Table2121921[[#This Row],[Cost per Unit (BSG)]]*Table2121921[[#This Row],[Quantity]]</f>
        <v>0</v>
      </c>
      <c r="K5" s="34">
        <f>Table2121921[[#This Row],[Cost per Unit(Phillipson)]]*Table2121921[[#This Row],[Quantity]]</f>
        <v>0</v>
      </c>
    </row>
    <row r="6" spans="1:11" x14ac:dyDescent="0.2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f>12*2*2</f>
        <v>48</v>
      </c>
      <c r="H6" s="4">
        <f>Table2121921[[#This Row],[Cost per Unit (OASE)]]*Table2121921[[#This Row],[Quantity]]</f>
        <v>1.0666666666666667</v>
      </c>
      <c r="I6" s="12">
        <f>Table2121921[[#This Row],[Cost per Unit (Rokkas)]]*Table2121921[[#This Row],[Quantity]]</f>
        <v>0</v>
      </c>
      <c r="J6" s="12">
        <f>Table2121921[[#This Row],[Cost per Unit (BSG)]]*Table2121921[[#This Row],[Quantity]]</f>
        <v>0</v>
      </c>
      <c r="K6" s="34">
        <f>Table2121921[[#This Row],[Cost per Unit(Phillipson)]]*Table2121921[[#This Row],[Quantity]]</f>
        <v>0</v>
      </c>
    </row>
    <row r="7" spans="1:11" x14ac:dyDescent="0.25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Table2121921[[#This Row],[Cost per Unit (OASE)]]*Table2121921[[#This Row],[Quantity]]</f>
        <v>400</v>
      </c>
      <c r="I7" s="12">
        <f>Table2121921[[#This Row],[Cost per Unit (Rokkas)]]*Table2121921[[#This Row],[Quantity]]</f>
        <v>3000</v>
      </c>
      <c r="J7" s="12">
        <f>Table2121921[[#This Row],[Cost per Unit (BSG)]]*Table2121921[[#This Row],[Quantity]]</f>
        <v>200</v>
      </c>
      <c r="K7" s="34">
        <f>Table2121921[[#This Row],[Cost per Unit(Phillipson)]]*Table2121921[[#This Row],[Quantity]]</f>
        <v>0</v>
      </c>
    </row>
    <row r="8" spans="1:11" x14ac:dyDescent="0.25">
      <c r="A8" s="38" t="s">
        <v>28</v>
      </c>
      <c r="B8" s="38" t="s">
        <v>47</v>
      </c>
      <c r="C8" s="40">
        <v>2.2999999999999998</v>
      </c>
      <c r="D8" s="40">
        <v>4</v>
      </c>
      <c r="E8" s="40">
        <v>1.4</v>
      </c>
      <c r="F8" s="40">
        <v>0</v>
      </c>
      <c r="G8" s="40">
        <f>13*3*2</f>
        <v>78</v>
      </c>
      <c r="H8" s="4">
        <f>Table2121921[[#This Row],[Cost per Unit (OASE)]]*Table2121921[[#This Row],[Quantity]]</f>
        <v>179.39999999999998</v>
      </c>
      <c r="I8" s="12">
        <f>Table2121921[[#This Row],[Cost per Unit (Rokkas)]]*Table2121921[[#This Row],[Quantity]]</f>
        <v>312</v>
      </c>
      <c r="J8" s="12">
        <f>Table2121921[[#This Row],[Cost per Unit (BSG)]]*Table2121921[[#This Row],[Quantity]]</f>
        <v>109.19999999999999</v>
      </c>
      <c r="K8" s="34">
        <f>Table2121921[[#This Row],[Cost per Unit(Phillipson)]]*Table2121921[[#This Row],[Quantity]]</f>
        <v>0</v>
      </c>
    </row>
    <row r="9" spans="1:11" x14ac:dyDescent="0.25">
      <c r="A9" s="38" t="s">
        <v>70</v>
      </c>
      <c r="B9" s="38" t="s">
        <v>69</v>
      </c>
      <c r="C9" s="4">
        <v>5.0999999999999996</v>
      </c>
      <c r="D9" s="4">
        <f>5+2</f>
        <v>7</v>
      </c>
      <c r="E9" s="4">
        <f>3+2</f>
        <v>5</v>
      </c>
      <c r="F9" s="4">
        <f>5+2</f>
        <v>7</v>
      </c>
      <c r="G9" s="40">
        <f>1113*4</f>
        <v>4452</v>
      </c>
      <c r="H9" s="4">
        <f>Table2121921[[#This Row],[Cost per Unit (OASE)]]*Table2121921[[#This Row],[Quantity]]</f>
        <v>22705.199999999997</v>
      </c>
      <c r="I9" s="12">
        <f>Table2121921[[#This Row],[Cost per Unit (Rokkas)]]*Table2121921[[#This Row],[Quantity]]</f>
        <v>31164</v>
      </c>
      <c r="J9" s="12">
        <f>Table2121921[[#This Row],[Cost per Unit (BSG)]]*Table2121921[[#This Row],[Quantity]]</f>
        <v>22260</v>
      </c>
      <c r="K9" s="34">
        <f>Table2121921[[#This Row],[Cost per Unit(Phillipson)]]*Table2121921[[#This Row],[Quantity]]</f>
        <v>31164</v>
      </c>
    </row>
    <row r="10" spans="1:11" x14ac:dyDescent="0.25">
      <c r="A10" s="38" t="s">
        <v>30</v>
      </c>
      <c r="B10" s="38" t="s">
        <v>121</v>
      </c>
      <c r="C10" s="40">
        <v>1.8</v>
      </c>
      <c r="D10" s="40">
        <v>10</v>
      </c>
      <c r="E10" s="40">
        <v>4</v>
      </c>
      <c r="F10" s="40">
        <v>0</v>
      </c>
      <c r="G10" s="40">
        <f>1113*4</f>
        <v>4452</v>
      </c>
      <c r="H10" s="42">
        <f>Table2121921[[#This Row],[Cost per Unit (OASE)]]*Table2121921[[#This Row],[Quantity]]</f>
        <v>8013.6</v>
      </c>
      <c r="I10" s="40">
        <f>Table2121921[[#This Row],[Cost per Unit (Rokkas)]]*Table2121921[[#This Row],[Quantity]]</f>
        <v>44520</v>
      </c>
      <c r="J10" s="40">
        <f>Table2121921[[#This Row],[Cost per Unit (BSG)]]*Table2121921[[#This Row],[Quantity]]</f>
        <v>17808</v>
      </c>
      <c r="K10" s="40">
        <f>Table2121921[[#This Row],[Cost per Unit(Phillipson)]]*Table2121921[[#This Row],[Quantity]]</f>
        <v>0</v>
      </c>
    </row>
    <row r="11" spans="1:11" x14ac:dyDescent="0.25">
      <c r="A11" s="38" t="s">
        <v>70</v>
      </c>
      <c r="B11" s="38" t="s">
        <v>63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2">
        <f>Table2121921[[#This Row],[Cost per Unit (OASE)]]*Table2121921[[#This Row],[Quantity]]</f>
        <v>0</v>
      </c>
      <c r="I11" s="41">
        <f>Table2121921[[#This Row],[Cost per Unit (Rokkas)]]*Table2121921[[#This Row],[Quantity]]</f>
        <v>0</v>
      </c>
      <c r="J11" s="41">
        <f>Table2121921[[#This Row],[Cost per Unit (BSG)]]*Table2121921[[#This Row],[Quantity]]</f>
        <v>0</v>
      </c>
      <c r="K11" s="41">
        <f>Table2121921[[#This Row],[Cost per Unit(Phillipson)]]*Table2121921[[#This Row],[Quantity]]</f>
        <v>0</v>
      </c>
    </row>
    <row r="14" spans="1:11" x14ac:dyDescent="0.25">
      <c r="A14" s="23" t="s">
        <v>75</v>
      </c>
      <c r="B14" s="23" t="s">
        <v>35</v>
      </c>
      <c r="C14" s="23" t="s">
        <v>36</v>
      </c>
      <c r="D14" s="23" t="s">
        <v>37</v>
      </c>
      <c r="E14" s="23" t="s">
        <v>34</v>
      </c>
    </row>
    <row r="15" spans="1:11" ht="15.75" thickBot="1" x14ac:dyDescent="0.3">
      <c r="A15" s="23" t="s">
        <v>76</v>
      </c>
      <c r="B15" s="19">
        <f>SUM(H2:H7)</f>
        <v>7076.4666666666662</v>
      </c>
      <c r="C15" s="19">
        <f>SUM(H6:H11)</f>
        <v>31299.266666666663</v>
      </c>
      <c r="D15" s="10">
        <f>SUM(H8:H9)</f>
        <v>22884.6</v>
      </c>
      <c r="E15" s="5">
        <f>SUM(B15:D15)</f>
        <v>61260.333333333328</v>
      </c>
      <c r="F15" s="5"/>
      <c r="G15" s="10"/>
    </row>
    <row r="16" spans="1:11" ht="16.5" thickTop="1" thickBot="1" x14ac:dyDescent="0.3">
      <c r="A16" s="23" t="s">
        <v>77</v>
      </c>
      <c r="B16" s="23">
        <f>SUM(I2:I7)</f>
        <v>18600</v>
      </c>
      <c r="C16" s="23">
        <f>SUM(I6:I11)</f>
        <v>78996</v>
      </c>
      <c r="D16" s="23">
        <f>SUM(I8:I9)</f>
        <v>31476</v>
      </c>
      <c r="E16" s="5">
        <f t="shared" ref="E16:E18" si="0">SUM(B16:D16)</f>
        <v>129072</v>
      </c>
      <c r="F16" s="5"/>
    </row>
    <row r="17" spans="1:6" ht="16.5" thickTop="1" thickBot="1" x14ac:dyDescent="0.3">
      <c r="A17" s="23" t="s">
        <v>101</v>
      </c>
      <c r="B17" s="23">
        <f>SUM(J2:J7)</f>
        <v>27500</v>
      </c>
      <c r="C17" s="23">
        <f>SUM(J6:J11)</f>
        <v>40377.199999999997</v>
      </c>
      <c r="D17" s="23">
        <f>SUM(J8:J9)</f>
        <v>22369.200000000001</v>
      </c>
      <c r="E17" s="5">
        <f t="shared" si="0"/>
        <v>90246.399999999994</v>
      </c>
      <c r="F17" s="5"/>
    </row>
    <row r="18" spans="1:6" ht="16.5" thickTop="1" thickBot="1" x14ac:dyDescent="0.3">
      <c r="A18" s="23" t="s">
        <v>6</v>
      </c>
      <c r="B18" s="23">
        <f>SUM(K2:K7)</f>
        <v>4680</v>
      </c>
      <c r="C18" s="23">
        <f>SUM(K6:K11)</f>
        <v>31164</v>
      </c>
      <c r="D18" s="23">
        <f>SUM(K8:K9)</f>
        <v>31164</v>
      </c>
      <c r="E18" s="5">
        <f t="shared" si="0"/>
        <v>67008</v>
      </c>
    </row>
    <row r="19" spans="1:6" ht="15.75" thickTop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10" sqref="C10"/>
    </sheetView>
  </sheetViews>
  <sheetFormatPr defaultColWidth="9.140625" defaultRowHeight="15" x14ac:dyDescent="0.25"/>
  <cols>
    <col min="1" max="1" width="29.28515625" style="23" customWidth="1"/>
    <col min="2" max="2" width="38" style="23" customWidth="1"/>
    <col min="3" max="6" width="21.28515625" style="23" customWidth="1"/>
    <col min="7" max="7" width="18" style="23" customWidth="1"/>
    <col min="8" max="8" width="17.85546875" style="23" customWidth="1"/>
    <col min="9" max="16384" width="9.140625" style="23"/>
  </cols>
  <sheetData>
    <row r="1" spans="1:11" x14ac:dyDescent="0.25">
      <c r="A1" s="7" t="s">
        <v>18</v>
      </c>
      <c r="B1" s="7" t="s">
        <v>19</v>
      </c>
      <c r="C1" s="7" t="s">
        <v>20</v>
      </c>
      <c r="D1" s="7" t="s">
        <v>73</v>
      </c>
      <c r="E1" s="7" t="s">
        <v>99</v>
      </c>
      <c r="F1" s="7" t="s">
        <v>112</v>
      </c>
      <c r="G1" s="7" t="s">
        <v>21</v>
      </c>
      <c r="H1" s="7" t="s">
        <v>22</v>
      </c>
      <c r="I1" s="7" t="s">
        <v>74</v>
      </c>
      <c r="J1" s="7" t="s">
        <v>100</v>
      </c>
      <c r="K1" s="33" t="s">
        <v>111</v>
      </c>
    </row>
    <row r="2" spans="1:11" x14ac:dyDescent="0.2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f>8*4</f>
        <v>32</v>
      </c>
      <c r="H2" s="4">
        <f>Table21222[[#This Row],[Cost per Unit (OASE)]]*Table21222[[#This Row],[Quantity]]</f>
        <v>512</v>
      </c>
      <c r="I2" s="12">
        <f>Table21222[[#This Row],[Cost per Unit (Rokkas)]]*Table21222[[#This Row],[Quantity]]</f>
        <v>0</v>
      </c>
      <c r="J2" s="12">
        <f>Table21222[[#This Row],[Cost per Unit (BSG)]]*Table21222[[#This Row],[Quantity]]</f>
        <v>0</v>
      </c>
      <c r="K2" s="34">
        <f>Table21222[[#This Row],[Cost per Unit(Phillipson)]]*Table21222[[#This Row],[Quantity]]</f>
        <v>0</v>
      </c>
    </row>
    <row r="3" spans="1:11" x14ac:dyDescent="0.25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f>13*4</f>
        <v>52</v>
      </c>
      <c r="H3" s="4">
        <f>Table21222[[#This Row],[Cost per Unit (OASE)]]*Table21222[[#This Row],[Quantity]]</f>
        <v>457.6</v>
      </c>
      <c r="I3" s="12">
        <f>Table21222[[#This Row],[Cost per Unit (Rokkas)]]*Table21222[[#This Row],[Quantity]]</f>
        <v>10400</v>
      </c>
      <c r="J3" s="12">
        <f>Table21222[[#This Row],[Cost per Unit (BSG)]]*Table21222[[#This Row],[Quantity]]</f>
        <v>18200</v>
      </c>
      <c r="K3" s="34">
        <f>Table21222[[#This Row],[Cost per Unit(Phillipson)]]*Table21222[[#This Row],[Quantity]]</f>
        <v>3120</v>
      </c>
    </row>
    <row r="4" spans="1:11" x14ac:dyDescent="0.2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f>13*4</f>
        <v>52</v>
      </c>
      <c r="H4" s="4">
        <f>Table21222[[#This Row],[Cost per Unit (OASE)]]*Table21222[[#This Row],[Quantity]]</f>
        <v>3276</v>
      </c>
      <c r="I4" s="12">
        <f>Table21222[[#This Row],[Cost per Unit (Rokkas)]]*Table21222[[#This Row],[Quantity]]</f>
        <v>0</v>
      </c>
      <c r="J4" s="12">
        <f>Table21222[[#This Row],[Cost per Unit (BSG)]]*Table21222[[#This Row],[Quantity]]</f>
        <v>0</v>
      </c>
      <c r="K4" s="34">
        <f>Table21222[[#This Row],[Cost per Unit(Phillipson)]]*Table21222[[#This Row],[Quantity]]</f>
        <v>0</v>
      </c>
    </row>
    <row r="5" spans="1:11" x14ac:dyDescent="0.2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f>13*4</f>
        <v>52</v>
      </c>
      <c r="H5" s="4">
        <f>Table21222[[#This Row],[Cost per Unit (OASE)]]*Table21222[[#This Row],[Quantity]]</f>
        <v>119.6</v>
      </c>
      <c r="I5" s="12">
        <f>Table21222[[#This Row],[Cost per Unit (Rokkas)]]*Table21222[[#This Row],[Quantity]]</f>
        <v>0</v>
      </c>
      <c r="J5" s="12">
        <f>Table21222[[#This Row],[Cost per Unit (BSG)]]*Table21222[[#This Row],[Quantity]]</f>
        <v>0</v>
      </c>
      <c r="K5" s="34">
        <f>Table21222[[#This Row],[Cost per Unit(Phillipson)]]*Table21222[[#This Row],[Quantity]]</f>
        <v>0</v>
      </c>
    </row>
    <row r="6" spans="1:11" x14ac:dyDescent="0.2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f>4*4</f>
        <v>16</v>
      </c>
      <c r="H6" s="4">
        <f>Table21222[[#This Row],[Cost per Unit (OASE)]]*Table21222[[#This Row],[Quantity]]</f>
        <v>0.35555555555555557</v>
      </c>
      <c r="I6" s="12">
        <f>Table21222[[#This Row],[Cost per Unit (Rokkas)]]*Table21222[[#This Row],[Quantity]]</f>
        <v>0</v>
      </c>
      <c r="J6" s="12">
        <f>Table21222[[#This Row],[Cost per Unit (BSG)]]*Table21222[[#This Row],[Quantity]]</f>
        <v>0</v>
      </c>
      <c r="K6" s="34">
        <f>Table21222[[#This Row],[Cost per Unit(Phillipson)]]*Table21222[[#This Row],[Quantity]]</f>
        <v>0</v>
      </c>
    </row>
    <row r="7" spans="1:11" x14ac:dyDescent="0.25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Table21222[[#This Row],[Cost per Unit (OASE)]]*Table21222[[#This Row],[Quantity]]</f>
        <v>400</v>
      </c>
      <c r="I7" s="12">
        <f>Table21222[[#This Row],[Cost per Unit (Rokkas)]]*Table21222[[#This Row],[Quantity]]</f>
        <v>3000</v>
      </c>
      <c r="J7" s="12">
        <f>Table21222[[#This Row],[Cost per Unit (BSG)]]*Table21222[[#This Row],[Quantity]]</f>
        <v>200</v>
      </c>
      <c r="K7" s="34">
        <f>Table21222[[#This Row],[Cost per Unit(Phillipson)]]*Table21222[[#This Row],[Quantity]]</f>
        <v>0</v>
      </c>
    </row>
    <row r="8" spans="1:11" x14ac:dyDescent="0.25">
      <c r="A8" s="38" t="s">
        <v>28</v>
      </c>
      <c r="B8" s="38" t="s">
        <v>47</v>
      </c>
      <c r="C8" s="40">
        <v>1.8</v>
      </c>
      <c r="D8" s="40">
        <v>4</v>
      </c>
      <c r="E8" s="40">
        <v>1.4</v>
      </c>
      <c r="F8" s="40">
        <v>0</v>
      </c>
      <c r="G8" s="40">
        <f>13*4</f>
        <v>52</v>
      </c>
      <c r="H8" s="4">
        <f>Table21222[[#This Row],[Cost per Unit (OASE)]]*Table21222[[#This Row],[Quantity]]</f>
        <v>93.600000000000009</v>
      </c>
      <c r="I8" s="12">
        <f>Table21222[[#This Row],[Cost per Unit (Rokkas)]]*Table21222[[#This Row],[Quantity]]</f>
        <v>208</v>
      </c>
      <c r="J8" s="12">
        <f>Table21222[[#This Row],[Cost per Unit (BSG)]]*Table21222[[#This Row],[Quantity]]</f>
        <v>72.8</v>
      </c>
      <c r="K8" s="34">
        <f>Table21222[[#This Row],[Cost per Unit(Phillipson)]]*Table21222[[#This Row],[Quantity]]</f>
        <v>0</v>
      </c>
    </row>
    <row r="9" spans="1:11" x14ac:dyDescent="0.25">
      <c r="A9" s="38" t="s">
        <v>30</v>
      </c>
      <c r="B9" s="38" t="s">
        <v>69</v>
      </c>
      <c r="C9" s="40">
        <v>3.1</v>
      </c>
      <c r="D9" s="40">
        <f>250/50</f>
        <v>5</v>
      </c>
      <c r="E9" s="40">
        <f>150/50</f>
        <v>3</v>
      </c>
      <c r="F9" s="40">
        <v>5</v>
      </c>
      <c r="G9" s="40">
        <f>1113*4</f>
        <v>4452</v>
      </c>
      <c r="H9" s="4">
        <f>Table21222[[#This Row],[Cost per Unit (OASE)]]*Table21222[[#This Row],[Quantity]]</f>
        <v>13801.2</v>
      </c>
      <c r="I9" s="12">
        <f>Table21222[[#This Row],[Cost per Unit (Rokkas)]]*Table21222[[#This Row],[Quantity]]</f>
        <v>22260</v>
      </c>
      <c r="J9" s="12">
        <f>Table21222[[#This Row],[Cost per Unit (BSG)]]*Table21222[[#This Row],[Quantity]]</f>
        <v>13356</v>
      </c>
      <c r="K9" s="34">
        <f>Table21222[[#This Row],[Cost per Unit(Phillipson)]]*Table21222[[#This Row],[Quantity]]</f>
        <v>22260</v>
      </c>
    </row>
    <row r="10" spans="1:11" x14ac:dyDescent="0.25">
      <c r="A10" s="38" t="s">
        <v>30</v>
      </c>
      <c r="B10" s="38" t="s">
        <v>120</v>
      </c>
      <c r="C10" s="40">
        <v>12</v>
      </c>
      <c r="D10" s="40">
        <f>750/50</f>
        <v>15</v>
      </c>
      <c r="E10" s="40">
        <v>12</v>
      </c>
      <c r="F10" s="40">
        <v>10</v>
      </c>
      <c r="G10" s="40">
        <f>1113*4</f>
        <v>4452</v>
      </c>
      <c r="H10" s="42">
        <f>Table21222[[#This Row],[Cost per Unit (OASE)]]*Table21222[[#This Row],[Quantity]]+11300</f>
        <v>64724</v>
      </c>
      <c r="I10" s="40">
        <f>Table21222[[#This Row],[Cost per Unit (Rokkas)]]*Table21222[[#This Row],[Quantity]]+11130</f>
        <v>77910</v>
      </c>
      <c r="J10" s="40">
        <f>Table21222[[#This Row],[Cost per Unit (BSG)]]*Table21222[[#This Row],[Quantity]]+11130</f>
        <v>64554</v>
      </c>
      <c r="K10" s="40">
        <f>Table21222[[#This Row],[Cost per Unit(Phillipson)]]*Table21222[[#This Row],[Quantity]]+11130</f>
        <v>55650</v>
      </c>
    </row>
    <row r="11" spans="1:11" x14ac:dyDescent="0.25">
      <c r="A11" s="38" t="s">
        <v>70</v>
      </c>
      <c r="B11" s="38" t="s">
        <v>63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2">
        <f>Table21222[[#This Row],[Cost per Unit (OASE)]]*Table21222[[#This Row],[Quantity]]</f>
        <v>0</v>
      </c>
      <c r="I11" s="41">
        <f>Table21222[[#This Row],[Cost per Unit (Rokkas)]]*Table21222[[#This Row],[Quantity]]</f>
        <v>0</v>
      </c>
      <c r="J11" s="41">
        <f>Table21222[[#This Row],[Cost per Unit (BSG)]]*Table21222[[#This Row],[Quantity]]</f>
        <v>0</v>
      </c>
      <c r="K11" s="41">
        <f>Table21222[[#This Row],[Cost per Unit(Phillipson)]]*Table21222[[#This Row],[Quantity]]</f>
        <v>0</v>
      </c>
    </row>
    <row r="12" spans="1:11" x14ac:dyDescent="0.25">
      <c r="A12" s="39"/>
      <c r="B12" s="39"/>
      <c r="C12" s="41"/>
      <c r="D12" s="41"/>
      <c r="E12" s="41"/>
      <c r="F12" s="41"/>
      <c r="G12" s="41"/>
      <c r="H12" s="43"/>
      <c r="I12" s="41"/>
      <c r="J12" s="41"/>
      <c r="K12" s="41"/>
    </row>
    <row r="13" spans="1:11" x14ac:dyDescent="0.25">
      <c r="A13" s="39"/>
      <c r="B13" s="39"/>
      <c r="C13" s="41"/>
      <c r="D13" s="41"/>
      <c r="E13" s="41"/>
      <c r="F13" s="41"/>
      <c r="G13" s="41"/>
      <c r="H13" s="43"/>
      <c r="I13" s="41"/>
      <c r="J13" s="41"/>
      <c r="K13" s="41"/>
    </row>
    <row r="15" spans="1:11" x14ac:dyDescent="0.25">
      <c r="A15" s="23" t="s">
        <v>75</v>
      </c>
      <c r="B15" s="23" t="s">
        <v>35</v>
      </c>
      <c r="C15" s="23" t="s">
        <v>36</v>
      </c>
      <c r="D15" s="23" t="s">
        <v>37</v>
      </c>
      <c r="E15" s="23" t="s">
        <v>34</v>
      </c>
    </row>
    <row r="16" spans="1:11" ht="15.75" thickBot="1" x14ac:dyDescent="0.3">
      <c r="A16" s="23" t="s">
        <v>76</v>
      </c>
      <c r="B16" s="19">
        <f>SUM(H2:H7)</f>
        <v>4765.5555555555566</v>
      </c>
      <c r="C16" s="19">
        <f>SUM(H8:H10)</f>
        <v>78618.8</v>
      </c>
      <c r="D16" s="10">
        <f>SUM(H11)</f>
        <v>0</v>
      </c>
      <c r="E16" s="5">
        <f>SUM(B16:D16)</f>
        <v>83384.355555555565</v>
      </c>
      <c r="F16" s="5"/>
      <c r="G16" s="10"/>
    </row>
    <row r="17" spans="1:6" ht="16.5" thickTop="1" thickBot="1" x14ac:dyDescent="0.3">
      <c r="A17" s="23" t="s">
        <v>77</v>
      </c>
      <c r="B17" s="23">
        <f>SUM(I2:I7)</f>
        <v>13400</v>
      </c>
      <c r="C17" s="23">
        <f>SUM(I8:I10)</f>
        <v>100378</v>
      </c>
      <c r="D17" s="23">
        <v>0</v>
      </c>
      <c r="E17" s="5">
        <f>SUM(B17:D17)</f>
        <v>113778</v>
      </c>
      <c r="F17" s="5"/>
    </row>
    <row r="18" spans="1:6" ht="16.5" thickTop="1" thickBot="1" x14ac:dyDescent="0.3">
      <c r="A18" s="23" t="s">
        <v>101</v>
      </c>
      <c r="B18" s="23">
        <f>SUM(J2:J7)</f>
        <v>18400</v>
      </c>
      <c r="C18" s="23">
        <f>SUM(J8:J10)</f>
        <v>77982.8</v>
      </c>
      <c r="D18" s="23">
        <v>0</v>
      </c>
      <c r="E18" s="5">
        <f>SUM(B18:D18)</f>
        <v>96382.8</v>
      </c>
      <c r="F18" s="5"/>
    </row>
    <row r="19" spans="1:6" ht="16.5" thickTop="1" thickBot="1" x14ac:dyDescent="0.3">
      <c r="A19" s="23" t="s">
        <v>6</v>
      </c>
      <c r="B19" s="23">
        <f>SUM(K2:K7)</f>
        <v>3120</v>
      </c>
      <c r="C19" s="23">
        <f>SUM(K8:K10)</f>
        <v>77910</v>
      </c>
      <c r="D19" s="23">
        <v>0</v>
      </c>
      <c r="E19" s="5">
        <f>SUM(B19:D19)</f>
        <v>81030</v>
      </c>
    </row>
    <row r="20" spans="1:6" ht="15.75" thickTop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A10" zoomScale="80" zoomScaleNormal="80" workbookViewId="0">
      <selection activeCell="C57" sqref="C57:F66"/>
    </sheetView>
  </sheetViews>
  <sheetFormatPr defaultRowHeight="15" x14ac:dyDescent="0.25"/>
  <cols>
    <col min="1" max="4" width="36.28515625" customWidth="1"/>
    <col min="5" max="5" width="32.85546875" customWidth="1"/>
    <col min="6" max="6" width="36.7109375" customWidth="1"/>
    <col min="7" max="8" width="29.5703125" customWidth="1"/>
    <col min="9" max="9" width="32.7109375" customWidth="1"/>
    <col min="10" max="10" width="30.140625" customWidth="1"/>
    <col min="11" max="11" width="18.85546875" customWidth="1"/>
  </cols>
  <sheetData>
    <row r="1" spans="1:11" ht="14.45" x14ac:dyDescent="0.3">
      <c r="A1" t="s">
        <v>58</v>
      </c>
    </row>
    <row r="2" spans="1:11" ht="14.45" x14ac:dyDescent="0.3">
      <c r="A2" t="s">
        <v>49</v>
      </c>
      <c r="B2" t="s">
        <v>1</v>
      </c>
      <c r="C2" t="s">
        <v>2</v>
      </c>
      <c r="D2" t="s">
        <v>62</v>
      </c>
      <c r="E2" t="s">
        <v>60</v>
      </c>
      <c r="F2" t="s">
        <v>61</v>
      </c>
      <c r="G2" t="s">
        <v>55</v>
      </c>
      <c r="H2" t="s">
        <v>56</v>
      </c>
      <c r="I2" t="s">
        <v>57</v>
      </c>
      <c r="J2" t="s">
        <v>105</v>
      </c>
      <c r="K2" t="s">
        <v>59</v>
      </c>
    </row>
    <row r="3" spans="1:11" x14ac:dyDescent="0.25">
      <c r="A3" t="s">
        <v>50</v>
      </c>
      <c r="B3" s="37">
        <v>130624.27288573209</v>
      </c>
      <c r="C3" s="37">
        <v>15.17577811122734</v>
      </c>
      <c r="D3">
        <f>'FTTCab GPON 26 Mbps'!B$18</f>
        <v>1130.8222222222221</v>
      </c>
      <c r="E3" s="23">
        <f>'FTTCab GPON 26 Mbps'!C$18</f>
        <v>133116.6</v>
      </c>
      <c r="F3" s="23">
        <f>'FTTCab GPON 26 Mbps'!D$18</f>
        <v>0</v>
      </c>
      <c r="G3">
        <f>SUM(B3:F3)</f>
        <v>264886.87088606553</v>
      </c>
      <c r="H3">
        <f t="shared" ref="H3:H8" si="0">G3*50</f>
        <v>13244343.544303276</v>
      </c>
      <c r="I3">
        <v>63160</v>
      </c>
      <c r="J3">
        <f>H3/I3</f>
        <v>209.69511628092584</v>
      </c>
      <c r="K3">
        <v>25</v>
      </c>
    </row>
    <row r="4" spans="1:11" x14ac:dyDescent="0.25">
      <c r="A4" t="s">
        <v>51</v>
      </c>
      <c r="B4" s="37">
        <v>130624.27288573209</v>
      </c>
      <c r="C4" s="37">
        <v>24.00264110015074</v>
      </c>
      <c r="D4">
        <f>'FTTB XGPON 50 Mbps'!B$17</f>
        <v>2489.7777777777778</v>
      </c>
      <c r="E4" s="23">
        <f>'FTTB XGPON 50 Mbps'!C$17</f>
        <v>1942.8</v>
      </c>
      <c r="F4" s="23">
        <f>'FTTB XGPON 50 Mbps'!D$17</f>
        <v>18690</v>
      </c>
      <c r="G4" s="13">
        <f>SUM(B4:F4)</f>
        <v>153770.85330461001</v>
      </c>
      <c r="H4" s="18">
        <f t="shared" si="0"/>
        <v>7688542.6652305005</v>
      </c>
      <c r="I4" s="23">
        <v>63160</v>
      </c>
      <c r="J4" s="13">
        <f t="shared" ref="J4:J7" si="1">H4/I4</f>
        <v>121.73120115944428</v>
      </c>
      <c r="K4">
        <v>50</v>
      </c>
    </row>
    <row r="5" spans="1:11" x14ac:dyDescent="0.25">
      <c r="A5" t="s">
        <v>127</v>
      </c>
      <c r="B5" s="37">
        <v>96863.039824774663</v>
      </c>
      <c r="C5" s="37">
        <v>27.742685586958398</v>
      </c>
      <c r="D5">
        <f>'FTTB WR-WDMPON 50 Mbps'!B15</f>
        <v>8827.3244444444445</v>
      </c>
      <c r="E5" s="23">
        <f>'FTTB WR-WDMPON 50 Mbps'!C15</f>
        <v>2688</v>
      </c>
      <c r="F5" s="23">
        <f>'FTTB WR-WDMPON 50 Mbps'!D15</f>
        <v>18690</v>
      </c>
      <c r="G5" s="13">
        <f t="shared" ref="G5:G6" si="2">SUM(B5:F5)</f>
        <v>127096.10695480606</v>
      </c>
      <c r="H5" s="18">
        <f t="shared" si="0"/>
        <v>6354805.3477403028</v>
      </c>
      <c r="I5" s="23">
        <v>63160</v>
      </c>
      <c r="J5" s="13">
        <f t="shared" si="1"/>
        <v>100.61439752597059</v>
      </c>
      <c r="K5">
        <v>50</v>
      </c>
    </row>
    <row r="6" spans="1:11" x14ac:dyDescent="0.25">
      <c r="A6" t="s">
        <v>128</v>
      </c>
      <c r="B6" s="37">
        <v>96863.039824774663</v>
      </c>
      <c r="C6" s="37">
        <v>31.3026855869584</v>
      </c>
      <c r="D6">
        <f>'FTTH WR-WDMPON 100 Mbps'!B15</f>
        <v>10081.84888888889</v>
      </c>
      <c r="E6" s="23">
        <f>'FTTH WR-WDMPON 100 Mbps'!C15</f>
        <v>2688</v>
      </c>
      <c r="F6" s="23">
        <f>'FTTH WR-WDMPON 100 Mbps'!D15</f>
        <v>45390</v>
      </c>
      <c r="G6" s="13">
        <f t="shared" si="2"/>
        <v>155054.1913992505</v>
      </c>
      <c r="H6" s="18">
        <f t="shared" si="0"/>
        <v>7752709.5699625248</v>
      </c>
      <c r="I6" s="23">
        <v>63160</v>
      </c>
      <c r="J6" s="13">
        <f t="shared" si="1"/>
        <v>122.7471432862971</v>
      </c>
      <c r="K6">
        <v>100</v>
      </c>
    </row>
    <row r="7" spans="1:11" x14ac:dyDescent="0.25">
      <c r="A7" t="s">
        <v>54</v>
      </c>
      <c r="B7" s="37">
        <v>130624.27288573209</v>
      </c>
      <c r="C7" s="37">
        <v>27.562641100150739</v>
      </c>
      <c r="D7">
        <f>'FTTH XGPON 100 Mbps'!B17</f>
        <v>4779.5555555555557</v>
      </c>
      <c r="E7" s="23">
        <f>'FTTH XGPON 100 Mbps'!C17</f>
        <v>3885.6</v>
      </c>
      <c r="F7" s="23">
        <f>'FTTH XGPON 100 Mbps'!D17</f>
        <v>27590</v>
      </c>
      <c r="G7" s="13">
        <f t="shared" ref="G7:G12" si="3">SUM(B7:F7)</f>
        <v>166906.9910823878</v>
      </c>
      <c r="H7" s="18">
        <f t="shared" si="0"/>
        <v>8345349.5541193904</v>
      </c>
      <c r="I7" s="23">
        <v>63160</v>
      </c>
      <c r="J7" s="13">
        <f t="shared" si="1"/>
        <v>132.13029693032601</v>
      </c>
      <c r="K7">
        <v>100</v>
      </c>
    </row>
    <row r="8" spans="1:11" x14ac:dyDescent="0.25">
      <c r="A8" t="s">
        <v>64</v>
      </c>
      <c r="B8" s="37">
        <v>130624.27288573209</v>
      </c>
      <c r="C8" s="37">
        <v>15.17577811122734</v>
      </c>
      <c r="D8" s="13">
        <f>FTTCab_GPON_100!B16</f>
        <v>10067.288888888888</v>
      </c>
      <c r="E8" s="23">
        <f>FTTCab_GPON_100!C16</f>
        <v>213796</v>
      </c>
      <c r="F8" s="23">
        <f>FTTCab_GPON_100!D16</f>
        <v>0</v>
      </c>
      <c r="G8">
        <f t="shared" si="3"/>
        <v>354502.73755273223</v>
      </c>
      <c r="H8" s="18">
        <f t="shared" si="0"/>
        <v>17725136.877636611</v>
      </c>
      <c r="I8" s="23">
        <v>63160</v>
      </c>
      <c r="J8">
        <f>H8/I8</f>
        <v>280.63864594104831</v>
      </c>
      <c r="K8" s="13">
        <v>100</v>
      </c>
    </row>
    <row r="9" spans="1:11" x14ac:dyDescent="0.25">
      <c r="A9" s="17" t="s">
        <v>65</v>
      </c>
      <c r="B9" s="37">
        <v>108981.84036844285</v>
      </c>
      <c r="C9" s="37">
        <v>26.109697072632372</v>
      </c>
      <c r="D9">
        <f>FTTCab_Hybridpon_25!B16</f>
        <v>6569.3</v>
      </c>
      <c r="E9" s="23">
        <f>FTTCab_Hybridpon_25!C16</f>
        <v>24696.3</v>
      </c>
      <c r="F9" s="23">
        <f>FTTCab_Hybridpon_25!D16</f>
        <v>0</v>
      </c>
      <c r="G9">
        <f t="shared" si="3"/>
        <v>140273.55006551548</v>
      </c>
      <c r="H9" s="44">
        <f>G9*50</f>
        <v>7013677.5032757735</v>
      </c>
      <c r="I9" s="23">
        <v>63160</v>
      </c>
      <c r="J9">
        <f>H9/I9</f>
        <v>111.04619226212434</v>
      </c>
      <c r="K9">
        <v>25</v>
      </c>
    </row>
    <row r="10" spans="1:11" x14ac:dyDescent="0.25">
      <c r="A10" s="17" t="s">
        <v>66</v>
      </c>
      <c r="B10" s="37">
        <v>109173.28887744647</v>
      </c>
      <c r="C10" s="37">
        <v>32.359147211582574</v>
      </c>
      <c r="D10">
        <f>FTTB_Hybridpon_50!B15</f>
        <v>3737.9666666666667</v>
      </c>
      <c r="E10" s="23">
        <f>FTTB_Hybridpon_50!C15</f>
        <v>11397.366666666667</v>
      </c>
      <c r="F10" s="23">
        <f>FTTB_Hybridpon_50!D15</f>
        <v>6990.3</v>
      </c>
      <c r="G10">
        <f t="shared" si="3"/>
        <v>131331.28135799136</v>
      </c>
      <c r="H10" s="44">
        <f>G10*50</f>
        <v>6566564.067899568</v>
      </c>
      <c r="I10" s="23">
        <v>63160</v>
      </c>
      <c r="J10">
        <f>H10/I10</f>
        <v>103.96713217067081</v>
      </c>
      <c r="K10">
        <v>50</v>
      </c>
    </row>
    <row r="11" spans="1:11" x14ac:dyDescent="0.25">
      <c r="A11" s="17" t="s">
        <v>67</v>
      </c>
      <c r="B11" s="37">
        <v>109173.28887744647</v>
      </c>
      <c r="C11" s="37">
        <v>35.919147211582576</v>
      </c>
      <c r="D11">
        <f>FTTH_Hybridpon_100!B15</f>
        <v>7076.4666666666662</v>
      </c>
      <c r="E11" s="23">
        <f>FTTH_Hybridpon_100!C15</f>
        <v>31299.266666666663</v>
      </c>
      <c r="F11" s="23">
        <f>FTTH_Hybridpon_100!D15</f>
        <v>22884.6</v>
      </c>
      <c r="G11">
        <f t="shared" si="3"/>
        <v>170469.54135799137</v>
      </c>
      <c r="H11" s="44">
        <f>G11*50</f>
        <v>8523477.067899568</v>
      </c>
      <c r="I11" s="23">
        <v>63160</v>
      </c>
      <c r="J11">
        <f>H11/I11</f>
        <v>134.95055522323571</v>
      </c>
      <c r="K11">
        <v>100</v>
      </c>
    </row>
    <row r="12" spans="1:11" x14ac:dyDescent="0.25">
      <c r="A12" s="17" t="s">
        <v>68</v>
      </c>
      <c r="B12" s="37">
        <v>108981.84036844285</v>
      </c>
      <c r="C12" s="37">
        <v>26.109697072632372</v>
      </c>
      <c r="D12">
        <f>FTTC_Hybridpon_100!B16</f>
        <v>4765.5555555555566</v>
      </c>
      <c r="E12" s="23">
        <f>FTTC_Hybridpon_100!C16</f>
        <v>78618.8</v>
      </c>
      <c r="F12" s="23">
        <f>FTTC_Hybridpon_100!D16</f>
        <v>0</v>
      </c>
      <c r="G12">
        <f t="shared" si="3"/>
        <v>192392.30562107105</v>
      </c>
      <c r="H12" s="44">
        <f>G12*50</f>
        <v>9619615.2810535524</v>
      </c>
      <c r="I12" s="23">
        <v>63160</v>
      </c>
      <c r="J12">
        <f>H12/I12</f>
        <v>152.30549843340015</v>
      </c>
      <c r="K12">
        <v>100</v>
      </c>
    </row>
    <row r="14" spans="1:11" x14ac:dyDescent="0.25">
      <c r="B14" s="37"/>
      <c r="C14" s="37"/>
      <c r="H14" s="44"/>
    </row>
    <row r="15" spans="1:11" x14ac:dyDescent="0.25">
      <c r="A15" s="14"/>
      <c r="B15" s="37"/>
      <c r="C15" s="37"/>
      <c r="D15" s="16"/>
      <c r="E15" s="16"/>
      <c r="F15" s="16"/>
      <c r="G15" s="16"/>
      <c r="H15" s="18"/>
      <c r="I15" s="23"/>
      <c r="J15" s="16"/>
      <c r="K15" s="16"/>
    </row>
    <row r="17" spans="1:7" x14ac:dyDescent="0.25">
      <c r="A17" s="50" t="s">
        <v>49</v>
      </c>
      <c r="B17" s="51" t="s">
        <v>1</v>
      </c>
      <c r="C17" s="51" t="s">
        <v>2</v>
      </c>
      <c r="D17" s="51" t="s">
        <v>62</v>
      </c>
      <c r="E17" s="51" t="s">
        <v>60</v>
      </c>
      <c r="F17" s="51" t="s">
        <v>61</v>
      </c>
      <c r="G17" s="51" t="s">
        <v>55</v>
      </c>
    </row>
    <row r="18" spans="1:7" x14ac:dyDescent="0.25">
      <c r="A18" s="49" t="s">
        <v>50</v>
      </c>
      <c r="B18">
        <f>B3/8813</f>
        <v>14.821771574461827</v>
      </c>
      <c r="C18" s="23">
        <f t="shared" ref="C18:G18" si="4">C3/8813</f>
        <v>1.7219764111230387E-3</v>
      </c>
      <c r="D18" s="23">
        <f t="shared" si="4"/>
        <v>0.12831297199843664</v>
      </c>
      <c r="E18" s="23">
        <f t="shared" si="4"/>
        <v>15.104572790196302</v>
      </c>
      <c r="F18" s="23">
        <f t="shared" si="4"/>
        <v>0</v>
      </c>
      <c r="G18" s="23">
        <f t="shared" si="4"/>
        <v>30.056379313067687</v>
      </c>
    </row>
    <row r="19" spans="1:7" x14ac:dyDescent="0.25">
      <c r="A19" s="48" t="s">
        <v>51</v>
      </c>
      <c r="B19" s="23">
        <f t="shared" ref="B19:G19" si="5">B4/8813</f>
        <v>14.821771574461827</v>
      </c>
      <c r="C19" s="23">
        <f t="shared" si="5"/>
        <v>2.7235494269999706E-3</v>
      </c>
      <c r="D19" s="23">
        <f t="shared" si="5"/>
        <v>0.28251194573672733</v>
      </c>
      <c r="E19" s="23">
        <f t="shared" si="5"/>
        <v>0.22044706683308748</v>
      </c>
      <c r="F19" s="23">
        <f t="shared" si="5"/>
        <v>2.1207307386814933</v>
      </c>
      <c r="G19" s="23">
        <f t="shared" si="5"/>
        <v>17.448184875140136</v>
      </c>
    </row>
    <row r="20" spans="1:7" x14ac:dyDescent="0.25">
      <c r="A20" s="49" t="s">
        <v>127</v>
      </c>
      <c r="B20" s="23">
        <f t="shared" ref="B20:G20" si="6">B5/8813</f>
        <v>10.990927019717992</v>
      </c>
      <c r="C20" s="23">
        <f t="shared" si="6"/>
        <v>3.147927560076977E-3</v>
      </c>
      <c r="D20" s="23">
        <f t="shared" si="6"/>
        <v>1.0016253766531764</v>
      </c>
      <c r="E20" s="23">
        <f t="shared" si="6"/>
        <v>0.30500397140587771</v>
      </c>
      <c r="F20" s="23">
        <f t="shared" si="6"/>
        <v>2.1207307386814933</v>
      </c>
      <c r="G20" s="23">
        <f t="shared" si="6"/>
        <v>14.421435034018616</v>
      </c>
    </row>
    <row r="21" spans="1:7" x14ac:dyDescent="0.25">
      <c r="A21" s="48" t="s">
        <v>128</v>
      </c>
      <c r="B21" s="23">
        <f t="shared" ref="B21:G21" si="7">B6/8813</f>
        <v>10.990927019717992</v>
      </c>
      <c r="C21" s="23">
        <f t="shared" si="7"/>
        <v>3.5518762722067856E-3</v>
      </c>
      <c r="D21" s="23">
        <f t="shared" si="7"/>
        <v>1.1439746838634846</v>
      </c>
      <c r="E21" s="23">
        <f t="shared" si="7"/>
        <v>0.30500397140587771</v>
      </c>
      <c r="F21" s="23">
        <f t="shared" si="7"/>
        <v>5.1503460796550549</v>
      </c>
      <c r="G21" s="23">
        <f t="shared" si="7"/>
        <v>17.593803630914614</v>
      </c>
    </row>
    <row r="22" spans="1:7" x14ac:dyDescent="0.25">
      <c r="A22" s="49" t="s">
        <v>54</v>
      </c>
      <c r="B22" s="23">
        <f t="shared" ref="B22:G22" si="8">B7/8813</f>
        <v>14.821771574461827</v>
      </c>
      <c r="C22" s="23">
        <f t="shared" si="8"/>
        <v>3.1274981391297787E-3</v>
      </c>
      <c r="D22" s="23">
        <f t="shared" si="8"/>
        <v>0.54233014360099352</v>
      </c>
      <c r="E22" s="23">
        <f t="shared" si="8"/>
        <v>0.44089413366617497</v>
      </c>
      <c r="F22" s="23">
        <f t="shared" si="8"/>
        <v>3.1306025190060138</v>
      </c>
      <c r="G22" s="23">
        <f t="shared" si="8"/>
        <v>18.93872586887414</v>
      </c>
    </row>
    <row r="23" spans="1:7" x14ac:dyDescent="0.25">
      <c r="A23" s="48" t="s">
        <v>64</v>
      </c>
      <c r="B23" s="23">
        <f t="shared" ref="B23:G23" si="9">B8/8813</f>
        <v>14.821771574461827</v>
      </c>
      <c r="C23" s="23">
        <f t="shared" si="9"/>
        <v>1.7219764111230387E-3</v>
      </c>
      <c r="D23" s="23">
        <f t="shared" si="9"/>
        <v>1.1423225790183693</v>
      </c>
      <c r="E23" s="23">
        <f t="shared" si="9"/>
        <v>24.259162600703505</v>
      </c>
      <c r="F23" s="23">
        <f t="shared" si="9"/>
        <v>0</v>
      </c>
      <c r="G23" s="23">
        <f t="shared" si="9"/>
        <v>40.224978730594827</v>
      </c>
    </row>
    <row r="24" spans="1:7" x14ac:dyDescent="0.25">
      <c r="A24" s="47" t="s">
        <v>65</v>
      </c>
      <c r="B24" s="23">
        <f t="shared" ref="B24:G24" si="10">B9/8813</f>
        <v>12.366032039991246</v>
      </c>
      <c r="C24" s="23">
        <f t="shared" si="10"/>
        <v>2.9626344119632782E-3</v>
      </c>
      <c r="D24" s="23">
        <f t="shared" si="10"/>
        <v>0.74541018949279481</v>
      </c>
      <c r="E24" s="23">
        <f t="shared" si="10"/>
        <v>2.8022580279133096</v>
      </c>
      <c r="F24" s="23">
        <f t="shared" si="10"/>
        <v>0</v>
      </c>
      <c r="G24" s="23">
        <f t="shared" si="10"/>
        <v>15.916662891809313</v>
      </c>
    </row>
    <row r="25" spans="1:7" x14ac:dyDescent="0.25">
      <c r="A25" s="46" t="s">
        <v>66</v>
      </c>
      <c r="B25" s="23">
        <f t="shared" ref="B25:G25" si="11">B10/8813</f>
        <v>12.38775546096068</v>
      </c>
      <c r="C25" s="23">
        <f t="shared" si="11"/>
        <v>3.6717516409375439E-3</v>
      </c>
      <c r="D25" s="23">
        <f t="shared" si="11"/>
        <v>0.42414236544498657</v>
      </c>
      <c r="E25" s="23">
        <f t="shared" si="11"/>
        <v>1.2932448277166309</v>
      </c>
      <c r="F25" s="23">
        <f t="shared" si="11"/>
        <v>0.79318052876432543</v>
      </c>
      <c r="G25" s="23">
        <f t="shared" si="11"/>
        <v>14.901994934527558</v>
      </c>
    </row>
    <row r="26" spans="1:7" x14ac:dyDescent="0.25">
      <c r="A26" s="47" t="s">
        <v>67</v>
      </c>
      <c r="B26" s="23">
        <f t="shared" ref="B26:G26" si="12">B11/8813</f>
        <v>12.38775546096068</v>
      </c>
      <c r="C26" s="23">
        <f t="shared" si="12"/>
        <v>4.0757003530673521E-3</v>
      </c>
      <c r="D26" s="23">
        <f t="shared" si="12"/>
        <v>0.80295775180604401</v>
      </c>
      <c r="E26" s="23">
        <f t="shared" si="12"/>
        <v>3.551488331631302</v>
      </c>
      <c r="F26" s="23">
        <f t="shared" si="12"/>
        <v>2.5966867128106204</v>
      </c>
      <c r="G26" s="23">
        <f t="shared" si="12"/>
        <v>19.342963957561711</v>
      </c>
    </row>
    <row r="27" spans="1:7" x14ac:dyDescent="0.25">
      <c r="A27" s="46" t="s">
        <v>68</v>
      </c>
      <c r="B27" s="23">
        <f t="shared" ref="B27:G27" si="13">B12/8813</f>
        <v>12.366032039991246</v>
      </c>
      <c r="C27" s="23">
        <f t="shared" si="13"/>
        <v>2.9626344119632782E-3</v>
      </c>
      <c r="D27" s="23">
        <f t="shared" si="13"/>
        <v>0.54074158124992133</v>
      </c>
      <c r="E27" s="23">
        <f t="shared" si="13"/>
        <v>8.9207761261772394</v>
      </c>
      <c r="F27" s="23">
        <f t="shared" si="13"/>
        <v>0</v>
      </c>
      <c r="G27" s="23">
        <f t="shared" si="13"/>
        <v>21.830512381830371</v>
      </c>
    </row>
    <row r="56" spans="3:6" x14ac:dyDescent="0.25">
      <c r="C56" s="21" t="s">
        <v>1</v>
      </c>
      <c r="D56" s="21" t="s">
        <v>2</v>
      </c>
      <c r="E56" s="21" t="s">
        <v>71</v>
      </c>
      <c r="F56" s="21" t="s">
        <v>3</v>
      </c>
    </row>
    <row r="57" spans="3:6" x14ac:dyDescent="0.25">
      <c r="C57">
        <f>B3</f>
        <v>130624.27288573209</v>
      </c>
      <c r="D57" s="23">
        <f t="shared" ref="D57:E57" si="14">C3</f>
        <v>15.17577811122734</v>
      </c>
      <c r="E57" s="23">
        <f t="shared" si="14"/>
        <v>1130.8222222222221</v>
      </c>
      <c r="F57">
        <f>E3+F3</f>
        <v>133116.6</v>
      </c>
    </row>
    <row r="58" spans="3:6" x14ac:dyDescent="0.25">
      <c r="C58" s="23">
        <f t="shared" ref="C58:E58" si="15">B4</f>
        <v>130624.27288573209</v>
      </c>
      <c r="D58" s="23">
        <f t="shared" si="15"/>
        <v>24.00264110015074</v>
      </c>
      <c r="E58" s="23">
        <f t="shared" si="15"/>
        <v>2489.7777777777778</v>
      </c>
      <c r="F58" s="20">
        <f t="shared" ref="F58:F62" si="16">E4+F4</f>
        <v>20632.8</v>
      </c>
    </row>
    <row r="59" spans="3:6" x14ac:dyDescent="0.25">
      <c r="C59" s="23">
        <f t="shared" ref="C59:E59" si="17">B5</f>
        <v>96863.039824774663</v>
      </c>
      <c r="D59" s="23">
        <f t="shared" si="17"/>
        <v>27.742685586958398</v>
      </c>
      <c r="E59" s="23">
        <f t="shared" si="17"/>
        <v>8827.3244444444445</v>
      </c>
      <c r="F59" s="20">
        <f t="shared" si="16"/>
        <v>21378</v>
      </c>
    </row>
    <row r="60" spans="3:6" x14ac:dyDescent="0.25">
      <c r="C60" s="23">
        <f t="shared" ref="C60:E60" si="18">B6</f>
        <v>96863.039824774663</v>
      </c>
      <c r="D60" s="23">
        <f t="shared" si="18"/>
        <v>31.3026855869584</v>
      </c>
      <c r="E60" s="23">
        <f t="shared" si="18"/>
        <v>10081.84888888889</v>
      </c>
      <c r="F60" s="20">
        <f t="shared" si="16"/>
        <v>48078</v>
      </c>
    </row>
    <row r="61" spans="3:6" x14ac:dyDescent="0.25">
      <c r="C61" s="23">
        <f t="shared" ref="C61:E61" si="19">B7</f>
        <v>130624.27288573209</v>
      </c>
      <c r="D61" s="23">
        <f t="shared" si="19"/>
        <v>27.562641100150739</v>
      </c>
      <c r="E61" s="23">
        <f t="shared" si="19"/>
        <v>4779.5555555555557</v>
      </c>
      <c r="F61" s="20">
        <f t="shared" si="16"/>
        <v>31475.599999999999</v>
      </c>
    </row>
    <row r="62" spans="3:6" x14ac:dyDescent="0.25">
      <c r="C62" s="23">
        <f t="shared" ref="C62:E62" si="20">B8</f>
        <v>130624.27288573209</v>
      </c>
      <c r="D62" s="23">
        <f t="shared" si="20"/>
        <v>15.17577811122734</v>
      </c>
      <c r="E62" s="23">
        <f t="shared" si="20"/>
        <v>10067.288888888888</v>
      </c>
      <c r="F62" s="20">
        <f t="shared" si="16"/>
        <v>213796</v>
      </c>
    </row>
    <row r="63" spans="3:6" x14ac:dyDescent="0.25">
      <c r="C63" s="23">
        <f t="shared" ref="C63:E66" si="21">B9</f>
        <v>108981.84036844285</v>
      </c>
      <c r="D63" s="23">
        <f t="shared" si="21"/>
        <v>26.109697072632372</v>
      </c>
      <c r="E63" s="23">
        <f t="shared" si="21"/>
        <v>6569.3</v>
      </c>
      <c r="F63" s="20">
        <f>E9+F9</f>
        <v>24696.3</v>
      </c>
    </row>
    <row r="64" spans="3:6" x14ac:dyDescent="0.25">
      <c r="C64" s="23">
        <f t="shared" si="21"/>
        <v>109173.28887744647</v>
      </c>
      <c r="D64" s="23">
        <f t="shared" si="21"/>
        <v>32.359147211582574</v>
      </c>
      <c r="E64" s="23">
        <f t="shared" si="21"/>
        <v>3737.9666666666667</v>
      </c>
      <c r="F64" s="20">
        <f>E10+F10</f>
        <v>18387.666666666668</v>
      </c>
    </row>
    <row r="65" spans="3:6" x14ac:dyDescent="0.25">
      <c r="C65" s="23">
        <f t="shared" si="21"/>
        <v>109173.28887744647</v>
      </c>
      <c r="D65" s="23">
        <f t="shared" si="21"/>
        <v>35.919147211582576</v>
      </c>
      <c r="E65" s="23">
        <f t="shared" si="21"/>
        <v>7076.4666666666662</v>
      </c>
      <c r="F65" s="20">
        <f>E11+F11</f>
        <v>54183.866666666661</v>
      </c>
    </row>
    <row r="66" spans="3:6" x14ac:dyDescent="0.25">
      <c r="C66" s="23">
        <f t="shared" si="21"/>
        <v>108981.84036844285</v>
      </c>
      <c r="D66" s="23">
        <f t="shared" si="21"/>
        <v>26.109697072632372</v>
      </c>
      <c r="E66" s="23">
        <f t="shared" si="21"/>
        <v>4765.5555555555566</v>
      </c>
      <c r="F66" s="20">
        <f>E12+F12</f>
        <v>78618.8</v>
      </c>
    </row>
    <row r="69" spans="3:6" x14ac:dyDescent="0.25">
      <c r="C69" s="23"/>
      <c r="D69" s="23"/>
      <c r="E69" s="23"/>
      <c r="F69" s="2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B1" zoomScaleNormal="100" workbookViewId="0">
      <selection activeCell="E32" sqref="E32"/>
    </sheetView>
  </sheetViews>
  <sheetFormatPr defaultRowHeight="15" x14ac:dyDescent="0.25"/>
  <cols>
    <col min="1" max="1" width="45" customWidth="1"/>
    <col min="2" max="3" width="45" style="20" customWidth="1"/>
    <col min="4" max="4" width="47.85546875" customWidth="1"/>
    <col min="5" max="5" width="22.85546875" customWidth="1"/>
    <col min="6" max="6" width="26.28515625" customWidth="1"/>
    <col min="7" max="7" width="25.42578125" customWidth="1"/>
    <col min="8" max="8" width="26.28515625" customWidth="1"/>
    <col min="9" max="9" width="27.42578125" customWidth="1"/>
    <col min="10" max="10" width="33.7109375" customWidth="1"/>
    <col min="11" max="11" width="22.42578125" customWidth="1"/>
    <col min="12" max="12" width="18.42578125" customWidth="1"/>
    <col min="13" max="13" width="17" customWidth="1"/>
  </cols>
  <sheetData>
    <row r="1" spans="1:13" ht="14.45" x14ac:dyDescent="0.3">
      <c r="A1" s="20" t="s">
        <v>49</v>
      </c>
      <c r="B1" s="20" t="s">
        <v>81</v>
      </c>
      <c r="C1" s="20" t="s">
        <v>82</v>
      </c>
      <c r="D1" s="20" t="s">
        <v>1</v>
      </c>
      <c r="E1" s="20" t="s">
        <v>2</v>
      </c>
      <c r="F1" s="20" t="s">
        <v>62</v>
      </c>
      <c r="G1" s="20" t="s">
        <v>60</v>
      </c>
      <c r="H1" s="20" t="s">
        <v>61</v>
      </c>
      <c r="I1" s="20" t="s">
        <v>55</v>
      </c>
      <c r="J1" s="20" t="s">
        <v>84</v>
      </c>
      <c r="K1" s="20" t="s">
        <v>57</v>
      </c>
      <c r="L1" s="20" t="s">
        <v>83</v>
      </c>
      <c r="M1" s="20" t="s">
        <v>59</v>
      </c>
    </row>
    <row r="2" spans="1:13" x14ac:dyDescent="0.25">
      <c r="A2" s="20" t="s">
        <v>50</v>
      </c>
      <c r="B2" s="20">
        <v>144504.37750372052</v>
      </c>
      <c r="C2" s="20">
        <v>758788.90556136693</v>
      </c>
      <c r="D2" s="20">
        <f>35*Table717[[#This Row],[Duct Length]]/50</f>
        <v>101153.06425260435</v>
      </c>
      <c r="E2" s="20">
        <f>Table717[[#This Row],[Fiber Length]]*0.3/50</f>
        <v>4552.7334333682011</v>
      </c>
      <c r="F2" s="23">
        <f>'FTTCab GPON 26 Mbps'!$B$19</f>
        <v>4318</v>
      </c>
      <c r="G2" s="23">
        <f>'FTTCab GPON 26 Mbps'!C$19</f>
        <v>56112</v>
      </c>
      <c r="H2" s="23">
        <f>'FTTCab GPON 26 Mbps'!D$19</f>
        <v>0</v>
      </c>
      <c r="I2" s="20">
        <f>SUM(Table717[[#This Row],[Duct Cost]:[Building E&amp;I Costs]])</f>
        <v>166135.79768597256</v>
      </c>
      <c r="J2" s="20">
        <f t="shared" ref="J2:J7" si="0">I2*50</f>
        <v>8306789.8842986282</v>
      </c>
      <c r="K2" s="20">
        <v>29262</v>
      </c>
      <c r="L2" s="20">
        <f>J2/K2</f>
        <v>283.87635446307934</v>
      </c>
      <c r="M2" s="20">
        <v>25</v>
      </c>
    </row>
    <row r="3" spans="1:13" x14ac:dyDescent="0.25">
      <c r="A3" s="20" t="s">
        <v>51</v>
      </c>
      <c r="B3" s="20">
        <v>144504.37750372052</v>
      </c>
      <c r="C3" s="20">
        <v>1200132.0550075369</v>
      </c>
      <c r="D3" s="23">
        <f>35*Table717[[#This Row],[Duct Length]]/50</f>
        <v>101153.06425260435</v>
      </c>
      <c r="E3" s="23">
        <f>Table717[[#This Row],[Fiber Length]]*0.3/50</f>
        <v>7200.7923300452212</v>
      </c>
      <c r="F3" s="23">
        <f>'FTTB XGPON 50 Mbps'!$B$18</f>
        <v>5460</v>
      </c>
      <c r="G3" s="23">
        <f>'FTTB XGPON 50 Mbps'!C$18</f>
        <v>6532</v>
      </c>
      <c r="H3" s="23">
        <f>'FTTB XGPON 50 Mbps'!D$18</f>
        <v>35600</v>
      </c>
      <c r="I3" s="23">
        <f>SUM(Table717[[#This Row],[Duct Cost]:[Building E&amp;I Costs]])</f>
        <v>155945.85658264958</v>
      </c>
      <c r="J3" s="20">
        <f t="shared" si="0"/>
        <v>7797292.8291324787</v>
      </c>
      <c r="K3" s="20">
        <v>29262</v>
      </c>
      <c r="L3" s="20">
        <f t="shared" ref="L3:L6" si="1">J3/K3</f>
        <v>266.46479492626884</v>
      </c>
      <c r="M3" s="20">
        <v>50</v>
      </c>
    </row>
    <row r="4" spans="1:13" x14ac:dyDescent="0.25">
      <c r="A4" s="20" t="s">
        <v>52</v>
      </c>
      <c r="B4" s="20">
        <v>114381.4763133356</v>
      </c>
      <c r="C4" s="20">
        <v>1387134.2793479199</v>
      </c>
      <c r="D4" s="23">
        <f>35*Table717[[#This Row],[Duct Length]]/50</f>
        <v>80067.033419334926</v>
      </c>
      <c r="E4" s="23">
        <f>Table717[[#This Row],[Fiber Length]]*0.3/50</f>
        <v>8322.8056760875188</v>
      </c>
      <c r="F4" s="23">
        <f>'FTTB WR-WDMPON 50 Mbps'!$B$16</f>
        <v>25400</v>
      </c>
      <c r="G4" s="23">
        <f>'FTTB WR-WDMPON 50 Mbps'!C16</f>
        <v>448</v>
      </c>
      <c r="H4" s="23">
        <f>'FTTB WR-WDMPON 50 Mbps'!D16</f>
        <v>44500</v>
      </c>
      <c r="I4" s="23">
        <f>SUM(Table717[[#This Row],[Duct Cost]:[Building E&amp;I Costs]])</f>
        <v>158737.83909542245</v>
      </c>
      <c r="J4" s="20">
        <f t="shared" si="0"/>
        <v>7936891.954771122</v>
      </c>
      <c r="K4" s="20">
        <v>29262</v>
      </c>
      <c r="L4" s="20">
        <f t="shared" si="1"/>
        <v>271.23545741135678</v>
      </c>
      <c r="M4" s="20">
        <v>50</v>
      </c>
    </row>
    <row r="5" spans="1:13" x14ac:dyDescent="0.25">
      <c r="A5" s="20" t="s">
        <v>53</v>
      </c>
      <c r="B5" s="20">
        <v>114381.4763133356</v>
      </c>
      <c r="C5" s="20">
        <v>1565134.2793479199</v>
      </c>
      <c r="D5" s="23">
        <f>35*Table717[[#This Row],[Duct Length]]/50</f>
        <v>80067.033419334926</v>
      </c>
      <c r="E5" s="23">
        <f>Table717[[#This Row],[Fiber Length]]*0.3/50</f>
        <v>9390.8056760875188</v>
      </c>
      <c r="F5" s="23">
        <f>'FTTH WR-WDMPON 100 Mbps'!$B$16</f>
        <v>25400</v>
      </c>
      <c r="G5" s="23">
        <f>'FTTH WR-WDMPON 100 Mbps'!C16</f>
        <v>448</v>
      </c>
      <c r="H5" s="23">
        <f>'FTTH WR-WDMPON 100 Mbps'!D16</f>
        <v>62300</v>
      </c>
      <c r="I5" s="23">
        <f>SUM(Table717[[#This Row],[Duct Cost]:[Building E&amp;I Costs]])</f>
        <v>177605.83909542245</v>
      </c>
      <c r="J5" s="20">
        <f t="shared" si="0"/>
        <v>8880291.954771122</v>
      </c>
      <c r="K5" s="20">
        <v>29262</v>
      </c>
      <c r="L5" s="20">
        <f t="shared" si="1"/>
        <v>303.47522229413988</v>
      </c>
      <c r="M5" s="20">
        <v>100</v>
      </c>
    </row>
    <row r="6" spans="1:13" x14ac:dyDescent="0.25">
      <c r="A6" s="20" t="s">
        <v>54</v>
      </c>
      <c r="B6" s="20">
        <v>144504.37750372052</v>
      </c>
      <c r="C6" s="20">
        <v>1378132.0550075369</v>
      </c>
      <c r="D6" s="23">
        <f>35*Table717[[#This Row],[Duct Length]]/50</f>
        <v>101153.06425260435</v>
      </c>
      <c r="E6" s="23">
        <f>Table717[[#This Row],[Fiber Length]]*0.3/50</f>
        <v>8268.7923300452221</v>
      </c>
      <c r="F6" s="23">
        <f>'FTTH XGPON 100 Mbps'!$B$18</f>
        <v>7920</v>
      </c>
      <c r="G6" s="23">
        <f>'FTTH XGPON 100 Mbps'!C18</f>
        <v>13064</v>
      </c>
      <c r="H6" s="23">
        <f>'FTTH XGPON 100 Mbps'!D18</f>
        <v>53400</v>
      </c>
      <c r="I6" s="23">
        <f>SUM(Table717[[#This Row],[Duct Cost]:[Building E&amp;I Costs]])</f>
        <v>183805.85658264958</v>
      </c>
      <c r="J6" s="20">
        <f t="shared" si="0"/>
        <v>9190292.8291324787</v>
      </c>
      <c r="K6" s="20">
        <v>29262</v>
      </c>
      <c r="L6" s="20">
        <f t="shared" si="1"/>
        <v>314.0691965392823</v>
      </c>
      <c r="M6" s="20">
        <v>100</v>
      </c>
    </row>
    <row r="7" spans="1:13" x14ac:dyDescent="0.25">
      <c r="A7" s="20" t="s">
        <v>64</v>
      </c>
      <c r="B7" s="20">
        <v>144504.37750372052</v>
      </c>
      <c r="C7" s="20">
        <v>758788.90556136693</v>
      </c>
      <c r="D7" s="23">
        <f>35*Table717[[#This Row],[Duct Length]]/50</f>
        <v>101153.06425260435</v>
      </c>
      <c r="E7" s="23">
        <f>Table717[[#This Row],[Fiber Length]]*0.3/50</f>
        <v>4552.7334333682011</v>
      </c>
      <c r="F7" s="23">
        <f>FTTCab_GPON_100!$B$17</f>
        <v>8712</v>
      </c>
      <c r="G7" s="23">
        <f>FTTCab_GPON_100!C17</f>
        <v>229748</v>
      </c>
      <c r="H7" s="23">
        <f>FTTCab_GPON_100!D17</f>
        <v>0</v>
      </c>
      <c r="I7" s="23">
        <f>SUM(Table717[[#This Row],[Duct Cost]:[Building E&amp;I Costs]])</f>
        <v>344165.79768597253</v>
      </c>
      <c r="J7" s="20">
        <f t="shared" si="0"/>
        <v>17208289.884298626</v>
      </c>
      <c r="K7" s="20">
        <v>29262</v>
      </c>
      <c r="L7" s="20">
        <f>J7/K7</f>
        <v>588.07634079347372</v>
      </c>
      <c r="M7" s="20">
        <v>100</v>
      </c>
    </row>
    <row r="8" spans="1:13" x14ac:dyDescent="0.25">
      <c r="A8" s="21" t="s">
        <v>65</v>
      </c>
      <c r="B8" s="15">
        <v>125266.95871851889</v>
      </c>
      <c r="C8" s="15">
        <v>1305484.8536316184</v>
      </c>
      <c r="D8" s="23">
        <f>35*Table717[[#This Row],[Duct Length]]/50</f>
        <v>87686.871102963225</v>
      </c>
      <c r="E8" s="23">
        <f>Table717[[#This Row],[Fiber Length]]*0.3/50</f>
        <v>7832.9091217897103</v>
      </c>
      <c r="F8" s="23">
        <f>FTTCab_Hybridpon_25!$B$17</f>
        <v>40498</v>
      </c>
      <c r="G8" s="23">
        <f>FTTCab_Hybridpon_25!C17</f>
        <v>22325</v>
      </c>
      <c r="H8" s="23">
        <f>FTTCab_Hybridpon_25!D17</f>
        <v>0</v>
      </c>
      <c r="I8" s="23">
        <f>SUM(Table717[[#This Row],[Duct Cost]:[Building E&amp;I Costs]])</f>
        <v>158342.78022475293</v>
      </c>
      <c r="J8" s="20">
        <f>I8*50</f>
        <v>7917139.0112376465</v>
      </c>
      <c r="K8" s="20">
        <v>29262</v>
      </c>
      <c r="L8" s="20">
        <f>J8/K8</f>
        <v>270.56042004092836</v>
      </c>
      <c r="M8" s="20">
        <v>25</v>
      </c>
    </row>
    <row r="9" spans="1:13" x14ac:dyDescent="0.25">
      <c r="A9" s="21" t="s">
        <v>66</v>
      </c>
      <c r="B9" s="15">
        <v>125529.21695003069</v>
      </c>
      <c r="C9" s="15">
        <v>1617957.3605791286</v>
      </c>
      <c r="D9" s="23">
        <f>35*Table717[[#This Row],[Duct Length]]/50</f>
        <v>87870.451865021489</v>
      </c>
      <c r="E9" s="23">
        <f>Table717[[#This Row],[Fiber Length]]*0.3/50</f>
        <v>9707.744163474772</v>
      </c>
      <c r="F9" s="23">
        <f>FTTB_Hybridpon_50!$B$16</f>
        <v>10800</v>
      </c>
      <c r="G9" s="23">
        <f>FTTB_Hybridpon_50!C16</f>
        <v>40998</v>
      </c>
      <c r="H9" s="23">
        <f>FTTB_Hybridpon_50!D16</f>
        <v>15738</v>
      </c>
      <c r="I9" s="23">
        <f>SUM(Table717[[#This Row],[Duct Cost]:[Building E&amp;I Costs]])</f>
        <v>165114.19602849626</v>
      </c>
      <c r="J9" s="44">
        <f>I9*50</f>
        <v>8255709.8014248125</v>
      </c>
      <c r="K9" s="20">
        <v>29262</v>
      </c>
      <c r="L9" s="20">
        <f>J9/K9</f>
        <v>282.13074299175764</v>
      </c>
      <c r="M9" s="20">
        <v>50</v>
      </c>
    </row>
    <row r="10" spans="1:13" x14ac:dyDescent="0.25">
      <c r="A10" s="21" t="s">
        <v>67</v>
      </c>
      <c r="B10" s="15">
        <v>125529.21695003069</v>
      </c>
      <c r="C10" s="15">
        <v>1795957.3605791286</v>
      </c>
      <c r="D10" s="23">
        <f>35*Table717[[#This Row],[Duct Length]]/50</f>
        <v>87870.451865021489</v>
      </c>
      <c r="E10" s="23">
        <f>Table717[[#This Row],[Fiber Length]]*0.3/50</f>
        <v>10775.744163474772</v>
      </c>
      <c r="F10" s="23">
        <f>FTTH_Hybridpon_100!$B$16</f>
        <v>18600</v>
      </c>
      <c r="G10" s="23">
        <f>FTTH_Hybridpon_100!C16</f>
        <v>78996</v>
      </c>
      <c r="H10" s="23">
        <f>FTTH_Hybridpon_100!D16</f>
        <v>31476</v>
      </c>
      <c r="I10" s="23">
        <f>SUM(Table717[[#This Row],[Duct Cost]:[Building E&amp;I Costs]])</f>
        <v>227718.19602849626</v>
      </c>
      <c r="J10" s="44">
        <f>I10*50</f>
        <v>11385909.801424813</v>
      </c>
      <c r="K10" s="20">
        <v>29262</v>
      </c>
      <c r="L10" s="20">
        <f>J10/K10</f>
        <v>389.10224186401518</v>
      </c>
      <c r="M10" s="20">
        <v>100</v>
      </c>
    </row>
    <row r="11" spans="1:13" x14ac:dyDescent="0.25">
      <c r="A11" s="21" t="s">
        <v>68</v>
      </c>
      <c r="B11" s="15">
        <v>125266.95871851889</v>
      </c>
      <c r="C11" s="15">
        <v>1305484.8536316184</v>
      </c>
      <c r="D11" s="23">
        <f>35*Table717[[#This Row],[Duct Length]]/50</f>
        <v>87686.871102963225</v>
      </c>
      <c r="E11" s="23">
        <f>Table717[[#This Row],[Fiber Length]]*0.3/50</f>
        <v>7832.9091217897103</v>
      </c>
      <c r="F11" s="23">
        <f>FTTC_Hybridpon_100!$B$17</f>
        <v>13400</v>
      </c>
      <c r="G11" s="23">
        <f>FTTC_Hybridpon_100!C17</f>
        <v>100378</v>
      </c>
      <c r="H11" s="23">
        <f>FTTC_Hybridpon_100!D17</f>
        <v>0</v>
      </c>
      <c r="I11" s="23">
        <f>SUM(Table717[[#This Row],[Duct Cost]:[Building E&amp;I Costs]])</f>
        <v>209297.78022475293</v>
      </c>
      <c r="J11" s="44">
        <f>I11*50</f>
        <v>10464889.011237647</v>
      </c>
      <c r="K11" s="20">
        <v>29262</v>
      </c>
      <c r="L11" s="20">
        <f>J11/K11</f>
        <v>357.62726441246832</v>
      </c>
      <c r="M11" s="20">
        <v>100</v>
      </c>
    </row>
    <row r="12" spans="1:13" x14ac:dyDescent="0.25">
      <c r="B12" s="45"/>
      <c r="C12" s="45"/>
      <c r="J12" s="44"/>
    </row>
    <row r="14" spans="1:13" x14ac:dyDescent="0.25">
      <c r="A14" s="14"/>
      <c r="B14" s="15"/>
      <c r="C14" s="15"/>
      <c r="D14" s="23"/>
      <c r="E14" s="23"/>
      <c r="F14" s="16"/>
      <c r="G14" s="16"/>
      <c r="H14" s="16"/>
      <c r="I14" s="23"/>
      <c r="J14" s="20"/>
      <c r="K14" s="20"/>
      <c r="L14" s="16"/>
      <c r="M14" s="16"/>
    </row>
    <row r="28" spans="2:5" x14ac:dyDescent="0.25">
      <c r="B28" s="23"/>
      <c r="C28" s="23"/>
      <c r="D28" s="23"/>
    </row>
    <row r="29" spans="2:5" x14ac:dyDescent="0.25">
      <c r="B29" s="23"/>
      <c r="C29" s="23"/>
      <c r="D29" s="23"/>
      <c r="E29" s="22"/>
    </row>
    <row r="30" spans="2:5" x14ac:dyDescent="0.25">
      <c r="B30" s="23"/>
      <c r="C30" s="23"/>
      <c r="D30" s="23"/>
      <c r="E30" s="22"/>
    </row>
    <row r="31" spans="2:5" x14ac:dyDescent="0.25">
      <c r="B31" s="23"/>
      <c r="C31" s="23"/>
      <c r="D31" s="23"/>
      <c r="E31" s="22"/>
    </row>
    <row r="32" spans="2:5" x14ac:dyDescent="0.25">
      <c r="B32" s="23"/>
      <c r="C32" s="23"/>
      <c r="D32" s="23"/>
      <c r="E32" s="22"/>
    </row>
    <row r="33" spans="2:5" x14ac:dyDescent="0.25">
      <c r="B33" s="23"/>
      <c r="C33" s="23"/>
      <c r="D33" s="23"/>
      <c r="E33" s="22"/>
    </row>
    <row r="34" spans="2:5" x14ac:dyDescent="0.25">
      <c r="B34" s="23"/>
      <c r="C34" s="23"/>
      <c r="D34" s="23"/>
      <c r="E34" s="22"/>
    </row>
    <row r="35" spans="2:5" x14ac:dyDescent="0.25">
      <c r="B35" s="23"/>
      <c r="C35" s="23"/>
      <c r="D35" s="23"/>
      <c r="E35" s="22"/>
    </row>
    <row r="36" spans="2:5" x14ac:dyDescent="0.25">
      <c r="B36" s="23"/>
      <c r="C36" s="23"/>
      <c r="D36" s="23"/>
      <c r="E36" s="22"/>
    </row>
    <row r="37" spans="2:5" x14ac:dyDescent="0.25">
      <c r="B37" s="23"/>
      <c r="C37" s="23"/>
      <c r="D37" s="23"/>
      <c r="E37" s="22"/>
    </row>
    <row r="38" spans="2:5" x14ac:dyDescent="0.25">
      <c r="B38" s="23"/>
      <c r="C38" s="23"/>
      <c r="D38" s="23"/>
      <c r="E38" s="22"/>
    </row>
    <row r="39" spans="2:5" x14ac:dyDescent="0.25">
      <c r="B39" s="23"/>
      <c r="C39" s="23"/>
      <c r="D39" s="23"/>
      <c r="E39" s="22"/>
    </row>
    <row r="40" spans="2:5" x14ac:dyDescent="0.25">
      <c r="B40" s="23"/>
      <c r="C40" s="23"/>
      <c r="D40" s="23"/>
      <c r="E40" s="22"/>
    </row>
    <row r="55" spans="6:9" x14ac:dyDescent="0.25">
      <c r="F55" t="s">
        <v>1</v>
      </c>
      <c r="G55" t="s">
        <v>2</v>
      </c>
      <c r="H55" t="s">
        <v>118</v>
      </c>
      <c r="I55" t="s">
        <v>3</v>
      </c>
    </row>
    <row r="56" spans="6:9" x14ac:dyDescent="0.25">
      <c r="F56">
        <f>D2</f>
        <v>101153.06425260435</v>
      </c>
      <c r="G56" s="23">
        <f t="shared" ref="G56:H68" si="2">E2</f>
        <v>4552.7334333682011</v>
      </c>
      <c r="H56" s="23">
        <f t="shared" si="2"/>
        <v>4318</v>
      </c>
      <c r="I56">
        <f>G2+H2</f>
        <v>56112</v>
      </c>
    </row>
    <row r="57" spans="6:9" x14ac:dyDescent="0.25">
      <c r="F57" s="23">
        <f t="shared" ref="F57:F120" si="3">D3</f>
        <v>101153.06425260435</v>
      </c>
      <c r="G57" s="23">
        <f t="shared" si="2"/>
        <v>7200.7923300452212</v>
      </c>
      <c r="H57" s="23">
        <f t="shared" si="2"/>
        <v>5460</v>
      </c>
      <c r="I57" s="23">
        <f t="shared" ref="I57:I68" si="4">G3+H3</f>
        <v>42132</v>
      </c>
    </row>
    <row r="58" spans="6:9" x14ac:dyDescent="0.25">
      <c r="F58" s="23">
        <f t="shared" si="3"/>
        <v>80067.033419334926</v>
      </c>
      <c r="G58" s="23">
        <f t="shared" si="2"/>
        <v>8322.8056760875188</v>
      </c>
      <c r="H58" s="23">
        <f t="shared" si="2"/>
        <v>25400</v>
      </c>
      <c r="I58" s="23">
        <f t="shared" si="4"/>
        <v>44948</v>
      </c>
    </row>
    <row r="59" spans="6:9" x14ac:dyDescent="0.25">
      <c r="F59" s="23">
        <f t="shared" si="3"/>
        <v>80067.033419334926</v>
      </c>
      <c r="G59" s="23">
        <f t="shared" si="2"/>
        <v>9390.8056760875188</v>
      </c>
      <c r="H59" s="23">
        <f t="shared" si="2"/>
        <v>25400</v>
      </c>
      <c r="I59" s="23">
        <f t="shared" si="4"/>
        <v>62748</v>
      </c>
    </row>
    <row r="60" spans="6:9" x14ac:dyDescent="0.25">
      <c r="F60" s="23">
        <f t="shared" si="3"/>
        <v>101153.06425260435</v>
      </c>
      <c r="G60" s="23">
        <f t="shared" si="2"/>
        <v>8268.7923300452221</v>
      </c>
      <c r="H60" s="23">
        <f t="shared" si="2"/>
        <v>7920</v>
      </c>
      <c r="I60" s="23">
        <f t="shared" si="4"/>
        <v>66464</v>
      </c>
    </row>
    <row r="61" spans="6:9" x14ac:dyDescent="0.25">
      <c r="F61" s="23">
        <f t="shared" si="3"/>
        <v>101153.06425260435</v>
      </c>
      <c r="G61" s="23">
        <f t="shared" si="2"/>
        <v>4552.7334333682011</v>
      </c>
      <c r="H61" s="23">
        <f t="shared" si="2"/>
        <v>8712</v>
      </c>
      <c r="I61" s="23">
        <f t="shared" si="4"/>
        <v>229748</v>
      </c>
    </row>
    <row r="62" spans="6:9" x14ac:dyDescent="0.25">
      <c r="F62" s="23" t="e">
        <f>#REF!</f>
        <v>#REF!</v>
      </c>
      <c r="G62" s="23" t="e">
        <f>#REF!</f>
        <v>#REF!</v>
      </c>
      <c r="H62" s="23" t="e">
        <f>#REF!</f>
        <v>#REF!</v>
      </c>
      <c r="I62" s="23" t="e">
        <f>#REF!+#REF!</f>
        <v>#REF!</v>
      </c>
    </row>
    <row r="63" spans="6:9" x14ac:dyDescent="0.25">
      <c r="F63" s="23" t="e">
        <f>#REF!</f>
        <v>#REF!</v>
      </c>
      <c r="G63" s="23" t="e">
        <f>#REF!</f>
        <v>#REF!</v>
      </c>
      <c r="H63" s="23" t="e">
        <f>#REF!</f>
        <v>#REF!</v>
      </c>
      <c r="I63" s="23" t="e">
        <f>#REF!+#REF!</f>
        <v>#REF!</v>
      </c>
    </row>
    <row r="64" spans="6:9" x14ac:dyDescent="0.25">
      <c r="F64" s="23">
        <f t="shared" ref="F64:H67" si="5">D8</f>
        <v>87686.871102963225</v>
      </c>
      <c r="G64" s="23">
        <f t="shared" si="5"/>
        <v>7832.9091217897103</v>
      </c>
      <c r="H64" s="23">
        <f t="shared" si="5"/>
        <v>40498</v>
      </c>
      <c r="I64" s="23">
        <f>G8+H8</f>
        <v>22325</v>
      </c>
    </row>
    <row r="65" spans="6:9" x14ac:dyDescent="0.25">
      <c r="F65" s="23">
        <f t="shared" si="5"/>
        <v>87870.451865021489</v>
      </c>
      <c r="G65" s="23">
        <f t="shared" si="5"/>
        <v>9707.744163474772</v>
      </c>
      <c r="H65" s="23">
        <f t="shared" si="5"/>
        <v>10800</v>
      </c>
      <c r="I65" s="23">
        <f>G9+H9</f>
        <v>56736</v>
      </c>
    </row>
    <row r="66" spans="6:9" x14ac:dyDescent="0.25">
      <c r="F66" s="23">
        <f t="shared" si="5"/>
        <v>87870.451865021489</v>
      </c>
      <c r="G66" s="23">
        <f t="shared" si="5"/>
        <v>10775.744163474772</v>
      </c>
      <c r="H66" s="23">
        <f t="shared" si="5"/>
        <v>18600</v>
      </c>
      <c r="I66" s="23">
        <f>G10+H10</f>
        <v>110472</v>
      </c>
    </row>
    <row r="67" spans="6:9" x14ac:dyDescent="0.25">
      <c r="F67" s="23">
        <f t="shared" si="5"/>
        <v>87686.871102963225</v>
      </c>
      <c r="G67" s="23">
        <f t="shared" si="5"/>
        <v>7832.9091217897103</v>
      </c>
      <c r="H67" s="23">
        <f t="shared" si="5"/>
        <v>13400</v>
      </c>
      <c r="I67" s="23">
        <f>G11+H11</f>
        <v>100378</v>
      </c>
    </row>
    <row r="68" spans="6:9" x14ac:dyDescent="0.25">
      <c r="F68" s="23">
        <f t="shared" si="3"/>
        <v>0</v>
      </c>
      <c r="G68" s="23">
        <f t="shared" si="2"/>
        <v>0</v>
      </c>
      <c r="H68" s="23">
        <f t="shared" si="2"/>
        <v>0</v>
      </c>
      <c r="I68" s="23">
        <f t="shared" si="4"/>
        <v>0</v>
      </c>
    </row>
    <row r="69" spans="6:9" x14ac:dyDescent="0.25">
      <c r="F69" s="23">
        <f t="shared" si="3"/>
        <v>0</v>
      </c>
    </row>
    <row r="70" spans="6:9" x14ac:dyDescent="0.25">
      <c r="F70" s="23">
        <f t="shared" si="3"/>
        <v>0</v>
      </c>
    </row>
    <row r="71" spans="6:9" x14ac:dyDescent="0.25">
      <c r="F71" s="23">
        <f t="shared" si="3"/>
        <v>0</v>
      </c>
    </row>
    <row r="72" spans="6:9" x14ac:dyDescent="0.25">
      <c r="F72" s="23">
        <f t="shared" si="3"/>
        <v>0</v>
      </c>
    </row>
    <row r="73" spans="6:9" x14ac:dyDescent="0.25">
      <c r="F73" s="23">
        <f t="shared" si="3"/>
        <v>0</v>
      </c>
    </row>
    <row r="74" spans="6:9" x14ac:dyDescent="0.25">
      <c r="F74" s="23">
        <f t="shared" si="3"/>
        <v>0</v>
      </c>
    </row>
    <row r="75" spans="6:9" x14ac:dyDescent="0.25">
      <c r="F75" s="23">
        <f t="shared" si="3"/>
        <v>0</v>
      </c>
    </row>
    <row r="76" spans="6:9" x14ac:dyDescent="0.25">
      <c r="F76" s="23">
        <f t="shared" si="3"/>
        <v>0</v>
      </c>
    </row>
    <row r="77" spans="6:9" x14ac:dyDescent="0.25">
      <c r="F77" s="23">
        <f t="shared" si="3"/>
        <v>0</v>
      </c>
    </row>
    <row r="78" spans="6:9" x14ac:dyDescent="0.25">
      <c r="F78" s="23">
        <f t="shared" si="3"/>
        <v>0</v>
      </c>
    </row>
    <row r="79" spans="6:9" x14ac:dyDescent="0.25">
      <c r="F79" s="23">
        <f t="shared" si="3"/>
        <v>0</v>
      </c>
    </row>
    <row r="80" spans="6:9" x14ac:dyDescent="0.25">
      <c r="F80" s="23">
        <f t="shared" si="3"/>
        <v>0</v>
      </c>
    </row>
    <row r="81" spans="1:8" x14ac:dyDescent="0.25">
      <c r="F81" s="23">
        <f t="shared" si="3"/>
        <v>0</v>
      </c>
    </row>
    <row r="82" spans="1:8" x14ac:dyDescent="0.25">
      <c r="F82" s="23">
        <f t="shared" si="3"/>
        <v>0</v>
      </c>
    </row>
    <row r="83" spans="1:8" x14ac:dyDescent="0.25">
      <c r="F83" s="23">
        <f t="shared" si="3"/>
        <v>0</v>
      </c>
    </row>
    <row r="84" spans="1:8" x14ac:dyDescent="0.25">
      <c r="A84" s="36">
        <v>43163.914328471001</v>
      </c>
      <c r="B84" s="36">
        <v>34814.142864069901</v>
      </c>
      <c r="C84" s="36">
        <v>113496.447259147</v>
      </c>
      <c r="D84" s="36">
        <v>187697.32807546799</v>
      </c>
      <c r="E84" s="36">
        <v>78478.516816500996</v>
      </c>
      <c r="F84" s="36">
        <v>1509710.9676034499</v>
      </c>
      <c r="G84">
        <f>SUM(A84:C84)</f>
        <v>191474.50445168791</v>
      </c>
      <c r="H84">
        <f>SUM(D84:F84)</f>
        <v>1775886.8124954188</v>
      </c>
    </row>
    <row r="85" spans="1:8" x14ac:dyDescent="0.25">
      <c r="A85" s="36">
        <v>43163.914328471001</v>
      </c>
      <c r="B85" s="36">
        <v>34814.142864069901</v>
      </c>
      <c r="C85" s="36">
        <v>113496.447259147</v>
      </c>
      <c r="D85" s="36">
        <v>187697.32807546799</v>
      </c>
      <c r="E85" s="36">
        <v>78478.516816500996</v>
      </c>
      <c r="F85" s="36">
        <v>1509710.9676034499</v>
      </c>
      <c r="G85" s="23">
        <f t="shared" ref="G85:G96" si="6">SUM(A85:C85)</f>
        <v>191474.50445168791</v>
      </c>
      <c r="H85" s="23">
        <f t="shared" ref="H85:H96" si="7">SUM(D85:F85)</f>
        <v>1775886.8124954188</v>
      </c>
    </row>
    <row r="86" spans="1:8" x14ac:dyDescent="0.25">
      <c r="A86" s="36">
        <v>38574.416626852399</v>
      </c>
      <c r="B86" s="36">
        <v>0</v>
      </c>
      <c r="C86" s="36">
        <v>110634.372460467</v>
      </c>
      <c r="D86" s="36">
        <v>144928.38419398299</v>
      </c>
      <c r="E86" s="36">
        <v>0</v>
      </c>
      <c r="F86" s="36">
        <v>1041452.25937157</v>
      </c>
      <c r="G86" s="23">
        <f t="shared" si="6"/>
        <v>149208.7890873194</v>
      </c>
      <c r="H86" s="23">
        <f t="shared" si="7"/>
        <v>1186380.643565553</v>
      </c>
    </row>
    <row r="87" spans="1:8" x14ac:dyDescent="0.25">
      <c r="A87" s="36">
        <v>38574.416626852399</v>
      </c>
      <c r="B87" s="36">
        <v>0</v>
      </c>
      <c r="C87" s="36">
        <v>110634.372460467</v>
      </c>
      <c r="D87" s="36">
        <v>144928.38419398299</v>
      </c>
      <c r="E87" s="36">
        <v>0</v>
      </c>
      <c r="F87" s="36">
        <v>1041452.25937157</v>
      </c>
      <c r="G87" s="23">
        <f t="shared" si="6"/>
        <v>149208.7890873194</v>
      </c>
      <c r="H87" s="23">
        <f t="shared" si="7"/>
        <v>1186380.643565553</v>
      </c>
    </row>
    <row r="88" spans="1:8" x14ac:dyDescent="0.25">
      <c r="A88" s="36">
        <v>43163.914328471001</v>
      </c>
      <c r="B88" s="36">
        <v>34814.142864069901</v>
      </c>
      <c r="C88" s="36">
        <v>113496.447259147</v>
      </c>
      <c r="D88" s="36">
        <v>187697.32807546799</v>
      </c>
      <c r="E88" s="36">
        <v>78478.516816500996</v>
      </c>
      <c r="F88" s="36">
        <v>1509710.9676034499</v>
      </c>
      <c r="G88" s="23">
        <f t="shared" si="6"/>
        <v>191474.50445168791</v>
      </c>
      <c r="H88" s="23">
        <f t="shared" si="7"/>
        <v>1775886.8124954188</v>
      </c>
    </row>
    <row r="89" spans="1:8" x14ac:dyDescent="0.25">
      <c r="A89" s="36">
        <v>43163.914328471001</v>
      </c>
      <c r="B89" s="36">
        <v>34814.142864069901</v>
      </c>
      <c r="C89" s="36">
        <v>113496.447259147</v>
      </c>
      <c r="D89" s="36">
        <v>187697.32807546799</v>
      </c>
      <c r="E89" s="36">
        <v>78478.516816500996</v>
      </c>
      <c r="F89" s="36">
        <v>1509710.9676034499</v>
      </c>
      <c r="G89" s="23">
        <f t="shared" si="6"/>
        <v>191474.50445168791</v>
      </c>
      <c r="H89" s="23">
        <f t="shared" si="7"/>
        <v>1775886.8124954188</v>
      </c>
    </row>
    <row r="90" spans="1:8" x14ac:dyDescent="0.25">
      <c r="A90" s="36">
        <v>43163.914328471001</v>
      </c>
      <c r="B90" s="36">
        <v>34814.142864069901</v>
      </c>
      <c r="C90" s="36">
        <v>113496.447259147</v>
      </c>
      <c r="D90" s="36">
        <v>187697.32807546799</v>
      </c>
      <c r="E90" s="36">
        <v>78478.516816500996</v>
      </c>
      <c r="F90" s="36">
        <v>1509710.9676034499</v>
      </c>
      <c r="G90" s="23">
        <f t="shared" si="6"/>
        <v>191474.50445168791</v>
      </c>
      <c r="H90" s="23">
        <f t="shared" si="7"/>
        <v>1775886.8124954188</v>
      </c>
    </row>
    <row r="91" spans="1:8" x14ac:dyDescent="0.25">
      <c r="A91" s="36">
        <v>38574.416626852399</v>
      </c>
      <c r="B91" s="36">
        <v>0</v>
      </c>
      <c r="C91" s="36">
        <v>110634.372460467</v>
      </c>
      <c r="D91" s="36">
        <v>144928.38419398299</v>
      </c>
      <c r="E91" s="36">
        <v>0</v>
      </c>
      <c r="F91" s="36">
        <v>1041452.25937157</v>
      </c>
      <c r="G91" s="23">
        <f t="shared" si="6"/>
        <v>149208.7890873194</v>
      </c>
      <c r="H91" s="23">
        <f t="shared" si="7"/>
        <v>1186380.643565553</v>
      </c>
    </row>
    <row r="92" spans="1:8" x14ac:dyDescent="0.25">
      <c r="A92" s="36">
        <v>19802.896521245599</v>
      </c>
      <c r="B92" s="36">
        <v>50641.171791515597</v>
      </c>
      <c r="C92" s="36">
        <v>115067.01730572501</v>
      </c>
      <c r="D92" s="36">
        <v>46262.984465988302</v>
      </c>
      <c r="E92" s="36">
        <v>102172.280668636</v>
      </c>
      <c r="F92" s="36">
        <v>1544140.8019904599</v>
      </c>
      <c r="G92" s="23">
        <f t="shared" si="6"/>
        <v>185511.08561848622</v>
      </c>
      <c r="H92" s="23">
        <f t="shared" si="7"/>
        <v>1692576.0671250841</v>
      </c>
    </row>
    <row r="93" spans="1:8" x14ac:dyDescent="0.25">
      <c r="A93" s="36">
        <v>7039.7238495865004</v>
      </c>
      <c r="B93" s="36">
        <v>50641.171791515597</v>
      </c>
      <c r="C93" s="36">
        <v>115067.01730572501</v>
      </c>
      <c r="D93" s="36">
        <v>46262.984465988302</v>
      </c>
      <c r="E93" s="36">
        <v>102172.280668636</v>
      </c>
      <c r="F93" s="36">
        <v>1544140.8019904599</v>
      </c>
      <c r="G93" s="23">
        <f t="shared" si="6"/>
        <v>172747.9129468271</v>
      </c>
      <c r="H93" s="23">
        <f t="shared" si="7"/>
        <v>1692576.0671250841</v>
      </c>
    </row>
    <row r="94" spans="1:8" x14ac:dyDescent="0.25">
      <c r="A94" s="36">
        <v>7039.7238495865004</v>
      </c>
      <c r="B94" s="36">
        <v>50641.171791515597</v>
      </c>
      <c r="C94" s="36">
        <v>115067.01730572501</v>
      </c>
      <c r="D94" s="36">
        <v>46262.984465988302</v>
      </c>
      <c r="E94" s="36">
        <v>102172.280668636</v>
      </c>
      <c r="F94" s="36">
        <v>1544140.8019904599</v>
      </c>
      <c r="G94" s="23">
        <f t="shared" si="6"/>
        <v>172747.9129468271</v>
      </c>
      <c r="H94" s="23">
        <f t="shared" si="7"/>
        <v>1692576.0671250841</v>
      </c>
    </row>
    <row r="95" spans="1:8" x14ac:dyDescent="0.25">
      <c r="A95" s="36">
        <v>7039.7238495865004</v>
      </c>
      <c r="B95" s="36">
        <v>50641.171791515597</v>
      </c>
      <c r="C95" s="36">
        <v>115067.01730572501</v>
      </c>
      <c r="D95" s="36">
        <v>46262.984465988302</v>
      </c>
      <c r="E95" s="36">
        <v>102172.280668636</v>
      </c>
      <c r="F95" s="36">
        <v>1544140.8019904599</v>
      </c>
      <c r="G95" s="23">
        <f t="shared" si="6"/>
        <v>172747.9129468271</v>
      </c>
      <c r="H95" s="23">
        <f t="shared" si="7"/>
        <v>1692576.0671250841</v>
      </c>
    </row>
    <row r="96" spans="1:8" x14ac:dyDescent="0.25">
      <c r="A96" s="36">
        <v>7039.7238495865004</v>
      </c>
      <c r="B96" s="36">
        <v>50641.171791515597</v>
      </c>
      <c r="C96" s="36">
        <v>115067.01730572501</v>
      </c>
      <c r="D96" s="36">
        <v>46262.984465988302</v>
      </c>
      <c r="E96" s="36">
        <v>102172.280668636</v>
      </c>
      <c r="F96" s="36">
        <v>1544140.8019904599</v>
      </c>
      <c r="G96" s="23">
        <f t="shared" si="6"/>
        <v>172747.9129468271</v>
      </c>
      <c r="H96" s="23">
        <f t="shared" si="7"/>
        <v>1692576.0671250841</v>
      </c>
    </row>
    <row r="97" spans="6:6" x14ac:dyDescent="0.25">
      <c r="F97" s="23">
        <f t="shared" si="3"/>
        <v>0</v>
      </c>
    </row>
    <row r="98" spans="6:6" x14ac:dyDescent="0.25">
      <c r="F98" s="23">
        <f t="shared" si="3"/>
        <v>0</v>
      </c>
    </row>
    <row r="99" spans="6:6" x14ac:dyDescent="0.25">
      <c r="F99" s="23">
        <f t="shared" si="3"/>
        <v>0</v>
      </c>
    </row>
    <row r="100" spans="6:6" x14ac:dyDescent="0.25">
      <c r="F100" s="23">
        <f t="shared" si="3"/>
        <v>0</v>
      </c>
    </row>
    <row r="101" spans="6:6" x14ac:dyDescent="0.25">
      <c r="F101" s="23">
        <f t="shared" si="3"/>
        <v>0</v>
      </c>
    </row>
    <row r="102" spans="6:6" x14ac:dyDescent="0.25">
      <c r="F102" s="23">
        <f t="shared" si="3"/>
        <v>0</v>
      </c>
    </row>
    <row r="103" spans="6:6" x14ac:dyDescent="0.25">
      <c r="F103" s="23">
        <f t="shared" si="3"/>
        <v>0</v>
      </c>
    </row>
    <row r="104" spans="6:6" x14ac:dyDescent="0.25">
      <c r="F104" s="23">
        <f t="shared" si="3"/>
        <v>0</v>
      </c>
    </row>
    <row r="105" spans="6:6" x14ac:dyDescent="0.25">
      <c r="F105" s="23">
        <f t="shared" si="3"/>
        <v>0</v>
      </c>
    </row>
    <row r="106" spans="6:6" x14ac:dyDescent="0.25">
      <c r="F106" s="23">
        <f t="shared" si="3"/>
        <v>0</v>
      </c>
    </row>
    <row r="107" spans="6:6" x14ac:dyDescent="0.25">
      <c r="F107" s="23">
        <f t="shared" si="3"/>
        <v>0</v>
      </c>
    </row>
    <row r="108" spans="6:6" x14ac:dyDescent="0.25">
      <c r="F108" s="23">
        <f t="shared" si="3"/>
        <v>0</v>
      </c>
    </row>
    <row r="109" spans="6:6" x14ac:dyDescent="0.25">
      <c r="F109" s="23">
        <f t="shared" si="3"/>
        <v>0</v>
      </c>
    </row>
    <row r="110" spans="6:6" x14ac:dyDescent="0.25">
      <c r="F110" s="23">
        <f t="shared" si="3"/>
        <v>0</v>
      </c>
    </row>
    <row r="111" spans="6:6" x14ac:dyDescent="0.25">
      <c r="F111" s="23">
        <f t="shared" si="3"/>
        <v>0</v>
      </c>
    </row>
    <row r="112" spans="6:6" x14ac:dyDescent="0.25">
      <c r="F112" s="23">
        <f t="shared" si="3"/>
        <v>0</v>
      </c>
    </row>
    <row r="113" spans="6:6" x14ac:dyDescent="0.25">
      <c r="F113" s="23">
        <f t="shared" si="3"/>
        <v>0</v>
      </c>
    </row>
    <row r="114" spans="6:6" x14ac:dyDescent="0.25">
      <c r="F114" s="23">
        <f t="shared" si="3"/>
        <v>0</v>
      </c>
    </row>
    <row r="115" spans="6:6" x14ac:dyDescent="0.25">
      <c r="F115" s="23">
        <f t="shared" si="3"/>
        <v>0</v>
      </c>
    </row>
    <row r="116" spans="6:6" x14ac:dyDescent="0.25">
      <c r="F116" s="23">
        <f t="shared" si="3"/>
        <v>0</v>
      </c>
    </row>
    <row r="117" spans="6:6" x14ac:dyDescent="0.25">
      <c r="F117" s="23">
        <f t="shared" si="3"/>
        <v>0</v>
      </c>
    </row>
    <row r="118" spans="6:6" x14ac:dyDescent="0.25">
      <c r="F118" s="23">
        <f t="shared" si="3"/>
        <v>0</v>
      </c>
    </row>
    <row r="119" spans="6:6" x14ac:dyDescent="0.25">
      <c r="F119" s="23">
        <f t="shared" si="3"/>
        <v>0</v>
      </c>
    </row>
    <row r="120" spans="6:6" x14ac:dyDescent="0.25">
      <c r="F120" s="23">
        <f t="shared" si="3"/>
        <v>0</v>
      </c>
    </row>
    <row r="121" spans="6:6" x14ac:dyDescent="0.25">
      <c r="F121" s="23">
        <f t="shared" ref="F121:F184" si="8">D67</f>
        <v>0</v>
      </c>
    </row>
    <row r="122" spans="6:6" x14ac:dyDescent="0.25">
      <c r="F122" s="23">
        <f t="shared" si="8"/>
        <v>0</v>
      </c>
    </row>
    <row r="123" spans="6:6" x14ac:dyDescent="0.25">
      <c r="F123" s="23">
        <f t="shared" si="8"/>
        <v>0</v>
      </c>
    </row>
    <row r="124" spans="6:6" x14ac:dyDescent="0.25">
      <c r="F124" s="23">
        <f t="shared" si="8"/>
        <v>0</v>
      </c>
    </row>
    <row r="125" spans="6:6" x14ac:dyDescent="0.25">
      <c r="F125" s="23">
        <f t="shared" si="8"/>
        <v>0</v>
      </c>
    </row>
    <row r="126" spans="6:6" x14ac:dyDescent="0.25">
      <c r="F126" s="23">
        <f t="shared" si="8"/>
        <v>0</v>
      </c>
    </row>
    <row r="127" spans="6:6" x14ac:dyDescent="0.25">
      <c r="F127" s="23">
        <f t="shared" si="8"/>
        <v>0</v>
      </c>
    </row>
    <row r="128" spans="6:6" x14ac:dyDescent="0.25">
      <c r="F128" s="23">
        <f t="shared" si="8"/>
        <v>0</v>
      </c>
    </row>
    <row r="129" spans="6:6" x14ac:dyDescent="0.25">
      <c r="F129" s="23">
        <f t="shared" si="8"/>
        <v>0</v>
      </c>
    </row>
    <row r="130" spans="6:6" x14ac:dyDescent="0.25">
      <c r="F130" s="23">
        <f t="shared" si="8"/>
        <v>0</v>
      </c>
    </row>
    <row r="131" spans="6:6" x14ac:dyDescent="0.25">
      <c r="F131" s="23">
        <f t="shared" si="8"/>
        <v>0</v>
      </c>
    </row>
    <row r="132" spans="6:6" x14ac:dyDescent="0.25">
      <c r="F132" s="23">
        <f t="shared" si="8"/>
        <v>0</v>
      </c>
    </row>
    <row r="133" spans="6:6" x14ac:dyDescent="0.25">
      <c r="F133" s="23">
        <f t="shared" si="8"/>
        <v>0</v>
      </c>
    </row>
    <row r="134" spans="6:6" x14ac:dyDescent="0.25">
      <c r="F134" s="23">
        <f t="shared" si="8"/>
        <v>0</v>
      </c>
    </row>
    <row r="135" spans="6:6" x14ac:dyDescent="0.25">
      <c r="F135" s="23">
        <f t="shared" si="8"/>
        <v>0</v>
      </c>
    </row>
    <row r="136" spans="6:6" x14ac:dyDescent="0.25">
      <c r="F136" s="23">
        <f t="shared" si="8"/>
        <v>0</v>
      </c>
    </row>
    <row r="137" spans="6:6" x14ac:dyDescent="0.25">
      <c r="F137" s="23">
        <f t="shared" si="8"/>
        <v>0</v>
      </c>
    </row>
    <row r="138" spans="6:6" x14ac:dyDescent="0.25">
      <c r="F138" s="23">
        <f t="shared" si="8"/>
        <v>187697.32807546799</v>
      </c>
    </row>
    <row r="139" spans="6:6" x14ac:dyDescent="0.25">
      <c r="F139" s="23">
        <f t="shared" si="8"/>
        <v>187697.32807546799</v>
      </c>
    </row>
    <row r="140" spans="6:6" x14ac:dyDescent="0.25">
      <c r="F140" s="23">
        <f t="shared" si="8"/>
        <v>144928.38419398299</v>
      </c>
    </row>
    <row r="141" spans="6:6" x14ac:dyDescent="0.25">
      <c r="F141" s="23">
        <f t="shared" si="8"/>
        <v>144928.38419398299</v>
      </c>
    </row>
    <row r="142" spans="6:6" x14ac:dyDescent="0.25">
      <c r="F142" s="23">
        <f t="shared" si="8"/>
        <v>187697.32807546799</v>
      </c>
    </row>
    <row r="143" spans="6:6" x14ac:dyDescent="0.25">
      <c r="F143" s="23">
        <f t="shared" si="8"/>
        <v>187697.32807546799</v>
      </c>
    </row>
    <row r="144" spans="6:6" x14ac:dyDescent="0.25">
      <c r="F144" s="23">
        <f t="shared" si="8"/>
        <v>187697.32807546799</v>
      </c>
    </row>
    <row r="145" spans="6:6" x14ac:dyDescent="0.25">
      <c r="F145" s="23">
        <f t="shared" si="8"/>
        <v>144928.38419398299</v>
      </c>
    </row>
    <row r="146" spans="6:6" x14ac:dyDescent="0.25">
      <c r="F146" s="23">
        <f t="shared" si="8"/>
        <v>46262.984465988302</v>
      </c>
    </row>
    <row r="147" spans="6:6" x14ac:dyDescent="0.25">
      <c r="F147" s="23">
        <f t="shared" si="8"/>
        <v>46262.984465988302</v>
      </c>
    </row>
    <row r="148" spans="6:6" x14ac:dyDescent="0.25">
      <c r="F148" s="23">
        <f t="shared" si="8"/>
        <v>46262.984465988302</v>
      </c>
    </row>
    <row r="149" spans="6:6" x14ac:dyDescent="0.25">
      <c r="F149" s="23">
        <f t="shared" si="8"/>
        <v>46262.984465988302</v>
      </c>
    </row>
    <row r="150" spans="6:6" x14ac:dyDescent="0.25">
      <c r="F150" s="23">
        <f t="shared" si="8"/>
        <v>46262.984465988302</v>
      </c>
    </row>
    <row r="151" spans="6:6" x14ac:dyDescent="0.25">
      <c r="F151" s="23">
        <f t="shared" si="8"/>
        <v>0</v>
      </c>
    </row>
    <row r="152" spans="6:6" x14ac:dyDescent="0.25">
      <c r="F152" s="23">
        <f t="shared" si="8"/>
        <v>0</v>
      </c>
    </row>
    <row r="153" spans="6:6" x14ac:dyDescent="0.25">
      <c r="F153" s="23">
        <f t="shared" si="8"/>
        <v>0</v>
      </c>
    </row>
    <row r="154" spans="6:6" x14ac:dyDescent="0.25">
      <c r="F154" s="23">
        <f t="shared" si="8"/>
        <v>0</v>
      </c>
    </row>
    <row r="155" spans="6:6" x14ac:dyDescent="0.25">
      <c r="F155" s="23">
        <f t="shared" si="8"/>
        <v>0</v>
      </c>
    </row>
    <row r="156" spans="6:6" x14ac:dyDescent="0.25">
      <c r="F156" s="23">
        <f t="shared" si="8"/>
        <v>0</v>
      </c>
    </row>
    <row r="157" spans="6:6" x14ac:dyDescent="0.25">
      <c r="F157" s="23">
        <f t="shared" si="8"/>
        <v>0</v>
      </c>
    </row>
    <row r="158" spans="6:6" x14ac:dyDescent="0.25">
      <c r="F158" s="23">
        <f t="shared" si="8"/>
        <v>0</v>
      </c>
    </row>
    <row r="159" spans="6:6" x14ac:dyDescent="0.25">
      <c r="F159" s="23">
        <f t="shared" si="8"/>
        <v>0</v>
      </c>
    </row>
    <row r="160" spans="6:6" x14ac:dyDescent="0.25">
      <c r="F160" s="23">
        <f t="shared" si="8"/>
        <v>0</v>
      </c>
    </row>
    <row r="161" spans="6:6" x14ac:dyDescent="0.25">
      <c r="F161" s="23">
        <f t="shared" si="8"/>
        <v>0</v>
      </c>
    </row>
    <row r="162" spans="6:6" x14ac:dyDescent="0.25">
      <c r="F162" s="23">
        <f t="shared" si="8"/>
        <v>0</v>
      </c>
    </row>
    <row r="163" spans="6:6" x14ac:dyDescent="0.25">
      <c r="F163" s="23">
        <f t="shared" si="8"/>
        <v>0</v>
      </c>
    </row>
    <row r="164" spans="6:6" x14ac:dyDescent="0.25">
      <c r="F164" s="23">
        <f t="shared" si="8"/>
        <v>0</v>
      </c>
    </row>
    <row r="165" spans="6:6" x14ac:dyDescent="0.25">
      <c r="F165" s="23">
        <f t="shared" si="8"/>
        <v>0</v>
      </c>
    </row>
    <row r="166" spans="6:6" x14ac:dyDescent="0.25">
      <c r="F166" s="23">
        <f t="shared" si="8"/>
        <v>0</v>
      </c>
    </row>
    <row r="167" spans="6:6" x14ac:dyDescent="0.25">
      <c r="F167" s="23">
        <f t="shared" si="8"/>
        <v>0</v>
      </c>
    </row>
    <row r="168" spans="6:6" x14ac:dyDescent="0.25">
      <c r="F168" s="23">
        <f t="shared" si="8"/>
        <v>0</v>
      </c>
    </row>
    <row r="169" spans="6:6" x14ac:dyDescent="0.25">
      <c r="F169" s="23">
        <f t="shared" si="8"/>
        <v>0</v>
      </c>
    </row>
    <row r="170" spans="6:6" x14ac:dyDescent="0.25">
      <c r="F170" s="23">
        <f t="shared" si="8"/>
        <v>0</v>
      </c>
    </row>
    <row r="171" spans="6:6" x14ac:dyDescent="0.25">
      <c r="F171" s="23">
        <f t="shared" si="8"/>
        <v>0</v>
      </c>
    </row>
    <row r="172" spans="6:6" x14ac:dyDescent="0.25">
      <c r="F172" s="23">
        <f t="shared" si="8"/>
        <v>0</v>
      </c>
    </row>
    <row r="173" spans="6:6" x14ac:dyDescent="0.25">
      <c r="F173" s="23">
        <f t="shared" si="8"/>
        <v>0</v>
      </c>
    </row>
    <row r="174" spans="6:6" x14ac:dyDescent="0.25">
      <c r="F174" s="23">
        <f t="shared" si="8"/>
        <v>0</v>
      </c>
    </row>
    <row r="175" spans="6:6" x14ac:dyDescent="0.25">
      <c r="F175" s="23">
        <f t="shared" si="8"/>
        <v>0</v>
      </c>
    </row>
    <row r="176" spans="6:6" x14ac:dyDescent="0.25">
      <c r="F176" s="23">
        <f t="shared" si="8"/>
        <v>0</v>
      </c>
    </row>
    <row r="177" spans="6:6" x14ac:dyDescent="0.25">
      <c r="F177" s="23">
        <f t="shared" si="8"/>
        <v>0</v>
      </c>
    </row>
    <row r="178" spans="6:6" x14ac:dyDescent="0.25">
      <c r="F178" s="23">
        <f t="shared" si="8"/>
        <v>0</v>
      </c>
    </row>
    <row r="179" spans="6:6" x14ac:dyDescent="0.25">
      <c r="F179" s="23">
        <f t="shared" si="8"/>
        <v>0</v>
      </c>
    </row>
    <row r="180" spans="6:6" x14ac:dyDescent="0.25">
      <c r="F180" s="23">
        <f t="shared" si="8"/>
        <v>0</v>
      </c>
    </row>
    <row r="181" spans="6:6" x14ac:dyDescent="0.25">
      <c r="F181" s="23">
        <f t="shared" si="8"/>
        <v>0</v>
      </c>
    </row>
    <row r="182" spans="6:6" x14ac:dyDescent="0.25">
      <c r="F182" s="23">
        <f t="shared" si="8"/>
        <v>0</v>
      </c>
    </row>
    <row r="183" spans="6:6" x14ac:dyDescent="0.25">
      <c r="F183" s="23">
        <f t="shared" si="8"/>
        <v>0</v>
      </c>
    </row>
    <row r="184" spans="6:6" x14ac:dyDescent="0.25">
      <c r="F184" s="23">
        <f t="shared" si="8"/>
        <v>0</v>
      </c>
    </row>
    <row r="185" spans="6:6" x14ac:dyDescent="0.25">
      <c r="F185" s="23">
        <f t="shared" ref="F185:F239" si="9">D131</f>
        <v>0</v>
      </c>
    </row>
    <row r="186" spans="6:6" x14ac:dyDescent="0.25">
      <c r="F186" s="23">
        <f t="shared" si="9"/>
        <v>0</v>
      </c>
    </row>
    <row r="187" spans="6:6" x14ac:dyDescent="0.25">
      <c r="F187" s="23">
        <f t="shared" si="9"/>
        <v>0</v>
      </c>
    </row>
    <row r="188" spans="6:6" x14ac:dyDescent="0.25">
      <c r="F188" s="23">
        <f t="shared" si="9"/>
        <v>0</v>
      </c>
    </row>
    <row r="189" spans="6:6" x14ac:dyDescent="0.25">
      <c r="F189" s="23">
        <f t="shared" si="9"/>
        <v>0</v>
      </c>
    </row>
    <row r="190" spans="6:6" x14ac:dyDescent="0.25">
      <c r="F190" s="23">
        <f t="shared" si="9"/>
        <v>0</v>
      </c>
    </row>
    <row r="191" spans="6:6" x14ac:dyDescent="0.25">
      <c r="F191" s="23">
        <f t="shared" si="9"/>
        <v>0</v>
      </c>
    </row>
    <row r="192" spans="6:6" x14ac:dyDescent="0.25">
      <c r="F192" s="23">
        <f t="shared" si="9"/>
        <v>0</v>
      </c>
    </row>
    <row r="193" spans="6:6" x14ac:dyDescent="0.25">
      <c r="F193" s="23">
        <f t="shared" si="9"/>
        <v>0</v>
      </c>
    </row>
    <row r="194" spans="6:6" x14ac:dyDescent="0.25">
      <c r="F194" s="23">
        <f t="shared" si="9"/>
        <v>0</v>
      </c>
    </row>
    <row r="195" spans="6:6" x14ac:dyDescent="0.25">
      <c r="F195" s="23">
        <f t="shared" si="9"/>
        <v>0</v>
      </c>
    </row>
    <row r="196" spans="6:6" x14ac:dyDescent="0.25">
      <c r="F196" s="23">
        <f t="shared" si="9"/>
        <v>0</v>
      </c>
    </row>
    <row r="197" spans="6:6" x14ac:dyDescent="0.25">
      <c r="F197" s="23">
        <f t="shared" si="9"/>
        <v>0</v>
      </c>
    </row>
    <row r="198" spans="6:6" x14ac:dyDescent="0.25">
      <c r="F198" s="23">
        <f t="shared" si="9"/>
        <v>0</v>
      </c>
    </row>
    <row r="199" spans="6:6" x14ac:dyDescent="0.25">
      <c r="F199" s="23">
        <f t="shared" si="9"/>
        <v>0</v>
      </c>
    </row>
    <row r="200" spans="6:6" x14ac:dyDescent="0.25">
      <c r="F200" s="23">
        <f t="shared" si="9"/>
        <v>0</v>
      </c>
    </row>
    <row r="201" spans="6:6" x14ac:dyDescent="0.25">
      <c r="F201" s="23">
        <f t="shared" si="9"/>
        <v>0</v>
      </c>
    </row>
    <row r="202" spans="6:6" x14ac:dyDescent="0.25">
      <c r="F202" s="23">
        <f t="shared" si="9"/>
        <v>0</v>
      </c>
    </row>
    <row r="203" spans="6:6" x14ac:dyDescent="0.25">
      <c r="F203" s="23">
        <f t="shared" si="9"/>
        <v>0</v>
      </c>
    </row>
    <row r="204" spans="6:6" x14ac:dyDescent="0.25">
      <c r="F204" s="23">
        <f t="shared" si="9"/>
        <v>0</v>
      </c>
    </row>
    <row r="205" spans="6:6" x14ac:dyDescent="0.25">
      <c r="F205" s="23">
        <f t="shared" si="9"/>
        <v>0</v>
      </c>
    </row>
    <row r="206" spans="6:6" x14ac:dyDescent="0.25">
      <c r="F206" s="23">
        <f t="shared" si="9"/>
        <v>0</v>
      </c>
    </row>
    <row r="207" spans="6:6" x14ac:dyDescent="0.25">
      <c r="F207" s="23">
        <f t="shared" si="9"/>
        <v>0</v>
      </c>
    </row>
    <row r="208" spans="6:6" x14ac:dyDescent="0.25">
      <c r="F208" s="23">
        <f t="shared" si="9"/>
        <v>0</v>
      </c>
    </row>
    <row r="209" spans="6:6" x14ac:dyDescent="0.25">
      <c r="F209" s="23">
        <f t="shared" si="9"/>
        <v>0</v>
      </c>
    </row>
    <row r="210" spans="6:6" x14ac:dyDescent="0.25">
      <c r="F210" s="23">
        <f t="shared" si="9"/>
        <v>0</v>
      </c>
    </row>
    <row r="211" spans="6:6" x14ac:dyDescent="0.25">
      <c r="F211" s="23">
        <f t="shared" si="9"/>
        <v>0</v>
      </c>
    </row>
    <row r="212" spans="6:6" x14ac:dyDescent="0.25">
      <c r="F212" s="23">
        <f t="shared" si="9"/>
        <v>0</v>
      </c>
    </row>
    <row r="213" spans="6:6" x14ac:dyDescent="0.25">
      <c r="F213" s="23">
        <f t="shared" si="9"/>
        <v>0</v>
      </c>
    </row>
    <row r="214" spans="6:6" x14ac:dyDescent="0.25">
      <c r="F214" s="23">
        <f t="shared" si="9"/>
        <v>0</v>
      </c>
    </row>
    <row r="215" spans="6:6" x14ac:dyDescent="0.25">
      <c r="F215" s="23">
        <f t="shared" si="9"/>
        <v>0</v>
      </c>
    </row>
    <row r="216" spans="6:6" x14ac:dyDescent="0.25">
      <c r="F216" s="23">
        <f t="shared" si="9"/>
        <v>0</v>
      </c>
    </row>
    <row r="217" spans="6:6" x14ac:dyDescent="0.25">
      <c r="F217" s="23">
        <f t="shared" si="9"/>
        <v>0</v>
      </c>
    </row>
    <row r="218" spans="6:6" x14ac:dyDescent="0.25">
      <c r="F218" s="23">
        <f t="shared" si="9"/>
        <v>0</v>
      </c>
    </row>
    <row r="219" spans="6:6" x14ac:dyDescent="0.25">
      <c r="F219" s="23">
        <f t="shared" si="9"/>
        <v>0</v>
      </c>
    </row>
    <row r="220" spans="6:6" x14ac:dyDescent="0.25">
      <c r="F220" s="23">
        <f t="shared" si="9"/>
        <v>0</v>
      </c>
    </row>
    <row r="221" spans="6:6" x14ac:dyDescent="0.25">
      <c r="F221" s="23">
        <f t="shared" si="9"/>
        <v>0</v>
      </c>
    </row>
    <row r="222" spans="6:6" x14ac:dyDescent="0.25">
      <c r="F222" s="23">
        <f t="shared" si="9"/>
        <v>0</v>
      </c>
    </row>
    <row r="223" spans="6:6" x14ac:dyDescent="0.25">
      <c r="F223" s="23">
        <f t="shared" si="9"/>
        <v>0</v>
      </c>
    </row>
    <row r="224" spans="6:6" x14ac:dyDescent="0.25">
      <c r="F224" s="23">
        <f t="shared" si="9"/>
        <v>0</v>
      </c>
    </row>
    <row r="225" spans="6:6" x14ac:dyDescent="0.25">
      <c r="F225" s="23">
        <f t="shared" si="9"/>
        <v>0</v>
      </c>
    </row>
    <row r="226" spans="6:6" x14ac:dyDescent="0.25">
      <c r="F226" s="23">
        <f t="shared" si="9"/>
        <v>0</v>
      </c>
    </row>
    <row r="227" spans="6:6" x14ac:dyDescent="0.25">
      <c r="F227" s="23">
        <f t="shared" si="9"/>
        <v>0</v>
      </c>
    </row>
    <row r="228" spans="6:6" x14ac:dyDescent="0.25">
      <c r="F228" s="23">
        <f t="shared" si="9"/>
        <v>0</v>
      </c>
    </row>
    <row r="229" spans="6:6" x14ac:dyDescent="0.25">
      <c r="F229" s="23">
        <f t="shared" si="9"/>
        <v>0</v>
      </c>
    </row>
    <row r="230" spans="6:6" x14ac:dyDescent="0.25">
      <c r="F230" s="23">
        <f t="shared" si="9"/>
        <v>0</v>
      </c>
    </row>
    <row r="231" spans="6:6" x14ac:dyDescent="0.25">
      <c r="F231" s="23">
        <f t="shared" si="9"/>
        <v>0</v>
      </c>
    </row>
    <row r="232" spans="6:6" x14ac:dyDescent="0.25">
      <c r="F232" s="23">
        <f t="shared" si="9"/>
        <v>0</v>
      </c>
    </row>
    <row r="233" spans="6:6" x14ac:dyDescent="0.25">
      <c r="F233" s="23">
        <f t="shared" si="9"/>
        <v>0</v>
      </c>
    </row>
    <row r="234" spans="6:6" x14ac:dyDescent="0.25">
      <c r="F234" s="23">
        <f t="shared" si="9"/>
        <v>0</v>
      </c>
    </row>
    <row r="235" spans="6:6" x14ac:dyDescent="0.25">
      <c r="F235" s="23">
        <f t="shared" si="9"/>
        <v>0</v>
      </c>
    </row>
    <row r="236" spans="6:6" x14ac:dyDescent="0.25">
      <c r="F236" s="23">
        <f t="shared" si="9"/>
        <v>0</v>
      </c>
    </row>
    <row r="237" spans="6:6" x14ac:dyDescent="0.25">
      <c r="F237" s="23">
        <f t="shared" si="9"/>
        <v>0</v>
      </c>
    </row>
    <row r="238" spans="6:6" x14ac:dyDescent="0.25">
      <c r="F238" s="23">
        <f t="shared" si="9"/>
        <v>0</v>
      </c>
    </row>
    <row r="239" spans="6:6" x14ac:dyDescent="0.25">
      <c r="F239" s="23">
        <f t="shared" si="9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90" zoomScaleNormal="90" workbookViewId="0">
      <selection activeCell="H46" sqref="H46"/>
    </sheetView>
  </sheetViews>
  <sheetFormatPr defaultRowHeight="15" x14ac:dyDescent="0.25"/>
  <cols>
    <col min="1" max="1" width="34.7109375" customWidth="1"/>
    <col min="2" max="2" width="29.7109375" customWidth="1"/>
    <col min="3" max="3" width="24.28515625" customWidth="1"/>
    <col min="4" max="4" width="21.85546875" customWidth="1"/>
    <col min="5" max="5" width="21.7109375" customWidth="1"/>
    <col min="6" max="6" width="35.42578125" customWidth="1"/>
    <col min="7" max="7" width="32.140625" customWidth="1"/>
    <col min="8" max="8" width="30.28515625" customWidth="1"/>
    <col min="9" max="9" width="31.28515625" customWidth="1"/>
    <col min="10" max="10" width="15.28515625" customWidth="1"/>
  </cols>
  <sheetData>
    <row r="1" spans="1:13" x14ac:dyDescent="0.3">
      <c r="A1" s="23" t="s">
        <v>49</v>
      </c>
      <c r="B1" s="23" t="s">
        <v>81</v>
      </c>
      <c r="C1" s="23" t="s">
        <v>82</v>
      </c>
      <c r="D1" s="23" t="s">
        <v>1</v>
      </c>
      <c r="E1" s="23" t="s">
        <v>2</v>
      </c>
      <c r="F1" s="23" t="s">
        <v>62</v>
      </c>
      <c r="G1" s="23" t="s">
        <v>60</v>
      </c>
      <c r="H1" s="23" t="s">
        <v>61</v>
      </c>
      <c r="I1" s="23" t="s">
        <v>55</v>
      </c>
      <c r="J1" s="23" t="s">
        <v>103</v>
      </c>
      <c r="K1" s="23" t="s">
        <v>57</v>
      </c>
      <c r="L1" s="23" t="s">
        <v>104</v>
      </c>
      <c r="M1" s="23" t="s">
        <v>59</v>
      </c>
    </row>
    <row r="2" spans="1:13" x14ac:dyDescent="0.25">
      <c r="A2" s="23" t="s">
        <v>50</v>
      </c>
      <c r="B2" s="23">
        <v>144504.37750372052</v>
      </c>
      <c r="C2" s="23">
        <v>758788.90556136693</v>
      </c>
      <c r="D2" s="23">
        <f>71.26*Table7172[[#This Row],[Duct Length]]/50</f>
        <v>205947.63881830248</v>
      </c>
      <c r="E2" s="23">
        <f>9.61*Table7172[[#This Row],[Fiber Length]]/50</f>
        <v>145839.22764889471</v>
      </c>
      <c r="F2" s="23">
        <f>'FTTCab GPON 26 Mbps'!B$20</f>
        <v>3844</v>
      </c>
      <c r="G2" s="23">
        <f>'FTTCab GPON 26 Mbps'!C$20</f>
        <v>70395</v>
      </c>
      <c r="H2" s="23">
        <f>'FTTCab GPON 26 Mbps'!D$20</f>
        <v>0</v>
      </c>
      <c r="I2" s="23">
        <f>SUM(Table7172[[#This Row],[Duct Cost]:[Building E&amp;I Costs]])</f>
        <v>426025.86646719719</v>
      </c>
      <c r="J2" s="23">
        <f t="shared" ref="J2:J7" si="0">I2*50</f>
        <v>21301293.323359858</v>
      </c>
      <c r="K2" s="23">
        <v>29262</v>
      </c>
      <c r="L2" s="23">
        <f>J2/K2</f>
        <v>727.95069794818733</v>
      </c>
      <c r="M2" s="23">
        <v>25</v>
      </c>
    </row>
    <row r="3" spans="1:13" x14ac:dyDescent="0.25">
      <c r="A3" s="23" t="s">
        <v>51</v>
      </c>
      <c r="B3" s="23">
        <v>144504.37750372052</v>
      </c>
      <c r="C3" s="23">
        <v>1200132.0550075369</v>
      </c>
      <c r="D3" s="23">
        <f>71.26*Table7172[[#This Row],[Duct Length]]/50</f>
        <v>205947.63881830248</v>
      </c>
      <c r="E3" s="23">
        <f>9.61*Table7172[[#This Row],[Fiber Length]]/50</f>
        <v>230665.38097244859</v>
      </c>
      <c r="F3" s="23">
        <f>'FTTB XGPON 50 Mbps'!B$19</f>
        <v>4600</v>
      </c>
      <c r="G3" s="23">
        <f>'FTTB XGPON 50 Mbps'!C$19</f>
        <v>988</v>
      </c>
      <c r="H3" s="23">
        <f>'FTTB XGPON 50 Mbps'!D$19</f>
        <v>14240</v>
      </c>
      <c r="I3" s="23">
        <f>SUM(Table7172[[#This Row],[Duct Cost]:[Building E&amp;I Costs]])</f>
        <v>456441.01979075104</v>
      </c>
      <c r="J3" s="23">
        <f t="shared" si="0"/>
        <v>22822050.989537552</v>
      </c>
      <c r="K3" s="23">
        <v>29262</v>
      </c>
      <c r="L3" s="23">
        <f t="shared" ref="L3:L6" si="1">J3/K3</f>
        <v>779.9210918439461</v>
      </c>
      <c r="M3" s="23">
        <v>50</v>
      </c>
    </row>
    <row r="4" spans="1:13" x14ac:dyDescent="0.25">
      <c r="A4" s="23" t="s">
        <v>52</v>
      </c>
      <c r="B4" s="23">
        <v>114381.4763133356</v>
      </c>
      <c r="C4" s="23">
        <v>1387134.2793479199</v>
      </c>
      <c r="D4" s="23">
        <f>71.26*Table7172[[#This Row],[Duct Length]]/50</f>
        <v>163016.4800417659</v>
      </c>
      <c r="E4" s="23">
        <f>9.61*Table7172[[#This Row],[Fiber Length]]/50</f>
        <v>266607.20849067019</v>
      </c>
      <c r="F4" s="23">
        <f>'FTTB WR-WDMPON 50 Mbps'!B$17</f>
        <v>39400</v>
      </c>
      <c r="G4" s="23">
        <f>'FTTB WR-WDMPON 50 Mbps'!C$17</f>
        <v>224</v>
      </c>
      <c r="H4" s="23">
        <f>'FTTB WR-WDMPON 50 Mbps'!D$17</f>
        <v>24030</v>
      </c>
      <c r="I4" s="23">
        <f>SUM(Table7172[[#This Row],[Duct Cost]:[Building E&amp;I Costs]])</f>
        <v>493277.68853243609</v>
      </c>
      <c r="J4" s="23">
        <f t="shared" si="0"/>
        <v>24663884.426621806</v>
      </c>
      <c r="K4" s="23">
        <v>29262</v>
      </c>
      <c r="L4" s="23">
        <f t="shared" si="1"/>
        <v>842.86393365531421</v>
      </c>
      <c r="M4" s="23">
        <v>50</v>
      </c>
    </row>
    <row r="5" spans="1:13" x14ac:dyDescent="0.25">
      <c r="A5" s="23" t="s">
        <v>53</v>
      </c>
      <c r="B5" s="23">
        <v>114381.4763133356</v>
      </c>
      <c r="C5" s="23">
        <v>1565134.2793479199</v>
      </c>
      <c r="D5" s="23">
        <f>71.26*Table7172[[#This Row],[Duct Length]]/50</f>
        <v>163016.4800417659</v>
      </c>
      <c r="E5" s="23">
        <f>9.61*Table7172[[#This Row],[Fiber Length]]/50</f>
        <v>300818.80849067017</v>
      </c>
      <c r="F5" s="23">
        <f>'FTTH WR-WDMPON 100 Mbps'!B$17</f>
        <v>39400</v>
      </c>
      <c r="G5" s="23">
        <f>'FTTH WR-WDMPON 100 Mbps'!C$17</f>
        <v>224</v>
      </c>
      <c r="H5" s="23">
        <f>'FTTH WR-WDMPON 100 Mbps'!D$17</f>
        <v>41830</v>
      </c>
      <c r="I5" s="23">
        <f>SUM(Table7172[[#This Row],[Duct Cost]:[Building E&amp;I Costs]])</f>
        <v>545289.28853243613</v>
      </c>
      <c r="J5" s="23">
        <f t="shared" si="0"/>
        <v>27264464.426621806</v>
      </c>
      <c r="K5" s="23">
        <v>29262</v>
      </c>
      <c r="L5" s="23">
        <f t="shared" si="1"/>
        <v>931.73619119068439</v>
      </c>
      <c r="M5" s="23">
        <v>100</v>
      </c>
    </row>
    <row r="6" spans="1:13" x14ac:dyDescent="0.25">
      <c r="A6" s="23" t="s">
        <v>54</v>
      </c>
      <c r="B6" s="23">
        <v>144504.37750372052</v>
      </c>
      <c r="C6" s="23">
        <v>1378132.0550075369</v>
      </c>
      <c r="D6" s="23">
        <f>71.26*Table7172[[#This Row],[Duct Length]]/50</f>
        <v>205947.63881830248</v>
      </c>
      <c r="E6" s="23">
        <f>9.61*Table7172[[#This Row],[Fiber Length]]/50</f>
        <v>264876.9809724486</v>
      </c>
      <c r="F6" s="23">
        <f>'FTTH XGPON 100 Mbps'!B$19</f>
        <v>54200</v>
      </c>
      <c r="G6" s="23">
        <f>'FTTH XGPON 100 Mbps'!C$19</f>
        <v>29432</v>
      </c>
      <c r="H6" s="23">
        <f>'FTTH XGPON 100 Mbps'!D$19</f>
        <v>41830</v>
      </c>
      <c r="I6" s="23">
        <f>SUM(Table7172[[#This Row],[Duct Cost]:[Building E&amp;I Costs]])</f>
        <v>596286.61979075102</v>
      </c>
      <c r="J6" s="23">
        <f t="shared" si="0"/>
        <v>29814330.989537552</v>
      </c>
      <c r="K6" s="23">
        <v>29262</v>
      </c>
      <c r="L6" s="23">
        <f t="shared" si="1"/>
        <v>1018.8753670131075</v>
      </c>
      <c r="M6" s="23">
        <v>100</v>
      </c>
    </row>
    <row r="7" spans="1:13" x14ac:dyDescent="0.25">
      <c r="A7" s="23" t="s">
        <v>64</v>
      </c>
      <c r="B7" s="23">
        <v>144504.37750372052</v>
      </c>
      <c r="C7" s="23">
        <v>758788.90556136693</v>
      </c>
      <c r="D7" s="23">
        <f>71.26*Table7172[[#This Row],[Duct Length]]/50</f>
        <v>205947.63881830248</v>
      </c>
      <c r="E7" s="23">
        <f>9.61*Table7172[[#This Row],[Fiber Length]]/50</f>
        <v>145839.22764889471</v>
      </c>
      <c r="F7" s="23">
        <f>FTTCab_GPON_100!B$18</f>
        <v>16228</v>
      </c>
      <c r="G7" s="23">
        <f>FTTCab_GPON_100!C$18</f>
        <v>203180</v>
      </c>
      <c r="H7" s="23">
        <f>FTTCab_GPON_100!D$18</f>
        <v>0</v>
      </c>
      <c r="I7" s="23">
        <f>SUM(Table7172[[#This Row],[Duct Cost]:[Building E&amp;I Costs]])</f>
        <v>571194.86646719719</v>
      </c>
      <c r="J7" s="23">
        <f t="shared" si="0"/>
        <v>28559743.323359858</v>
      </c>
      <c r="K7" s="23">
        <v>29262</v>
      </c>
      <c r="L7" s="23">
        <f>J7/K7</f>
        <v>976.00107044494086</v>
      </c>
      <c r="M7" s="23">
        <v>100</v>
      </c>
    </row>
    <row r="8" spans="1:13" x14ac:dyDescent="0.25">
      <c r="A8" s="21" t="s">
        <v>65</v>
      </c>
      <c r="B8" s="15">
        <v>125266.95871851889</v>
      </c>
      <c r="C8" s="15">
        <v>1305484.8536316184</v>
      </c>
      <c r="D8" s="23">
        <f>71.26*Table7172[[#This Row],[Duct Length]]/50</f>
        <v>178530.46956563313</v>
      </c>
      <c r="E8" s="23">
        <f>9.61*Table7172[[#This Row],[Fiber Length]]/50</f>
        <v>250914.18886799703</v>
      </c>
      <c r="F8" s="23">
        <f>FTTCab_Hybridpon_25!B$18</f>
        <v>5203.6000000000004</v>
      </c>
      <c r="G8" s="23">
        <f>FTTCab_Hybridpon_25!C$18</f>
        <v>37881</v>
      </c>
      <c r="H8" s="23">
        <f>FTTCab_Hybridpon_25!D$18</f>
        <v>0</v>
      </c>
      <c r="I8" s="23">
        <f>SUM(Table7172[[#This Row],[Duct Cost]:[Building E&amp;I Costs]])</f>
        <v>472529.25843363011</v>
      </c>
      <c r="J8" s="23">
        <f>I8*50</f>
        <v>23626462.921681505</v>
      </c>
      <c r="K8" s="23">
        <v>29262</v>
      </c>
      <c r="L8" s="23">
        <f t="shared" ref="L8:L11" si="2">J8/K8</f>
        <v>807.41107653890731</v>
      </c>
      <c r="M8" s="23">
        <v>25</v>
      </c>
    </row>
    <row r="9" spans="1:13" x14ac:dyDescent="0.25">
      <c r="A9" s="21" t="s">
        <v>66</v>
      </c>
      <c r="B9" s="15">
        <v>125529.21695003069</v>
      </c>
      <c r="C9" s="15">
        <v>1617957.3605791286</v>
      </c>
      <c r="D9" s="23">
        <f>71.26*Table7172[[#This Row],[Duct Length]]/50</f>
        <v>178904.23999718376</v>
      </c>
      <c r="E9" s="23">
        <f>9.61*Table7172[[#This Row],[Fiber Length]]/50</f>
        <v>310971.40470330848</v>
      </c>
      <c r="F9" s="23">
        <f>FTTB_Hybridpon_50!B$17</f>
        <v>13850</v>
      </c>
      <c r="G9" s="23">
        <f>FTTB_Hybridpon_50!C$17</f>
        <v>20288.599999999999</v>
      </c>
      <c r="H9" s="23">
        <f>FTTB_Hybridpon_50!D$17</f>
        <v>11184.6</v>
      </c>
      <c r="I9" s="23">
        <f>SUM(Table7172[[#This Row],[Duct Cost]:[Building E&amp;I Costs]])</f>
        <v>535198.84470049222</v>
      </c>
      <c r="J9" s="44">
        <f>I9*50</f>
        <v>26759942.235024612</v>
      </c>
      <c r="K9" s="23">
        <v>29262</v>
      </c>
      <c r="L9" s="23">
        <f t="shared" si="2"/>
        <v>914.49464271152385</v>
      </c>
      <c r="M9" s="23">
        <v>50</v>
      </c>
    </row>
    <row r="10" spans="1:13" x14ac:dyDescent="0.25">
      <c r="A10" s="21" t="s">
        <v>67</v>
      </c>
      <c r="B10" s="15">
        <v>125529.21695003069</v>
      </c>
      <c r="C10" s="15">
        <v>1795957.3605791286</v>
      </c>
      <c r="D10" s="23">
        <f>71.26*Table7172[[#This Row],[Duct Length]]/50</f>
        <v>178904.23999718376</v>
      </c>
      <c r="E10" s="23">
        <f>9.61*Table7172[[#This Row],[Fiber Length]]/50</f>
        <v>345183.00470330851</v>
      </c>
      <c r="F10" s="23">
        <f>FTTH_Hybridpon_100!B$17</f>
        <v>27500</v>
      </c>
      <c r="G10" s="23">
        <f>FTTH_Hybridpon_100!C$17</f>
        <v>40377.199999999997</v>
      </c>
      <c r="H10" s="23">
        <f>FTTH_Hybridpon_100!D$17</f>
        <v>22369.200000000001</v>
      </c>
      <c r="I10" s="23">
        <f>SUM(Table7172[[#This Row],[Duct Cost]:[Building E&amp;I Costs]])</f>
        <v>614333.64470049215</v>
      </c>
      <c r="J10" s="44">
        <f>I10*50</f>
        <v>30716682.235024609</v>
      </c>
      <c r="K10" s="23">
        <v>29262</v>
      </c>
      <c r="L10" s="23">
        <f t="shared" si="2"/>
        <v>1049.7123311812113</v>
      </c>
      <c r="M10" s="23">
        <v>100</v>
      </c>
    </row>
    <row r="11" spans="1:13" x14ac:dyDescent="0.25">
      <c r="A11" s="21" t="s">
        <v>68</v>
      </c>
      <c r="B11" s="15">
        <v>125266.95871851889</v>
      </c>
      <c r="C11" s="15">
        <v>1305484.8536316184</v>
      </c>
      <c r="D11" s="23">
        <f>71.26*Table7172[[#This Row],[Duct Length]]/50</f>
        <v>178530.46956563313</v>
      </c>
      <c r="E11" s="23">
        <f>9.61*Table7172[[#This Row],[Fiber Length]]/50</f>
        <v>250914.18886799703</v>
      </c>
      <c r="F11" s="23">
        <f>FTTC_Hybridpon_100!B$18</f>
        <v>18400</v>
      </c>
      <c r="G11" s="23">
        <f>FTTC_Hybridpon_100!C$18</f>
        <v>77982.8</v>
      </c>
      <c r="H11" s="23">
        <f>FTTC_Hybridpon_100!D$18</f>
        <v>0</v>
      </c>
      <c r="I11" s="23">
        <f>SUM(Table7172[[#This Row],[Duct Cost]:[Building E&amp;I Costs]])</f>
        <v>525827.45843363018</v>
      </c>
      <c r="J11" s="44">
        <f>I11*50</f>
        <v>26291372.921681508</v>
      </c>
      <c r="K11" s="23">
        <v>29262</v>
      </c>
      <c r="L11" s="23">
        <f t="shared" si="2"/>
        <v>898.48174840002423</v>
      </c>
      <c r="M11" s="23">
        <v>100</v>
      </c>
    </row>
    <row r="12" spans="1:13" x14ac:dyDescent="0.25">
      <c r="B12" s="45"/>
      <c r="C12" s="45"/>
      <c r="J12" s="44"/>
    </row>
    <row r="14" spans="1:13" x14ac:dyDescent="0.25">
      <c r="A14" s="14"/>
      <c r="B14" s="15"/>
      <c r="C14" s="15"/>
      <c r="D14" s="23"/>
      <c r="E14" s="23"/>
      <c r="F14" s="16"/>
      <c r="G14" s="16"/>
      <c r="H14" s="16"/>
      <c r="I14" s="23"/>
      <c r="J14" s="23"/>
      <c r="K14" s="23"/>
      <c r="L14" s="16"/>
      <c r="M14" s="16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E7" workbookViewId="0">
      <selection activeCell="K44" sqref="K44"/>
    </sheetView>
  </sheetViews>
  <sheetFormatPr defaultRowHeight="15" x14ac:dyDescent="0.25"/>
  <cols>
    <col min="1" max="1" width="53.85546875" customWidth="1"/>
    <col min="2" max="2" width="23" customWidth="1"/>
    <col min="3" max="3" width="17.28515625" customWidth="1"/>
    <col min="4" max="4" width="19.28515625" customWidth="1"/>
    <col min="5" max="5" width="17" customWidth="1"/>
    <col min="6" max="6" width="18.42578125" customWidth="1"/>
    <col min="7" max="7" width="15.7109375" customWidth="1"/>
    <col min="8" max="8" width="17.140625" customWidth="1"/>
    <col min="9" max="9" width="18.7109375" customWidth="1"/>
  </cols>
  <sheetData>
    <row r="1" spans="1:13" x14ac:dyDescent="0.3">
      <c r="A1" s="23" t="s">
        <v>49</v>
      </c>
      <c r="B1" s="23" t="s">
        <v>81</v>
      </c>
      <c r="C1" s="23" t="s">
        <v>82</v>
      </c>
      <c r="D1" s="23" t="s">
        <v>1</v>
      </c>
      <c r="E1" s="23" t="s">
        <v>2</v>
      </c>
      <c r="F1" s="23" t="s">
        <v>62</v>
      </c>
      <c r="G1" s="23" t="s">
        <v>60</v>
      </c>
      <c r="H1" s="23" t="s">
        <v>61</v>
      </c>
      <c r="I1" s="23" t="s">
        <v>55</v>
      </c>
      <c r="J1" s="23" t="s">
        <v>114</v>
      </c>
      <c r="K1" s="23" t="s">
        <v>57</v>
      </c>
      <c r="L1" s="23" t="s">
        <v>117</v>
      </c>
      <c r="M1" s="23" t="s">
        <v>59</v>
      </c>
    </row>
    <row r="2" spans="1:13" x14ac:dyDescent="0.25">
      <c r="A2" s="23" t="s">
        <v>50</v>
      </c>
      <c r="B2" s="23">
        <v>144504.37750372052</v>
      </c>
      <c r="C2" s="23">
        <v>758788.90556136693</v>
      </c>
      <c r="D2" s="23">
        <f>27*Table717218[[#This Row],[Duct Length]]/50</f>
        <v>78032.36385200909</v>
      </c>
      <c r="E2" s="23">
        <f>0.3*Table717218[[#This Row],[Fiber Length]]/50</f>
        <v>4552.7334333682011</v>
      </c>
      <c r="F2" s="23">
        <f>'FTTCab GPON 26 Mbps'!B$21</f>
        <v>650</v>
      </c>
      <c r="G2" s="23">
        <f>'FTTCab GPON 26 Mbps'!C$21</f>
        <v>48825</v>
      </c>
      <c r="H2" s="23">
        <f>'FTTCab GPON 26 Mbps'!D$21</f>
        <v>0</v>
      </c>
      <c r="I2" s="23">
        <f>SUM(Table717218[[#This Row],[Duct Cost]:[Building E&amp;I Costs]])</f>
        <v>132060.0972853773</v>
      </c>
      <c r="J2" s="23">
        <f t="shared" ref="J2:J7" si="0">I2*50</f>
        <v>6603004.8642688645</v>
      </c>
      <c r="K2" s="23">
        <v>29262</v>
      </c>
      <c r="L2" s="23">
        <f>J2/K2</f>
        <v>225.65118119981082</v>
      </c>
      <c r="M2" s="23">
        <v>25</v>
      </c>
    </row>
    <row r="3" spans="1:13" x14ac:dyDescent="0.25">
      <c r="A3" s="23" t="s">
        <v>51</v>
      </c>
      <c r="B3" s="23">
        <v>144504.37750372052</v>
      </c>
      <c r="C3" s="23">
        <v>1200132.0550075369</v>
      </c>
      <c r="D3" s="23">
        <f>27*Table717218[[#This Row],[Duct Length]]/50</f>
        <v>78032.36385200909</v>
      </c>
      <c r="E3" s="23">
        <f>0.3*Table717218[[#This Row],[Fiber Length]]/50</f>
        <v>7200.7923300452212</v>
      </c>
      <c r="F3" s="23">
        <f>'FTTB XGPON 50 Mbps'!B$20</f>
        <v>825</v>
      </c>
      <c r="G3" s="23">
        <f>'FTTB XGPON 50 Mbps'!C$20</f>
        <v>0</v>
      </c>
      <c r="H3" s="23">
        <f>'FTTB XGPON 50 Mbps'!D$20</f>
        <v>44500</v>
      </c>
      <c r="I3" s="23">
        <f>SUM(Table717218[[#This Row],[Duct Cost]:[Building E&amp;I Costs]])</f>
        <v>130558.15618205431</v>
      </c>
      <c r="J3" s="23">
        <f t="shared" si="0"/>
        <v>6527907.8091027159</v>
      </c>
      <c r="K3" s="23">
        <v>29262</v>
      </c>
      <c r="L3" s="23">
        <f t="shared" ref="L3:L6" si="1">J3/K3</f>
        <v>223.08481337921933</v>
      </c>
      <c r="M3" s="23">
        <v>50</v>
      </c>
    </row>
    <row r="4" spans="1:13" x14ac:dyDescent="0.25">
      <c r="A4" s="23" t="s">
        <v>52</v>
      </c>
      <c r="B4" s="23">
        <v>114381.4763133356</v>
      </c>
      <c r="C4" s="23">
        <v>1387134.2793479199</v>
      </c>
      <c r="D4" s="23">
        <f>27*Table717218[[#This Row],[Duct Length]]/50</f>
        <v>61765.997209201225</v>
      </c>
      <c r="E4" s="23">
        <f>0.3*Table717218[[#This Row],[Fiber Length]]/50</f>
        <v>8322.8056760875188</v>
      </c>
      <c r="F4" s="23">
        <f>'FTTB WR-WDMPON 50 Mbps'!B$18</f>
        <v>6720</v>
      </c>
      <c r="G4" s="23">
        <f>'FTTB WR-WDMPON 50 Mbps'!C$18</f>
        <v>0</v>
      </c>
      <c r="H4" s="23">
        <f>'FTTB WR-WDMPON 50 Mbps'!D$18</f>
        <v>44500</v>
      </c>
      <c r="I4" s="23">
        <f>SUM(Table717218[[#This Row],[Duct Cost]:[Building E&amp;I Costs]])</f>
        <v>121308.80288528875</v>
      </c>
      <c r="J4" s="23">
        <f t="shared" si="0"/>
        <v>6065440.1442644373</v>
      </c>
      <c r="K4" s="23">
        <v>29262</v>
      </c>
      <c r="L4" s="23">
        <f t="shared" si="1"/>
        <v>207.28043688963288</v>
      </c>
      <c r="M4" s="23">
        <v>50</v>
      </c>
    </row>
    <row r="5" spans="1:13" x14ac:dyDescent="0.25">
      <c r="A5" s="23" t="s">
        <v>53</v>
      </c>
      <c r="B5" s="23">
        <v>114381.4763133356</v>
      </c>
      <c r="C5" s="23">
        <v>1565134.2793479199</v>
      </c>
      <c r="D5" s="23">
        <f>27*Table717218[[#This Row],[Duct Length]]/50</f>
        <v>61765.997209201225</v>
      </c>
      <c r="E5" s="23">
        <f>0.3*Table717218[[#This Row],[Fiber Length]]/50</f>
        <v>9390.8056760875188</v>
      </c>
      <c r="F5" s="23">
        <f>'FTTH WR-WDMPON 100 Mbps'!B$18</f>
        <v>6720</v>
      </c>
      <c r="G5" s="23">
        <f>'FTTH WR-WDMPON 100 Mbps'!C$18</f>
        <v>224</v>
      </c>
      <c r="H5" s="23">
        <f>'FTTH WR-WDMPON 100 Mbps'!D$18</f>
        <v>62300</v>
      </c>
      <c r="I5" s="23">
        <f>SUM(Table717218[[#This Row],[Duct Cost]:[Building E&amp;I Costs]])</f>
        <v>140400.80288528875</v>
      </c>
      <c r="J5" s="23">
        <f t="shared" si="0"/>
        <v>7020040.1442644373</v>
      </c>
      <c r="K5" s="23">
        <v>29262</v>
      </c>
      <c r="L5" s="23">
        <f t="shared" si="1"/>
        <v>239.90295073010859</v>
      </c>
      <c r="M5" s="23">
        <v>100</v>
      </c>
    </row>
    <row r="6" spans="1:13" x14ac:dyDescent="0.25">
      <c r="A6" s="23" t="s">
        <v>54</v>
      </c>
      <c r="B6" s="23">
        <v>144504.37750372052</v>
      </c>
      <c r="C6" s="23">
        <v>1378132.0550075369</v>
      </c>
      <c r="D6" s="23">
        <f>27*Table717218[[#This Row],[Duct Length]]/50</f>
        <v>78032.36385200909</v>
      </c>
      <c r="E6" s="23">
        <f>0.3*Table717218[[#This Row],[Fiber Length]]/50</f>
        <v>8268.7923300452221</v>
      </c>
      <c r="F6" s="23">
        <f>'FTTH XGPON 100 Mbps'!B$20</f>
        <v>1650</v>
      </c>
      <c r="G6" s="23">
        <f>'FTTH XGPON 100 Mbps'!C$20</f>
        <v>544</v>
      </c>
      <c r="H6" s="23">
        <f>'FTTH XGPON 100 Mbps'!D$20</f>
        <v>62300</v>
      </c>
      <c r="I6" s="23">
        <f>SUM(Table717218[[#This Row],[Duct Cost]:[Building E&amp;I Costs]])</f>
        <v>150795.15618205431</v>
      </c>
      <c r="J6" s="23">
        <f t="shared" si="0"/>
        <v>7539757.8091027159</v>
      </c>
      <c r="K6" s="23">
        <v>29262</v>
      </c>
      <c r="L6" s="23">
        <f t="shared" si="1"/>
        <v>257.66378952575752</v>
      </c>
      <c r="M6" s="23">
        <v>100</v>
      </c>
    </row>
    <row r="7" spans="1:13" x14ac:dyDescent="0.25">
      <c r="A7" s="23" t="s">
        <v>64</v>
      </c>
      <c r="B7" s="23">
        <v>144504.37750372052</v>
      </c>
      <c r="C7" s="23">
        <v>758788.90556136693</v>
      </c>
      <c r="D7" s="23">
        <f>27*Table717218[[#This Row],[Duct Length]]/50</f>
        <v>78032.36385200909</v>
      </c>
      <c r="E7" s="23">
        <f>0.3*Table717218[[#This Row],[Fiber Length]]/50</f>
        <v>4552.7334333682011</v>
      </c>
      <c r="F7" s="23">
        <f>FTTCab_GPON_100!B$19</f>
        <v>2800</v>
      </c>
      <c r="G7" s="23">
        <f>FTTCab_GPON_100!C$19</f>
        <v>200600</v>
      </c>
      <c r="H7" s="23">
        <f>FTTCab_GPON_100!D$19</f>
        <v>0</v>
      </c>
      <c r="I7" s="23">
        <f>SUM(Table717218[[#This Row],[Duct Cost]:[Building E&amp;I Costs]])</f>
        <v>285985.09728537733</v>
      </c>
      <c r="J7" s="23">
        <f t="shared" si="0"/>
        <v>14299254.864268865</v>
      </c>
      <c r="K7" s="23">
        <v>29262</v>
      </c>
      <c r="L7" s="23">
        <f>J7/K7</f>
        <v>488.66293706065426</v>
      </c>
      <c r="M7" s="23">
        <v>100</v>
      </c>
    </row>
    <row r="8" spans="1:13" x14ac:dyDescent="0.25">
      <c r="A8" s="21" t="s">
        <v>65</v>
      </c>
      <c r="B8" s="15">
        <v>125266.95871851889</v>
      </c>
      <c r="C8" s="15">
        <v>1305484.8536316184</v>
      </c>
      <c r="D8" s="23">
        <f>27*Table717218[[#This Row],[Duct Length]]/50</f>
        <v>67644.157708000203</v>
      </c>
      <c r="E8" s="23">
        <f>0.3*Table717218[[#This Row],[Fiber Length]]/50</f>
        <v>7832.9091217897103</v>
      </c>
      <c r="F8" s="23">
        <f>FTTCab_Hybridpon_25!B$19</f>
        <v>620</v>
      </c>
      <c r="G8" s="23">
        <f>FTTCab_Hybridpon_25!C$19</f>
        <v>22325</v>
      </c>
      <c r="H8" s="23">
        <f>FTTCab_Hybridpon_25!D$19</f>
        <v>0</v>
      </c>
      <c r="I8" s="23">
        <f>SUM(Table717218[[#This Row],[Duct Cost]:[Building E&amp;I Costs]])</f>
        <v>98422.06682978991</v>
      </c>
      <c r="J8" s="23">
        <f>I8*50</f>
        <v>4921103.3414894957</v>
      </c>
      <c r="K8" s="23">
        <v>29262</v>
      </c>
      <c r="L8" s="23">
        <f>J8/K8</f>
        <v>168.17385487969023</v>
      </c>
      <c r="M8" s="23">
        <v>25</v>
      </c>
    </row>
    <row r="9" spans="1:13" x14ac:dyDescent="0.25">
      <c r="A9" s="21" t="s">
        <v>66</v>
      </c>
      <c r="B9" s="15">
        <v>125529.21695003069</v>
      </c>
      <c r="C9" s="15">
        <v>1617957.3605791286</v>
      </c>
      <c r="D9" s="23">
        <f>27*Table717218[[#This Row],[Duct Length]]/50</f>
        <v>67785.777153016577</v>
      </c>
      <c r="E9" s="23">
        <f>0.3*Table717218[[#This Row],[Fiber Length]]/50</f>
        <v>9707.744163474772</v>
      </c>
      <c r="F9" s="23">
        <f>FTTB_Hybridpon_50!B$18</f>
        <v>2340</v>
      </c>
      <c r="G9" s="23">
        <f>FTTB_Hybridpon_50!C$18</f>
        <v>15582</v>
      </c>
      <c r="H9" s="23">
        <f>FTTB_Hybridpon_50!D$18</f>
        <v>15582</v>
      </c>
      <c r="I9" s="23">
        <f>SUM(Table717218[[#This Row],[Duct Cost]:[Building E&amp;I Costs]])</f>
        <v>110997.52131649134</v>
      </c>
      <c r="J9" s="44">
        <f>I9*50</f>
        <v>5549876.0658245673</v>
      </c>
      <c r="K9" s="23">
        <v>29262</v>
      </c>
      <c r="L9" s="23">
        <f>J9/K9</f>
        <v>189.6615428140444</v>
      </c>
      <c r="M9" s="23">
        <v>50</v>
      </c>
    </row>
    <row r="10" spans="1:13" x14ac:dyDescent="0.25">
      <c r="A10" s="21" t="s">
        <v>67</v>
      </c>
      <c r="B10" s="15">
        <v>125529.21695003069</v>
      </c>
      <c r="C10" s="15">
        <v>1795957.3605791286</v>
      </c>
      <c r="D10" s="23">
        <f>27*Table717218[[#This Row],[Duct Length]]/50</f>
        <v>67785.777153016577</v>
      </c>
      <c r="E10" s="23">
        <f>0.3*Table717218[[#This Row],[Fiber Length]]/50</f>
        <v>10775.744163474772</v>
      </c>
      <c r="F10" s="23">
        <f>FTTH_Hybridpon_100!B$18</f>
        <v>4680</v>
      </c>
      <c r="G10" s="23">
        <f>FTTH_Hybridpon_100!C$18</f>
        <v>31164</v>
      </c>
      <c r="H10" s="23">
        <f>FTTH_Hybridpon_100!D$18</f>
        <v>31164</v>
      </c>
      <c r="I10" s="23">
        <f>SUM(Table717218[[#This Row],[Duct Cost]:[Building E&amp;I Costs]])</f>
        <v>145569.52131649136</v>
      </c>
      <c r="J10" s="44">
        <f>I10*50</f>
        <v>7278476.0658245683</v>
      </c>
      <c r="K10" s="23">
        <v>29262</v>
      </c>
      <c r="L10" s="23">
        <f>J10/K10</f>
        <v>248.73474355220313</v>
      </c>
      <c r="M10" s="23">
        <v>100</v>
      </c>
    </row>
    <row r="11" spans="1:13" x14ac:dyDescent="0.25">
      <c r="A11" s="21" t="s">
        <v>68</v>
      </c>
      <c r="B11" s="15">
        <v>125266.95871851889</v>
      </c>
      <c r="C11" s="15">
        <v>1305484.8536316184</v>
      </c>
      <c r="D11" s="23">
        <f>27*Table717218[[#This Row],[Duct Length]]/50</f>
        <v>67644.157708000203</v>
      </c>
      <c r="E11" s="23">
        <f>0.3*Table717218[[#This Row],[Fiber Length]]/50</f>
        <v>7832.9091217897103</v>
      </c>
      <c r="F11" s="23">
        <f>FTTC_Hybridpon_100!B$19</f>
        <v>3120</v>
      </c>
      <c r="G11" s="23">
        <f>FTTC_Hybridpon_100!C$19</f>
        <v>77910</v>
      </c>
      <c r="H11" s="23">
        <f>FTTC_Hybridpon_100!D$19</f>
        <v>0</v>
      </c>
      <c r="I11" s="23">
        <f>SUM(Table717218[[#This Row],[Duct Cost]:[Building E&amp;I Costs]])</f>
        <v>156507.0668297899</v>
      </c>
      <c r="J11" s="44">
        <f>I11*50</f>
        <v>7825353.3414894948</v>
      </c>
      <c r="K11" s="23">
        <v>29262</v>
      </c>
      <c r="L11" s="23">
        <f>J11/K11</f>
        <v>267.42373527064092</v>
      </c>
      <c r="M11" s="23">
        <v>100</v>
      </c>
    </row>
    <row r="12" spans="1:13" x14ac:dyDescent="0.25">
      <c r="B12" s="45"/>
      <c r="C12" s="45"/>
      <c r="J12" s="44"/>
    </row>
    <row r="14" spans="1:13" x14ac:dyDescent="0.25">
      <c r="A14" s="14"/>
      <c r="B14" s="15"/>
      <c r="C14" s="15"/>
      <c r="D14" s="23"/>
      <c r="E14" s="23"/>
      <c r="F14" s="16"/>
      <c r="G14" s="16"/>
      <c r="H14" s="16"/>
      <c r="I14" s="23"/>
      <c r="J14" s="23"/>
      <c r="K14" s="23"/>
      <c r="L14" s="16"/>
      <c r="M14" s="16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70" zoomScaleNormal="70" workbookViewId="0">
      <selection activeCell="A219" sqref="A219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xSplit="4" ySplit="16" topLeftCell="E17" activePane="bottomRight" state="frozen"/>
      <selection pane="topRight" activeCell="E1" sqref="E1"/>
      <selection pane="bottomLeft" activeCell="A17" sqref="A17"/>
      <selection pane="bottomRight" activeCell="C10" sqref="C10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0" customWidth="1"/>
    <col min="5" max="6" width="21.28515625" style="23" customWidth="1"/>
    <col min="7" max="7" width="22.5703125" customWidth="1"/>
    <col min="8" max="8" width="30.140625" customWidth="1"/>
    <col min="9" max="9" width="23.5703125" customWidth="1"/>
    <col min="10" max="10" width="20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73</v>
      </c>
      <c r="E1" s="7" t="s">
        <v>99</v>
      </c>
      <c r="F1" s="7" t="s">
        <v>110</v>
      </c>
      <c r="G1" s="7" t="s">
        <v>21</v>
      </c>
      <c r="H1" s="7" t="s">
        <v>72</v>
      </c>
      <c r="I1" s="7" t="s">
        <v>74</v>
      </c>
      <c r="J1" s="7" t="s">
        <v>100</v>
      </c>
      <c r="K1" s="33" t="s">
        <v>111</v>
      </c>
    </row>
    <row r="2" spans="1:11" x14ac:dyDescent="0.25">
      <c r="A2" s="6" t="s">
        <v>27</v>
      </c>
      <c r="B2" s="6" t="s">
        <v>23</v>
      </c>
      <c r="C2" s="4">
        <v>40</v>
      </c>
      <c r="D2" s="4">
        <f>3500/50</f>
        <v>70</v>
      </c>
      <c r="E2" s="4">
        <f>57600/4/50</f>
        <v>288</v>
      </c>
      <c r="F2" s="4">
        <f>2500/50</f>
        <v>50</v>
      </c>
      <c r="G2" s="4">
        <v>13</v>
      </c>
      <c r="H2" s="4">
        <f>Table2[[#This Row],[Cost per Unit (OASE)]]*Table2[[#This Row],[Quantity]]</f>
        <v>520</v>
      </c>
      <c r="I2" s="4">
        <f>Table2[[#This Row],[Cost per Unit (Rokkas)]]*Table2[[#This Row],[Quantity]]</f>
        <v>910</v>
      </c>
      <c r="J2" s="29">
        <f>Table2[[#This Row],[Cost per Unit (BSG)]]*Table2[[#This Row],[Quantity]]</f>
        <v>3744</v>
      </c>
      <c r="K2" s="32">
        <f>Table2[[#This Row],[Cost per Unit(Philipson)]]*Table2[[#This Row],[Quantity]]</f>
        <v>650</v>
      </c>
    </row>
    <row r="3" spans="1:11" x14ac:dyDescent="0.25">
      <c r="A3" s="6" t="s">
        <v>27</v>
      </c>
      <c r="B3" s="6" t="s">
        <v>24</v>
      </c>
      <c r="C3" s="4">
        <v>4</v>
      </c>
      <c r="D3" s="4">
        <f>200/50</f>
        <v>4</v>
      </c>
      <c r="E3" s="4">
        <v>0</v>
      </c>
      <c r="F3" s="4">
        <v>0</v>
      </c>
      <c r="G3" s="4">
        <v>102</v>
      </c>
      <c r="H3" s="4">
        <f>Table2[[#This Row],[Cost per Unit (OASE)]]*Table2[[#This Row],[Quantity]]</f>
        <v>408</v>
      </c>
      <c r="I3" s="4">
        <f>Table2[[#This Row],[Cost per Unit (Rokkas)]]*Table2[[#This Row],[Quantity]]</f>
        <v>408</v>
      </c>
      <c r="J3" s="29">
        <f>Table2[[#This Row],[Cost per Unit (BSG)]]*Table2[[#This Row],[Quantity]]</f>
        <v>0</v>
      </c>
      <c r="K3" s="32">
        <f>Table2[[#This Row],[Cost per Unit(Philipson)]]*Table2[[#This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254</v>
      </c>
      <c r="H4" s="4">
        <f>Table2[[#This Row],[Cost per Unit (OASE)]]*Table2[[#This Row],[Quantity]]</f>
        <v>2.8222222222222224</v>
      </c>
      <c r="I4" s="4">
        <f>Table2[[#This Row],[Cost per Unit (Rokkas)]]*Table2[[#This Row],[Quantity]]</f>
        <v>0</v>
      </c>
      <c r="J4" s="29">
        <f>Table2[[#This Row],[Cost per Unit (BSG)]]*Table2[[#This Row],[Quantity]]</f>
        <v>0</v>
      </c>
      <c r="K4" s="32">
        <f>Table2[[#This Row],[Cost per Unit(Philipson)]]*Table2[[#This Row],[Quantity]]</f>
        <v>0</v>
      </c>
    </row>
    <row r="5" spans="1:11" x14ac:dyDescent="0.25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Table2[[#This Row],[Cost per Unit (OASE)]]*Table2[[#This Row],[Quantity]]</f>
        <v>200</v>
      </c>
      <c r="I5" s="4">
        <f>Table2[[#This Row],[Cost per Unit (Rokkas)]]*Table2[[#This Row],[Quantity]]</f>
        <v>3000</v>
      </c>
      <c r="J5" s="29">
        <f>Table2[[#This Row],[Cost per Unit (BSG)]]*Table2[[#This Row],[Quantity]]</f>
        <v>100</v>
      </c>
      <c r="K5" s="32">
        <f>Table2[[#This Row],[Cost per Unit(Philipson)]]*Table2[[#This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v>102</v>
      </c>
      <c r="H6" s="4">
        <f>Table2[[#This Row],[Cost per Unit (OASE)]]*Table2[[#This Row],[Quantity]]</f>
        <v>183.6</v>
      </c>
      <c r="I6" s="4">
        <f>Table2[[#This Row],[Cost per Unit (Rokkas)]]*Table2[[#This Row],[Quantity]]</f>
        <v>1020</v>
      </c>
      <c r="J6" s="29">
        <f>Table2[[#This Row],[Cost per Unit (BSG)]]*Table2[[#This Row],[Quantity]]</f>
        <v>142.79999999999998</v>
      </c>
      <c r="K6" s="32">
        <f>Table2[[#This Row],[Cost per Unit(Philipson)]]*Table2[[#This Row],[Quantity]]</f>
        <v>0</v>
      </c>
    </row>
    <row r="7" spans="1:11" x14ac:dyDescent="0.25">
      <c r="A7" s="6" t="s">
        <v>28</v>
      </c>
      <c r="B7" s="6" t="s">
        <v>24</v>
      </c>
      <c r="C7" s="4">
        <v>4</v>
      </c>
      <c r="D7" s="4">
        <f>200/50</f>
        <v>4</v>
      </c>
      <c r="E7" s="4">
        <v>0</v>
      </c>
      <c r="F7" s="4">
        <v>0</v>
      </c>
      <c r="G7" s="4">
        <v>102</v>
      </c>
      <c r="H7" s="4">
        <f>Table2[[#This Row],[Cost per Unit (OASE)]]*Table2[[#This Row],[Quantity]]</f>
        <v>408</v>
      </c>
      <c r="I7" s="4">
        <f>Table2[[#This Row],[Cost per Unit (Rokkas)]]*Table2[[#This Row],[Quantity]]</f>
        <v>408</v>
      </c>
      <c r="J7" s="29">
        <f>Table2[[#This Row],[Cost per Unit (BSG)]]*Table2[[#This Row],[Quantity]]</f>
        <v>0</v>
      </c>
      <c r="K7" s="32">
        <f>Table2[[#This Row],[Cost per Unit(Philipson)]]*Table2[[#This Row],[Quantity]]</f>
        <v>0</v>
      </c>
    </row>
    <row r="8" spans="1:11" x14ac:dyDescent="0.25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f>250/50</f>
        <v>5</v>
      </c>
      <c r="G8" s="4">
        <v>837</v>
      </c>
      <c r="H8" s="4">
        <f>Table2[[#This Row],[Cost per Unit (OASE)]]*Table2[[#This Row],[Quantity]]</f>
        <v>837</v>
      </c>
      <c r="I8" s="4">
        <f>Table2[[#This Row],[Cost per Unit (Rokkas)]]*Table2[[#This Row],[Quantity]]</f>
        <v>1674</v>
      </c>
      <c r="J8" s="29">
        <f>Table2[[#This Row],[Cost per Unit (BSG)]]*Table2[[#This Row],[Quantity]]</f>
        <v>1339.2</v>
      </c>
      <c r="K8" s="32">
        <f>Table2[[#This Row],[Cost per Unit(Philipson)]]*Table2[[#This Row],[Quantity]]</f>
        <v>4185</v>
      </c>
    </row>
    <row r="9" spans="1:11" x14ac:dyDescent="0.25">
      <c r="A9" s="6" t="s">
        <v>30</v>
      </c>
      <c r="B9" s="6" t="s">
        <v>115</v>
      </c>
      <c r="C9" s="4">
        <f>124</f>
        <v>124</v>
      </c>
      <c r="D9" s="4">
        <f>1500/50</f>
        <v>30</v>
      </c>
      <c r="E9" s="4">
        <f>(1200)/50+25</f>
        <v>49</v>
      </c>
      <c r="F9" s="4">
        <f>1000/50</f>
        <v>20</v>
      </c>
      <c r="G9" s="4">
        <v>837</v>
      </c>
      <c r="H9" s="4">
        <f>Table2[[#This Row],[Cost per Unit (OASE)]]*Table2[[#This Row],[Quantity]]+27900</f>
        <v>131688</v>
      </c>
      <c r="I9" s="4">
        <f>Table2[[#This Row],[Cost per Unit (Rokkas)]]*Table2[[#This Row],[Quantity]]+27900</f>
        <v>53010</v>
      </c>
      <c r="J9" s="29">
        <f>Table2[[#This Row],[Cost per Unit (BSG)]]*Table2[[#This Row],[Quantity]]+27900</f>
        <v>68913</v>
      </c>
      <c r="K9" s="32">
        <f>Table2[[#This Row],[Cost per Unit(Philipson)]]*Table2[[#This Row],[Quantity]]+27900</f>
        <v>44640</v>
      </c>
    </row>
    <row r="10" spans="1:11" x14ac:dyDescent="0.25">
      <c r="A10" s="6" t="s">
        <v>32</v>
      </c>
      <c r="B10" s="6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8900</v>
      </c>
      <c r="H10" s="4">
        <f>Table2[[#This Row],[Cost per Unit (OASE)]]*Table2[[#This Row],[Quantity]]</f>
        <v>0</v>
      </c>
      <c r="I10" s="4">
        <f>Table2[[#This Row],[Cost per Unit (Rokkas)]]*Table2[[#This Row],[Quantity]]</f>
        <v>0</v>
      </c>
      <c r="J10" s="29">
        <f>Table2[[#This Row],[Cost per Unit (BSG)]]*Table2[[#This Row],[Quantity]]</f>
        <v>0</v>
      </c>
      <c r="K10" s="32">
        <f>Table2[[#This Row],[Cost per Unit(Philipson)]]*Table2[[#This Row],[Quantity]]</f>
        <v>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11"/>
    </row>
    <row r="17" spans="1:10" ht="14.45" x14ac:dyDescent="0.3">
      <c r="A17" t="s">
        <v>75</v>
      </c>
      <c r="B17" t="s">
        <v>35</v>
      </c>
      <c r="C17" t="s">
        <v>36</v>
      </c>
      <c r="D17" t="s">
        <v>37</v>
      </c>
      <c r="E17" t="s">
        <v>34</v>
      </c>
    </row>
    <row r="18" spans="1:10" thickBot="1" x14ac:dyDescent="0.35">
      <c r="A18" t="s">
        <v>76</v>
      </c>
      <c r="B18" s="9">
        <f>SUM(H2:H5)</f>
        <v>1130.8222222222221</v>
      </c>
      <c r="C18" s="9">
        <f>SUM(H6:H9)</f>
        <v>133116.6</v>
      </c>
      <c r="D18" s="10">
        <f>SUM(H10:H11)</f>
        <v>0</v>
      </c>
      <c r="E18" s="5">
        <f>SUM(B18:D18)</f>
        <v>134247.42222222223</v>
      </c>
      <c r="F18" s="10"/>
    </row>
    <row r="19" spans="1:10" ht="15.6" thickTop="1" thickBot="1" x14ac:dyDescent="0.35">
      <c r="A19" t="s">
        <v>77</v>
      </c>
      <c r="B19">
        <f>SUM(I2:I5)</f>
        <v>4318</v>
      </c>
      <c r="C19">
        <f>SUM(I6:I9)</f>
        <v>56112</v>
      </c>
      <c r="D19" s="20">
        <f>SUM(I10)</f>
        <v>0</v>
      </c>
      <c r="E19" s="5">
        <f>SUM(B19:D19)</f>
        <v>60430</v>
      </c>
    </row>
    <row r="20" spans="1:10" ht="15.6" thickTop="1" thickBot="1" x14ac:dyDescent="0.35">
      <c r="A20" t="s">
        <v>101</v>
      </c>
      <c r="B20">
        <f>SUM(J$2:J$5)</f>
        <v>3844</v>
      </c>
      <c r="C20">
        <f>SUM(J6:J9)</f>
        <v>70395</v>
      </c>
      <c r="D20" s="20">
        <f>SUM(J10)</f>
        <v>0</v>
      </c>
      <c r="E20" s="5">
        <f>SUM(B20:D20)</f>
        <v>74239</v>
      </c>
    </row>
    <row r="21" spans="1:10" ht="15.6" thickTop="1" thickBot="1" x14ac:dyDescent="0.35">
      <c r="A21" t="s">
        <v>6</v>
      </c>
      <c r="B21">
        <f>SUM(K2:K5)</f>
        <v>650</v>
      </c>
      <c r="C21">
        <f>SUM(K6:K9)</f>
        <v>48825</v>
      </c>
      <c r="D21" s="20">
        <f>SUM(K10)</f>
        <v>0</v>
      </c>
      <c r="E21" s="5">
        <f>SUM(B21:D21)</f>
        <v>49475</v>
      </c>
    </row>
    <row r="22" spans="1:10" thickTop="1" x14ac:dyDescent="0.3"/>
    <row r="32" spans="1:10" ht="14.45" x14ac:dyDescent="0.3">
      <c r="H32">
        <v>112</v>
      </c>
      <c r="I32">
        <v>900</v>
      </c>
      <c r="J32">
        <v>294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ignoredErrors>
    <ignoredError sqref="D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9" sqref="C9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0" customWidth="1"/>
    <col min="5" max="6" width="21.28515625" style="23" customWidth="1"/>
    <col min="7" max="7" width="18" customWidth="1"/>
    <col min="8" max="8" width="17.85546875" customWidth="1"/>
    <col min="9" max="9" width="15.140625" customWidth="1"/>
    <col min="10" max="10" width="15.71093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73</v>
      </c>
      <c r="E1" s="7" t="s">
        <v>102</v>
      </c>
      <c r="F1" s="7" t="s">
        <v>112</v>
      </c>
      <c r="G1" s="7" t="s">
        <v>21</v>
      </c>
      <c r="H1" s="7" t="s">
        <v>22</v>
      </c>
      <c r="I1" s="7" t="s">
        <v>74</v>
      </c>
      <c r="J1" s="7" t="s">
        <v>100</v>
      </c>
      <c r="K1" s="33" t="s">
        <v>111</v>
      </c>
    </row>
    <row r="2" spans="1:11" x14ac:dyDescent="0.25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15</v>
      </c>
      <c r="H2" s="4">
        <f>Table24[[#This Row],[Cost per Unit (OASE)]]*Table24[[#This Row],[Quantity]]</f>
        <v>1200</v>
      </c>
      <c r="I2" s="12">
        <f>Table24[[#This Row],[Cost per Unit (Rokkas)]]*Table24[[#This Row],[Quantity]]</f>
        <v>2100</v>
      </c>
      <c r="J2" s="12">
        <f>Table24[[#This Row],[Cost per Unit(BSG)]]*Table24[[#This Row],[Quantity]]</f>
        <v>4500</v>
      </c>
      <c r="K2" s="34">
        <f>Table24[[#This Row],[Cost per Unit(Phillipson)]]*Table24[[#This Row],[Quantity]]</f>
        <v>825</v>
      </c>
    </row>
    <row r="3" spans="1:11" x14ac:dyDescent="0.25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f>15*6</f>
        <v>90</v>
      </c>
      <c r="H3" s="4">
        <f>Table24[[#This Row],[Cost per Unit (OASE)]]*Table24[[#This Row],[Quantity]]</f>
        <v>1080</v>
      </c>
      <c r="I3" s="12">
        <f>Table24[[#This Row],[Cost per Unit (Rokkas)]]*Table24[[#This Row],[Quantity]]</f>
        <v>360</v>
      </c>
      <c r="J3" s="12">
        <f>Table24[[#This Row],[Cost per Unit(BSG)]]*Table24[[#This Row],[Quantity]]</f>
        <v>0</v>
      </c>
      <c r="K3" s="34">
        <f>Table24[[#This Row],[Cost per Unit(Phillipson)]]*Table24[[#This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880</v>
      </c>
      <c r="H4" s="4">
        <f>Table24[[#This Row],[Cost per Unit (OASE)]]*Table24[[#This Row],[Quantity]]</f>
        <v>9.7777777777777786</v>
      </c>
      <c r="I4" s="12">
        <f>Table24[[#This Row],[Cost per Unit (Rokkas)]]*Table24[[#This Row],[Quantity]]</f>
        <v>0</v>
      </c>
      <c r="J4" s="12">
        <f>Table24[[#This Row],[Cost per Unit(BSG)]]*Table24[[#This Row],[Quantity]]</f>
        <v>0</v>
      </c>
      <c r="K4" s="34">
        <f>Table24[[#This Row],[Cost per Unit(Phillipson)]]*Table24[[#This Row],[Quantity]]</f>
        <v>0</v>
      </c>
    </row>
    <row r="5" spans="1:11" x14ac:dyDescent="0.25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Table24[[#This Row],[Cost per Unit (OASE)]]*Table24[[#This Row],[Quantity]]</f>
        <v>200</v>
      </c>
      <c r="I5" s="12">
        <f>Table24[[#This Row],[Cost per Unit (Rokkas)]]*Table24[[#This Row],[Quantity]]</f>
        <v>3000</v>
      </c>
      <c r="J5" s="12">
        <f>Table24[[#This Row],[Cost per Unit(BSG)]]*Table24[[#This Row],[Quantity]]</f>
        <v>100</v>
      </c>
      <c r="K5" s="34">
        <f>Table24[[#This Row],[Cost per Unit(Phillipson)]]*Table24[[#This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f>2*34</f>
        <v>68</v>
      </c>
      <c r="H6" s="4">
        <f>Table24[[#This Row],[Cost per Unit (OASE)]]*Table24[[#This Row],[Quantity]]</f>
        <v>122.4</v>
      </c>
      <c r="I6" s="12">
        <f>Table24[[#This Row],[Cost per Unit (Rokkas)]]*Table24[[#This Row],[Quantity]]</f>
        <v>680</v>
      </c>
      <c r="J6" s="12">
        <f>Table24[[#This Row],[Cost per Unit(BSG)]]*Table24[[#This Row],[Quantity]]</f>
        <v>95.199999999999989</v>
      </c>
      <c r="K6" s="34">
        <f>Table24[[#This Row],[Cost per Unit(Phillipson)]]*Table24[[#This Row],[Quantity]]</f>
        <v>0</v>
      </c>
    </row>
    <row r="7" spans="1:11" x14ac:dyDescent="0.25">
      <c r="A7" s="6" t="s">
        <v>28</v>
      </c>
      <c r="B7" s="6" t="s">
        <v>39</v>
      </c>
      <c r="C7" s="4">
        <v>12</v>
      </c>
      <c r="D7" s="4">
        <v>4</v>
      </c>
      <c r="E7" s="4">
        <v>0</v>
      </c>
      <c r="F7" s="4">
        <v>0</v>
      </c>
      <c r="G7" s="4">
        <f>2*34</f>
        <v>68</v>
      </c>
      <c r="H7" s="4">
        <f>Table24[[#This Row],[Cost per Unit (OASE)]]*Table24[[#This Row],[Quantity]]</f>
        <v>816</v>
      </c>
      <c r="I7" s="12">
        <f>Table24[[#This Row],[Cost per Unit (Rokkas)]]*Table24[[#This Row],[Quantity]]</f>
        <v>272</v>
      </c>
      <c r="J7" s="12">
        <f>Table24[[#This Row],[Cost per Unit(BSG)]]*Table24[[#This Row],[Quantity]]</f>
        <v>0</v>
      </c>
      <c r="K7" s="34">
        <f>Table24[[#This Row],[Cost per Unit(Phillipson)]]*Table24[[#This Row],[Quantity]]</f>
        <v>0</v>
      </c>
    </row>
    <row r="8" spans="1:11" x14ac:dyDescent="0.25">
      <c r="A8" s="6" t="s">
        <v>30</v>
      </c>
      <c r="B8" s="6" t="s">
        <v>119</v>
      </c>
      <c r="C8" s="4">
        <v>1.8</v>
      </c>
      <c r="D8" s="4">
        <v>10</v>
      </c>
      <c r="E8" s="4">
        <f>80/50</f>
        <v>1.6</v>
      </c>
      <c r="F8" s="4">
        <v>0</v>
      </c>
      <c r="G8" s="4">
        <f>2*279</f>
        <v>558</v>
      </c>
      <c r="H8" s="4">
        <f>Table24[[#This Row],[Cost per Unit (OASE)]]*Table24[[#This Row],[Quantity]]</f>
        <v>1004.4</v>
      </c>
      <c r="I8" s="12">
        <f>Table24[[#This Row],[Cost per Unit (Rokkas)]]*Table24[[#This Row],[Quantity]]</f>
        <v>5580</v>
      </c>
      <c r="J8" s="12">
        <f>Table24[[#This Row],[Cost per Unit(BSG)]]*Table24[[#This Row],[Quantity]]</f>
        <v>892.80000000000007</v>
      </c>
      <c r="K8" s="34">
        <f>Table24[[#This Row],[Cost per Unit(Phillipson)]]*Table24[[#This Row],[Quantity]]</f>
        <v>0</v>
      </c>
    </row>
    <row r="9" spans="1:11" x14ac:dyDescent="0.25">
      <c r="A9" s="6" t="s">
        <v>32</v>
      </c>
      <c r="B9" s="6" t="s">
        <v>33</v>
      </c>
      <c r="C9" s="4">
        <f>10</f>
        <v>10</v>
      </c>
      <c r="D9" s="4">
        <v>10</v>
      </c>
      <c r="E9" s="4">
        <f>1200/50</f>
        <v>24</v>
      </c>
      <c r="F9" s="4">
        <v>10</v>
      </c>
      <c r="G9" s="4">
        <v>0</v>
      </c>
      <c r="H9" s="4">
        <f>Table24[[#This Row],[Cost per Unit (OASE)]]*Table24[[#This Row],[Quantity]]</f>
        <v>0</v>
      </c>
      <c r="I9" s="12">
        <f>Table24[[#This Row],[Cost per Unit (Rokkas)]]*Table24[[#This Row],[Quantity]]</f>
        <v>0</v>
      </c>
      <c r="J9" s="12">
        <f>Table24[[#This Row],[Cost per Unit(BSG)]]*Table24[[#This Row],[Quantity]]</f>
        <v>0</v>
      </c>
      <c r="K9" s="34">
        <f>Table24[[#This Row],[Cost per Unit(Phillipson)]]*Table24[[#This Row],[Quantity]]</f>
        <v>0</v>
      </c>
    </row>
    <row r="10" spans="1:11" x14ac:dyDescent="0.25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8900</v>
      </c>
      <c r="H10" s="11">
        <f>Table24[[#This Row],[Cost per Unit (OASE)]]*Table24[[#This Row],[Quantity]]</f>
        <v>18690</v>
      </c>
      <c r="I10" s="12">
        <f>Table24[[#This Row],[Cost per Unit (Rokkas)]]*Table24[[#This Row],[Quantity]]</f>
        <v>35600</v>
      </c>
      <c r="J10" s="12">
        <f>Table24[[#This Row],[Cost per Unit(BSG)]]*Table24[[#This Row],[Quantity]]</f>
        <v>14240</v>
      </c>
      <c r="K10" s="34">
        <f>Table24[[#This Row],[Cost per Unit(Phillipson)]]*Table24[[#This Row],[Quantity]]</f>
        <v>44500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12"/>
    </row>
    <row r="16" spans="1:11" ht="14.45" x14ac:dyDescent="0.3">
      <c r="A16" t="s">
        <v>49</v>
      </c>
      <c r="B16" t="s">
        <v>35</v>
      </c>
      <c r="C16" t="s">
        <v>36</v>
      </c>
      <c r="D16" t="s">
        <v>37</v>
      </c>
      <c r="E16" t="s">
        <v>34</v>
      </c>
      <c r="G16" s="20"/>
    </row>
    <row r="17" spans="1:7" thickBot="1" x14ac:dyDescent="0.35">
      <c r="A17" t="s">
        <v>76</v>
      </c>
      <c r="B17" s="9">
        <f>SUM(H2:H5)</f>
        <v>2489.7777777777778</v>
      </c>
      <c r="C17" s="9">
        <f>SUM(H6:H8)</f>
        <v>1942.8</v>
      </c>
      <c r="D17" s="10">
        <f>SUM(H9:H11)</f>
        <v>18690</v>
      </c>
      <c r="E17" s="5">
        <f>SUM(B17:D17)</f>
        <v>23122.577777777777</v>
      </c>
      <c r="F17" s="5"/>
      <c r="G17" s="10"/>
    </row>
    <row r="18" spans="1:7" ht="15.6" thickTop="1" thickBot="1" x14ac:dyDescent="0.35">
      <c r="A18" t="s">
        <v>77</v>
      </c>
      <c r="B18">
        <f>SUM(I2:I5)</f>
        <v>5460</v>
      </c>
      <c r="C18">
        <f>SUM(I6:I8)</f>
        <v>6532</v>
      </c>
      <c r="D18" s="20">
        <f>SUM(I9:I10)</f>
        <v>35600</v>
      </c>
      <c r="E18" s="5">
        <f>SUM(B18:D18)</f>
        <v>47592</v>
      </c>
      <c r="F18" s="5"/>
    </row>
    <row r="19" spans="1:7" ht="15.6" thickTop="1" thickBot="1" x14ac:dyDescent="0.35">
      <c r="A19" t="s">
        <v>101</v>
      </c>
      <c r="B19">
        <f>SUM(J$2:J$5)</f>
        <v>4600</v>
      </c>
      <c r="C19">
        <f>SUM(J6:J8)</f>
        <v>988</v>
      </c>
      <c r="D19" s="20">
        <f>SUM(J9:J10)</f>
        <v>14240</v>
      </c>
      <c r="E19" s="5">
        <f>SUM(B19:D19)</f>
        <v>19828</v>
      </c>
      <c r="F19" s="5"/>
    </row>
    <row r="20" spans="1:7" ht="15.6" thickTop="1" thickBot="1" x14ac:dyDescent="0.35">
      <c r="A20" t="s">
        <v>6</v>
      </c>
      <c r="B20" s="23">
        <f>SUM(K$2:K$5)</f>
        <v>825</v>
      </c>
      <c r="C20">
        <f>SUM(K6:K8)</f>
        <v>0</v>
      </c>
      <c r="D20" s="20">
        <f>SUM(K9:K10)</f>
        <v>44500</v>
      </c>
      <c r="E20" s="5">
        <f>SUM(B20:D20)</f>
        <v>45325</v>
      </c>
    </row>
    <row r="21" spans="1:7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workbookViewId="0">
      <selection activeCell="C7" sqref="C7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21.28515625" style="20" customWidth="1"/>
    <col min="5" max="6" width="21.28515625" style="23" customWidth="1"/>
    <col min="7" max="7" width="18" customWidth="1"/>
    <col min="8" max="8" width="17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78</v>
      </c>
      <c r="E1" s="7" t="s">
        <v>102</v>
      </c>
      <c r="F1" s="7" t="s">
        <v>112</v>
      </c>
      <c r="G1" s="7" t="s">
        <v>21</v>
      </c>
      <c r="H1" s="7" t="s">
        <v>72</v>
      </c>
      <c r="I1" s="7" t="s">
        <v>74</v>
      </c>
      <c r="J1" s="7" t="s">
        <v>100</v>
      </c>
      <c r="K1" s="33" t="s">
        <v>111</v>
      </c>
    </row>
    <row r="2" spans="1:11" x14ac:dyDescent="0.2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8</v>
      </c>
      <c r="H2" s="4">
        <f>Table245[[#This Row],[Cost per Unit (OASE)]]*Table245[[#This Row],[Quantity]]</f>
        <v>128</v>
      </c>
      <c r="I2" s="12">
        <f>Table245[[#This Row],[Cost per Unit(Rokkas)]]*Table245[[#This Row],[Quantity]]</f>
        <v>0</v>
      </c>
      <c r="J2" s="12">
        <f>Table245[[#This Row],[Cost per Unit(BSG)]]*Table245[[#This Row],[Quantity]]</f>
        <v>0</v>
      </c>
      <c r="K2" s="34">
        <f>Table245[[#This Row],[Cost per Unit(Phillipson)]]*Table245[[#This Row],[Quantity]]</f>
        <v>0</v>
      </c>
    </row>
    <row r="3" spans="1:11" x14ac:dyDescent="0.25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v>112</v>
      </c>
      <c r="H3" s="4">
        <f>Table245[[#This Row],[Cost per Unit (OASE)]]*Table245[[#This Row],[Quantity]]</f>
        <v>985.60000000000014</v>
      </c>
      <c r="I3" s="12">
        <f>Table245[[#This Row],[Cost per Unit(Rokkas)]]*Table245[[#This Row],[Quantity]]</f>
        <v>22400</v>
      </c>
      <c r="J3" s="12">
        <f>Table245[[#This Row],[Cost per Unit(BSG)]]*Table245[[#This Row],[Quantity]]</f>
        <v>39200</v>
      </c>
      <c r="K3" s="34">
        <f>Table245[[#This Row],[Cost per Unit(Phillipson)]]*Table245[[#This Row],[Quantity]]</f>
        <v>6720</v>
      </c>
    </row>
    <row r="4" spans="1:11" x14ac:dyDescent="0.2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112</v>
      </c>
      <c r="H4" s="4">
        <f>Table245[[#This Row],[Cost per Unit (OASE)]]*Table245[[#This Row],[Quantity]]</f>
        <v>7056</v>
      </c>
      <c r="I4" s="12">
        <f>Table245[[#This Row],[Cost per Unit(Rokkas)]]*Table245[[#This Row],[Quantity]]</f>
        <v>0</v>
      </c>
      <c r="J4" s="12">
        <f>Table245[[#This Row],[Cost per Unit(BSG)]]*Table245[[#This Row],[Quantity]]</f>
        <v>0</v>
      </c>
      <c r="K4" s="34">
        <f>Table245[[#This Row],[Cost per Unit(Phillipson)]]*Table245[[#This Row],[Quantity]]</f>
        <v>0</v>
      </c>
    </row>
    <row r="5" spans="1:11" x14ac:dyDescent="0.2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112</v>
      </c>
      <c r="H5" s="4">
        <f>Table245[[#This Row],[Cost per Unit (OASE)]]*Table245[[#This Row],[Quantity]]</f>
        <v>257.59999999999997</v>
      </c>
      <c r="I5" s="12">
        <f>Table245[[#This Row],[Cost per Unit(Rokkas)]]*Table245[[#This Row],[Quantity]]</f>
        <v>0</v>
      </c>
      <c r="J5" s="12">
        <f>Table245[[#This Row],[Cost per Unit(BSG)]]*Table245[[#This Row],[Quantity]]</f>
        <v>0</v>
      </c>
      <c r="K5" s="34">
        <f>Table245[[#This Row],[Cost per Unit(Phillipson)]]*Table245[[#This Row],[Quantity]]</f>
        <v>0</v>
      </c>
    </row>
    <row r="6" spans="1:11" x14ac:dyDescent="0.2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5.6</v>
      </c>
      <c r="H6" s="4">
        <f>Table245[[#This Row],[Cost per Unit (OASE)]]*Table245[[#This Row],[Quantity]]</f>
        <v>0.12444444444444444</v>
      </c>
      <c r="I6" s="12">
        <f>Table245[[#This Row],[Cost per Unit(Rokkas)]]*Table245[[#This Row],[Quantity]]</f>
        <v>0</v>
      </c>
      <c r="J6" s="12">
        <f>Table245[[#This Row],[Cost per Unit(BSG)]]*Table245[[#This Row],[Quantity]]</f>
        <v>0</v>
      </c>
      <c r="K6" s="34">
        <f>Table245[[#This Row],[Cost per Unit(Phillipson)]]*Table245[[#This Row],[Quantity]]</f>
        <v>0</v>
      </c>
    </row>
    <row r="7" spans="1:11" x14ac:dyDescent="0.25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Table245[[#This Row],[Cost per Unit (OASE)]]*Table245[[#This Row],[Quantity]]</f>
        <v>400</v>
      </c>
      <c r="I7" s="12">
        <f>Table245[[#This Row],[Cost per Unit(Rokkas)]]*Table245[[#This Row],[Quantity]]</f>
        <v>3000</v>
      </c>
      <c r="J7" s="12">
        <f>Table245[[#This Row],[Cost per Unit(BSG)]]*Table245[[#This Row],[Quantity]]</f>
        <v>200</v>
      </c>
      <c r="K7" s="34">
        <f>Table245[[#This Row],[Cost per Unit(Phillipson)]]*Table245[[#This Row],[Quantity]]</f>
        <v>0</v>
      </c>
    </row>
    <row r="8" spans="1:11" x14ac:dyDescent="0.2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0</v>
      </c>
      <c r="G8" s="4">
        <v>112</v>
      </c>
      <c r="H8" s="4">
        <f>Table245[[#This Row],[Cost per Unit (OASE)]]*Table245[[#This Row],[Quantity]]</f>
        <v>2688</v>
      </c>
      <c r="I8" s="12">
        <f>Table245[[#This Row],[Cost per Unit(Rokkas)]]*Table245[[#This Row],[Quantity]]</f>
        <v>448</v>
      </c>
      <c r="J8" s="12">
        <f>Table245[[#This Row],[Cost per Unit(BSG)]]*Table245[[#This Row],[Quantity]]</f>
        <v>224</v>
      </c>
      <c r="K8" s="34">
        <f>Table245[[#This Row],[Cost per Unit(Phillipson)]]*Table245[[#This Row],[Quantity]]</f>
        <v>0</v>
      </c>
    </row>
    <row r="9" spans="1:11" x14ac:dyDescent="0.25">
      <c r="A9" s="6" t="s">
        <v>32</v>
      </c>
      <c r="B9" s="6" t="s">
        <v>33</v>
      </c>
      <c r="C9" s="4">
        <v>10</v>
      </c>
      <c r="D9" s="4">
        <v>10</v>
      </c>
      <c r="E9" s="4">
        <v>24</v>
      </c>
      <c r="F9" s="4">
        <v>10</v>
      </c>
      <c r="G9" s="4">
        <v>0</v>
      </c>
      <c r="H9" s="4">
        <f>Table245[[#This Row],[Cost per Unit (OASE)]]*Table245[[#This Row],[Quantity]]</f>
        <v>0</v>
      </c>
      <c r="I9" s="12">
        <f>Table245[[#This Row],[Cost per Unit(Rokkas)]]*Table245[[#This Row],[Quantity]]</f>
        <v>0</v>
      </c>
      <c r="J9" s="12">
        <f>Table245[[#This Row],[Cost per Unit(BSG)]]*Table245[[#This Row],[Quantity]]</f>
        <v>0</v>
      </c>
      <c r="K9" s="34">
        <f>Table245[[#This Row],[Cost per Unit(Phillipson)]]*Table245[[#This Row],[Quantity]]</f>
        <v>0</v>
      </c>
    </row>
    <row r="10" spans="1:11" x14ac:dyDescent="0.25">
      <c r="A10" s="6" t="s">
        <v>32</v>
      </c>
      <c r="B10" s="6" t="s">
        <v>79</v>
      </c>
      <c r="C10" s="4">
        <f>2.1</f>
        <v>2.1</v>
      </c>
      <c r="D10" s="4">
        <f>250/50</f>
        <v>5</v>
      </c>
      <c r="E10" s="4">
        <f>135/50</f>
        <v>2.7</v>
      </c>
      <c r="F10" s="4">
        <v>5</v>
      </c>
      <c r="G10" s="4">
        <v>8900</v>
      </c>
      <c r="H10" s="4">
        <f>Table245[[#This Row],[Cost per Unit (OASE)]]*Table245[[#This Row],[Quantity]]</f>
        <v>18690</v>
      </c>
      <c r="I10" s="12">
        <f>Table245[[#This Row],[Cost per Unit(Rokkas)]]*Table245[[#This Row],[Quantity]]</f>
        <v>44500</v>
      </c>
      <c r="J10" s="12">
        <f>Table245[[#This Row],[Cost per Unit(BSG)]]*Table245[[#This Row],[Quantity]]</f>
        <v>24030</v>
      </c>
      <c r="K10" s="34">
        <f>Table245[[#This Row],[Cost per Unit(Phillipson)]]*Table245[[#This Row],[Quantity]]</f>
        <v>44500</v>
      </c>
    </row>
    <row r="11" spans="1:11" ht="14.45" x14ac:dyDescent="0.3">
      <c r="A11" s="6"/>
      <c r="B11" s="6"/>
      <c r="C11" s="4"/>
      <c r="D11" s="4"/>
      <c r="E11" s="4"/>
      <c r="F11" s="4"/>
      <c r="G11" s="4"/>
      <c r="H11" s="8"/>
      <c r="I11" s="8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G14" s="20"/>
    </row>
    <row r="15" spans="1:11" thickBot="1" x14ac:dyDescent="0.35">
      <c r="A15" t="s">
        <v>76</v>
      </c>
      <c r="B15" s="9">
        <f>SUM(H2:H7)</f>
        <v>8827.3244444444445</v>
      </c>
      <c r="C15" s="9">
        <f>SUM(H8:H8)</f>
        <v>2688</v>
      </c>
      <c r="D15" s="10">
        <f>SUM(H9:H11)</f>
        <v>18690</v>
      </c>
      <c r="E15" s="5">
        <f>SUM(B15:D15)</f>
        <v>30205.324444444443</v>
      </c>
      <c r="F15" s="5"/>
      <c r="G15" s="10"/>
    </row>
    <row r="16" spans="1:11" ht="15.6" thickTop="1" thickBot="1" x14ac:dyDescent="0.35">
      <c r="A16" t="s">
        <v>77</v>
      </c>
      <c r="B16">
        <f>SUM(I2:I7)</f>
        <v>25400</v>
      </c>
      <c r="C16">
        <f>SUM(I8)</f>
        <v>448</v>
      </c>
      <c r="D16" s="20">
        <f>SUM(I9:I10)</f>
        <v>44500</v>
      </c>
      <c r="E16" s="5">
        <f t="shared" ref="E16:E18" si="0">SUM(B16:D16)</f>
        <v>70348</v>
      </c>
      <c r="F16" s="5"/>
    </row>
    <row r="17" spans="1:6" ht="15.6" thickTop="1" thickBot="1" x14ac:dyDescent="0.35">
      <c r="A17" t="s">
        <v>101</v>
      </c>
      <c r="B17">
        <f>SUM(J2:J7)</f>
        <v>39400</v>
      </c>
      <c r="C17">
        <f>J8</f>
        <v>224</v>
      </c>
      <c r="D17" s="20">
        <f>SUM(J9:J10)</f>
        <v>24030</v>
      </c>
      <c r="E17" s="5">
        <f t="shared" si="0"/>
        <v>63654</v>
      </c>
      <c r="F17" s="5"/>
    </row>
    <row r="18" spans="1:6" ht="15.6" thickTop="1" thickBot="1" x14ac:dyDescent="0.35">
      <c r="A18" t="s">
        <v>6</v>
      </c>
      <c r="B18">
        <f>SUM(K2:K7)</f>
        <v>6720</v>
      </c>
      <c r="C18">
        <f>K8</f>
        <v>0</v>
      </c>
      <c r="D18" s="20">
        <f>SUM(K9:K10)</f>
        <v>44500</v>
      </c>
      <c r="E18" s="5">
        <f t="shared" si="0"/>
        <v>51220</v>
      </c>
    </row>
    <row r="19" spans="1:6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C2" sqref="C2"/>
    </sheetView>
  </sheetViews>
  <sheetFormatPr defaultRowHeight="15" x14ac:dyDescent="0.25"/>
  <cols>
    <col min="1" max="1" width="25.5703125" customWidth="1"/>
    <col min="2" max="2" width="27.7109375" customWidth="1"/>
    <col min="3" max="3" width="25" customWidth="1"/>
    <col min="4" max="4" width="28.28515625" customWidth="1"/>
    <col min="5" max="5" width="28" customWidth="1"/>
    <col min="6" max="6" width="28" style="23" customWidth="1"/>
    <col min="7" max="7" width="28.7109375" customWidth="1"/>
    <col min="10" max="10" width="29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78</v>
      </c>
      <c r="E1" s="7" t="s">
        <v>99</v>
      </c>
      <c r="F1" s="7" t="s">
        <v>112</v>
      </c>
      <c r="G1" s="7" t="s">
        <v>21</v>
      </c>
      <c r="H1" s="7" t="s">
        <v>22</v>
      </c>
      <c r="I1" s="7" t="s">
        <v>74</v>
      </c>
      <c r="J1" s="7" t="s">
        <v>100</v>
      </c>
      <c r="K1" s="33" t="s">
        <v>111</v>
      </c>
    </row>
    <row r="2" spans="1:11" x14ac:dyDescent="0.25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8</v>
      </c>
      <c r="H2" s="4">
        <f>Table2456[[#This Row],[Cost per Unit (OASE)]]*Table2456[[#This Row],[Quantity]]</f>
        <v>128</v>
      </c>
      <c r="I2" s="12">
        <f>Table2456[[#This Row],[Cost per Unit(Rokkas)]]*Table2456[[#This Row],[Quantity]]</f>
        <v>0</v>
      </c>
      <c r="J2" s="12">
        <f>Table2456[[#This Row],[Cost per Unit (BSG)]]*Table2456[[#This Row],[Quantity]]</f>
        <v>0</v>
      </c>
      <c r="K2" s="34">
        <f>Table2456[[#This Row],[Cost per Unit(Phillipson)]]*Table2456[[#This Row],[Quantity]]</f>
        <v>0</v>
      </c>
    </row>
    <row r="3" spans="1:11" x14ac:dyDescent="0.25">
      <c r="A3" s="6" t="s">
        <v>27</v>
      </c>
      <c r="B3" s="6" t="s">
        <v>42</v>
      </c>
      <c r="C3" s="4">
        <v>20</v>
      </c>
      <c r="D3" s="4">
        <f>10000/50</f>
        <v>200</v>
      </c>
      <c r="E3" s="4">
        <v>350</v>
      </c>
      <c r="F3" s="4">
        <v>60</v>
      </c>
      <c r="G3" s="4">
        <v>112</v>
      </c>
      <c r="H3" s="4">
        <f>Table2456[[#This Row],[Cost per Unit (OASE)]]*Table2456[[#This Row],[Quantity]]</f>
        <v>2240</v>
      </c>
      <c r="I3" s="12">
        <f>Table2456[[#This Row],[Cost per Unit(Rokkas)]]*Table2456[[#This Row],[Quantity]]</f>
        <v>22400</v>
      </c>
      <c r="J3" s="12">
        <f>Table2456[[#This Row],[Cost per Unit (BSG)]]*Table2456[[#This Row],[Quantity]]</f>
        <v>39200</v>
      </c>
      <c r="K3" s="34">
        <f>Table2456[[#This Row],[Cost per Unit(Phillipson)]]*Table2456[[#This Row],[Quantity]]</f>
        <v>6720</v>
      </c>
    </row>
    <row r="4" spans="1:11" x14ac:dyDescent="0.25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112</v>
      </c>
      <c r="H4" s="4">
        <f>Table2456[[#This Row],[Cost per Unit (OASE)]]*Table2456[[#This Row],[Quantity]]</f>
        <v>7056</v>
      </c>
      <c r="I4" s="12">
        <f>Table2456[[#This Row],[Cost per Unit(Rokkas)]]*Table2456[[#This Row],[Quantity]]</f>
        <v>0</v>
      </c>
      <c r="J4" s="12">
        <f>Table2456[[#This Row],[Cost per Unit (BSG)]]*Table2456[[#This Row],[Quantity]]</f>
        <v>0</v>
      </c>
      <c r="K4" s="34">
        <f>Table2456[[#This Row],[Cost per Unit(Phillipson)]]*Table2456[[#This Row],[Quantity]]</f>
        <v>0</v>
      </c>
    </row>
    <row r="5" spans="1:11" x14ac:dyDescent="0.25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112</v>
      </c>
      <c r="H5" s="4">
        <f>Table2456[[#This Row],[Cost per Unit (OASE)]]*Table2456[[#This Row],[Quantity]]</f>
        <v>257.59999999999997</v>
      </c>
      <c r="I5" s="12">
        <f>Table2456[[#This Row],[Cost per Unit(Rokkas)]]*Table2456[[#This Row],[Quantity]]</f>
        <v>0</v>
      </c>
      <c r="J5" s="12">
        <f>Table2456[[#This Row],[Cost per Unit (BSG)]]*Table2456[[#This Row],[Quantity]]</f>
        <v>0</v>
      </c>
      <c r="K5" s="34">
        <f>Table2456[[#This Row],[Cost per Unit(Phillipson)]]*Table2456[[#This Row],[Quantity]]</f>
        <v>0</v>
      </c>
    </row>
    <row r="6" spans="1:11" x14ac:dyDescent="0.25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11.2</v>
      </c>
      <c r="H6" s="4">
        <f>Table2456[[#This Row],[Cost per Unit (OASE)]]*Table2456[[#This Row],[Quantity]]</f>
        <v>0.24888888888888888</v>
      </c>
      <c r="I6" s="12">
        <f>Table2456[[#This Row],[Cost per Unit(Rokkas)]]*Table2456[[#This Row],[Quantity]]</f>
        <v>0</v>
      </c>
      <c r="J6" s="12">
        <f>Table2456[[#This Row],[Cost per Unit (BSG)]]*Table2456[[#This Row],[Quantity]]</f>
        <v>0</v>
      </c>
      <c r="K6" s="34">
        <f>Table2456[[#This Row],[Cost per Unit(Phillipson)]]*Table2456[[#This Row],[Quantity]]</f>
        <v>0</v>
      </c>
    </row>
    <row r="7" spans="1:11" x14ac:dyDescent="0.25">
      <c r="A7" s="6" t="s">
        <v>27</v>
      </c>
      <c r="B7" s="6" t="s">
        <v>46</v>
      </c>
      <c r="C7" s="4">
        <f>400</f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Table2456[[#This Row],[Cost per Unit (OASE)]]*Table2456[[#This Row],[Quantity]]</f>
        <v>400</v>
      </c>
      <c r="I7" s="12">
        <f>Table2456[[#This Row],[Cost per Unit(Rokkas)]]*Table2456[[#This Row],[Quantity]]</f>
        <v>3000</v>
      </c>
      <c r="J7" s="12">
        <f>Table2456[[#This Row],[Cost per Unit (BSG)]]*Table2456[[#This Row],[Quantity]]</f>
        <v>200</v>
      </c>
      <c r="K7" s="34">
        <f>Table2456[[#This Row],[Cost per Unit(Phillipson)]]*Table2456[[#This Row],[Quantity]]</f>
        <v>0</v>
      </c>
    </row>
    <row r="8" spans="1:11" x14ac:dyDescent="0.25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v>112</v>
      </c>
      <c r="H8" s="4">
        <f>Table2456[[#This Row],[Cost per Unit (OASE)]]*Table2456[[#This Row],[Quantity]]</f>
        <v>2688</v>
      </c>
      <c r="I8" s="12">
        <f>Table2456[[#This Row],[Cost per Unit(Rokkas)]]*Table2456[[#This Row],[Quantity]]</f>
        <v>448</v>
      </c>
      <c r="J8" s="12">
        <f>Table2456[[#This Row],[Cost per Unit (BSG)]]*Table2456[[#This Row],[Quantity]]</f>
        <v>224</v>
      </c>
      <c r="K8" s="34">
        <f>Table2456[[#This Row],[Cost per Unit(Phillipson)]]*Table2456[[#This Row],[Quantity]]</f>
        <v>224</v>
      </c>
    </row>
    <row r="9" spans="1:11" x14ac:dyDescent="0.25">
      <c r="A9" s="6" t="s">
        <v>32</v>
      </c>
      <c r="B9" s="6" t="s">
        <v>48</v>
      </c>
      <c r="C9" s="4">
        <v>0</v>
      </c>
      <c r="D9" s="4">
        <v>4</v>
      </c>
      <c r="E9" s="4">
        <v>2</v>
      </c>
      <c r="F9" s="4">
        <v>0</v>
      </c>
      <c r="G9" s="4">
        <v>0</v>
      </c>
      <c r="H9" s="4">
        <f>Table2456[[#This Row],[Cost per Unit (OASE)]]*Table2456[[#This Row],[Quantity]]</f>
        <v>0</v>
      </c>
      <c r="I9" s="12">
        <f>Table2456[[#This Row],[Cost per Unit(Rokkas)]]*Table2456[[#This Row],[Quantity]]</f>
        <v>0</v>
      </c>
      <c r="J9" s="12">
        <f>Table2456[[#This Row],[Cost per Unit (BSG)]]*Table2456[[#This Row],[Quantity]]</f>
        <v>0</v>
      </c>
      <c r="K9" s="34">
        <f>Table2456[[#This Row],[Cost per Unit(Phillipson)]]*Table2456[[#This Row],[Quantity]]</f>
        <v>0</v>
      </c>
    </row>
    <row r="10" spans="1:11" x14ac:dyDescent="0.25">
      <c r="A10" s="6" t="s">
        <v>32</v>
      </c>
      <c r="B10" s="6" t="s">
        <v>116</v>
      </c>
      <c r="C10" s="4">
        <v>5.0999999999999996</v>
      </c>
      <c r="D10" s="4">
        <f>2+250/50</f>
        <v>7</v>
      </c>
      <c r="E10" s="4">
        <f>2.7+2</f>
        <v>4.7</v>
      </c>
      <c r="F10" s="4">
        <f>5+2</f>
        <v>7</v>
      </c>
      <c r="G10" s="4">
        <v>8900</v>
      </c>
      <c r="H10" s="4">
        <f>Table2456[[#This Row],[Cost per Unit (OASE)]]*Table2456[[#This Row],[Quantity]]</f>
        <v>45390</v>
      </c>
      <c r="I10" s="12">
        <f>Table2456[[#This Row],[Cost per Unit(Rokkas)]]*Table2456[[#This Row],[Quantity]]</f>
        <v>62300</v>
      </c>
      <c r="J10" s="12">
        <f>Table2456[[#This Row],[Cost per Unit (BSG)]]*Table2456[[#This Row],[Quantity]]</f>
        <v>41830</v>
      </c>
      <c r="K10" s="34">
        <f>Table2456[[#This Row],[Cost per Unit(Phillipson)]]*Table2456[[#This Row],[Quantity]]</f>
        <v>62300</v>
      </c>
    </row>
    <row r="11" spans="1:11" ht="14.45" x14ac:dyDescent="0.3">
      <c r="A11" s="6"/>
      <c r="B11" s="6"/>
      <c r="C11" s="4"/>
      <c r="D11" s="4"/>
      <c r="E11" s="8"/>
      <c r="F11" s="35"/>
    </row>
    <row r="14" spans="1:11" ht="14.45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J14" s="30"/>
    </row>
    <row r="15" spans="1:11" thickBot="1" x14ac:dyDescent="0.35">
      <c r="A15" t="s">
        <v>76</v>
      </c>
      <c r="B15" s="9">
        <f>SUM(H2:H7)</f>
        <v>10081.84888888889</v>
      </c>
      <c r="C15" s="9">
        <f>SUM(H8:H8)</f>
        <v>2688</v>
      </c>
      <c r="D15" s="10">
        <f>SUM(H9:H10)</f>
        <v>45390</v>
      </c>
      <c r="E15" s="5">
        <f>SUM(B15:D15)</f>
        <v>58159.84888888889</v>
      </c>
      <c r="F15" s="5"/>
      <c r="J15" s="27"/>
    </row>
    <row r="16" spans="1:11" ht="15.6" thickTop="1" thickBot="1" x14ac:dyDescent="0.35">
      <c r="A16" t="s">
        <v>80</v>
      </c>
      <c r="B16">
        <f>SUM(I2:I7)</f>
        <v>25400</v>
      </c>
      <c r="C16">
        <f>SUM(I8)</f>
        <v>448</v>
      </c>
      <c r="D16">
        <f>SUM(I9:I10)</f>
        <v>62300</v>
      </c>
      <c r="E16" s="5">
        <f>SUM(B16:D16)</f>
        <v>88148</v>
      </c>
      <c r="F16" s="5"/>
      <c r="J16" s="28"/>
    </row>
    <row r="17" spans="1:10" ht="15.6" thickTop="1" thickBot="1" x14ac:dyDescent="0.35">
      <c r="A17" t="s">
        <v>101</v>
      </c>
      <c r="B17">
        <f>SUM(J2:J7)</f>
        <v>39400</v>
      </c>
      <c r="C17">
        <f>SUM(J8)</f>
        <v>224</v>
      </c>
      <c r="D17">
        <f>SUM(J9:J10)</f>
        <v>41830</v>
      </c>
      <c r="E17" s="5">
        <f>SUM(B17:D17)</f>
        <v>81454</v>
      </c>
      <c r="F17" s="5"/>
      <c r="J17" s="27"/>
    </row>
    <row r="18" spans="1:10" ht="15.6" thickTop="1" thickBot="1" x14ac:dyDescent="0.35">
      <c r="A18" t="s">
        <v>6</v>
      </c>
      <c r="B18">
        <f>SUM(K2:K7)</f>
        <v>6720</v>
      </c>
      <c r="C18" s="23">
        <f>SUM(K8)</f>
        <v>224</v>
      </c>
      <c r="D18" s="23">
        <f>SUM(K10:K11)</f>
        <v>62300</v>
      </c>
      <c r="E18" s="5">
        <f>SUM(B18:D18)</f>
        <v>69244</v>
      </c>
      <c r="J18" s="28"/>
    </row>
    <row r="19" spans="1:10" thickTop="1" x14ac:dyDescent="0.3">
      <c r="J19" s="27"/>
    </row>
    <row r="20" spans="1:10" ht="14.45" x14ac:dyDescent="0.3">
      <c r="J20" s="28"/>
    </row>
    <row r="21" spans="1:10" ht="14.45" x14ac:dyDescent="0.3">
      <c r="J21" s="27"/>
    </row>
    <row r="22" spans="1:10" ht="14.45" x14ac:dyDescent="0.3">
      <c r="J22" s="28"/>
    </row>
    <row r="23" spans="1:10" ht="14.45" x14ac:dyDescent="0.3">
      <c r="J23" s="27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9" sqref="C9"/>
    </sheetView>
  </sheetViews>
  <sheetFormatPr defaultRowHeight="15" x14ac:dyDescent="0.25"/>
  <cols>
    <col min="1" max="1" width="29.28515625" customWidth="1"/>
    <col min="2" max="2" width="38" customWidth="1"/>
    <col min="3" max="3" width="21.28515625" customWidth="1"/>
    <col min="4" max="4" width="18" customWidth="1"/>
    <col min="5" max="5" width="17.85546875" customWidth="1"/>
    <col min="6" max="6" width="30.28515625" style="23" customWidth="1"/>
    <col min="8" max="8" width="18.8554687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73</v>
      </c>
      <c r="E1" s="7" t="s">
        <v>99</v>
      </c>
      <c r="F1" s="7" t="s">
        <v>112</v>
      </c>
      <c r="G1" s="7" t="s">
        <v>21</v>
      </c>
      <c r="H1" s="7" t="s">
        <v>22</v>
      </c>
      <c r="I1" s="7" t="s">
        <v>74</v>
      </c>
      <c r="J1" s="7" t="s">
        <v>100</v>
      </c>
      <c r="K1" s="33" t="s">
        <v>111</v>
      </c>
    </row>
    <row r="2" spans="1:11" x14ac:dyDescent="0.25">
      <c r="A2" s="6" t="s">
        <v>27</v>
      </c>
      <c r="B2" s="6" t="s">
        <v>38</v>
      </c>
      <c r="C2" s="4">
        <v>80</v>
      </c>
      <c r="D2" s="4">
        <f>7000/50</f>
        <v>140</v>
      </c>
      <c r="E2" s="4">
        <v>0</v>
      </c>
      <c r="F2" s="4">
        <v>55</v>
      </c>
      <c r="G2" s="4">
        <f>15*2</f>
        <v>30</v>
      </c>
      <c r="H2" s="4">
        <f>Table247[[#This Row],[Cost per Unit (OASE)]]*Table247[[#This Row],[Quantity]]</f>
        <v>2400</v>
      </c>
      <c r="I2" s="12">
        <f>Table247[[#This Row],[Cost per Unit (Rokkas)]]*Table247[[#This Row],[Quantity]]</f>
        <v>4200</v>
      </c>
      <c r="J2" s="12">
        <f>Table247[[#This Row],[Cost per Unit (BSG)]]*Table247[[#This Row],[Quantity]]</f>
        <v>0</v>
      </c>
      <c r="K2" s="34">
        <f>Table247[[#This Row],[Cost per Unit(Phillipson)]]*Table247[[#This Row],[Quantity]]</f>
        <v>1650</v>
      </c>
    </row>
    <row r="3" spans="1:11" x14ac:dyDescent="0.25">
      <c r="A3" s="6" t="s">
        <v>27</v>
      </c>
      <c r="B3" s="6" t="s">
        <v>39</v>
      </c>
      <c r="C3" s="4">
        <v>12</v>
      </c>
      <c r="D3" s="4">
        <v>4</v>
      </c>
      <c r="E3" s="4">
        <v>300</v>
      </c>
      <c r="F3" s="4">
        <v>0</v>
      </c>
      <c r="G3" s="4">
        <f>15*6*2</f>
        <v>180</v>
      </c>
      <c r="H3" s="4">
        <f>Table247[[#This Row],[Cost per Unit (OASE)]]*Table247[[#This Row],[Quantity]]</f>
        <v>2160</v>
      </c>
      <c r="I3" s="12">
        <f>Table247[[#This Row],[Cost per Unit (Rokkas)]]*Table247[[#This Row],[Quantity]]</f>
        <v>720</v>
      </c>
      <c r="J3" s="12">
        <f>Table247[[#This Row],[Cost per Unit (BSG)]]*Table247[[#This Row],[Quantity]]</f>
        <v>54000</v>
      </c>
      <c r="K3" s="34">
        <f>Table247[[#This Row],[Cost per Unit(Phillipson)]]*Table247[[#This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f>880*2</f>
        <v>1760</v>
      </c>
      <c r="H4" s="4">
        <f>Table247[[#This Row],[Cost per Unit (OASE)]]*Table247[[#This Row],[Quantity]]</f>
        <v>19.555555555555557</v>
      </c>
      <c r="I4" s="12">
        <f>Table247[[#This Row],[Cost per Unit (Rokkas)]]*Table247[[#This Row],[Quantity]]</f>
        <v>0</v>
      </c>
      <c r="J4" s="12">
        <f>Table247[[#This Row],[Cost per Unit (BSG)]]*Table247[[#This Row],[Quantity]]</f>
        <v>0</v>
      </c>
      <c r="K4" s="34">
        <f>Table247[[#This Row],[Cost per Unit(Phillipson)]]*Table247[[#This Row],[Quantity]]</f>
        <v>0</v>
      </c>
    </row>
    <row r="5" spans="1:11" x14ac:dyDescent="0.25">
      <c r="A5" s="6" t="s">
        <v>27</v>
      </c>
      <c r="B5" s="6" t="s">
        <v>26</v>
      </c>
      <c r="C5" s="4">
        <v>200</v>
      </c>
      <c r="D5" s="4">
        <v>3000</v>
      </c>
      <c r="E5" s="4">
        <v>200</v>
      </c>
      <c r="F5" s="4">
        <v>0</v>
      </c>
      <c r="G5" s="4">
        <v>1</v>
      </c>
      <c r="H5" s="4">
        <f>Table247[[#This Row],[Cost per Unit (OASE)]]*Table247[[#This Row],[Quantity]]</f>
        <v>200</v>
      </c>
      <c r="I5" s="12">
        <f>Table247[[#This Row],[Cost per Unit (Rokkas)]]*Table247[[#This Row],[Quantity]]</f>
        <v>3000</v>
      </c>
      <c r="J5" s="12">
        <f>Table247[[#This Row],[Cost per Unit (BSG)]]*Table247[[#This Row],[Quantity]]</f>
        <v>200</v>
      </c>
      <c r="K5" s="34">
        <f>Table247[[#This Row],[Cost per Unit(Phillipson)]]*Table247[[#This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v>10</v>
      </c>
      <c r="E6" s="4">
        <v>0</v>
      </c>
      <c r="F6" s="4">
        <v>0</v>
      </c>
      <c r="G6" s="4">
        <f>4*34</f>
        <v>136</v>
      </c>
      <c r="H6" s="4">
        <f>Table247[[#This Row],[Cost per Unit (OASE)]]*Table247[[#This Row],[Quantity]]</f>
        <v>244.8</v>
      </c>
      <c r="I6" s="12">
        <f>Table247[[#This Row],[Cost per Unit (Rokkas)]]*Table247[[#This Row],[Quantity]]</f>
        <v>1360</v>
      </c>
      <c r="J6" s="12">
        <f>Table247[[#This Row],[Cost per Unit (BSG)]]*Table247[[#This Row],[Quantity]]</f>
        <v>0</v>
      </c>
      <c r="K6" s="34">
        <f>Table247[[#This Row],[Cost per Unit(Phillipson)]]*Table247[[#This Row],[Quantity]]</f>
        <v>0</v>
      </c>
    </row>
    <row r="7" spans="1:11" x14ac:dyDescent="0.25">
      <c r="A7" s="6" t="s">
        <v>28</v>
      </c>
      <c r="B7" s="6" t="s">
        <v>39</v>
      </c>
      <c r="C7" s="4">
        <v>12</v>
      </c>
      <c r="D7" s="4">
        <v>4</v>
      </c>
      <c r="E7" s="4">
        <v>200</v>
      </c>
      <c r="F7" s="4">
        <v>4</v>
      </c>
      <c r="G7" s="4">
        <f>4*34</f>
        <v>136</v>
      </c>
      <c r="H7" s="4">
        <f>Table247[[#This Row],[Cost per Unit (OASE)]]*Table247[[#This Row],[Quantity]]</f>
        <v>1632</v>
      </c>
      <c r="I7" s="12">
        <f>Table247[[#This Row],[Cost per Unit (Rokkas)]]*Table247[[#This Row],[Quantity]]</f>
        <v>544</v>
      </c>
      <c r="J7" s="12">
        <f>Table247[[#This Row],[Cost per Unit (BSG)]]*Table247[[#This Row],[Quantity]]</f>
        <v>27200</v>
      </c>
      <c r="K7" s="34">
        <f>Table247[[#This Row],[Cost per Unit(Phillipson)]]*Table247[[#This Row],[Quantity]]</f>
        <v>544</v>
      </c>
    </row>
    <row r="8" spans="1:11" x14ac:dyDescent="0.25">
      <c r="A8" s="6" t="s">
        <v>30</v>
      </c>
      <c r="B8" s="6" t="s">
        <v>29</v>
      </c>
      <c r="C8" s="4">
        <v>1.8</v>
      </c>
      <c r="D8" s="4">
        <v>10</v>
      </c>
      <c r="E8" s="4">
        <v>2</v>
      </c>
      <c r="F8" s="4">
        <v>0</v>
      </c>
      <c r="G8" s="4">
        <f>4*279</f>
        <v>1116</v>
      </c>
      <c r="H8" s="4">
        <f>Table247[[#This Row],[Cost per Unit (OASE)]]*Table247[[#This Row],[Quantity]]</f>
        <v>2008.8</v>
      </c>
      <c r="I8" s="12">
        <f>Table247[[#This Row],[Cost per Unit (Rokkas)]]*Table247[[#This Row],[Quantity]]</f>
        <v>11160</v>
      </c>
      <c r="J8" s="12">
        <f>Table247[[#This Row],[Cost per Unit (BSG)]]*Table247[[#This Row],[Quantity]]</f>
        <v>2232</v>
      </c>
      <c r="K8" s="34">
        <f>Table247[[#This Row],[Cost per Unit(Phillipson)]]*Table247[[#This Row],[Quantity]]</f>
        <v>0</v>
      </c>
    </row>
    <row r="9" spans="1:11" x14ac:dyDescent="0.25">
      <c r="A9" s="6" t="s">
        <v>32</v>
      </c>
      <c r="B9" s="6" t="s">
        <v>29</v>
      </c>
      <c r="C9" s="4">
        <v>1.8</v>
      </c>
      <c r="D9" s="4">
        <v>0</v>
      </c>
      <c r="E9" s="4">
        <v>2</v>
      </c>
      <c r="F9" s="4">
        <v>0</v>
      </c>
      <c r="G9" s="4">
        <v>0</v>
      </c>
      <c r="H9" s="4">
        <f>Table247[[#This Row],[Cost per Unit (OASE)]]*Table247[[#This Row],[Quantity]]</f>
        <v>0</v>
      </c>
      <c r="I9" s="12">
        <f>Table247[[#This Row],[Cost per Unit (Rokkas)]]*Table247[[#This Row],[Quantity]]</f>
        <v>0</v>
      </c>
      <c r="J9" s="12">
        <f>Table247[[#This Row],[Cost per Unit (BSG)]]*Table247[[#This Row],[Quantity]]</f>
        <v>0</v>
      </c>
      <c r="K9" s="34">
        <f>Table247[[#This Row],[Cost per Unit(Phillipson)]]*Table247[[#This Row],[Quantity]]</f>
        <v>0</v>
      </c>
    </row>
    <row r="10" spans="1:11" x14ac:dyDescent="0.25">
      <c r="A10" s="6" t="s">
        <v>32</v>
      </c>
      <c r="B10" s="6" t="s">
        <v>40</v>
      </c>
      <c r="C10" s="4">
        <v>3.1</v>
      </c>
      <c r="D10" s="4">
        <f>4+2</f>
        <v>6</v>
      </c>
      <c r="E10" s="4">
        <f>2.7+2</f>
        <v>4.7</v>
      </c>
      <c r="F10" s="4">
        <f>5+2</f>
        <v>7</v>
      </c>
      <c r="G10" s="4">
        <v>8900</v>
      </c>
      <c r="H10" s="4">
        <f>Table247[[#This Row],[Cost per Unit (OASE)]]*Table247[[#This Row],[Quantity]]</f>
        <v>27590</v>
      </c>
      <c r="I10" s="12">
        <f>Table247[[#This Row],[Cost per Unit (Rokkas)]]*Table247[[#This Row],[Quantity]]</f>
        <v>53400</v>
      </c>
      <c r="J10" s="12">
        <f>Table247[[#This Row],[Cost per Unit (BSG)]]*Table247[[#This Row],[Quantity]]</f>
        <v>41830</v>
      </c>
      <c r="K10" s="34">
        <f>Table247[[#This Row],[Cost per Unit(Phillipson)]]*Table247[[#This Row],[Quantity]]</f>
        <v>62300</v>
      </c>
    </row>
    <row r="11" spans="1:11" ht="14.45" x14ac:dyDescent="0.3">
      <c r="A11" s="6"/>
      <c r="B11" s="6"/>
      <c r="C11" s="4"/>
      <c r="D11" s="4"/>
      <c r="E11" s="8"/>
      <c r="F11" s="35"/>
    </row>
    <row r="16" spans="1:11" ht="14.45" x14ac:dyDescent="0.3">
      <c r="A16" t="s">
        <v>75</v>
      </c>
      <c r="B16" t="s">
        <v>35</v>
      </c>
      <c r="C16" t="s">
        <v>36</v>
      </c>
      <c r="D16" t="s">
        <v>37</v>
      </c>
      <c r="E16" t="s">
        <v>34</v>
      </c>
    </row>
    <row r="17" spans="1:6" thickBot="1" x14ac:dyDescent="0.35">
      <c r="A17" t="s">
        <v>76</v>
      </c>
      <c r="B17" s="9">
        <f>SUM(H2:H5)</f>
        <v>4779.5555555555557</v>
      </c>
      <c r="C17" s="9">
        <f>SUM(H6:H8)</f>
        <v>3885.6</v>
      </c>
      <c r="D17" s="10">
        <f>SUM(H9:H10)</f>
        <v>27590</v>
      </c>
      <c r="E17" s="5">
        <f>SUM(B17:D17)</f>
        <v>36255.155555555553</v>
      </c>
      <c r="F17" s="5"/>
    </row>
    <row r="18" spans="1:6" ht="15.6" thickTop="1" thickBot="1" x14ac:dyDescent="0.35">
      <c r="A18" t="s">
        <v>77</v>
      </c>
      <c r="B18">
        <f>SUM(I2:I5)</f>
        <v>7920</v>
      </c>
      <c r="C18">
        <f>SUM(I6:I8)</f>
        <v>13064</v>
      </c>
      <c r="D18">
        <f>SUM(I9:I10)</f>
        <v>53400</v>
      </c>
      <c r="E18" s="5">
        <f>SUM(B18:D18)</f>
        <v>74384</v>
      </c>
      <c r="F18" s="5"/>
    </row>
    <row r="19" spans="1:6" ht="15.6" thickTop="1" thickBot="1" x14ac:dyDescent="0.35">
      <c r="A19" t="s">
        <v>101</v>
      </c>
      <c r="B19">
        <f>SUM(J2:J5)</f>
        <v>54200</v>
      </c>
      <c r="C19">
        <f>SUM(J6:J8)</f>
        <v>29432</v>
      </c>
      <c r="D19">
        <f>SUM(J9:J10)</f>
        <v>41830</v>
      </c>
      <c r="E19" s="5">
        <f>SUM(B19:D19)</f>
        <v>125462</v>
      </c>
      <c r="F19" s="5"/>
    </row>
    <row r="20" spans="1:6" ht="15.6" thickTop="1" thickBot="1" x14ac:dyDescent="0.35">
      <c r="A20" t="s">
        <v>6</v>
      </c>
      <c r="B20" s="23">
        <f>SUM(K2:K5)</f>
        <v>1650</v>
      </c>
      <c r="C20" s="23">
        <f>SUM(K6:K8)</f>
        <v>544</v>
      </c>
      <c r="D20" s="23">
        <f>SUM(K9:K10)</f>
        <v>62300</v>
      </c>
      <c r="E20" s="5">
        <f>SUM(B20:D20)</f>
        <v>64494</v>
      </c>
    </row>
    <row r="21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2" sqref="G2:G10"/>
    </sheetView>
  </sheetViews>
  <sheetFormatPr defaultRowHeight="15" x14ac:dyDescent="0.25"/>
  <cols>
    <col min="1" max="1" width="38.5703125" customWidth="1"/>
    <col min="2" max="2" width="37.42578125" customWidth="1"/>
    <col min="3" max="3" width="28.85546875" customWidth="1"/>
    <col min="4" max="4" width="32.42578125" customWidth="1"/>
    <col min="5" max="5" width="34.28515625" customWidth="1"/>
    <col min="6" max="6" width="34.28515625" style="23" customWidth="1"/>
    <col min="7" max="7" width="16" customWidth="1"/>
    <col min="8" max="8" width="17.42578125" customWidth="1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73</v>
      </c>
      <c r="E1" s="7" t="s">
        <v>102</v>
      </c>
      <c r="F1" s="7" t="s">
        <v>113</v>
      </c>
      <c r="G1" s="7" t="s">
        <v>21</v>
      </c>
      <c r="H1" s="7" t="s">
        <v>22</v>
      </c>
      <c r="I1" s="7" t="s">
        <v>74</v>
      </c>
      <c r="J1" s="7" t="s">
        <v>100</v>
      </c>
      <c r="K1" s="33" t="s">
        <v>111</v>
      </c>
    </row>
    <row r="2" spans="1:11" x14ac:dyDescent="0.25">
      <c r="A2" s="6" t="s">
        <v>27</v>
      </c>
      <c r="B2" s="6" t="s">
        <v>23</v>
      </c>
      <c r="C2" s="4">
        <v>80</v>
      </c>
      <c r="D2" s="4">
        <f>3500/50</f>
        <v>70</v>
      </c>
      <c r="E2" s="4">
        <f>57600/4/50</f>
        <v>288</v>
      </c>
      <c r="F2" s="4">
        <v>50</v>
      </c>
      <c r="G2" s="4">
        <v>56</v>
      </c>
      <c r="H2" s="4">
        <f>Table29[[#This Row],[Cost per Unit (OASE)]]*Table29[[#This Row],[Quantity]]</f>
        <v>4480</v>
      </c>
      <c r="I2" s="12">
        <f t="shared" ref="I2:I11" si="0">D2*G2</f>
        <v>3920</v>
      </c>
      <c r="J2" s="12">
        <f>Table29[[#This Row],[Cost per Unit(BSG)]]*Table29[[#This Row],[Quantity]]</f>
        <v>16128</v>
      </c>
      <c r="K2" s="34">
        <f>Table29[[#This Row],[Cost per Unit (Phillipson)]]*Table29[[#This Row],[Quantity]]</f>
        <v>2800</v>
      </c>
    </row>
    <row r="3" spans="1:11" x14ac:dyDescent="0.25">
      <c r="A3" s="6" t="s">
        <v>27</v>
      </c>
      <c r="B3" s="6" t="s">
        <v>39</v>
      </c>
      <c r="C3" s="4">
        <v>12</v>
      </c>
      <c r="D3" s="4">
        <f>200/50</f>
        <v>4</v>
      </c>
      <c r="E3" s="4">
        <v>0</v>
      </c>
      <c r="F3" s="4">
        <v>0</v>
      </c>
      <c r="G3" s="4">
        <f>56*8</f>
        <v>448</v>
      </c>
      <c r="H3" s="4">
        <f>Table29[[#This Row],[Cost per Unit (OASE)]]*Table29[[#This Row],[Quantity]]</f>
        <v>5376</v>
      </c>
      <c r="I3" s="12">
        <f t="shared" si="0"/>
        <v>1792</v>
      </c>
      <c r="J3" s="12">
        <f>Table29[[#This Row],[Cost per Unit(BSG)]]*Table29[[#This Row],[Quantity]]</f>
        <v>0</v>
      </c>
      <c r="K3" s="34">
        <f>Table29[[#This Row],[Cost per Unit (Phillipson)]]*Table29[[#This Row],[Quantity]]</f>
        <v>0</v>
      </c>
    </row>
    <row r="4" spans="1:11" x14ac:dyDescent="0.25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f>254*4</f>
        <v>1016</v>
      </c>
      <c r="H4" s="4">
        <f>Table29[[#This Row],[Cost per Unit (OASE)]]*Table29[[#This Row],[Quantity]]</f>
        <v>11.28888888888889</v>
      </c>
      <c r="I4" s="12">
        <f t="shared" si="0"/>
        <v>0</v>
      </c>
      <c r="J4" s="12">
        <f>Table29[[#This Row],[Cost per Unit(BSG)]]*Table29[[#This Row],[Quantity]]</f>
        <v>0</v>
      </c>
      <c r="K4" s="34">
        <f>Table29[[#This Row],[Cost per Unit (Phillipson)]]*Table29[[#This Row],[Quantity]]</f>
        <v>0</v>
      </c>
    </row>
    <row r="5" spans="1:11" x14ac:dyDescent="0.25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Table29[[#This Row],[Cost per Unit (OASE)]]*Table29[[#This Row],[Quantity]]</f>
        <v>200</v>
      </c>
      <c r="I5" s="12">
        <f t="shared" si="0"/>
        <v>3000</v>
      </c>
      <c r="J5" s="12">
        <f>Table29[[#This Row],[Cost per Unit(BSG)]]*Table29[[#This Row],[Quantity]]</f>
        <v>100</v>
      </c>
      <c r="K5" s="34">
        <f>Table29[[#This Row],[Cost per Unit (Phillipson)]]*Table29[[#This Row],[Quantity]]</f>
        <v>0</v>
      </c>
    </row>
    <row r="6" spans="1:11" x14ac:dyDescent="0.25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102*4</f>
        <v>408</v>
      </c>
      <c r="H6" s="4">
        <f>Table29[[#This Row],[Cost per Unit (OASE)]]*Table29[[#This Row],[Quantity]]</f>
        <v>734.4</v>
      </c>
      <c r="I6" s="12">
        <f t="shared" si="0"/>
        <v>4080</v>
      </c>
      <c r="J6" s="12">
        <f>Table29[[#This Row],[Cost per Unit(BSG)]]*Table29[[#This Row],[Quantity]]</f>
        <v>571.19999999999993</v>
      </c>
      <c r="K6" s="34">
        <f>Table29[[#This Row],[Cost per Unit (Phillipson)]]*Table29[[#This Row],[Quantity]]</f>
        <v>0</v>
      </c>
    </row>
    <row r="7" spans="1:11" x14ac:dyDescent="0.25">
      <c r="A7" s="6" t="s">
        <v>28</v>
      </c>
      <c r="B7" s="6" t="s">
        <v>39</v>
      </c>
      <c r="C7" s="4">
        <v>12</v>
      </c>
      <c r="D7" s="4">
        <f>200/50</f>
        <v>4</v>
      </c>
      <c r="E7" s="4">
        <v>0</v>
      </c>
      <c r="F7" s="4">
        <v>0</v>
      </c>
      <c r="G7" s="4">
        <f>102*4</f>
        <v>408</v>
      </c>
      <c r="H7" s="4">
        <f>Table29[[#This Row],[Cost per Unit (OASE)]]*Table29[[#This Row],[Quantity]]</f>
        <v>4896</v>
      </c>
      <c r="I7" s="12">
        <f t="shared" si="0"/>
        <v>1632</v>
      </c>
      <c r="J7" s="12">
        <f>Table29[[#This Row],[Cost per Unit(BSG)]]*Table29[[#This Row],[Quantity]]</f>
        <v>0</v>
      </c>
      <c r="K7" s="34">
        <f>Table29[[#This Row],[Cost per Unit (Phillipson)]]*Table29[[#This Row],[Quantity]]</f>
        <v>0</v>
      </c>
    </row>
    <row r="8" spans="1:11" x14ac:dyDescent="0.25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f>250/50</f>
        <v>5</v>
      </c>
      <c r="G8" s="4">
        <f>837*4</f>
        <v>3348</v>
      </c>
      <c r="H8" s="4">
        <f>Table29[[#This Row],[Cost per Unit (OASE)]]*Table29[[#This Row],[Quantity]]</f>
        <v>3348</v>
      </c>
      <c r="I8" s="12">
        <f t="shared" si="0"/>
        <v>6696</v>
      </c>
      <c r="J8" s="12">
        <f>Table29[[#This Row],[Cost per Unit(BSG)]]*Table29[[#This Row],[Quantity]]</f>
        <v>5356.8</v>
      </c>
      <c r="K8" s="34">
        <f>Table29[[#This Row],[Cost per Unit (Phillipson)]]*Table29[[#This Row],[Quantity]]</f>
        <v>16740</v>
      </c>
    </row>
    <row r="9" spans="1:11" x14ac:dyDescent="0.25">
      <c r="A9" s="6" t="s">
        <v>30</v>
      </c>
      <c r="B9" s="6" t="s">
        <v>122</v>
      </c>
      <c r="C9" s="4">
        <f>1.2+25</f>
        <v>26.2</v>
      </c>
      <c r="D9" s="4">
        <f>(1500)/50</f>
        <v>30</v>
      </c>
      <c r="E9" s="4">
        <f>(1200)/50</f>
        <v>24</v>
      </c>
      <c r="F9" s="4">
        <f>1000/50</f>
        <v>20</v>
      </c>
      <c r="G9" s="4">
        <f>837*4</f>
        <v>3348</v>
      </c>
      <c r="H9" s="4">
        <f>Table29[[#This Row],[Cost per Unit (OASE)]]*Table29[[#This Row],[Quantity]]+27900</f>
        <v>115617.59999999999</v>
      </c>
      <c r="I9" s="12">
        <f>D9*G9+27900</f>
        <v>128340</v>
      </c>
      <c r="J9" s="12">
        <f>Table29[[#This Row],[Cost per Unit(BSG)]]*Table29[[#This Row],[Quantity]]+27900</f>
        <v>108252</v>
      </c>
      <c r="K9" s="34">
        <f>Table29[[#This Row],[Cost per Unit (Phillipson)]]*Table29[[#This Row],[Quantity]]+27900</f>
        <v>94860</v>
      </c>
    </row>
    <row r="10" spans="1:11" x14ac:dyDescent="0.25">
      <c r="A10" s="6" t="s">
        <v>32</v>
      </c>
      <c r="B10" s="6" t="s">
        <v>123</v>
      </c>
      <c r="C10" s="4">
        <v>10</v>
      </c>
      <c r="D10" s="4">
        <v>10</v>
      </c>
      <c r="E10" s="4">
        <v>10</v>
      </c>
      <c r="F10" s="4">
        <v>10</v>
      </c>
      <c r="G10" s="4">
        <v>8900</v>
      </c>
      <c r="H10" s="4">
        <f>Table29[[#This Row],[Cost per Unit (OASE)]]*Table29[[#This Row],[Quantity]]</f>
        <v>89000</v>
      </c>
      <c r="I10" s="12">
        <f t="shared" si="0"/>
        <v>89000</v>
      </c>
      <c r="J10" s="12">
        <f>Table29[[#This Row],[Cost per Unit(BSG)]]*Table29[[#This Row],[Quantity]]</f>
        <v>89000</v>
      </c>
      <c r="K10" s="34">
        <f>Table29[[#This Row],[Cost per Unit (Phillipson)]]*Table29[[#This Row],[Quantity]]</f>
        <v>89000</v>
      </c>
    </row>
    <row r="11" spans="1:11" x14ac:dyDescent="0.25">
      <c r="A11" s="6" t="s">
        <v>32</v>
      </c>
      <c r="B11" s="6" t="s">
        <v>63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f>Table29[[#This Row],[Cost per Unit (OASE)]]*Table29[[#This Row],[Quantity]]</f>
        <v>0</v>
      </c>
      <c r="I11" s="12">
        <f t="shared" si="0"/>
        <v>0</v>
      </c>
      <c r="J11" s="12">
        <f>Table29[[#This Row],[Cost per Unit(BSG)]]*Table29[[#This Row],[Quantity]]</f>
        <v>0</v>
      </c>
      <c r="K11" s="34">
        <f>Table29[[#This Row],[Cost per Unit (Phillipson)]]*Table29[[#This Row],[Quantity]]</f>
        <v>0</v>
      </c>
    </row>
    <row r="12" spans="1:11" ht="14.45" x14ac:dyDescent="0.3">
      <c r="A12" s="6"/>
      <c r="B12" s="6"/>
      <c r="C12" s="4"/>
      <c r="D12" s="4"/>
      <c r="E12" s="4"/>
      <c r="F12" s="12"/>
    </row>
    <row r="13" spans="1:11" ht="14.45" x14ac:dyDescent="0.3">
      <c r="A13" s="6"/>
      <c r="B13" s="6"/>
      <c r="C13" s="4"/>
      <c r="D13" s="4"/>
      <c r="E13" s="4"/>
      <c r="F13" s="12"/>
    </row>
    <row r="15" spans="1:11" ht="14.45" x14ac:dyDescent="0.3">
      <c r="A15" t="s">
        <v>75</v>
      </c>
      <c r="B15" s="18" t="s">
        <v>35</v>
      </c>
      <c r="C15" s="18" t="s">
        <v>36</v>
      </c>
      <c r="D15" s="18" t="s">
        <v>37</v>
      </c>
      <c r="E15" s="18" t="s">
        <v>34</v>
      </c>
    </row>
    <row r="16" spans="1:11" thickBot="1" x14ac:dyDescent="0.35">
      <c r="A16" t="s">
        <v>76</v>
      </c>
      <c r="B16" s="19">
        <f>SUM(H1:H5)</f>
        <v>10067.288888888888</v>
      </c>
      <c r="C16" s="19">
        <f>SUM(H5:H10)</f>
        <v>213796</v>
      </c>
      <c r="D16" s="10">
        <f>SUM(H11)</f>
        <v>0</v>
      </c>
      <c r="E16" s="5">
        <f>SUM(B16:D16)</f>
        <v>223863.2888888889</v>
      </c>
      <c r="F16" s="5"/>
    </row>
    <row r="17" spans="1:6" ht="15.6" thickTop="1" thickBot="1" x14ac:dyDescent="0.35">
      <c r="A17" t="s">
        <v>77</v>
      </c>
      <c r="B17">
        <f>SUM(I2:I5)</f>
        <v>8712</v>
      </c>
      <c r="C17">
        <f>SUM(I6:I10)</f>
        <v>229748</v>
      </c>
      <c r="D17">
        <v>0</v>
      </c>
      <c r="E17" s="5">
        <f>SUM(B17:D17)</f>
        <v>238460</v>
      </c>
      <c r="F17" s="5"/>
    </row>
    <row r="18" spans="1:6" ht="15.6" thickTop="1" thickBot="1" x14ac:dyDescent="0.35">
      <c r="A18" t="s">
        <v>101</v>
      </c>
      <c r="B18">
        <f>SUM(J2:J5)</f>
        <v>16228</v>
      </c>
      <c r="C18">
        <f>SUM(J6:J10)</f>
        <v>203180</v>
      </c>
      <c r="D18">
        <v>0</v>
      </c>
      <c r="E18" s="5">
        <f>SUM(B18:D18)</f>
        <v>219408</v>
      </c>
      <c r="F18" s="5"/>
    </row>
    <row r="19" spans="1:6" ht="15.6" thickTop="1" thickBot="1" x14ac:dyDescent="0.35">
      <c r="A19" t="s">
        <v>6</v>
      </c>
      <c r="B19" s="23">
        <f>SUM(K2:K5)</f>
        <v>2800</v>
      </c>
      <c r="C19" s="23">
        <f>SUM(K6:K10)</f>
        <v>200600</v>
      </c>
      <c r="D19" s="23">
        <v>0</v>
      </c>
      <c r="E19" s="5">
        <f>SUM(B19:D19)</f>
        <v>203400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C2" sqref="C2"/>
    </sheetView>
  </sheetViews>
  <sheetFormatPr defaultColWidth="9.140625" defaultRowHeight="15" x14ac:dyDescent="0.25"/>
  <cols>
    <col min="1" max="1" width="29.28515625" style="18" customWidth="1"/>
    <col min="2" max="2" width="38" style="18" customWidth="1"/>
    <col min="3" max="3" width="21.28515625" style="18" customWidth="1"/>
    <col min="4" max="4" width="21.28515625" style="20" customWidth="1"/>
    <col min="5" max="6" width="21.28515625" style="23" customWidth="1"/>
    <col min="7" max="7" width="18" style="18" customWidth="1"/>
    <col min="8" max="8" width="17.85546875" style="18" customWidth="1"/>
    <col min="9" max="16384" width="9.140625" style="18"/>
  </cols>
  <sheetData>
    <row r="1" spans="1:11" ht="14.45" x14ac:dyDescent="0.3">
      <c r="A1" s="7" t="s">
        <v>18</v>
      </c>
      <c r="B1" s="7" t="s">
        <v>19</v>
      </c>
      <c r="C1" s="7" t="s">
        <v>20</v>
      </c>
      <c r="D1" s="7" t="s">
        <v>73</v>
      </c>
      <c r="E1" s="7" t="s">
        <v>99</v>
      </c>
      <c r="F1" s="7" t="s">
        <v>112</v>
      </c>
      <c r="G1" s="7" t="s">
        <v>21</v>
      </c>
      <c r="H1" s="7" t="s">
        <v>22</v>
      </c>
      <c r="I1" s="7" t="s">
        <v>74</v>
      </c>
      <c r="J1" s="7" t="s">
        <v>100</v>
      </c>
      <c r="K1" s="33" t="s">
        <v>111</v>
      </c>
    </row>
    <row r="2" spans="1:11" x14ac:dyDescent="0.25">
      <c r="A2" s="6" t="s">
        <v>27</v>
      </c>
      <c r="B2" s="6" t="s">
        <v>23</v>
      </c>
      <c r="C2" s="4">
        <v>80</v>
      </c>
      <c r="D2" s="4">
        <v>140</v>
      </c>
      <c r="E2" s="4">
        <v>288</v>
      </c>
      <c r="F2" s="4">
        <v>50</v>
      </c>
      <c r="G2" s="4">
        <v>8</v>
      </c>
      <c r="H2" s="4">
        <f>Table212[[#This Row],[Cost per Unit (OASE)]]*Table212[[#This Row],[Quantity]]</f>
        <v>640</v>
      </c>
      <c r="I2" s="12">
        <f>Table212[[#This Row],[Cost per Unit (Rokkas)]]*Table212[[#This Row],[Quantity]]</f>
        <v>1120</v>
      </c>
      <c r="J2" s="12">
        <f>Table212[[#This Row],[Cost per Unit (BSG)]]*Table212[[#This Row],[Quantity]]</f>
        <v>2304</v>
      </c>
      <c r="K2" s="34">
        <f>Table212[[#This Row],[Cost per Unit(Phillipson)]]*Table212[[#This Row],[Quantity]]</f>
        <v>400</v>
      </c>
    </row>
    <row r="3" spans="1:11" x14ac:dyDescent="0.25">
      <c r="A3" s="6" t="s">
        <v>27</v>
      </c>
      <c r="B3" s="6" t="s">
        <v>124</v>
      </c>
      <c r="C3" s="4">
        <v>40</v>
      </c>
      <c r="D3" s="4">
        <f>200/50</f>
        <v>4</v>
      </c>
      <c r="E3" s="4">
        <v>0</v>
      </c>
      <c r="F3" s="4">
        <v>0</v>
      </c>
      <c r="G3" s="4">
        <v>13</v>
      </c>
      <c r="H3" s="4">
        <f>Table212[[#This Row],[Cost per Unit (OASE)]]*Table212[[#This Row],[Quantity]]</f>
        <v>520</v>
      </c>
      <c r="I3" s="12">
        <f>Table212[[#This Row],[Cost per Unit (Rokkas)]]*Table212[[#This Row],[Quantity]]</f>
        <v>52</v>
      </c>
      <c r="J3" s="12">
        <f>Table212[[#This Row],[Cost per Unit (BSG)]]*Table212[[#This Row],[Quantity]]</f>
        <v>0</v>
      </c>
      <c r="K3" s="34">
        <f>Table212[[#This Row],[Cost per Unit(Phillipson)]]*Table212[[#This Row],[Quantity]]</f>
        <v>0</v>
      </c>
    </row>
    <row r="4" spans="1:11" x14ac:dyDescent="0.25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13</v>
      </c>
      <c r="H4" s="4">
        <f>Table212[[#This Row],[Cost per Unit (OASE)]]*Table212[[#This Row],[Quantity]]</f>
        <v>1.3</v>
      </c>
      <c r="I4" s="12">
        <f>Table212[[#This Row],[Cost per Unit (Rokkas)]]*Table212[[#This Row],[Quantity]]</f>
        <v>0</v>
      </c>
      <c r="J4" s="12">
        <f>Table212[[#This Row],[Cost per Unit (BSG)]]*Table212[[#This Row],[Quantity]]</f>
        <v>0</v>
      </c>
      <c r="K4" s="34">
        <f>Table212[[#This Row],[Cost per Unit(Phillipson)]]*Table212[[#This Row],[Quantity]]</f>
        <v>0</v>
      </c>
    </row>
    <row r="5" spans="1:11" x14ac:dyDescent="0.25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13</v>
      </c>
      <c r="H5" s="4">
        <f>Table212[[#This Row],[Cost per Unit (OASE)]]*Table212[[#This Row],[Quantity]]</f>
        <v>5200</v>
      </c>
      <c r="I5" s="12">
        <f>Table212[[#This Row],[Cost per Unit (Rokkas)]]*Table212[[#This Row],[Quantity]]</f>
        <v>39000</v>
      </c>
      <c r="J5" s="12">
        <f>Table212[[#This Row],[Cost per Unit (BSG)]]*Table212[[#This Row],[Quantity]]</f>
        <v>2600</v>
      </c>
      <c r="K5" s="34">
        <f>Table212[[#This Row],[Cost per Unit(Phillipson)]]*Table212[[#This Row],[Quantity]]</f>
        <v>0</v>
      </c>
    </row>
    <row r="6" spans="1:11" x14ac:dyDescent="0.25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4</v>
      </c>
      <c r="H6" s="4">
        <f>Table212[[#This Row],[Cost per Unit (OASE)]]*Table212[[#This Row],[Quantity]]</f>
        <v>96</v>
      </c>
      <c r="I6" s="12">
        <f>Table212[[#This Row],[Cost per Unit (Rokkas)]]*Table212[[#This Row],[Quantity]]</f>
        <v>16</v>
      </c>
      <c r="J6" s="12">
        <f>Table212[[#This Row],[Cost per Unit (BSG)]]*Table212[[#This Row],[Quantity]]</f>
        <v>5.6</v>
      </c>
      <c r="K6" s="34">
        <f>Table212[[#This Row],[Cost per Unit(Phillipson)]]*Table212[[#This Row],[Quantity]]</f>
        <v>0</v>
      </c>
    </row>
    <row r="7" spans="1:11" x14ac:dyDescent="0.25">
      <c r="A7" s="6" t="s">
        <v>30</v>
      </c>
      <c r="B7" s="6" t="s">
        <v>125</v>
      </c>
      <c r="C7" s="23">
        <v>112</v>
      </c>
      <c r="D7" s="23">
        <f>10+15000/50</f>
        <v>310</v>
      </c>
      <c r="E7" s="23">
        <v>294</v>
      </c>
      <c r="F7" s="23">
        <v>220</v>
      </c>
      <c r="G7" s="4">
        <v>1</v>
      </c>
      <c r="H7" s="4">
        <f>Table212[[#This Row],[Cost per Unit (OASE)]]*Table212[[#This Row],[Quantity]]</f>
        <v>112</v>
      </c>
      <c r="I7" s="12">
        <f>Table212[[#This Row],[Cost per Unit (Rokkas)]]*Table212[[#This Row],[Quantity]]</f>
        <v>310</v>
      </c>
      <c r="J7" s="12">
        <f>Table212[[#This Row],[Cost per Unit (BSG)]]*Table212[[#This Row],[Quantity]]</f>
        <v>294</v>
      </c>
      <c r="K7" s="34">
        <f>Table212[[#This Row],[Cost per Unit(Phillipson)]]*Table212[[#This Row],[Quantity]]</f>
        <v>220</v>
      </c>
    </row>
    <row r="8" spans="1:11" x14ac:dyDescent="0.25">
      <c r="A8" s="6" t="s">
        <v>30</v>
      </c>
      <c r="B8" s="6" t="s">
        <v>69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0">
        <v>13</v>
      </c>
      <c r="H8" s="4">
        <f>Table212[[#This Row],[Cost per Unit (OASE)]]*Table212[[#This Row],[Quantity]]</f>
        <v>40.300000000000004</v>
      </c>
      <c r="I8" s="12">
        <f>Table212[[#This Row],[Cost per Unit (Rokkas)]]*Table212[[#This Row],[Quantity]]</f>
        <v>65</v>
      </c>
      <c r="J8" s="12">
        <f>Table212[[#This Row],[Cost per Unit (BSG)]]*Table212[[#This Row],[Quantity]]</f>
        <v>39</v>
      </c>
      <c r="K8" s="34">
        <f>Table212[[#This Row],[Cost per Unit(Phillipson)]]*Table212[[#This Row],[Quantity]]</f>
        <v>65</v>
      </c>
    </row>
    <row r="9" spans="1:11" x14ac:dyDescent="0.25">
      <c r="A9" s="6" t="s">
        <v>30</v>
      </c>
      <c r="B9" s="6" t="s">
        <v>126</v>
      </c>
      <c r="C9" s="4">
        <v>12</v>
      </c>
      <c r="D9" s="4">
        <v>10</v>
      </c>
      <c r="E9" s="4">
        <v>24</v>
      </c>
      <c r="F9" s="4">
        <v>10</v>
      </c>
      <c r="G9" s="40">
        <f>1113</f>
        <v>1113</v>
      </c>
      <c r="H9" s="4">
        <f>Table212[[#This Row],[Cost per Unit (OASE)]]*Table212[[#This Row],[Quantity]]</f>
        <v>13356</v>
      </c>
      <c r="I9" s="12">
        <f>Table212[[#This Row],[Cost per Unit (Rokkas)]]*Table212[[#This Row],[Quantity]]</f>
        <v>11130</v>
      </c>
      <c r="J9" s="12">
        <f>Table212[[#This Row],[Cost per Unit (BSG)]]*Table212[[#This Row],[Quantity]]</f>
        <v>26712</v>
      </c>
      <c r="K9" s="34">
        <f>Table212[[#This Row],[Cost per Unit(Phillipson)]]*Table212[[#This Row],[Quantity]]</f>
        <v>11130</v>
      </c>
    </row>
    <row r="10" spans="1:11" x14ac:dyDescent="0.25">
      <c r="A10" s="6" t="s">
        <v>70</v>
      </c>
      <c r="B10" s="6" t="s">
        <v>63</v>
      </c>
      <c r="C10" s="4">
        <v>0</v>
      </c>
      <c r="D10" s="4">
        <v>0</v>
      </c>
      <c r="E10" s="4">
        <v>0</v>
      </c>
      <c r="F10" s="4">
        <v>0</v>
      </c>
      <c r="G10" s="40">
        <v>1113</v>
      </c>
      <c r="H10" s="42">
        <f>Table212[[#This Row],[Cost per Unit (OASE)]]*Table212[[#This Row],[Quantity]]+11300</f>
        <v>11300</v>
      </c>
      <c r="I10" s="40">
        <f>Table212[[#This Row],[Cost per Unit (Rokkas)]]*Table212[[#This Row],[Quantity]]+11130</f>
        <v>11130</v>
      </c>
      <c r="J10" s="40">
        <f>Table212[[#This Row],[Cost per Unit (BSG)]]*Table212[[#This Row],[Quantity]]+11130</f>
        <v>11130</v>
      </c>
      <c r="K10" s="40">
        <f>Table212[[#This Row],[Cost per Unit(Phillipson)]]*Table212[[#This Row],[Quantity]]+11130</f>
        <v>11130</v>
      </c>
    </row>
    <row r="11" spans="1:11" x14ac:dyDescent="0.25">
      <c r="A11" s="38"/>
      <c r="B11" s="38"/>
      <c r="C11" s="40"/>
      <c r="D11" s="40"/>
      <c r="E11" s="40"/>
      <c r="F11" s="40"/>
      <c r="G11" s="40"/>
      <c r="H11" s="42"/>
      <c r="I11" s="41"/>
      <c r="J11" s="41"/>
      <c r="K11" s="41"/>
    </row>
    <row r="12" spans="1:11" x14ac:dyDescent="0.25">
      <c r="A12" s="39"/>
      <c r="B12" s="39"/>
      <c r="C12" s="41"/>
      <c r="D12" s="41"/>
      <c r="E12" s="41"/>
      <c r="F12" s="41"/>
      <c r="G12" s="41"/>
      <c r="H12" s="43"/>
      <c r="I12" s="41"/>
      <c r="J12" s="41"/>
      <c r="K12" s="41"/>
    </row>
    <row r="13" spans="1:11" x14ac:dyDescent="0.25">
      <c r="A13" s="39"/>
      <c r="B13" s="39"/>
      <c r="C13" s="41"/>
      <c r="D13" s="41"/>
      <c r="E13" s="41"/>
      <c r="F13" s="41"/>
      <c r="G13" s="41"/>
      <c r="H13" s="43"/>
      <c r="I13" s="41"/>
      <c r="J13" s="41"/>
      <c r="K13" s="41"/>
    </row>
    <row r="15" spans="1:11" ht="14.45" x14ac:dyDescent="0.3">
      <c r="A15" s="18" t="s">
        <v>75</v>
      </c>
      <c r="B15" s="18" t="s">
        <v>35</v>
      </c>
      <c r="C15" s="18" t="s">
        <v>36</v>
      </c>
      <c r="D15" s="18" t="s">
        <v>37</v>
      </c>
      <c r="E15" s="18" t="s">
        <v>34</v>
      </c>
      <c r="G15" s="20"/>
    </row>
    <row r="16" spans="1:11" thickBot="1" x14ac:dyDescent="0.35">
      <c r="A16" s="18" t="s">
        <v>76</v>
      </c>
      <c r="B16" s="19">
        <f>SUM(H2:H7)</f>
        <v>6569.3</v>
      </c>
      <c r="C16" s="19">
        <f>SUM(H8:H10)</f>
        <v>24696.3</v>
      </c>
      <c r="D16" s="10">
        <f>SUM(H11)</f>
        <v>0</v>
      </c>
      <c r="E16" s="5">
        <f>SUM(B16:D16)</f>
        <v>31265.599999999999</v>
      </c>
      <c r="F16" s="5"/>
      <c r="G16" s="10"/>
    </row>
    <row r="17" spans="1:6" ht="15.6" thickTop="1" thickBot="1" x14ac:dyDescent="0.35">
      <c r="A17" s="18" t="s">
        <v>77</v>
      </c>
      <c r="B17" s="18">
        <f>SUM(I2:I7)</f>
        <v>40498</v>
      </c>
      <c r="C17" s="18">
        <f>SUM(I8:I10)</f>
        <v>22325</v>
      </c>
      <c r="D17" s="20">
        <v>0</v>
      </c>
      <c r="E17" s="5">
        <f>SUM(B17:D17)</f>
        <v>62823</v>
      </c>
      <c r="F17" s="5"/>
    </row>
    <row r="18" spans="1:6" ht="15.6" thickTop="1" thickBot="1" x14ac:dyDescent="0.35">
      <c r="A18" s="18" t="s">
        <v>101</v>
      </c>
      <c r="B18" s="18">
        <f>SUM(J2:J7)</f>
        <v>5203.6000000000004</v>
      </c>
      <c r="C18" s="18">
        <f>SUM(J8:J10)</f>
        <v>37881</v>
      </c>
      <c r="D18" s="20">
        <v>0</v>
      </c>
      <c r="E18" s="5">
        <f>SUM(B18:D18)</f>
        <v>43084.6</v>
      </c>
      <c r="F18" s="5"/>
    </row>
    <row r="19" spans="1:6" ht="15.6" thickTop="1" thickBot="1" x14ac:dyDescent="0.35">
      <c r="A19" s="18" t="s">
        <v>6</v>
      </c>
      <c r="B19" s="23">
        <f>SUM(K2:K7)</f>
        <v>620</v>
      </c>
      <c r="C19" s="23">
        <f>SUM(K8:K10)</f>
        <v>22325</v>
      </c>
      <c r="D19" s="23">
        <v>0</v>
      </c>
      <c r="E19" s="5">
        <f>SUM(B19:D19)</f>
        <v>22945</v>
      </c>
    </row>
    <row r="20" spans="1:6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Papers and Reports</vt:lpstr>
      <vt:lpstr>Results_Visual</vt:lpstr>
      <vt:lpstr>FTTCab GPON 26 Mbps</vt:lpstr>
      <vt:lpstr>FTTB XGPON 50 Mbps</vt:lpstr>
      <vt:lpstr>FTTB WR-WDMPON 50 Mbps</vt:lpstr>
      <vt:lpstr>FTTH WR-WDMPON 100 Mbps</vt:lpstr>
      <vt:lpstr>FTTH XGPON 100 Mbps</vt:lpstr>
      <vt:lpstr>FTTCab_GPON_100</vt:lpstr>
      <vt:lpstr>FTTCab_Hybridpon_25</vt:lpstr>
      <vt:lpstr>FTTB_Hybridpon_50</vt:lpstr>
      <vt:lpstr>FTTH_Hybridpon_100</vt:lpstr>
      <vt:lpstr>FTTC_Hybridpon_100</vt:lpstr>
      <vt:lpstr>CAPEX_Euros_OASE</vt:lpstr>
      <vt:lpstr>CAPEX_Euros_Rokkas</vt:lpstr>
      <vt:lpstr>CAPEX_Euros_BSG</vt:lpstr>
      <vt:lpstr>CAPEX_Euros_Phillipson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2018-06-18T12:55:08Z</dcterms:created>
  <dcterms:modified xsi:type="dcterms:W3CDTF">2018-09-13T19:33:18Z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